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workbookPr defaultThemeVersion="166925"/>
  <workbookProtection/>
  <bookViews>
    <workbookView xWindow="0" yWindow="0" windowWidth="14370" windowHeight="9585"/>
  </bookViews>
  <sheets>
    <sheet name="Data" sheetId="2" r:id="rId1"/>
    <sheet name="Disclaimer" sheetId="3" r:id="rId2"/>
  </sheets>
  <calcPr calcId="0"/>
</workbook>
</file>

<file path=xl/sharedStrings.xml><?xml version="1.0" encoding="utf-8"?>
<sst xmlns="http://schemas.openxmlformats.org/spreadsheetml/2006/main" count="20205" uniqueCount="20205">
  <si>
    <t>Company ID</t>
  </si>
  <si>
    <t>Companies</t>
  </si>
  <si>
    <t>Total Patent Documents</t>
  </si>
  <si>
    <t>Company Former Name</t>
  </si>
  <si>
    <t>Company Also Known As</t>
  </si>
  <si>
    <t>Company Legal Name</t>
  </si>
  <si>
    <t>Registration Number</t>
  </si>
  <si>
    <t>Company Registry</t>
  </si>
  <si>
    <t>Competitors</t>
  </si>
  <si>
    <t>PBId</t>
  </si>
  <si>
    <t>Description</t>
  </si>
  <si>
    <t>Primary Industry Sector</t>
  </si>
  <si>
    <t>Primary Industry Group</t>
  </si>
  <si>
    <t>Primary Industry Code</t>
  </si>
  <si>
    <t>All Industries</t>
  </si>
  <si>
    <t>Verticals</t>
  </si>
  <si>
    <t>Keywords</t>
  </si>
  <si>
    <t>Emerging Spaces</t>
  </si>
  <si>
    <t>Company Financing Status</t>
  </si>
  <si>
    <t>Total Raised</t>
  </si>
  <si>
    <t>Business Status</t>
  </si>
  <si>
    <t>Ownership Status</t>
  </si>
  <si>
    <t>Universe</t>
  </si>
  <si>
    <t>Website</t>
  </si>
  <si>
    <t>LinkedIn URL</t>
  </si>
  <si>
    <t>Employees</t>
  </si>
  <si>
    <t>Employee History</t>
  </si>
  <si>
    <t>Exchange</t>
  </si>
  <si>
    <t>Ticker</t>
  </si>
  <si>
    <t>Year Founded</t>
  </si>
  <si>
    <t>Parent Company</t>
  </si>
  <si>
    <t>Last Updated Date</t>
  </si>
  <si>
    <t>Daily Updates</t>
  </si>
  <si>
    <t>Weekly Updates</t>
  </si>
  <si>
    <t>Revenue</t>
  </si>
  <si>
    <t>Revenue Growth %</t>
  </si>
  <si>
    <t>Gross Profit</t>
  </si>
  <si>
    <t>Net Income</t>
  </si>
  <si>
    <t>Enterprise Value</t>
  </si>
  <si>
    <t>EBITDA</t>
  </si>
  <si>
    <t>EBIT</t>
  </si>
  <si>
    <t>Market Cap</t>
  </si>
  <si>
    <t>Net Debt</t>
  </si>
  <si>
    <t>Fiscal Period</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</si>
  <si>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</si>
  <si>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</si>
  <si>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</si>
  <si>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</si>
  <si>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</si>
  <si>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</si>
  <si>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</si>
  <si>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</si>
  <si>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</si>
  <si>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</si>
  <si>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</si>
  <si>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</si>
  <si>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</si>
  <si>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</si>
  <si>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</si>
  <si>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</si>
  <si>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</si>
  <si>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</si>
  <si>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</si>
  <si>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</si>
  <si>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</si>
  <si>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</si>
  <si>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Country/Territory/Region</t>
  </si>
  <si>
    <t>HQ Phone</t>
  </si>
  <si>
    <t>HQ Fax</t>
  </si>
  <si>
    <t>HQ Email</t>
  </si>
  <si>
    <t>HQ Global Region</t>
  </si>
  <si>
    <t>HQ Global Sub Region</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</si>
  <si>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</si>
  <si>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</si>
  <si>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</si>
  <si>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</si>
  <si>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</si>
  <si>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</si>
  <si>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</si>
  <si>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</si>
  <si>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</si>
  <si>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t>
  </si>
  <si>
    <t>First Financing Status</t>
  </si>
  <si>
    <t>Last Financing Date</t>
  </si>
  <si>
    <t>Last Financing Size</t>
  </si>
  <si>
    <t>Last Financing Size Status</t>
  </si>
  <si>
    <t>Last Financing Valuation</t>
  </si>
  <si>
    <t>Last Financing Valuation Status</t>
  </si>
  <si>
    <t>Last Valuation Step-Up</t>
  </si>
  <si>
    <t>Last Financing Deal Type</t>
  </si>
  <si>
    <t>Last Financing Deal Type 2</t>
  </si>
  <si>
    <t>Last Financing Deal Type 3</t>
  </si>
  <si>
    <t>Last Financing Deal Class</t>
  </si>
  <si>
    <t>Last Financing Debt Date</t>
  </si>
  <si>
    <t>Last Financing Debt Size</t>
  </si>
  <si>
    <t>Last Financing Debt</t>
  </si>
  <si>
    <t>Last Financing Status</t>
  </si>
  <si>
    <t>Opportunity Score</t>
  </si>
  <si>
    <t>Success Class</t>
  </si>
  <si>
    <t>Success Probability</t>
  </si>
  <si>
    <t>No Exit Probability</t>
  </si>
  <si>
    <t>Predicted Exit Type</t>
  </si>
  <si>
    <t>IPO Probability</t>
  </si>
  <si>
    <t>M&amp;A Probability</t>
  </si>
  <si>
    <t>Last Known Valuation</t>
  </si>
  <si>
    <t>Last Known Valuation Date</t>
  </si>
  <si>
    <t>Last Known Valuation Deal Type</t>
  </si>
  <si>
    <t>Last Known Valuation Step-Up</t>
  </si>
  <si>
    <t>Growth Rate</t>
  </si>
  <si>
    <t>Growth Rate Percentile</t>
  </si>
  <si>
    <t>Growth Rate Change</t>
  </si>
  <si>
    <t>Growth Rate % Change</t>
  </si>
  <si>
    <t>Web Growth Rate</t>
  </si>
  <si>
    <t>Web Growth Rate Percentile</t>
  </si>
  <si>
    <t>SimilarWeb Growth Rate</t>
  </si>
  <si>
    <t>SimilarWeb Growth Rate Percentile</t>
  </si>
  <si>
    <t>Majestic Growth Rate</t>
  </si>
  <si>
    <t>Majestic Growth Rate Percentile</t>
  </si>
  <si>
    <t>Size Multiple</t>
  </si>
  <si>
    <t>Size Multiple Percentile</t>
  </si>
  <si>
    <t>Size Multiple Change</t>
  </si>
  <si>
    <t>Size Multiple % Change</t>
  </si>
  <si>
    <t>Web Size Multiple</t>
  </si>
  <si>
    <t>Web Size Multiple Percentile</t>
  </si>
  <si>
    <t>SimilarWeb Size Multiple</t>
  </si>
  <si>
    <t>SimilarWeb Size Multiple Percentile</t>
  </si>
  <si>
    <t>Majestic Size Multiple</t>
  </si>
  <si>
    <t>Majestic Size Multiple Percentile</t>
  </si>
  <si>
    <t># of UCC Filings</t>
  </si>
  <si>
    <t>Last UCC Filing Date</t>
  </si>
  <si>
    <t>Last UCC Expiration Date</t>
  </si>
  <si>
    <t>SimilarWeb Unique Visitors</t>
  </si>
  <si>
    <t>SimilarWeb Unique Visitors Change</t>
  </si>
  <si>
    <t>SimilarWeb Unique Visitors % Change</t>
  </si>
  <si>
    <t>Majestic Referring Domains</t>
  </si>
  <si>
    <t>Majestic Referring Domains Change</t>
  </si>
  <si>
    <t>Majestic Referring Domains % Change</t>
  </si>
  <si>
    <t>Profile Data Source</t>
  </si>
  <si>
    <t>Latest Note</t>
  </si>
  <si>
    <t>Latest Note - Author</t>
  </si>
  <si>
    <t>Total Patent Families</t>
  </si>
  <si>
    <t>Active Patent Documents</t>
  </si>
  <si>
    <t>Pending Patent Documents</t>
  </si>
  <si>
    <t>Patents Expiring the Next Year</t>
  </si>
  <si>
    <t>Inactive Family Documents</t>
  </si>
  <si>
    <t>Top CPC Codes</t>
  </si>
  <si>
    <t>Clinical Trials Matching Criteria</t>
  </si>
  <si>
    <t>Total Clinical Trials</t>
  </si>
  <si>
    <t>PitchBook Link</t>
  </si>
  <si>
    <t>169143-76</t>
  </si>
  <si>
    <t>Waymo</t>
  </si>
  <si>
    <t/>
  </si>
  <si>
    <t>Waymo LLC</t>
  </si>
  <si>
    <t>Five (Automotive), Automatic Labs, AutoX, May Mobility, Optimus Ride, Zhidao Network, Cruise, AImotive, Torc Robotics, EasyMile, Comma, WeRide (Automotive), Zoox, Starsky Robotics, Uber, Wayve, Mobileye, Zendar, Nuro, nuTonomy, Phantom AI, DeepScale, Local Motors, Otto (Road), Tesla</t>
  </si>
  <si>
    <t>Developer of a self-driving technology designed to offer on-demand riding services that make it convenient for people and things to move around. The company's technology employs integrated sensors and artificial intelligence to detect pedestrians, cyclists, vehicles, and road works, enabling users to have a safe and enjoyable on-demand traveling experience in autonomous vehicles.</t>
  </si>
  <si>
    <t>Consumer Products and Services (B2C)</t>
  </si>
  <si>
    <t>Transportation</t>
  </si>
  <si>
    <t>Automotive</t>
  </si>
  <si>
    <t>Application Software, Automotive*</t>
  </si>
  <si>
    <t>Artificial Intelligence &amp; Machine Learning, Autonomous cars, Mobile, Mobility Tech</t>
  </si>
  <si>
    <t>automated transportation, autonomous driving, autonomous vehicle, driverless trucking, freight technology, ridesharing service, self driving car, self driving technology, transportation technology</t>
  </si>
  <si>
    <t>Autonomous Trucking</t>
  </si>
  <si>
    <t>Venture Capital-Backed</t>
  </si>
  <si>
    <t>Generating Revenue</t>
  </si>
  <si>
    <t>Privately Held (backing)</t>
  </si>
  <si>
    <t>Venture Capital</t>
  </si>
  <si>
    <t>www.waymo.com</t>
  </si>
  <si>
    <t>http://www.linkedin.com/company/waymo</t>
  </si>
  <si>
    <t>2019: 950, 2020: 2082, 2021: 2407, 2022: 2919, 2023: 2958, 2024: 2839</t>
  </si>
  <si>
    <t>News (New)</t>
  </si>
  <si>
    <t>FY 2024</t>
  </si>
  <si>
    <t>The company raised $5.6 billion of Series C venture funding in a deal led by Alphabet on October 25, 2024. Andreessen Horowitz and 5 other investors also participated in the round. The funds will be used for advancing the Waymo Driver for business applications and to expand and continue advancing the company's technology and robotaxi service across the U.S.</t>
  </si>
  <si>
    <t>Alphabet, Andreessen Horowitz, AutoNation, CPP Investments, Fidelity Management &amp; Research, Magna Technology Investments, Michigan Economic Development, Mubadala Capital, Mubadala Investment Company, Perry Creek Capital, Silver Lake, T. Rowe Price Group, Temasek Holdings, Tiger Global Management, X Development</t>
  </si>
  <si>
    <t>Alphabet (www.abc.xyz), Andreessen Horowitz (www.a16z.com), AutoNation (www.autonation.com), CPP Investments (www.cppinvestments.com), Magna Technology Investments (www.magnatechnologyinvestments.com), Michigan Economic Development (www.michiganbusiness.org), Mubadala Capital (www.mubadalacapital.ae), Mubadala Investment Company (www.mubadala.com), Perry Creek Capital (www.perrycreekcap.com), Silver Lake (www.silverlake.com), T. Rowe Price Group (www.troweprice.com), Temasek Holdings (www.temasek.com.sg), Tiger Global Management (www.tigerglobal.com), X Development (www.x.company)</t>
  </si>
  <si>
    <t>Parker Remick(Consulting), Wilson Sonsini Goodrich &amp; Rosati(Legal Advisor)</t>
  </si>
  <si>
    <t>Temasek Holdings(Advisor: General), Tiger Global Management(Advisor: General)</t>
  </si>
  <si>
    <t>185183-74P</t>
  </si>
  <si>
    <t>Dmitri Dolgov</t>
  </si>
  <si>
    <t>Co-Chief Executive Officer</t>
  </si>
  <si>
    <t>ddolgov@waymo.com</t>
  </si>
  <si>
    <t>+1 (650) 669-7376</t>
  </si>
  <si>
    <t>Mountain View, CA</t>
  </si>
  <si>
    <t>1600 Amphitheater Parkway</t>
  </si>
  <si>
    <t>Mountain View</t>
  </si>
  <si>
    <t>California</t>
  </si>
  <si>
    <t>94043</t>
  </si>
  <si>
    <t>United States</t>
  </si>
  <si>
    <t>Americas</t>
  </si>
  <si>
    <t>North America</t>
  </si>
  <si>
    <t>Accelerator/Incubator</t>
  </si>
  <si>
    <t>Other</t>
  </si>
  <si>
    <t>Completed</t>
  </si>
  <si>
    <t>Actual</t>
  </si>
  <si>
    <t>Estimated</t>
  </si>
  <si>
    <t>Later Stage VC</t>
  </si>
  <si>
    <t>Series C</t>
  </si>
  <si>
    <t>Success</t>
  </si>
  <si>
    <t>IPO</t>
  </si>
  <si>
    <t>PitchBook Research</t>
  </si>
  <si>
    <t>Conjoint control of vehicle sub-units of different type or different function, Image or video recognition or understanding, Radio direction-finding, Systems for controlling or regulating non-electric variables, Traffic control systems</t>
  </si>
  <si>
    <t>431623-81</t>
  </si>
  <si>
    <t>Eluvio</t>
  </si>
  <si>
    <t>Eluvio, Inc.</t>
  </si>
  <si>
    <t>Alethea AI, Metasky, Mintable, VAST (Media and Information Services (B2B)), Amberdata, Boston Operations of Overwatch, Cyber</t>
  </si>
  <si>
    <t>Operator of a media distribution platform intended to process a very high volume of data packets with a low tolerance for delay. The company's platform focuses on a utility blockchain network for owner-controlled storage, distribution, and monetization of digital content at scale as well as provides live and file-based content publishing, transcoding, sequencing, and dynamic and static distribution, and minting of derivative NFTs for all ranges of content experience, helping content distributors and owners to create more efficient, cost-effective, and faster digital supply chains.</t>
  </si>
  <si>
    <t>Information Technology</t>
  </si>
  <si>
    <t>Software</t>
  </si>
  <si>
    <t>Entertainment Software</t>
  </si>
  <si>
    <t>Business/Productivity Software, Entertainment Software*, Financial Software</t>
  </si>
  <si>
    <t>Cryptocurrency/Blockchain, FinTech</t>
  </si>
  <si>
    <t>app development, content services, crypto content and social, digital content, digital content portal, kms, knowledge management system, live streaming, media application developer, media distribution platform, media distribution services, media platform operator, web4</t>
  </si>
  <si>
    <t>NFTs</t>
  </si>
  <si>
    <t>www.eluv.io</t>
  </si>
  <si>
    <t>http://www.linkedin.com/company/eluv-io</t>
  </si>
  <si>
    <t>2021: 29, 2022: 41, 2023: 39, 2024: 40</t>
  </si>
  <si>
    <t>The company raised an estimated $100 million of Series A venture funding in a deal led by Fox on August 25, 2021. Other undisclosed investors also participated in the round. The funds will be used to accelerate the adoption of the company's platform across the broader media and entertainment industry.</t>
  </si>
  <si>
    <t>Berkeley Blockchain Xcelerator, Fox</t>
  </si>
  <si>
    <t>Berkeley Blockchain Xcelerator (www.xcelerator.berkeley.edu), Fox (www.foxcorporation.com)</t>
  </si>
  <si>
    <t>Hanson Bridgett(Legal Advisor)</t>
  </si>
  <si>
    <t>64251-19P</t>
  </si>
  <si>
    <t>Michelle Munson</t>
  </si>
  <si>
    <t>Co-Founder &amp; Chief Executive Officer</t>
  </si>
  <si>
    <t>michelle@eluv.io</t>
  </si>
  <si>
    <t>+1 (510) 849-2386</t>
  </si>
  <si>
    <t>Berkeley, CA</t>
  </si>
  <si>
    <t>918 Parker Street</t>
  </si>
  <si>
    <t>Suite A21</t>
  </si>
  <si>
    <t>Berkeley</t>
  </si>
  <si>
    <t>94710</t>
  </si>
  <si>
    <t>+1 (800) 952-5210</t>
  </si>
  <si>
    <t>contact@eluv.io</t>
  </si>
  <si>
    <t>Early Stage VC</t>
  </si>
  <si>
    <t>Series A</t>
  </si>
  <si>
    <t>Information and communication technology [ict] specially adapted for administrative, commercial, financial, managerial or supervisory purposes, Transmission of digital information</t>
  </si>
  <si>
    <t>223055-47</t>
  </si>
  <si>
    <t>WexEnergy</t>
  </si>
  <si>
    <t>WexEnergy, LLC</t>
  </si>
  <si>
    <t>Indow, Thermolite Inc., Citiquiet Windows</t>
  </si>
  <si>
    <t>Developer of a transparent window insulation technology designed to make single-pane windows work like efficient double-pane windows. The company's insulation system mounts onto existing windows and upgrades energy efficiency and is designed specifically to optimize the thickness of this enclosed layer of air to maximize its thermal insulation properties, enabling customers to enjoy the benefits of a proper thermal barrier.</t>
  </si>
  <si>
    <t>Consumer Durables</t>
  </si>
  <si>
    <t>Home Furnishings</t>
  </si>
  <si>
    <t>Home Furnishings*, Other Hardware</t>
  </si>
  <si>
    <t>Climate Tech, TMT</t>
  </si>
  <si>
    <t>building energy efficiency, energy efficiency retrofit, strategic patent development, thermal insulation product, thermal insulation systems, thermal insulation technology, windows coating, windows seals</t>
  </si>
  <si>
    <t>www.wexenergy.com</t>
  </si>
  <si>
    <t>http://www.linkedin.com/company/wexenergy-llc</t>
  </si>
  <si>
    <t>2017: 2, 2020: 3, 2021: 5, 2022: 5, 2023: 3, 2024: 2</t>
  </si>
  <si>
    <t>The company raised an undisclosed amount of venture funding from Future Labs and Urban Future Lab on August 1, 2022.</t>
  </si>
  <si>
    <t>DeltaClimeVT, Excell Partners, For ClimateTech, Future Labs, New York Community Trust, NextCorps, The Tech Garden, Urban Future Lab</t>
  </si>
  <si>
    <t>DeltaClimeVT (deltaclimevt.com), Excell Partners (www.excellny.com), For ClimateTech (www.forclimatetech.org), Future Labs (www.futurelabs.nyc), New York Community Trust (www.nycommunitytrust.org), NextCorps (www.nextcorps.org), The Tech Garden (www.thetechgarden.com), Urban Future Lab (www.ufl.nyc)</t>
  </si>
  <si>
    <t>176681-44P</t>
  </si>
  <si>
    <t>Rachel Rosen</t>
  </si>
  <si>
    <t>Co-Founder, Chief Executive Officer, President, Director of Finance, Operations and Investor Relations &amp; Board Member</t>
  </si>
  <si>
    <t>rachelrosen@wexenergy.com</t>
  </si>
  <si>
    <t>+1 (585) 259-0224</t>
  </si>
  <si>
    <t>Rochester, NY</t>
  </si>
  <si>
    <t>260 East Main Street</t>
  </si>
  <si>
    <t>Suite 6318</t>
  </si>
  <si>
    <t>Rochester</t>
  </si>
  <si>
    <t>New York</t>
  </si>
  <si>
    <t>14604</t>
  </si>
  <si>
    <t>+1 (585) 213-5101</t>
  </si>
  <si>
    <t>info@wexenergy.com</t>
  </si>
  <si>
    <t>No Exit</t>
  </si>
  <si>
    <t>Fixed or movable closures for openings in buildings, vehicles, fences or like enclosures in general</t>
  </si>
  <si>
    <t>463196-80</t>
  </si>
  <si>
    <t>Clearbrief</t>
  </si>
  <si>
    <t>Clearbrief, Inc.</t>
  </si>
  <si>
    <t>Developer of a legal platform designed to create a modern experience for the lawyer community. The company's platform uses natural language processing to assess how a given sentence is backed up by supporting evidence, enabling lawyers to assess their work or competitors' briefs and judges to read a brief alongside evidence.</t>
  </si>
  <si>
    <t>Business/Productivity Software</t>
  </si>
  <si>
    <t>Business/Productivity Software*, Legal Services (B2C)</t>
  </si>
  <si>
    <t>Artificial Intelligence &amp; Machine Learning, Big Data, Legal Tech, SaaS</t>
  </si>
  <si>
    <t>evidence analysis, evidence gathering, factual evidence, internal investigation, law advice, legal platform, legal writing, litigation law, vertical application</t>
  </si>
  <si>
    <t>www.clearbrief.com</t>
  </si>
  <si>
    <t>http://www.linkedin.com/company/clearbrief</t>
  </si>
  <si>
    <t>2021: 11, 2022: 17, 2023: 18, 2024: 26</t>
  </si>
  <si>
    <t>The company raised $4.5 million through a combination of Seed-3 and Seed-4 funding from Wilson Sonsini Goodrich &amp; Rosati, Reign Ventures and PHARUS Investment Partners on March 14, 2024, putting the company's pre-money valuation at $20 million. How Women Invest, Authentic Ventures, and other undisclosed investors also participated in the round.</t>
  </si>
  <si>
    <t>515 Ventures, Amy Weaver, Anne Hunt, Authentic Ventures, Avid Duggan, Barney Harford, Beth Birnbaum, Bryan Garner, Court Lorenzini, Frederic Kerrest, Hadi Partovi, How Women Invest, Jack Newton, James Shaughnessy, Jason Barnwell, Jon Runyan, Karen Ashby, Kate Vaughan, Kelly Wright, Lata Setty, Madrona Venture Group, Mark Britton, Pharus, Reign Ventures, Sequoia Capital, William Neukom, Wilson Sonsini Goodrich &amp; Rosati</t>
  </si>
  <si>
    <t>515 Ventures (www.515ventures.com), Authentic Ventures (www.authentic-ventures.com), How Women Invest (www.howwomeninvest.com), Madrona Venture Group (www.madrona.com), Pharus (www.pharus.com), Reign Ventures (www.reignvc.com), Sequoia Capital (www.sequoiacap.com), Wilson Sonsini Goodrich &amp; Rosati (www.wsgr.com)</t>
  </si>
  <si>
    <t>K&amp;L Gates(Legal Advisor), Orrick(Legal Advisor)</t>
  </si>
  <si>
    <t>257378-68P</t>
  </si>
  <si>
    <t>Jacqueline Schafer</t>
  </si>
  <si>
    <t>Founder, Chief Executive Officer &amp; Board Member</t>
  </si>
  <si>
    <t>jackie@clearbrief.ai</t>
  </si>
  <si>
    <t>+1 (212) 373-3176</t>
  </si>
  <si>
    <t>Seattle, WA</t>
  </si>
  <si>
    <t>113 Cherry Street</t>
  </si>
  <si>
    <t>PMB 53885</t>
  </si>
  <si>
    <t>Seattle</t>
  </si>
  <si>
    <t>Washington</t>
  </si>
  <si>
    <t>98104-2205</t>
  </si>
  <si>
    <t>+1 (425) 312-3090</t>
  </si>
  <si>
    <t>hello@clearbrief.ai</t>
  </si>
  <si>
    <t>Seed Round</t>
  </si>
  <si>
    <t>M&amp;A</t>
  </si>
  <si>
    <t>Electric digital data processing</t>
  </si>
  <si>
    <t>439861-33</t>
  </si>
  <si>
    <t>Cornelis Networks</t>
  </si>
  <si>
    <t>Cornelis Networks, Inc.</t>
  </si>
  <si>
    <t>Proxim Wireless, NimbeLink, Enfabrica, Nimbix, Rescale, TIBCO Software, OnePredict, DataRobot, UnitX, Relayr, Rogue Wave Software, Arundo, Dataiku, Haltian, SensorUp, Avathon, Itential, Ayla Networks, Nstream, Axibase, Simr, FogHorn, Aeris Communications, Lone Star Analysis, Iven, Talend, Noodle.ai, Ab Initio, Aviatrix, Conundrum, SAS Institute, Exosite, Altizon, Egenera, Sabalcore Computing, KONUX, Tamr, Litera, Neo4j, Univa, Sisense, Riversand, Reltio, Aras, Looker, Egnyte, UnitX (IT Consulting and Outsourcing), Presenso, Collibra, Simscale, WSO2, Intergraph, Stibo Systems, Gluent, Adaptive Computing Enterprises, Absolutdata, Alation, Denodo Technologies, Kii, EditShare, Qlik Technologies, Semarchy, Flutura, Rilheva, TigerGraph, Wavefunction, Vortexa, Komprise, AlgoTrace, Uptake, Balena, Couchbase, Syntelli, Aveva Group, Sonnet Software</t>
  </si>
  <si>
    <t>Developer of high-performance computer networking products designed to accelerate the demanding technical computing applications. The company's products enable scientific, academic, governmental, and commercial customers to solve some of the challenges by efficiently focusing the computational power of many processing devices at scale on a single problem, simultaneously improving both result accuracy and time for their complex application workloads, enabling clients to deliver optimal performance, scalability, and efficiency across hyper-scale, cloud AI.</t>
  </si>
  <si>
    <t>Communications and Networking</t>
  </si>
  <si>
    <t>Wireless Communications Equipment</t>
  </si>
  <si>
    <t>Fiberoptic Equipment, Wireless Communications Equipment*</t>
  </si>
  <si>
    <t>Artificial Intelligence &amp; Machine Learning</t>
  </si>
  <si>
    <t>ai technology, cloud ai, computational fluid dynamics, computer networking, computing application, data center network</t>
  </si>
  <si>
    <t>www.cornelisnetworks.com</t>
  </si>
  <si>
    <t>http://www.linkedin.com/company/cornelisnetworks</t>
  </si>
  <si>
    <t>2020: 50, 2021: 75, 2022: 136, 2023: 169, 2024: 180</t>
  </si>
  <si>
    <t>The company raised $25 million of Series B venture funding from W11 Capital Management, Ben Franklin Technology Partners of Southeastern Pennsylvania and IAG Capital Partners on May 22, 2024, putting the company's pre-money valuation at $202.5 million. Previously, the company raised $24.3 million of Series B3 venture funding from undisclosed investors on August 24, 2023. As a part of the transaction, the amount was raised in the form of convertible debt which was subsequently converted into equity.</t>
  </si>
  <si>
    <t>ADIT Ventures, Alumni Ventures, Ben Franklin Technology Partners of Southeastern Pennsylvania, Chestnut Street Ventures, Downing Ventures, Global Brain, IAG Capital Partners, Intel Capital, Kawn Ventures, KittyHawk Ventures, Ridgeline, Ryan McCalley, SQN Venture Partners, W11 Capital Management</t>
  </si>
  <si>
    <t>ADIT Ventures (www.aditventures.com), Alumni Ventures (www.av.vc), Ben Franklin Technology Partners of Southeastern Pennsylvania (www.sep.benfranklin.org), Chestnut Street Ventures (www.chestnutstreetventures.com), Global Brain (www.globalbrains.com), IAG Capital Partners (www.iagcapitalpartners.com), Intel Capital (www.intelcapital.com), Kawn Ventures (www.kawnventures.com), KittyHawk Ventures (www.kittyhawk.vc), Ridgeline (www.ridgeline.vc), SQN Venture Partners (www.sqnvp.com), W11 Capital Management (www.w11.capital)</t>
  </si>
  <si>
    <t>Kleinberg, Kaplan, Wolff &amp; Cohen(Legal Advisor)</t>
  </si>
  <si>
    <t>242308-36P</t>
  </si>
  <si>
    <t>Philip Murphy</t>
  </si>
  <si>
    <t>Co-Founder, Chief Operations Officer, President, and Board Member</t>
  </si>
  <si>
    <t>philip.murphy@cornelisnetworks.com</t>
  </si>
  <si>
    <t>+1 (610) 254-5020</t>
  </si>
  <si>
    <t>Wayne, PA</t>
  </si>
  <si>
    <t>1500 Liberty Ridge Drive</t>
  </si>
  <si>
    <t>Suite 100</t>
  </si>
  <si>
    <t>Wayne</t>
  </si>
  <si>
    <t>Pennsylvania</t>
  </si>
  <si>
    <t>19087</t>
  </si>
  <si>
    <t>+1 (484) 497-9660</t>
  </si>
  <si>
    <t>Other - $4.25M</t>
  </si>
  <si>
    <t>Series B</t>
  </si>
  <si>
    <t>Electric digital data processing, Transmission of digital information</t>
  </si>
  <si>
    <t>484092-37</t>
  </si>
  <si>
    <t>SeeMedX</t>
  </si>
  <si>
    <t>SeeMedX, Inc.</t>
  </si>
  <si>
    <t>Provider of noninvasive monitors and telehealth devices intended to improve patient care. The company's devices are a wearable doctor reportable technology that makes noninvasive reimbursable accurate tests and scans to predict a heart attack or other problems in advance, with less risk of infection and at significantly lower costs, its patented methods facilitate medical practitioners to monitor the hemodynamics of patients faster and more accurately than current methods, enabling healthcare professionals to save lives, reduce healthcare costs and increase clinician revenue.</t>
  </si>
  <si>
    <t>Other Software</t>
  </si>
  <si>
    <t>Other Healthcare Technology Systems, Other Software*</t>
  </si>
  <si>
    <t>HealthTech, Wearables &amp; Quantified Self</t>
  </si>
  <si>
    <t>heart failure, heart monitoring, medical devices, noninvasive device, noninvasive treatment, patient monitoring</t>
  </si>
  <si>
    <t>Product Development</t>
  </si>
  <si>
    <t>www.seemedx.com</t>
  </si>
  <si>
    <t>http://www.linkedin.com/company/seemedx</t>
  </si>
  <si>
    <t>2020: 4, 2021: 5, 2022: 5, 2023: 11, 2024: 15</t>
  </si>
  <si>
    <t>The company joined Evolution Accelerator on an undisclosed date and received funding in the form of convertible debt.</t>
  </si>
  <si>
    <t>Arben Ventures, Evolution Accelerator</t>
  </si>
  <si>
    <t>Arben Ventures (www.arben.ventures), Evolution Accelerator (www.evolutionacceleration.com)</t>
  </si>
  <si>
    <t>Fenwick &amp; West(Legal Advisor)</t>
  </si>
  <si>
    <t>343828-63P</t>
  </si>
  <si>
    <t>Deborah Simpson</t>
  </si>
  <si>
    <t>Co-Founder, Chief Executive Officer and Chairwoman of the Board</t>
  </si>
  <si>
    <t>dsimpson@seemedx.com</t>
  </si>
  <si>
    <t>+1 (408) 206-0120</t>
  </si>
  <si>
    <t>Las Vegas, NV</t>
  </si>
  <si>
    <t>6280 South Valley View Boulevard</t>
  </si>
  <si>
    <t>Suite 632</t>
  </si>
  <si>
    <t>Las Vegas</t>
  </si>
  <si>
    <t>Nevada</t>
  </si>
  <si>
    <t>89118</t>
  </si>
  <si>
    <t>Bridge Loan - (Convertible)</t>
  </si>
  <si>
    <t>Diagnosis, Radio direction-finding</t>
  </si>
  <si>
    <t>495917-83</t>
  </si>
  <si>
    <t>Sportsbox AI</t>
  </si>
  <si>
    <t>Sportsbox.AI Inc.</t>
  </si>
  <si>
    <t>Developer of a mobile artificial intelligence coach application designed to help users achieve their goals in Golf. The company's application provides computer vision technology that can capture, measure, and analyze complex athletic motions in 3D, combined with the knowledge and experience of the instructors in each sport, enabling users to get personalized feedback to improve their ideal golf performance.</t>
  </si>
  <si>
    <t>Services (Non-Financial)</t>
  </si>
  <si>
    <t>Educational and Training Services (B2C)</t>
  </si>
  <si>
    <t>Educational and Training Services (B2C)*, Educational Software</t>
  </si>
  <si>
    <t>Artificial Intelligence &amp; Machine Learning, EdTech, Mobile</t>
  </si>
  <si>
    <t>3d motion, ai-powered technology, computer vision, kinematics technology, sports application, sports coaching, sports performance training</t>
  </si>
  <si>
    <t>www.sportsbox.ai</t>
  </si>
  <si>
    <t>http://www.linkedin.com/company/sportsbox-ai</t>
  </si>
  <si>
    <t>2022: 17, 2023: 31, 2024: 33</t>
  </si>
  <si>
    <t>The company raised venture funding from Neowiz Holdings and other undisclosed investors on March 7, 2023. The funds will be used for the successful entry of company into the Korean market and advancement of services.</t>
  </si>
  <si>
    <t>Amanda Balionis, David Blitzer, David Leadbetter, Elysian Park Ventures, EP Golf Ventures, Geoffrey Yang, Kevin Lin, Kira Dixon, Marina Alex, Mel Reid, Michelle Wie West, Mike Adams, Neowiz Holdings, R/GA Ventures, Randi Zuckerberg, Sean Foley, Suzy Whaley, Terry Rowles, The PGA of America</t>
  </si>
  <si>
    <t>AI ThinkTank</t>
  </si>
  <si>
    <t>David Blitzer (dscottfunerals.co.uk), Elysian Park Ventures (www.elysianpark.ventures), Neowiz Holdings (www.neowiz.com), R/GA Ventures (ventures.rga.com), The PGA of America (www.pga.com)</t>
  </si>
  <si>
    <t>AI ThinkTank (www.aithinktank.com)</t>
  </si>
  <si>
    <t>Wilson Sonsini Goodrich &amp; Rosati(Legal Advisor)</t>
  </si>
  <si>
    <t>300565-72P</t>
  </si>
  <si>
    <t>Jeehae Lee</t>
  </si>
  <si>
    <t>jeehael@sportsbox.ai</t>
  </si>
  <si>
    <t>Bellevue, WA</t>
  </si>
  <si>
    <t>1229 120th Avenue North East</t>
  </si>
  <si>
    <t>Suite A</t>
  </si>
  <si>
    <t>Bellevue</t>
  </si>
  <si>
    <t>98005</t>
  </si>
  <si>
    <t>contact@sportsbox.ai</t>
  </si>
  <si>
    <t>Spin-Off</t>
  </si>
  <si>
    <t>Corporate</t>
  </si>
  <si>
    <t>Image data processing or generation, in general, Image or video recognition or understanding</t>
  </si>
  <si>
    <t>489291-85</t>
  </si>
  <si>
    <t>Elve</t>
  </si>
  <si>
    <t>Elve Speed, Inc.</t>
  </si>
  <si>
    <t>Manufacturer of high-efficiency lightweight millimeter-wave and near-terahertz power amplifiers intended to enable wireless connectivity. The company integrates advanced agile manufacturing technologies into vacuum electronic devices, providing companies with widespread connectivity online experience.</t>
  </si>
  <si>
    <t>Connectivity Products</t>
  </si>
  <si>
    <t>Connectivity Products*, Other Communications and Networking, Wireless Communications Equipment</t>
  </si>
  <si>
    <t>Advanced Manufacturing, Internet of Things, Manufacturing</t>
  </si>
  <si>
    <t>amplifiers parts, amplifiers product, amplifiers system, electronic device, frequency product, iot networking, network infrastructure, power amplifier, signal device</t>
  </si>
  <si>
    <t>www.elvespeed.com</t>
  </si>
  <si>
    <t>http://www.linkedin.com/company/elve-speed</t>
  </si>
  <si>
    <t>2021: 3, 2022: 13, 2023: 23, 2024: 25</t>
  </si>
  <si>
    <t>The company raised $15 million of Series A venture funding in a deal led by TomEnterprise on February 22, 2024, putting the company's pre-money valuation at $50 million. Lockheed Martin Ventures, Cambium Capital Management, Green Sands Equity, Yu Galaxy and other undisclosed investors also participated in the round. The funds will be used to grow the company's customer base in the space connectivity market and to increase manufacturing capabilities.</t>
  </si>
  <si>
    <t>Cambium Capital Management, Fourthwave, Green Sands Equity, Lockheed Martin Ventures, TomEnterprise, Yu Galaxy</t>
  </si>
  <si>
    <t>Cambium Capital Management (www.cambium.vc), Fourthwave (www.fourthwave.io), Green Sands Equity (www.greensandsequity.com), Yu Galaxy (www.yugalaxy.com)</t>
  </si>
  <si>
    <t>286238-44P</t>
  </si>
  <si>
    <t>Diana Gamzina</t>
  </si>
  <si>
    <t>Founder &amp; Chief Executive Officer</t>
  </si>
  <si>
    <t>diana.gamzina@elvespeed.com</t>
  </si>
  <si>
    <t>Davis, CA</t>
  </si>
  <si>
    <t>1440 Drew Avenue</t>
  </si>
  <si>
    <t>Davis</t>
  </si>
  <si>
    <t>95618</t>
  </si>
  <si>
    <t>Other - $0.89M</t>
  </si>
  <si>
    <t>Amplifiers, Electric discharge tubes or discharge lamps, Magnets, Waveguides</t>
  </si>
  <si>
    <t>439066-45</t>
  </si>
  <si>
    <t>Krikey.ai</t>
  </si>
  <si>
    <t>Krikey</t>
  </si>
  <si>
    <t>Krikey, Inc.</t>
  </si>
  <si>
    <t>Promineo Studios, Epic Games, PlayPhone, Shardbound, Kabam, GameEon Studios, Kixeye, Raptr, TinyCo, Firefly Games, Pocket Gems, Gamezop, Z2, Gameloft, Closing Theory, Storm8, Juego Studio, CrowdStar, Bungie, Nextwave Multimedia, FunPlus, Red Katana</t>
  </si>
  <si>
    <t>Operator of an animation company intended to shorten the time to generate animated characters. The company's tool helps to generate 3D animations that the user can share on social media or export into any video editing or game engine tool to edit, helping creators to generate various animations that are more interactive.</t>
  </si>
  <si>
    <t>Application Software, Entertainment Software*</t>
  </si>
  <si>
    <t>Augmented Reality, Gaming, Mobile</t>
  </si>
  <si>
    <t>3d animation, 3d avatar creation, 3d character design, ai character, animation maker, animation tool, entertainment providers, gaming content, gaming developer, gaming publisher, gaming studio, web games</t>
  </si>
  <si>
    <t>Debt Financed, Venture Capital</t>
  </si>
  <si>
    <t>www.krikey.ai</t>
  </si>
  <si>
    <t>http://www.linkedin.com/company/krikey</t>
  </si>
  <si>
    <t>2020: 31, 2021: 35, 2022: 44, 2023: 23, 2024: 23</t>
  </si>
  <si>
    <t>The company joined AWS Startups as a part of its AWS generative AI program in May 2024.</t>
  </si>
  <si>
    <t>AWS Startups, Jio, Thirty Five Ventures, T-Mobile Accelerator</t>
  </si>
  <si>
    <t>AWS Startups (aws-startup-lofts.com), Jio (www.jio.com), Thirty Five Ventures (35v.tv), T-Mobile Accelerator (www.t-mobileaccelerator.com)</t>
  </si>
  <si>
    <t>Fenwick &amp; West(Legal Advisor), SVB Financial Group(Debt Financing)</t>
  </si>
  <si>
    <t>240716-08P</t>
  </si>
  <si>
    <t>Frederick Evans</t>
  </si>
  <si>
    <t>Chief Financial Officer</t>
  </si>
  <si>
    <t>marty@krikey.com</t>
  </si>
  <si>
    <t>+1 (650) 257-0835</t>
  </si>
  <si>
    <t>Menlo Park, CA</t>
  </si>
  <si>
    <t>3000 Sand Hill Road</t>
  </si>
  <si>
    <t>Suite 4-100</t>
  </si>
  <si>
    <t>Menlo Park</t>
  </si>
  <si>
    <t>94025</t>
  </si>
  <si>
    <t>Debt - PPP</t>
  </si>
  <si>
    <t>Debt</t>
  </si>
  <si>
    <t>Term Loan - (Government - PPP: $350,000-1 Million)</t>
  </si>
  <si>
    <t>Card, board, or roulette games, Electric digital data processing</t>
  </si>
  <si>
    <t>439109-02</t>
  </si>
  <si>
    <t>R-Zero</t>
  </si>
  <si>
    <t>rzero</t>
  </si>
  <si>
    <t>R-Zero Systems, Inc.</t>
  </si>
  <si>
    <t>Violet Defense Group, Xenex, S.C. Johnson &amp; Son, Ecolab, The Clorox Company</t>
  </si>
  <si>
    <t>Developer of biosafety technology-based products designed to reduce the damage caused by viruses to health. The company's technology helps to disinfect everyday spaces through a mobile UV-C unit, designed with simple operation that can sanitize large spaces in less, enabling the cleaning crew to reduce the spread of all infectious diseases.</t>
  </si>
  <si>
    <t>Computer Hardware</t>
  </si>
  <si>
    <t>Other Hardware</t>
  </si>
  <si>
    <t>Other Hardware*</t>
  </si>
  <si>
    <t>HealthTech, Internet of Things, LOHAS &amp; Wellness</t>
  </si>
  <si>
    <t>biosafety equipment, biosafety technology, clean technology, cleanliness product, connected healthcare, connected service, disinfection unit, healthy buildings, infection prevention</t>
  </si>
  <si>
    <t>www.rzero.com</t>
  </si>
  <si>
    <t>http://www.linkedin.com/company/rzerosystems</t>
  </si>
  <si>
    <t>2020: 26, 2021: 51, 2022: 159, 2023: 106, 2024: 80</t>
  </si>
  <si>
    <t>FY 2021</t>
  </si>
  <si>
    <t>The company raised $104.5 million of Series C venture funding in a deal led by Caisse de dépôt et placement du Québec on May 10, 2022, putting the company's pre-money valuation at $400 million. BMO Financial Group and 5 other investors also participated in the round. The funds will be used to funds to scale deployments of its disinfection and risk modelling technology to meet demand across public and private sectors, including K-12 schools, college campuses, corporate campuses, hospitals, senior care communities, parks and recreation, and other government facilities. Previously, the company raised $51 million of Series B venture funding in a deal led by WiL (World Innovation Lab) on June 2, 2021, putting the company's pre-money valuation at $224 million. Mayo Clinic and 5 other investors also participated in the round. The funds will be used to help automate its process and make it more efficient.</t>
  </si>
  <si>
    <t>Bedrock, BMO Financial Group, Caisse de dépôt et placement du Québec, Civilization Ventures, DBL Partners, HAX, Impact Assets, John Doerr, Leadout Capital, Mayo Clinic, Mayo Clinic Ventures, Qualcomm Ventures, SOSV, United Capital of Silicon Valley, Upfront Ventures, WiL (World Innovation Lab)</t>
  </si>
  <si>
    <t>Swiftarc Ventures</t>
  </si>
  <si>
    <t>Bedrock (www.bedrockcap.com), BMO Financial Group (www.bmo.com), Caisse de dépôt et placement du Québec (www.cdpq.com), Civilization Ventures (www.civilizationventures.com), DBL Partners (www.dbl.vc), HAX (hax.co), Impact Assets (www.impactassets.org), Leadout Capital (www.leadoutcapital.com), Mayo Clinic (www.mayoclinic.org), Mayo Clinic Ventures (ventures.mayoclinic.org), Qualcomm Ventures (www.qualcommventures.com), SOSV (www.sosv.com), United Capital of Silicon Valley (www.bedrockcapital.com), Upfront Ventures (www.upfront.com), WiL (World Innovation Lab) (www.wil.vc)</t>
  </si>
  <si>
    <t>Swiftarc Ventures (www.swiftarcventures.com)</t>
  </si>
  <si>
    <t>Perkins Coie(Legal Advisor)</t>
  </si>
  <si>
    <t>238257-37P</t>
  </si>
  <si>
    <t>Grant Morgan</t>
  </si>
  <si>
    <t>Co-Founder &amp; Board Member</t>
  </si>
  <si>
    <t>grant@rzerosystems.com</t>
  </si>
  <si>
    <t>Salt Lake City, UT</t>
  </si>
  <si>
    <t>345 West Bearcat Drive</t>
  </si>
  <si>
    <t>Salt Lake City</t>
  </si>
  <si>
    <t>Utah</t>
  </si>
  <si>
    <t>84115</t>
  </si>
  <si>
    <t>Series 1</t>
  </si>
  <si>
    <t>Magnetic or electrostatic separation of solid materials from solid materials or fluids, Methods or apparatus for sterilising materials or objects in general</t>
  </si>
  <si>
    <t>338547-07</t>
  </si>
  <si>
    <t>Blue Ocean Gear</t>
  </si>
  <si>
    <t>Blue Ocean Gear Inc</t>
  </si>
  <si>
    <t>Developer of smart buoys designed to address marine plastic pollution and enhance ocean data collection. The company's products are compact, durable buoys that enable fishers, regulators, and ocean industries to track and monitor data from deployed equipment anytime and anywhere, enabling clients to have effective management and sustainability of ocean resources.</t>
  </si>
  <si>
    <t>Electronic Equipment and Instruments</t>
  </si>
  <si>
    <t>Business/Productivity Software, Electronic Equipment and Instruments*, Other Commercial Products</t>
  </si>
  <si>
    <t>Advanced Manufacturing, Artificial Intelligence &amp; Machine Learning, CleanTech, Internet of Things</t>
  </si>
  <si>
    <t>abi custom application, analytics platform, aquaculture tools, fishing monitoring system, fishing technology, industrial iot, iot tools, ocean data, sustainable fishing</t>
  </si>
  <si>
    <t>Ocean Data Collection</t>
  </si>
  <si>
    <t>www.blueoceangear.com</t>
  </si>
  <si>
    <t>http://www.linkedin.com/company/blue-ocean-gear</t>
  </si>
  <si>
    <t>2020: 17, 2021: 9, 2022: 11, 2023: 12, 2024: 15</t>
  </si>
  <si>
    <t>The company raised an undisclosed amount of venture funding in the form of SAFE notes from Impact Assets on September 10, 2024.</t>
  </si>
  <si>
    <t>Azul Ocean Ventures, BDT &amp; Company (Private Equity), Boost VC, Brighter Capital, Builders Vision, Conservation International Ventures, Creative Destruction Lab, DTN Ventures, E8 (Seattle), Good Growth Capital, Gratitude Railroad, Impact Assets, Launch Alaska, NFWF, SeaAhead, Seabird Ventures, Signia Venture Partners, Sustainable Ocean Alliance, U.S. Department of Commerce, Unpopular Ventures</t>
  </si>
  <si>
    <t>Azul Ocean Ventures (www.azulvc.com), BDT &amp; Company (Private Equity) (www.bdtcapital.com), Boost VC (www.boost.vc), Brighter Capital (www.brightercapital.com), Builders Vision (www.buildersvision.com), Conservation International Ventures (www.conservation.org), Creative Destruction Lab (www.creativedestructionlab.com), DTN Ventures (www.dtnventures.com), E8 (Seattle) (www.e8angels.com), Good Growth Capital (www.goodgrowthvc.com), Gratitude Railroad (www.gratituderailroad.com), Impact Assets (www.impactassets.org), Launch Alaska (www.launchalaska.com), NFWF (www.nfwf.org), SeaAhead (www.sea-ahead.com), Seabird Ventures (www.seabirdventures.fund), Signia Venture Partners (www.signiaventurepartners.com), Sustainable Ocean Alliance (www.soalliance.org), U.S. Department of Commerce (www.commerce.gov), Unpopular Ventures (www.unpopular.vc)</t>
  </si>
  <si>
    <t>Conservation International Ventures(Debt Financing)</t>
  </si>
  <si>
    <t>Gunderson Dettmer(Legal Advisor)</t>
  </si>
  <si>
    <t>213576-49P</t>
  </si>
  <si>
    <t>Kortney Opshaug</t>
  </si>
  <si>
    <t>Co-Founder, Chief Executive Officer &amp; Board Member</t>
  </si>
  <si>
    <t>kortney.opshaug@blueoceangear.com</t>
  </si>
  <si>
    <t>+1 (415) 729-9231</t>
  </si>
  <si>
    <t>Sausalito, CA</t>
  </si>
  <si>
    <t>440 Coloma Street</t>
  </si>
  <si>
    <t>Sausalito</t>
  </si>
  <si>
    <t>94965</t>
  </si>
  <si>
    <t>info@blueoceangear.com</t>
  </si>
  <si>
    <t>Grant</t>
  </si>
  <si>
    <t>Animal husbandry, Launching, hauling-out, or dry-docking of vessels, Ships or other waterborne vessels</t>
  </si>
  <si>
    <t>489718-81</t>
  </si>
  <si>
    <t>Numeracle</t>
  </si>
  <si>
    <t>Numeracle, Inc.</t>
  </si>
  <si>
    <t>Convoso</t>
  </si>
  <si>
    <t>Developer of identity management platform designed to protect brands across digital, messaging, and voice communications. The company's platform specializes in offering network monitoring solutions, ongoing visibility, monitoring and analysis of call behavior, plus ecosystem management to telecom, carriers, analytics companies, and app developers, helping users avoid improper fraud, scam, or spam labeling and providing actionable strategies to improve call delivery, brand reputation, and contact rates.</t>
  </si>
  <si>
    <t>Business/Productivity Software*, Network Management Software</t>
  </si>
  <si>
    <t>digital security software, identity management platform, telecom security, telecom solutions, telecommunication software platform, voice communication platform</t>
  </si>
  <si>
    <t>www.numeracle.com</t>
  </si>
  <si>
    <t>http://www.linkedin.com/company/numeracle</t>
  </si>
  <si>
    <t>2022: 12, 2023: 34, 2024: 38</t>
  </si>
  <si>
    <t>The company raised $1.5 million of debt financing on an undisclosed date. Previously, the company raised $6.8 million through the combination of Series A-1 and Series A-2 venture funding from Ballast Point Ventures on December 28, 2023, putting the company's pre-money valuation at $23.2 million.</t>
  </si>
  <si>
    <t>Ballast Point Ventures</t>
  </si>
  <si>
    <t>Ballast Point Ventures (www.ballastpointventures.com)</t>
  </si>
  <si>
    <t>Lighter Capital(Debt Financing)</t>
  </si>
  <si>
    <t>287069-95P</t>
  </si>
  <si>
    <t>Rebekah Johnson</t>
  </si>
  <si>
    <t>rebekah@numeracle.com</t>
  </si>
  <si>
    <t>+1 (844) 835-3774</t>
  </si>
  <si>
    <t>Mclean, VA</t>
  </si>
  <si>
    <t>7918 Jones Branch Dive</t>
  </si>
  <si>
    <t>4th Floor</t>
  </si>
  <si>
    <t>Mclean</t>
  </si>
  <si>
    <t>Virginia</t>
  </si>
  <si>
    <t>22102</t>
  </si>
  <si>
    <t>Debt - General</t>
  </si>
  <si>
    <t>Term Loan - $1.50M</t>
  </si>
  <si>
    <t>Telephonic communication, Transmission of digital information</t>
  </si>
  <si>
    <t>169106-77</t>
  </si>
  <si>
    <t>Adrich</t>
  </si>
  <si>
    <t>Adrich Inc.</t>
  </si>
  <si>
    <t>Mobilewalla, Gravy Analytics, Suzy, Verto Analytics</t>
  </si>
  <si>
    <t>Developer of a consumer insights platform designed to collect and transmit product usage data autonomously through product labels. The company's smart tracking system can be used to collect and send day, time, geolocation, and volumetric use data in real-time and helps to understand trends, behaviors, and usage patterns, enabling brands and retailers to understand, retain and serve their consumers.</t>
  </si>
  <si>
    <t>Business/Productivity Software*, Electronic Equipment and Instruments, Media and Information Services (B2B)</t>
  </si>
  <si>
    <t>Marketing Tech, SaaS, TMT</t>
  </si>
  <si>
    <t>analytics &amp; cdps, analytics and cdps, consumer engagement, customer analytics platform, customer data analysis, customer retention platform, post purchasing service, product usage data</t>
  </si>
  <si>
    <t>www.adrich.io</t>
  </si>
  <si>
    <t>http://www.linkedin.com/company/adrichtech</t>
  </si>
  <si>
    <t>2020: 12, 2021: 12, 2022: 18, 2023: 17, 2024: 14</t>
  </si>
  <si>
    <t>The company raised $450,000 of seed funding through a combination of convertible debt and equity from Innovation Works and other undisclosed investors on July 6, 2023.</t>
  </si>
  <si>
    <t>412 Venture Fund, AlphaLab Gear, GS1 US, IDEA Fund Partners, Innovation Works, John Jacobs, Josh McElhattan, M7 Holdings, Melo7 Tech Partners, Plug and Play Tech Center, Sony Innovation Fund, Startbot, Tech Council Ventures, TiE Pittsburgh, XRC Ventures</t>
  </si>
  <si>
    <t>412 Venture Fund (www.412venturefund.com), AlphaLab Gear (www.alphalabgear.org), GS1 US (www.gs1us.org), IDEA Fund Partners (www.ideafundpartners.com), Innovation Works (www.innovationworks.org), M7 Holdings (www.m7holdings.com), Plug and Play Tech Center (www.plugandplaytechcenter.com), Sony Innovation Fund (www.sonyinnovationfund.com), Startbot (www.startbot.io), Tech Council Ventures (www.techcouncilventures.com), TiE Pittsburgh (pittsburgh.tie.org), XRC Ventures (www.xrcventures.com)</t>
  </si>
  <si>
    <t>152777-35P</t>
  </si>
  <si>
    <t>Adhithi Aji</t>
  </si>
  <si>
    <t>Co-Founder, Chief Executive Officer, President &amp; Board Member</t>
  </si>
  <si>
    <t>aaji@adrich.io</t>
  </si>
  <si>
    <t>+1 (631) 413-0027</t>
  </si>
  <si>
    <t>Pittsburgh, PA</t>
  </si>
  <si>
    <t>100 South Commons</t>
  </si>
  <si>
    <t>Suite 102</t>
  </si>
  <si>
    <t>Pittsburgh</t>
  </si>
  <si>
    <t>15212</t>
  </si>
  <si>
    <t>+1 (870) 600-3038</t>
  </si>
  <si>
    <t>getintouch@adrich.io</t>
  </si>
  <si>
    <t>Information and communication technology [ict] specially adapted for administrative, commercial, financial, managerial or supervisory purposes, Measurement of mechanical vibrations or ultrasonic, sonic or infrasonic waves</t>
  </si>
  <si>
    <t>279823-78</t>
  </si>
  <si>
    <t>Cohesion (Business/Productivity Software)</t>
  </si>
  <si>
    <t>Cohesion</t>
  </si>
  <si>
    <t>CohesionIB, Inc.</t>
  </si>
  <si>
    <t>Sharry, Prescriptive Data, VTS, Enertiv, Cove (Washington), HqO</t>
  </si>
  <si>
    <t>Developer of a unified software platform intended for building data, operations, and experience. The company's smart building software unites core building systems with human data to generate actionable insights via the Internet of Things and machine learning, it integrates sustainability into smart building operations, enabling building owners and operators to increase asset value and improve resiliency.</t>
  </si>
  <si>
    <t>Business/Productivity Software*, Media and Information Services (B2B)</t>
  </si>
  <si>
    <t>Artificial Intelligence &amp; Machine Learning, Internet of Things, Real Estate Technology</t>
  </si>
  <si>
    <t>building automation, built environment, connected buildings, energy efficiency, enterprise resource planning, enterprise software, utility management system, workplace technology</t>
  </si>
  <si>
    <t>www.cohesionib.com</t>
  </si>
  <si>
    <t>http://www.linkedin.com/company/cohesionib</t>
  </si>
  <si>
    <t>2020: 23, 2021: 48, 2022: 55, 2023: 33, 2024: 28</t>
  </si>
  <si>
    <t>The company raised $6.25 million of Series 1 venture funding from undisclosed investors on March 29, 2023, putting the company's pre-money valuation at $14 million.</t>
  </si>
  <si>
    <t>Capital Markets Trading, ESD, Frasers Property, Hyde Park Angels, Kenneth Griffin, Michael Sacks, Morgan Stanley, Three Bridges Private Capital, Wintrust Ventures</t>
  </si>
  <si>
    <t>Capital Markets Trading (www.capitalmarketstrading.com), ESD (www.esdglobal.com), Frasers Property (www.frasersproperty.com), Hyde Park Angels (www.hpa.vc), Morgan Stanley (www.morganstanley.com), Three Bridges Private Capital (www.threebridgespc.com)</t>
  </si>
  <si>
    <t>Banner Witcoff(Legal Advisor), Neal, Gerber &amp; Eisenberg(Legal Advisor)</t>
  </si>
  <si>
    <t>Banner Witcoff(Legal Advisor), Much Shelist(Legal Advisor), Neal, Gerber &amp; Eisenberg(Legal Advisor)</t>
  </si>
  <si>
    <t>44854-93P</t>
  </si>
  <si>
    <t>Thrupti Shivakumar</t>
  </si>
  <si>
    <t>tshivakumar@cohesionib.com</t>
  </si>
  <si>
    <t>+1 (833) 796-5500</t>
  </si>
  <si>
    <t>Chicago, IL</t>
  </si>
  <si>
    <t>20 North Wacker Drive</t>
  </si>
  <si>
    <t>Suite 2420</t>
  </si>
  <si>
    <t>Chicago</t>
  </si>
  <si>
    <t>Illinois</t>
  </si>
  <si>
    <t>60606</t>
  </si>
  <si>
    <t>info@cohesionib.com</t>
  </si>
  <si>
    <t>Individual</t>
  </si>
  <si>
    <t>Control or regulating systems in general, Transmission of digital information</t>
  </si>
  <si>
    <t>228583-00</t>
  </si>
  <si>
    <t>Strella</t>
  </si>
  <si>
    <t>Strella Biotechnology, Inc.</t>
  </si>
  <si>
    <t>Aryballe</t>
  </si>
  <si>
    <t>Developer of a biosensing platform designed to predict fruit ripeness. The company's platform offers a biosensor technology fueled by algorithm capabilities to offer a data-driven approach to ensure fruit quality throughout every segment of the supply chain, enabling clients and customers to deliver better products and reduce food waste.</t>
  </si>
  <si>
    <t>Business/Productivity Software*, Electronic Equipment and Instruments</t>
  </si>
  <si>
    <t>Internet of Things</t>
  </si>
  <si>
    <t>agriculture technology firm, biosensing platform, biosensing technology, connected agriculture, industrial iot, natural resources, wireless sensor products, wireless sensor services, wireless sensor technology</t>
  </si>
  <si>
    <t>www.strellabiotech.com</t>
  </si>
  <si>
    <t>http://www.linkedin.com/company/strella</t>
  </si>
  <si>
    <t>2018: 4, 2019: 5, 2020: 9, 2021: 16, 2022: 17, 2023: 32</t>
  </si>
  <si>
    <t>The company raised $5.6 million of debt financing on September 10, 2024. Previously, the company raised an undisclosed amount of venture funding from The 98 in approximately June 2024.</t>
  </si>
  <si>
    <t>Arthur Mesher, Catapult Ventures (Los Altos), Creative Destruction Lab, Dorm Room Fund, eSeed Challenge, Google for Startups, GS1 US, GV, Mark Cuban, Millennium Technology Value Partners, Nextfab, Penn Center for Innovation, President's Engagement and Innovation Prize, Red &amp; Blue Ventures, Rich Products Ventures, Siddhi Capital, SOURCE, Summer Venture Award, The 98, UNION Labs VC, Venture Initiation Program, VentureWell, Yamaha Motor Ventures &amp; Laboratory Silicon Valley</t>
  </si>
  <si>
    <t>Catapult Ventures (Los Altos) (www.catapult.vc), Creative Destruction Lab (www.creativedestructionlab.com), Dorm Room Fund (www.dormroomfund.com), eSeed Challenge (startup-center.engineering.asu.edu/eseed-challenge), Google for Startups (startup.google.com), GS1 US (www.gs1us.org), GV (www.gv.com), Mark Cuban (markcubancompanies.com), Millennium Technology Value Partners (www.mtvlp.com), Nextfab (www.nextfab.com), Penn Center for Innovation (www.pci.upenn.edu/upstart), President's Engagement and Innovation Prize (penntoday.upenn.edu), Red &amp; Blue Ventures (www.redandblue.vc), Rich Products Ventures (www.richproductsventures.com), Siddhi Capital (www.siddhicapital.co), SOURCE (www.source.co), The 98 (www.the98.com), UNION Labs VC (www.unionlabs.com), VentureWell (www.venturewell.org), Yamaha Motor Ventures &amp; Laboratory Silicon Valley (www.yamahamotor.vc)</t>
  </si>
  <si>
    <t>Orrick(Legal Advisor)</t>
  </si>
  <si>
    <t>185400-91P</t>
  </si>
  <si>
    <t>Katherine Sizov</t>
  </si>
  <si>
    <t>katya@strellabiotech.com</t>
  </si>
  <si>
    <t>+1 (703) 909-4543</t>
  </si>
  <si>
    <t>119 Pine Street</t>
  </si>
  <si>
    <t>Unit 305</t>
  </si>
  <si>
    <t>98101</t>
  </si>
  <si>
    <t>info@strellabiotech.com</t>
  </si>
  <si>
    <t>Term Loan - $5.60M</t>
  </si>
  <si>
    <t>Investigating or analysing materials by determining their chemical or physical properties, Peptides</t>
  </si>
  <si>
    <t>460016-92</t>
  </si>
  <si>
    <t>Remora</t>
  </si>
  <si>
    <t>Echeneidae Inc.</t>
  </si>
  <si>
    <t>Developer of an emission-controlling device designed to help companies earn new revenue while meeting their climate commitments. The company's device mounts between the cab and trailer of semi-trucks and uses a solid sorbent which is regenerated freely using exhaust heat that selectively binds with carbon dioxide molecules in the exhaust stream without clogging it up, enabling companies to meet their climate commitments and earn credits for the carbon dioxide captured.</t>
  </si>
  <si>
    <t>Business Products and Services (B2B)</t>
  </si>
  <si>
    <t>Commercial Transportation</t>
  </si>
  <si>
    <t>Road</t>
  </si>
  <si>
    <t>Electronic Equipment and Instruments, Environmental Services (B2B), Other Commercial Products, Road*</t>
  </si>
  <si>
    <t>Advanced Manufacturing, CleanTech, Climate Tech, Mobility Tech</t>
  </si>
  <si>
    <t>carbon capture, carbon emissions management, carbon removal, carbon removal technology, carbon tech, carbon technology, electric vehicle, emission reduction, freight technology, point sourcing carbon capture, semi truck emission</t>
  </si>
  <si>
    <t>Carbon Capture</t>
  </si>
  <si>
    <t>www.remoracarbon.com</t>
  </si>
  <si>
    <t>http://www.linkedin.com/company/remoracarbon</t>
  </si>
  <si>
    <t>2021: 15, 2022: 43, 2023: 69, 2024: 71</t>
  </si>
  <si>
    <t>The company raised an estimated $61.00 million of Series B venture funding from undisclosed investors on June 1, 2023, putting the company's pre-money valuation at $499 million.</t>
  </si>
  <si>
    <t>Ali Partovi, Clay Rockefeller, Climate Capital, Course Correction Capital, Darco Capital, First Round Capital, FullCircle (New York), Jeff Lawson, Lowercarbon Capital, Madeline Hall, MCJ, Neo (Consulting Services (B2B)), Nicholas Flanders, Oak Ridge National Laboratory, Plug and Play Tech Center, Reform Ventures, Rusheen Capital Management, Ryder Ventures, Union Square Ventures, University of Michigan Endowment, Urban Future Lab, Valor Equity Partners, Voyager (US), Wayfinder Ventures, Y Combinator</t>
  </si>
  <si>
    <t>Ali Partovi (www.partovi.org), Climate Capital (www.climatecapital.co), Course Correction Capital (www.c-3.earth), Darco Capital (www.darcocapital.com), First Round Capital (www.firstround.com), FullCircle (New York) (www.fullcirclefund.io), Lowercarbon Capital (www.lowercarboncapital.com), MCJ (www.mcj.vc), Neo (Consulting Services (B2B)) (www.neo.com), Oak Ridge National Laboratory (www.ornl.gov), Plug and Play Tech Center (www.plugandplaytechcenter.com), Reform Ventures (www.reformventures.com), Rusheen Capital Management (www.rusheen.com), Union Square Ventures (www.usv.com), Urban Future Lab (www.ufl.nyc), Valor Equity Partners (www.valorep.com), Voyager (US) (www.voyagervc.com), Wayfinder Ventures (www.wayfinder.com), Y Combinator (www.ycombinator.com)</t>
  </si>
  <si>
    <t>253273-87P</t>
  </si>
  <si>
    <t>Paul Gross</t>
  </si>
  <si>
    <t>pgross@remoracarbon.com</t>
  </si>
  <si>
    <t>+1 (734) 744-4862</t>
  </si>
  <si>
    <t>Wixom, MI</t>
  </si>
  <si>
    <t>29834 Beck Road</t>
  </si>
  <si>
    <t>Wixom</t>
  </si>
  <si>
    <t>Michigan</t>
  </si>
  <si>
    <t>48393</t>
  </si>
  <si>
    <t>+1 (248) 313-9217</t>
  </si>
  <si>
    <t>hello@remoracarbon.com</t>
  </si>
  <si>
    <t>Gas-flow silencers or exhaust apparatus for machines or engines in general, Vehicles adapted for load transportation or to transport, to carry, or to comprise special loads or objects</t>
  </si>
  <si>
    <t>228530-98</t>
  </si>
  <si>
    <t>Sonera</t>
  </si>
  <si>
    <t>Sonera Magnetics, Inc.</t>
  </si>
  <si>
    <t>Developer of a magnetometer designed to measure weak magnetic fields generated by brain activity in a portable and cost-effective device. The company's magnetometer works on acoustically-driven ferromagnetic resonance and can operate at room temperature and in portable form factors with sensitivity, enabling technological industries to expand access to the powerful neurodiagnostic tool, as well as open the door to the first practical, non-invasive brain-computer interface.</t>
  </si>
  <si>
    <t>Electrical Equipment, Electronic Equipment and Instruments*, Other Hardware</t>
  </si>
  <si>
    <t>brain activity measurement, brain computer interface, intelligent device, intelligent sensors, magnetic sensors, magnetoencephalography system</t>
  </si>
  <si>
    <t>Neurotechnology</t>
  </si>
  <si>
    <t>www.sonera.io</t>
  </si>
  <si>
    <t>http://www.linkedin.com/company/sonera-magnetics</t>
  </si>
  <si>
    <t>2018: 2, 2021: 7, 2022: 10, 2023: 24</t>
  </si>
  <si>
    <t>The company raised $11 million of Series 2 seed funding in a deal led by Amplify Partners on February 15, 2023, putting the company's pre-money valuation at $29.5 million. Spark Capital and 5 other investors also participated in the round. The funds will be used to continue the company's mission to make neural data accessible for a range of applications, from personal computing and smart apparel to healthcare and neurotherapeutics.</t>
  </si>
  <si>
    <t>Abstract Ventures, Activate Global, Amplify Partners, Boom Capital Ventures, GRIDS Capital, Joshua Duyan, Material Impact Fund, Spark Capital</t>
  </si>
  <si>
    <t>Abstract Ventures (abstract.vc), Activate Global (www.activate.org), Amplify Partners (www.amplifypartners.com), Boom Capital Ventures (www.boomcap.co), GRIDS Capital (www.gridscapital.com), Material Impact Fund (www.materialimpact.com), Spark Capital (www.sparkcapital.com)</t>
  </si>
  <si>
    <t>185244-49P</t>
  </si>
  <si>
    <t>Nishita Deka</t>
  </si>
  <si>
    <t>nishita@soneramagnetics.com</t>
  </si>
  <si>
    <t>2332 5th Suite</t>
  </si>
  <si>
    <t>Suite E</t>
  </si>
  <si>
    <t>94709</t>
  </si>
  <si>
    <t>University Spin-Out</t>
  </si>
  <si>
    <t>Series 2</t>
  </si>
  <si>
    <t>Diagnosis, Investigating or analysing materials by determining their chemical or physical properties, Measuring electric variables</t>
  </si>
  <si>
    <t>493999-21</t>
  </si>
  <si>
    <t>Littlebird Connected Care</t>
  </si>
  <si>
    <t>Piece Of Mind Labs</t>
  </si>
  <si>
    <t>Littlebird</t>
  </si>
  <si>
    <t>Littlebird Connected Care, Inc.</t>
  </si>
  <si>
    <t>Whoop, Jiobit, Fitbit, Owlet Baby Care</t>
  </si>
  <si>
    <t>Developer of a digital health device designed to track children's activity and reduce the risk for parents, and caregivers, and improve long-term health outcomes. The company's device tracks and monitor the location, activity level, sleep, heart rate, and temperature of kids and send a timeline with photos, quick status reports, and an assessment of the child's mood to the caregiver, enabling parents to keep a check of their children's wellbeing and safety with ease.</t>
  </si>
  <si>
    <t>Electronics (B2C)</t>
  </si>
  <si>
    <t>Application Software, Electronics (B2C)*</t>
  </si>
  <si>
    <t>Advanced Manufacturing, LOHAS &amp; Wellness, Mobile, SaaS, Wearables &amp; Quantified Self</t>
  </si>
  <si>
    <t>care facilities, child care management, digital health, digital health platform, health technology platform, social emotional learning, subscription application, wearable device</t>
  </si>
  <si>
    <t>www.littlebird.care</t>
  </si>
  <si>
    <t>http://www.linkedin.com/company/littlebirdcare</t>
  </si>
  <si>
    <t>2022: 6, 2023: 4, 2024: 8</t>
  </si>
  <si>
    <t>The company raised an undisclosed amount of venture funding from Scale Good Fund in July 2023.</t>
  </si>
  <si>
    <t>Braxton Carter, Christian Jaag, Hanif Joshaghani, Scale Good Fund, Startup Haven, WTIA Startup Program</t>
  </si>
  <si>
    <t>Scale Good Fund (www.scalegood.ca), Startup Haven (startuphaven.com)</t>
  </si>
  <si>
    <t>Bank of America(General Business Banking), Perkins Coie(Legal Advisor)</t>
  </si>
  <si>
    <t>295529-68P</t>
  </si>
  <si>
    <t>Monica Plath</t>
  </si>
  <si>
    <t>monica@littlebird.care</t>
  </si>
  <si>
    <t>+1 (206) 395-8000</t>
  </si>
  <si>
    <t>1201 3rd Avenue</t>
  </si>
  <si>
    <t>Suite 4900</t>
  </si>
  <si>
    <t>info@littlebird.care</t>
  </si>
  <si>
    <t>Buttons, pins, buckles, slide fasteners, or the like, Diagnosis, Information and communication technology [ict] specially adapted for administrative, commercial, financial, managerial or supervisory purposes</t>
  </si>
  <si>
    <t>433891-63</t>
  </si>
  <si>
    <t>Sunshine</t>
  </si>
  <si>
    <t>Lumi Labs</t>
  </si>
  <si>
    <t>Sunshine Inc</t>
  </si>
  <si>
    <t>Developer of a mobile application designed to keep mobile contact lists up to date and organized with the help of artificial intelligence. The company's applications use artificial intelligence to make mundane tasks effortless, organize contacts, eliminate duplicates, and keep contact information up to date, as well as help people with scheduling, event organization, and small group communication, enabling people to get the job done in a hassle-free manner.</t>
  </si>
  <si>
    <t>Application Software</t>
  </si>
  <si>
    <t>Application Software*, Information Services (B2C)</t>
  </si>
  <si>
    <t>Artificial Intelligence &amp; Machine Learning, Mobile, SaaS</t>
  </si>
  <si>
    <t>artificial intelligence software, consumer application, contact management, contact manager, mobile application system, mobile applications</t>
  </si>
  <si>
    <t>www.sunshine.com</t>
  </si>
  <si>
    <t>http://www.linkedin.com/company/sunshineinc</t>
  </si>
  <si>
    <t>2020: 20, 2021: 30, 2022: 80</t>
  </si>
  <si>
    <t>The company joined Plug and Play Tech Center on an undisclosed date. No equity or funding was exchanged as a result of this program.</t>
  </si>
  <si>
    <t>Amino Capital, Dorothee Fisher, Felicis, Incubate Fund US, Liquid 2 Ventures, Next Play Capital, Norwest Venture Partners, Plug and Play Tech Center, Reform Ventures, Steffen Ehrhardt, Unusual Ventures, Webb Investment Network</t>
  </si>
  <si>
    <t>Amino Capital (www.aminocapital.com), Felicis (www.felicis.com), Incubate Fund US (www.incubatefundus.com), Liquid 2 Ventures (www.liquid2.vc), Next Play Capital (www.nextplaycapital.com), Norwest Venture Partners (www.nvp.com), Plug and Play Tech Center (www.plugandplaytechcenter.com), Reform Ventures (www.reformventures.com), Unusual Ventures (www.unusual.vc), Webb Investment Network (www.winfunding.com)</t>
  </si>
  <si>
    <t>42377-59P</t>
  </si>
  <si>
    <t>Marissa Mayer</t>
  </si>
  <si>
    <t>+1 (800) 925-6278</t>
  </si>
  <si>
    <t>Palo Alto, CA</t>
  </si>
  <si>
    <t>471 Emerson Street</t>
  </si>
  <si>
    <t>Palo Alto</t>
  </si>
  <si>
    <t>94301</t>
  </si>
  <si>
    <t>+1 (650) 272-6438</t>
  </si>
  <si>
    <t>hello@sunshine.com</t>
  </si>
  <si>
    <t>Coating compositions</t>
  </si>
  <si>
    <t>148658-59</t>
  </si>
  <si>
    <t>Tastry</t>
  </si>
  <si>
    <t>The Bottlelfy</t>
  </si>
  <si>
    <t>The Bottlelfy, Inc.</t>
  </si>
  <si>
    <t>Turing Labs, Ai Palette, FlavorWiki, Spoonshot, InMarket Media, Halla, Gastrograph AI, Gravy Analytics, Target Data, People Pattern, AnswerRocket, Apsalar, Foodpairing, GroundTruth, Placed, PlaceIQ, Brandwatch, Unacast, Affinio, Percolate, Foursquare, Cuebiq, ScribbleLive, NinthDecimal, Tubular (Mountain View), gShift Labs, Nexalogy, Tastewise, Spotright, ListenFirst, Resonate, Singular, TrackMaven, 4C, Neoway, Yext, Unomer, StatSocial, Socialbakers, Shareablee</t>
  </si>
  <si>
    <t>Developer of sensory sciences technology intended to offer science-based suggestions for product development, inventory purchase, and direct-to-consumer recommendation. The company's platform uses chemistry, machine learning, and artificial intelligence that analyze products chemically to determine what flavors are present, even in tenuous forms, enabling retailers to optimize product mix, which increases sales, margins, and store loyalty.</t>
  </si>
  <si>
    <t>Beverages, Business/Productivity Software*, Media and Information Services (B2B)</t>
  </si>
  <si>
    <t>Artificial Intelligence &amp; Machine Learning, Big Data, SaaS, TMT</t>
  </si>
  <si>
    <t>ai automation platform, consumer app, cross-marketing platform, customer demographics, customer satisfaction, science technology, tasting preferences, wine sales</t>
  </si>
  <si>
    <t>www.tastry.com</t>
  </si>
  <si>
    <t>http://www.linkedin.com/company/tastryai</t>
  </si>
  <si>
    <t>2020: 20, 2021: 19, 2022: 22, 2023: 28, 2024: 34</t>
  </si>
  <si>
    <t>The company raised $12.38 million through the combination of Seed funding from UST Global, 3Lines and SUM Ventures on March 12, 2024, putting the company's pre-money valuation at $102.85 million. Sentiero Ventures, Beyond the Bounds Ventures, BLD Capital, and 2 other investors also participated in the round.</t>
  </si>
  <si>
    <t>3Lines, Beyond the Bounds Ventures, BLD Capital, CIE HotHouse, Frind Properties, Gentian Investments, RevTech Ventures, Sentiero Ventures, SUM Ventures, UST Global</t>
  </si>
  <si>
    <t>3Lines (www.3lines.vc), Beyond the Bounds Ventures (www.beyondthebounds.vc), BLD Capital (bld.capital), CIE HotHouse (cie.calpoly.edu/hothouse), Frind Properties (www.frindproperties.com), Gentian Investments (gentian.investments), RevTech Ventures (revtechventures.com), Sentiero Ventures (www.sentiero.vc), SUM Ventures (www.sum.vc), UST Global (www.ust.com)</t>
  </si>
  <si>
    <t>127900-36P</t>
  </si>
  <si>
    <t>Katerina Axelsson</t>
  </si>
  <si>
    <t>Co-Founder, Chief Executive Officer and Board Member</t>
  </si>
  <si>
    <t>kat@tastry.com</t>
  </si>
  <si>
    <t>+1 (619) 366-4643</t>
  </si>
  <si>
    <t>San Luis Obispo, CA</t>
  </si>
  <si>
    <t>3450 Broad Street</t>
  </si>
  <si>
    <t>Suite 101</t>
  </si>
  <si>
    <t>San Luis Obispo</t>
  </si>
  <si>
    <t>93401</t>
  </si>
  <si>
    <t>+1 (619) 453-1893</t>
  </si>
  <si>
    <t>hello@tastry.com</t>
  </si>
  <si>
    <t>Information and communication technology [ict] specially adapted for administrative, commercial, financial, managerial or supervisory purposes</t>
  </si>
  <si>
    <t>277194-97</t>
  </si>
  <si>
    <t>WeaveGrid</t>
  </si>
  <si>
    <t>Weave Grid, Inc.</t>
  </si>
  <si>
    <t>AutoGrid, Bidgely</t>
  </si>
  <si>
    <t>Developer of an electrification software designed to connect electric vehicles to the grid. The company's software leverages predictive analytics and systems optimization to make it cheap and safe for utilities to support the growth of electric vehicles and increase renewable energy adoption, enabling clients to drive rapid decarbonization in global transport and power sectors while saving money.</t>
  </si>
  <si>
    <t>Automotive, Business/Productivity Software*, Other Energy Services</t>
  </si>
  <si>
    <t>Artificial Intelligence &amp; Machine Learning, Climate Tech, Mobility Tech</t>
  </si>
  <si>
    <t>decarbonization strategy, electric vehicle app, enterprise asset management, enterprise resource planning, ev charging, grid integration, power analysis, renewable energy project, transport electrification</t>
  </si>
  <si>
    <t>Electric Vehicle Charging Infrastructure</t>
  </si>
  <si>
    <t>www.weavegrid.com</t>
  </si>
  <si>
    <t>http://www.linkedin.com/company/weavegrid</t>
  </si>
  <si>
    <t>2020: 15, 2021: 46, 2022: 68, 2023: 98, 2024: 93</t>
  </si>
  <si>
    <t>The company raised $35 million of Series B venture funding in a deal led by Salesforce Ventures on November 15, 2022, putting the company's pre-money valuation at $200 million. MCJ, and 16 other investors also participated in the round. The funds will be used to accelerate the development of the company's product roadmap while continuing to improve the charging experience for EV drivers.</t>
  </si>
  <si>
    <t>Activate Capital Partners, Altius Ventures, Andrea Thampy, Breakthrough Energy, Climactic, Climate Capital, Coatue Management, Collaborative Fund, Dominion Energy Innovation Center, Duro Ventures, Elemental Impact, Emerson Collective, George Thampy, Grok Ventures, Head &amp; Heart Capital, John Wolthuis, Joshua Felser, Joules Accelerator, MCJ, Nan Ransohoff, Plug and Play Tech Center, Ramez Naam, Salesforce Ventures, SaxeCap, Sophie Purdom, The Westly Group, Yoav Lurie</t>
  </si>
  <si>
    <t>Toy Ventures</t>
  </si>
  <si>
    <t>Activate Capital Partners (activatecap.com), Altius Ventures (www.altiusventures.com), Breakthrough Energy (breakthroughenergy.org), Climactic (www.climactic.vc), Climate Capital (www.climatecapital.co), Coatue Management (www.coatue.com), Collaborative Fund (www.collabfund.com), Dominion Energy Innovation Center (www.dominnovation.com), Duro Ventures (www.duro.vc), Elemental Impact (www.elementalimpact.com), Emerson Collective (www.emersoncollective.com), Grok Ventures (www.grok.ventures), Head &amp; Heart Capital (www.headandheart.capital), Joules Accelerator (www.joulesaccelerator.com), MCJ (www.mcj.vc), Plug and Play Tech Center (www.plugandplaytechcenter.com), Salesforce Ventures (www.salesforceventures.com), SaxeCap (www.saxecap.com), The Westly Group (www.westlygroup.com)</t>
  </si>
  <si>
    <t>Toy Ventures (www.toyventures.co)</t>
  </si>
  <si>
    <t>207890-83P</t>
  </si>
  <si>
    <t>John Taggart</t>
  </si>
  <si>
    <t>Co-Founder &amp; President</t>
  </si>
  <si>
    <t>john@weavegrid.com</t>
  </si>
  <si>
    <t>+1 (888) 529-0579</t>
  </si>
  <si>
    <t>San Francisco, CA</t>
  </si>
  <si>
    <t>375 Alabama Street</t>
  </si>
  <si>
    <t>Suite 325</t>
  </si>
  <si>
    <t>San Francisco</t>
  </si>
  <si>
    <t>94110</t>
  </si>
  <si>
    <t>communications@weavegrid.com</t>
  </si>
  <si>
    <t>Circuit arrangements or systems for supplying or distributing electric power, Computing arrangements based on specific computational models, Propulsion of electrically-propelled vehicles</t>
  </si>
  <si>
    <t>471911-32</t>
  </si>
  <si>
    <t>AudioShake</t>
  </si>
  <si>
    <t>AudioShake, Inc.</t>
  </si>
  <si>
    <t>Audionamix, Moises, Lalal.ai</t>
  </si>
  <si>
    <t>Operator of music stems creation platform intended for artists to make money from their music. The company's platform separates recordings into different parts, opening them to new kinds of monetization and creative uses, it makes audio more interactive, immersive, and accessible by splitting recordings into their stems, and the company's B2B sound separation and lyric transcription technology, enables multiple content workflows-from separating clean speech from noisy environments, through to removing copyrighted content.</t>
  </si>
  <si>
    <t>Multimedia and Design Software</t>
  </si>
  <si>
    <t>Media and Information Services (B2B), Multimedia and Design Software*</t>
  </si>
  <si>
    <t>Artificial Intelligence &amp; Machine Learning, AudioTech, SaaS</t>
  </si>
  <si>
    <t>audio decoding, deep learning technology, film and entertainment, generative ai, interactive audio, music creation, music editing, music monetization, sports technology</t>
  </si>
  <si>
    <t>Generative AI</t>
  </si>
  <si>
    <t>www.audioshake.ai</t>
  </si>
  <si>
    <t>http://www.linkedin.com/company/audioshake</t>
  </si>
  <si>
    <t>2021: 5, 2022: 9, 2024: 14</t>
  </si>
  <si>
    <t>The company joined AWS Startups as a part of 2024 AWS Generative AI Accelerator program in September 2024. No equity or funding was exchanged as a result of this program.</t>
  </si>
  <si>
    <t>Alumni Ventures, AWS Startups, Basecamp Fund, Billy Mann, Black Angel Group, Black Squirrel Partners, Brent Faiyaz, bValue, CIC Angels, Crush Ventures, Disney Accelerator, Five Two Five, Gaingels, Gregg Wattenberg, Gwen riley, Hidden Ventures, Hilary Rosen, Indicator Ventures, Jayne Andrews, Mucker Capital, Peermusic, Precursor Ventures, Rodney Jerkins, Roneil Rumburg, Steve Greenberg, Suzy Ryoo, Tunde Balogun, Ty Baisden, WndrCo</t>
  </si>
  <si>
    <t>Alumni Ventures (www.av.vc), AWS Startups (aws-startup-lofts.com), Basecamp Fund (www.basecampfund.com), Black Angel Group (www.blackangelgroup.com), bValue (bvaluefund.com), CIC Angels (www.cicangels.com), Crush Ventures (www.crush.ventures), Disney Accelerator (www.disneyaccelerator.com), Five Two Five (www.525.vc), Gaingels (www.gaingels.com), Hidden Ventures (www.hddn.vc), Indicator Ventures (www.indicatorventures.com), Mucker Capital (www.mucker.com), Peermusic (www.peermusic.com), Precursor Ventures (precursorvc.com), Steve Greenberg (stevegreenberg.tv), WndrCo (www.wndrco.com)</t>
  </si>
  <si>
    <t>273055-15P</t>
  </si>
  <si>
    <t>Jessica Powell</t>
  </si>
  <si>
    <t>Co-Founder and Chief Executive Officer</t>
  </si>
  <si>
    <t>jessica@audioshake.ai</t>
  </si>
  <si>
    <t>+1 (818) 293-1800</t>
  </si>
  <si>
    <t>4104 24th Street</t>
  </si>
  <si>
    <t>Suite 908</t>
  </si>
  <si>
    <t>94114</t>
  </si>
  <si>
    <t>info@audioshake.ai</t>
  </si>
  <si>
    <t>Speech analysis techniques or speech synthesis</t>
  </si>
  <si>
    <t>231896-08</t>
  </si>
  <si>
    <t>5x5 Technologies</t>
  </si>
  <si>
    <t>5x5</t>
  </si>
  <si>
    <t>5x5 Technologies Inc.</t>
  </si>
  <si>
    <t>SiteSee, Pointivo, vHive, Visual Intelligence, Trendspek</t>
  </si>
  <si>
    <t>Developer of a software-as-a-service asset management platform designed for communications infrastructure in wireless, government, public safety, and aviation sectors. The company's platform reconstructs robotic-collected data with advanced three-dimensional spatial computing and artificial intelligence and machine learning to build fidelity, accurate digital twin models of complex structures, enabling clients to automate workflows, reduce operational costs, and create new revenue opportunities through deeper portfolio-wide analytics.</t>
  </si>
  <si>
    <t>Artificial Intelligence &amp; Machine Learning, Internet of Things, SaaS</t>
  </si>
  <si>
    <t>application layer, artificial intelligence based, asset management platform, assets inspection services, enterprise asset management, enterprise resource planning, erp, information analysis, infrastructure analysis, iot software, nlp platform</t>
  </si>
  <si>
    <t>Digital Twins</t>
  </si>
  <si>
    <t>M&amp;A, Venture Capital</t>
  </si>
  <si>
    <t>www.5x5.ai</t>
  </si>
  <si>
    <t>http://www.linkedin.com/company/5x5tech</t>
  </si>
  <si>
    <t>2016: 2, 2017: 3, 2018: 4, 2019: 5, 2020: 20, 2021: 34</t>
  </si>
  <si>
    <t>FY 2022</t>
  </si>
  <si>
    <t>The company raised $20 million of venture funding in the form of convertible debt in a deal led by Safar Partners on September 6, 2022. Hostplus Superannuation Fund and other undisclosed investors also participated in the round. The funds will be used to expand markets and applications for the company's innovative AI-powered analytics for critical infrastructure.</t>
  </si>
  <si>
    <t>Council Tree, Hostplus Superannuation Fund, Leslie Ventures, Ocean Azul Partners, Safar Partners, SoftBank Group</t>
  </si>
  <si>
    <t>Council Tree (www.counciltree.com), Hostplus Superannuation Fund (www.hostplus.com.au), Ocean Azul Partners (www.oceanazulpartners.com), Safar Partners (safar.partners), SoftBank Group (www.group.softbank)</t>
  </si>
  <si>
    <t>D. Brooks and Associates(Auditor), Trenam Kempker(Legal Advisor), UBS Group(General Business Banking)</t>
  </si>
  <si>
    <t>113325-22P</t>
  </si>
  <si>
    <t>Anne Zink</t>
  </si>
  <si>
    <t>anne.zink@5x5.ai</t>
  </si>
  <si>
    <t>+1 (727) 465-4810</t>
  </si>
  <si>
    <t>Saint Petersburg, FL</t>
  </si>
  <si>
    <t>360 Central Avenue</t>
  </si>
  <si>
    <t>Suite 800</t>
  </si>
  <si>
    <t>Saint Petersburg</t>
  </si>
  <si>
    <t>Florida</t>
  </si>
  <si>
    <t>33701</t>
  </si>
  <si>
    <t>+1 (727) 292-1840</t>
  </si>
  <si>
    <t>info@5x5.ai</t>
  </si>
  <si>
    <t>Bridge Loan - $20.00M (Convertible)</t>
  </si>
  <si>
    <t>Systems for controlling or regulating non-electric variables, Transmission</t>
  </si>
  <si>
    <t>438208-66</t>
  </si>
  <si>
    <t>Ad Fontes Media</t>
  </si>
  <si>
    <t>Ad Fontes Media, Inc.</t>
  </si>
  <si>
    <t>Factmata, NewsGuard, AllSides, The Factual</t>
  </si>
  <si>
    <t>Operator of an ethical media ratings platform intended to facilitate meaningful conversation and reunite relationships. The company's platform uses a methodology to analyze and rate media content for reliability and bias, enabling advertisers to rate all the news to positively transform society.</t>
  </si>
  <si>
    <t>Commercial Services</t>
  </si>
  <si>
    <t>Media and Information Services (B2B)</t>
  </si>
  <si>
    <t>Application Software, Media and Information Services (B2B)*</t>
  </si>
  <si>
    <t>content rating, interactive media tool, media analysis service, media bias rating, media platform, research data</t>
  </si>
  <si>
    <t>www.adfontesmedia.com</t>
  </si>
  <si>
    <t>http://www.linkedin.com/company/adfontesmedia</t>
  </si>
  <si>
    <t>2020: 10, 2021: 29, 2022: 11, 2023: 70, 2024: 49</t>
  </si>
  <si>
    <t>FY 2023</t>
  </si>
  <si>
    <t>The company is in process of raising $4.3 million of Series A venture funding in a deal led by Aion Ventures as of April 19, 2023, putting the company's pre-money valuation at $9.26 million. New Community Transformation Fund, DEMI Fund and William Luttrell also participated in the round. The company is actively tracked by PitchBook.</t>
  </si>
  <si>
    <t>Aion Ventures, DCA Asset Management, DEMI Fund, Gaingels, Glen Nelson Center, James Brown, New Community Transformation Fund, Omar Shehab, Oxford Road, Stout Street Capital, William Luttrell</t>
  </si>
  <si>
    <t>DCA Asset Management (www.dcaassetmanagementinc.com), DEMI Fund (www.demifund.com), Gaingels (www.gaingels.com), Glen Nelson Center (www.glennelson.org), New Community Transformation Fund (www.newcommunityfund.com), Oxford Road (www.oxfordroad.com), Stout Street Capital (www.stoutstreetcapital.com)</t>
  </si>
  <si>
    <t>Indiegogo(Lead Manager or Arranger), Orrick(Legal Advisor), Wefunder(Lead Manager or Arranger)</t>
  </si>
  <si>
    <t>238428-73P</t>
  </si>
  <si>
    <t>Vanessa Otero</t>
  </si>
  <si>
    <t>Founder, Chief Executive Officer, President and Chairman</t>
  </si>
  <si>
    <t>vanessa@adfontesmedia.com</t>
  </si>
  <si>
    <t>+1 (720) 288-0412</t>
  </si>
  <si>
    <t>Lafayette, CO</t>
  </si>
  <si>
    <t>2770 Arapahoe Road</t>
  </si>
  <si>
    <t>Suite 132-1044</t>
  </si>
  <si>
    <t>Lafayette</t>
  </si>
  <si>
    <t>Colorado</t>
  </si>
  <si>
    <t>80026</t>
  </si>
  <si>
    <t>info@adfontesmedia.com</t>
  </si>
  <si>
    <t>Product Crowdfunding</t>
  </si>
  <si>
    <t>Announced/In Progress</t>
  </si>
  <si>
    <t>225558-37</t>
  </si>
  <si>
    <t>Datazoom</t>
  </si>
  <si>
    <t>Datazoom, Inc.</t>
  </si>
  <si>
    <t>SQLstream, Supermetrics, Heap, Twilio Segment, Localytics, ThoughtSpot, Signal (Chicago), Bitmovin, ActionIQ, Tableau Software, Databricks, Mixpanel, Treasure Data, Conviva, mParticle, KloudFuse, Leadspace, Kollective, Birst, Datadog, Qubit (Business/Productivity Software), Swrve, Pendo, Kissmetrics, Act-On Software, Session AI, Evergage, Geckoboard, StreamSets, RedEye International, Batch (Business/Productivity Software), Sumo Logic, ParStream, SessionM, Amperity, Moz (Business/Productivity Software), GoodData, Slemma, Metabase, CaliberMind, Klipfolio, Evam (Istanbul), Bottlenose, Monetate, MediaMelon, MoEngage, Datameer, OneSignal, Qlik Technologies, MuleSoft, SEMrush, Mode (Media and Information Services (B2B)), Zapier, Wistia, EdgeCast Networks, Grow, Captify Technologies, Antenna ( Media and Information Services (B2B)), YuMe (Media and Information Services (B2B)), VBrick, Cursor, JW Player, Intersec, Prometheus (Business/Productivity Software), WebEngage, Teradata, Cazoomi, Resulticks, Riversand, Marigold Engage by Sailthru, Fospha, OneSaas, Usermind, SAS Institute, Alteryx, Apptimize, Bedrock Data, Tealium, Cedexis, Cloud Elements, Dataiku, Pulsate, Adobe, Urchin Software, PagerDuty, New Relic, Vertica Systems, Amplitude, Qubole, Innovid, SIDEARM Sports, Integrate.io, Fiorano Software, Uptrends, Last Call Analytics, Sisense, Striim, Wowza Media Systems, Dynatrace, Loggly, RJMetrics, Knime, Hull, Janrain, Ooyala, Cursor ( Database Software), ScaleOut Software, Panoply (Database Software), SnapLogic, Mux, Cxense, Chartio, Alooma, Matillion, A2Zlogix, Fivetran, Platfora, Astronomer, Aerospike, Stitch (Database Software), Cyfe, Nexeven, MapR, Adeptia, ObservePoint, Axonite, Domo, Periscope Data, Firebase, Elastic (Database Software), Yellowbrick Data, Ensighten, Magnitude Software, Incorta, Comscore, CleverTap, AdSparx, HubSpot, Intellicore, Highcharts, SmartStory, Feedburner, Avvasi</t>
  </si>
  <si>
    <t>Developer of a video logistics platform designed to address the issues with installing and managing multiple software packages. The company's platform offers data acquisition and automation while addressing user experience problems inherent in online video, to collect data in real-time and capture any data needed in sub-seconds and send it to a third-party tool or utilize the automation engine to act on the data, enabling video distributors and broadcasters to utilize a single software on their video player.</t>
  </si>
  <si>
    <t>Automation/Workflow Software, Business/Productivity Software*, Media and Information Services (B2B)</t>
  </si>
  <si>
    <t>Artificial Intelligence &amp; Machine Learning, Big Data, CloudTech &amp; DevOps, SaaS</t>
  </si>
  <si>
    <t>ai cores, analytics platform, data acquisition platform, data automation platform, video analytics, video data tool, video distribution tools, video platform builder</t>
  </si>
  <si>
    <t>www.datazoom.io</t>
  </si>
  <si>
    <t>http://www.linkedin.com/company/datazoom</t>
  </si>
  <si>
    <t>2020: 18, 2021: 24, 2022: 25, 2023: 22, 2024: 20</t>
  </si>
  <si>
    <t>The company raised venture funding in the form of SAFE notes on July 18, 2023.</t>
  </si>
  <si>
    <t>Braden Pollock, BRIIA, Brooklyn Bridge Ventures, EPIC Ventures, Half Court Ventures, NextGen Venture Partners, York IE</t>
  </si>
  <si>
    <t>BRIIA (www.briia.io), Brooklyn Bridge Ventures (www.brooklynbridge.vc), EPIC Ventures (www.epicvc.com), Half Court Ventures (www.halfcourt.vc), NextGen Venture Partners (www.nextgenvp.com), York IE (www.york.ie)</t>
  </si>
  <si>
    <t>DLA Piper(Legal Advisor)</t>
  </si>
  <si>
    <t>49053-70P</t>
  </si>
  <si>
    <t>Diane Strutner</t>
  </si>
  <si>
    <t>diane@datazoom.io</t>
  </si>
  <si>
    <t>+1 (347) 669-9679</t>
  </si>
  <si>
    <t>Encinitas, CA</t>
  </si>
  <si>
    <t>533 2nd Street</t>
  </si>
  <si>
    <t>Suite 220</t>
  </si>
  <si>
    <t>Encinitas</t>
  </si>
  <si>
    <t>92024-3558</t>
  </si>
  <si>
    <t>info@datazoom.io</t>
  </si>
  <si>
    <t>231070-51</t>
  </si>
  <si>
    <t>Nammu21</t>
  </si>
  <si>
    <t>Nammu</t>
  </si>
  <si>
    <t>Nammu21, Inc.</t>
  </si>
  <si>
    <t>Vsimple, Concord, LogicalDoc, Cognidox, Elastic (Database Software), SpringCM, Bynder, Capsilon, Icertis, Conga, Huddle (Software), DocuPhase</t>
  </si>
  <si>
    <t>Developer of a digitization and analytics platform designed to deconstruct complex interconnected documents across the financial ecosystem. The company's platform transforms the transaction experience and process into easily accessible data, enabling clients to have easy access to complex data structures.</t>
  </si>
  <si>
    <t>Business/Productivity Software*, Financial Software, Media and Information Services (B2B)</t>
  </si>
  <si>
    <t>FinTech, SaaS</t>
  </si>
  <si>
    <t>content services, data analysis system, data extraction, enterprise software, esg analysis, financial data analysis, financial data mining, financial data processing, kms, knowledge management system, legal analytics, regtech</t>
  </si>
  <si>
    <t>nammu21.com</t>
  </si>
  <si>
    <t>http://www.linkedin.com/company/nammu21</t>
  </si>
  <si>
    <t>2020: 14, 2021: 15, 2022: 17, 2023: 23, 2024: 24</t>
  </si>
  <si>
    <t>Raptor Group sold a stake in the company to an undisclosed buyer. Previously, the company raised $15.82 million of Series A venture funding in a deal led by XBTO Humla Ventures on October 21, 2022, putting the company's pre-money valuation at $27 million. CoinShares Ventures and 5 other investors also participated in the round. Of the total amount, an undisclosed sum was originally raised in the form of convertible debt and subsequently converted to Series A equity.</t>
  </si>
  <si>
    <t>Circle Ventures (Boston), Citigroup, CoinShares Ventures, Flying Point Industries, Galaxy Digital Holdings, Humla Ventures</t>
  </si>
  <si>
    <t>Raptor Group</t>
  </si>
  <si>
    <t>Citigroup (www.citigroup.com), Flying Point Industries (www.flyingpointindustries.com), Galaxy Digital Holdings (www.galaxy.com), Humla Ventures (www.humla.vc)</t>
  </si>
  <si>
    <t>Raptor Group (www.raptorgroup.com)</t>
  </si>
  <si>
    <t>226368-37P</t>
  </si>
  <si>
    <t>Someera Khokhar</t>
  </si>
  <si>
    <t>skhokhar@nammu21.com</t>
  </si>
  <si>
    <t>+1 (888) 626-6821</t>
  </si>
  <si>
    <t>New York, NY</t>
  </si>
  <si>
    <t>170 East End Avenue Apartment 2a</t>
  </si>
  <si>
    <t>Suite 2A</t>
  </si>
  <si>
    <t>10128</t>
  </si>
  <si>
    <t>contact@nammu21.com</t>
  </si>
  <si>
    <t>Secondary Transaction - Private</t>
  </si>
  <si>
    <t>439482-61</t>
  </si>
  <si>
    <t>PearPop</t>
  </si>
  <si>
    <t>PearPop Inc.</t>
  </si>
  <si>
    <t>TrueFan, Cameo, Wysh, Gonuts.com</t>
  </si>
  <si>
    <t>Developer of a content creation platform designed to power collaboration between creators and their fans on social media. The company's platform allows influencers, musical artists, comedians, and anyone else with a following to make more money doing what they love, enabling users to be in the spotlight while increasing their following and engagement.</t>
  </si>
  <si>
    <t>Social/Platform Software</t>
  </si>
  <si>
    <t>Social Content, Social/Platform Software*</t>
  </si>
  <si>
    <t>SaaS</t>
  </si>
  <si>
    <t>content marketing, content media, content site, content writing platform, creation platform, social media data</t>
  </si>
  <si>
    <t>www.pearpop.com</t>
  </si>
  <si>
    <t>http://www.linkedin.com/company/pearpop</t>
  </si>
  <si>
    <t>2020: 7, 2021: 48, 2022: 63, 2023: 48, 2024: 49</t>
  </si>
  <si>
    <t>The company raised $18 million of Series A venture funding from Ava Labs, Riverside Ventures, and Tyr Ventures on November 29, 2022, putting the company's pre-money valuation at $282 million. Quain Investments, Foresight Ventures and 7 other investors also participated in the round. The funds will be used to boost hiring, advance the platform's current functionality, and build out sales partnerships. Recently, Rocket One Capital sold a stake in the company to an undisclosed buyer.</t>
  </si>
  <si>
    <t>Abel Tesfaye, Alderbrook Companies, Alvin Hung, Amy Schumer, Andrew Lee, Anti Fund, Ashton Kutcher, Atelier Ventures, Atif Azam, Ava Labs, Bessemer Venture Partners, Blizzard Avalanche Fund, Blockchange Ventures, Brian McCullough, C Squared Ventures, Calm Ventures, Calvin Broadus, Chapter One, Christopher Comstock, Craig Span, Foresight Ventures (Singapore), FrontierSpace Ventures, Gary Vaynerchuk, Griffin Johnson, Hippolyte Genêt, James Donaldson, John DelGiudice, Josh Richards, Kevin Durant, Kevin Hart, Mark Cuban, Michael Gruen, Moe Shalizi, Nathan Gettings, Night Ventures, Peak State Ventures, Polaris Capital (New York), Quain Investments, Raven One Ventures, Rich Miner, Riverside Ventures, Sax Capital, Sean Combs, Seven Seven Six, Slow Ventures, Sound Ventures, The Chainsmokers, Thirty Five Ventures, Tyr Ventures</t>
  </si>
  <si>
    <t>Rocket One Capital</t>
  </si>
  <si>
    <t>Abel Tesfaye (theweeknd.com), Alderbrook Companies (www.alderbrookcompanies.com), Anti Fund (www.antifund.com), Atelier Ventures (www.atelierventures.co), Ava Labs (www.avalabs.org), Bessemer Venture Partners (www.bvp.com), Blizzard Avalanche Fund (www.blizzard.fund), Blockchange Ventures (www.blockchange.vc), C Squared Ventures (www.csquared.vc), Calm Ventures (www.calmvc.com), Calvin Broadus (snoopdogg.com), Chapter One (www.chapterone.com), Foresight Ventures (Singapore) (www.foresightventures.com), FrontierSpace Ventures (www.frontierspacevc.com), Gary Vaynerchuk (www.garyvaynerchuk.com), Mark Cuban (markcubancompanies.com), Night Ventures (www.nightventures.com), Peak State Ventures (www.peakstate.vc), Polaris Capital (New York) (www.polariscapital.nyc), Quain Investments (www.quaininvestments.com), Raven One Ventures (www.raven1ventures.com), Riverside Ventures (www.riversideventures.com), Sax Capital (saxcapital.s3-website-us-east-1.amazonaws.com), Seven Seven Six (www.sevensevensix.com), Slow Ventures (www.slow.co), Sound Ventures (www.soundventures.com), The Chainsmokers (thechainsmokers.com), Thirty Five Ventures (35v.tv), Tyr Ventures (www.tyrventures.com)</t>
  </si>
  <si>
    <t>Rocket One Capital (www.rocketonecapital.com)</t>
  </si>
  <si>
    <t>241715-89P</t>
  </si>
  <si>
    <t>Cole Mason</t>
  </si>
  <si>
    <t>Co-Founder &amp; Co-Chief Executive Officer</t>
  </si>
  <si>
    <t>cole@pearpop.com</t>
  </si>
  <si>
    <t>+1 (424) 438-0921</t>
  </si>
  <si>
    <t>Los Angeles, CA</t>
  </si>
  <si>
    <t>2040 Armacost Avenue</t>
  </si>
  <si>
    <t>Floor 2</t>
  </si>
  <si>
    <t>Los Angeles</t>
  </si>
  <si>
    <t>90025</t>
  </si>
  <si>
    <t>info@pearpop.com</t>
  </si>
  <si>
    <t>Electric digital data processing, Information and communication technology [ict] specially adapted for administrative, commercial, financial, managerial or supervisory purposes</t>
  </si>
  <si>
    <t>120322-00</t>
  </si>
  <si>
    <t>TraknProtect</t>
  </si>
  <si>
    <t>SekureTrak Inc.</t>
  </si>
  <si>
    <t>Footmarks, ROAR for Good, ACTAtek, Sensorberg, Zebra Technologies, Panasonic ( Business/Productivity Software), Kontakt.io, Single Digits, Carbyne, Relay (Wireless Communications Equipment), BluVision, Mist Systems, Rohde &amp; Schwarz, TiPS, Incorporated, Enseo, Assa Abloy, React Mobile</t>
  </si>
  <si>
    <t>Developer of a real-time location platform designed to permit hotels to integrate and harness the power of location data into their safety and operations systems. The company's platform provides a suite encompassing employee safety devices, asset, and inventory tracking, cleanliness tracking, room tray, and vendor tracking, enabling clients to integrate easily and efficiently with the hotel's existing back-of-the-house systems, offering effortless maintenance and convenient monitoring options.</t>
  </si>
  <si>
    <t>Business/Productivity Software, Electronic Equipment and Instruments*</t>
  </si>
  <si>
    <t>Internet of Things, Mobile, TMT</t>
  </si>
  <si>
    <t>connected buildings, connected commercial real estate, hospitality facility, inventory management, inventory tracking system, room service tracking, safety alarm, vendor tracking platform</t>
  </si>
  <si>
    <t>www.traknprotect.com</t>
  </si>
  <si>
    <t>http://www.linkedin.com/company/traknprotect</t>
  </si>
  <si>
    <t>2020: 20, 2021: 19, 2022: 16, 2023: 19, 2024: 24</t>
  </si>
  <si>
    <t>Standing Oaks Venture Partners sold a stake in the company to an undisclosed buyer.</t>
  </si>
  <si>
    <t>1871, InvestHER Ventures, Marc Realty, Plug and Play Tech Center, Spark Growth Ventures, Travel Startups Incubator</t>
  </si>
  <si>
    <t>Standing Oaks Venture Partners</t>
  </si>
  <si>
    <t>1871 (www.1871.com), InvestHER Ventures (www.investherventures.com), Marc Realty (www.marcrealty.com), Plug and Play Tech Center (www.plugandplaytechcenter.com), Spark Growth Ventures (www.sparkgv.com), Travel Startups Incubator (www.travelstartupsincubator.com)</t>
  </si>
  <si>
    <t>Standing Oaks Venture Partners (www.standingoaksvc.com)</t>
  </si>
  <si>
    <t>147982-06P</t>
  </si>
  <si>
    <t>Parminder Batra</t>
  </si>
  <si>
    <t>parminder.batra@traknprotect.com</t>
  </si>
  <si>
    <t>+1 (833) 827-3970</t>
  </si>
  <si>
    <t>1240 North Lake Shore Drive</t>
  </si>
  <si>
    <t>Unit 5B</t>
  </si>
  <si>
    <t>60610</t>
  </si>
  <si>
    <t>info@traknprotect.com</t>
  </si>
  <si>
    <t>Signalling or calling systems, Wireless communication networks</t>
  </si>
  <si>
    <t>81741-07</t>
  </si>
  <si>
    <t>2ndNature</t>
  </si>
  <si>
    <t>2ndNature Software Inc</t>
  </si>
  <si>
    <t>Developer of stormwater management software designed to help municipalities effectively manage their stormwater assets. The company's platform streamlines MS-four NPDES permit compliance by benchmarking program effectiveness and reporting progress towards clean water objectives, enabling municipalities and regulators to effectively manage their stormwater resources and build healthy and sustainable cities.</t>
  </si>
  <si>
    <t>Other Business Products and Services</t>
  </si>
  <si>
    <t>Government</t>
  </si>
  <si>
    <t>Business/Productivity Software, Government*</t>
  </si>
  <si>
    <t>CleanTech, Climate Tech, SaaS</t>
  </si>
  <si>
    <t>assessment tools, enterprise asset management, enterprise resource planning, erp, municipalities management software, municipalities service, stormwater management, stormwater management product, stormwater management system, stormwater management tool</t>
  </si>
  <si>
    <t>www.2ndnaturewater.com</t>
  </si>
  <si>
    <t>http://www.linkedin.com/company/2ndnaturewater</t>
  </si>
  <si>
    <t>2021: 22, 2022: 32, 2023: 40, 2024: 32</t>
  </si>
  <si>
    <t>The company raised $5 million of Series A venture funding from Lateral Capital Management and other undisclosed investors on June 28, 2021, putting the company's pre-money valuation at $25.15 million.</t>
  </si>
  <si>
    <t>Better Ventures, Lateral Capital Management, Techstars</t>
  </si>
  <si>
    <t>Better Ventures (www.better.vc), Lateral Capital Management (lateralcapital.com), Techstars (www.techstars.com)</t>
  </si>
  <si>
    <t>RELM Startup and Corporate Law(Legal Advisor)</t>
  </si>
  <si>
    <t>106569-55P</t>
  </si>
  <si>
    <t>Nicole Beck</t>
  </si>
  <si>
    <t>nicole@2ndnaturewater.com</t>
  </si>
  <si>
    <t>+1 (831) 426-9119</t>
  </si>
  <si>
    <t>Santa Cruz, CA</t>
  </si>
  <si>
    <t>500 Seabright Avenue</t>
  </si>
  <si>
    <t>Suite 205</t>
  </si>
  <si>
    <t>Santa Cruz</t>
  </si>
  <si>
    <t>95062</t>
  </si>
  <si>
    <t>+1 (831) 426-7092</t>
  </si>
  <si>
    <t>info@2ndnaturewater.com</t>
  </si>
  <si>
    <t>Geophysics, Image data processing or generation, in general, Information and communication technology [ict] specially adapted for administrative, commercial, financial, managerial or supervisory purposes, Investigating or analysing materials by determining their chemical or physical properties</t>
  </si>
  <si>
    <t>343362-07</t>
  </si>
  <si>
    <t>Alectio</t>
  </si>
  <si>
    <t>Alectio, Inc.</t>
  </si>
  <si>
    <t>Developer of a full-stack machine learning platform designed to help build models with less data. The company's managed active learning service allows continuous machine learning model training and evaluation with minimal dependencies on the engineering resources, enabling clients to build models better, faster, and cheaper by reducing processing time and costs related to data storage.</t>
  </si>
  <si>
    <t>Software Development Applications</t>
  </si>
  <si>
    <t>Software Development Applications*</t>
  </si>
  <si>
    <t>Big Data</t>
  </si>
  <si>
    <t>active learning content, analytics platform, computer vision, data augmentation, data management, machine learning solutions, machine learning tech, reinforcement learning algorithms, unstructured data analytics</t>
  </si>
  <si>
    <t>www.alectio.com</t>
  </si>
  <si>
    <t>http://www.linkedin.com/company/alectio</t>
  </si>
  <si>
    <t>2021: 16, 2022: 25, 2023: 15</t>
  </si>
  <si>
    <t>The company raised an undisclosed amount of venture funding from Zero Prime Ventures, Rajeev Krishnan and Benjamin Orthlieb in July 2023. Jed Ng and 3 other investors also participated in the round.</t>
  </si>
  <si>
    <t>2|Twelve, Alven Capital Partners, Astir Ventures, Benjamin Orthlieb, Cedric Sellin, Compound (New York), Irregular Expressions, Jed Ng, K20 Fund, Kishore Ganji, Pete Soderling, Rajeev Krishnan, Zach Piepmeyer, Zero Prime Ventures</t>
  </si>
  <si>
    <t>2|Twelve (www.212angels.com), Alven Capital Partners (www.alven.co), Astir Ventures (www.astir.vc), Compound (New York) (www.compound.vc), Irregular Expressions (www.irregex.vc), K20 Fund (www.k20fund.com), Zero Prime Ventures (zeroprime.vc)</t>
  </si>
  <si>
    <t>216451-99P</t>
  </si>
  <si>
    <t>Jennifer Prendki</t>
  </si>
  <si>
    <t>jprendki@alectio.com</t>
  </si>
  <si>
    <t>+1 (925) 202-9481</t>
  </si>
  <si>
    <t>Santa Clara, CA</t>
  </si>
  <si>
    <t>2338 Walsh Avenue</t>
  </si>
  <si>
    <t>Suite B</t>
  </si>
  <si>
    <t>Santa Clara</t>
  </si>
  <si>
    <t>95051</t>
  </si>
  <si>
    <t>info@alectio.com</t>
  </si>
  <si>
    <t>Computing arrangements based on specific computational models, Information and communication technology [ict] specially adapted for administrative, commercial, financial, managerial or supervisory purposes</t>
  </si>
  <si>
    <t>503083-72</t>
  </si>
  <si>
    <t>Bedrock Energy</t>
  </si>
  <si>
    <t>Bedrock Energy, Inc.</t>
  </si>
  <si>
    <t>Provider of construction services intended to transform the heating and cooling of buildings. The company builds autonomous drilling technology and advanced subsurface simulation software to allow widespread, affordable, and accessible geothermal installations, enabling the construction industry to reduce costs and maintain a sustainable environment.</t>
  </si>
  <si>
    <t>Energy</t>
  </si>
  <si>
    <t>Energy Services</t>
  </si>
  <si>
    <t>Other Energy Services</t>
  </si>
  <si>
    <t>Business/Productivity Software, Construction and Engineering, Other Commercial Services, Other Energy Services*</t>
  </si>
  <si>
    <t>CleanTech, Climate Tech, Construction Technology, Industrials</t>
  </si>
  <si>
    <t>built environment, construction design, construction robotics, cooling system installation, dispatchable energy sources, geothermal, geothermal energy, geothermal energy service, geothermal energy supply, geothermal heat, heating and cooling, heating system installation, industrial autonomy platform, sustainable construction services</t>
  </si>
  <si>
    <t>Construction Robots, Geothermal Power</t>
  </si>
  <si>
    <t>www.bedrockenergy.com</t>
  </si>
  <si>
    <t>http://www.linkedin.com/company/bedrockenergy</t>
  </si>
  <si>
    <t>2022: 2, 2023: 8, 2024: 18</t>
  </si>
  <si>
    <t>The company joined Dominion Energy Innovation Center on July 18, 2024. No equity or funding was exchanged as a result of this program.</t>
  </si>
  <si>
    <t>Cantos Ventures, Climate Capital, Climate Draft, Divergent Capital (New York), Dominion Energy Innovation Center, Elemental Impact, First Star Ventures, Long Journey Ventures, Overture Climate VC, Plug and Play Tech Center, Third Derivative, Toba Capital, Wireframe Ventures</t>
  </si>
  <si>
    <t>Cantos Ventures (www.cantos.vc), Climate Capital (www.climatecapital.co), Climate Draft (www.climatedraft.org), Divergent Capital (New York) (www.divergenthq.com), Dominion Energy Innovation Center (www.dominnovation.com), Elemental Impact (www.elementalimpact.com), First Star Ventures (www.firststar.vc), Long Journey Ventures (www.longjourney.vc), Overture Climate VC (www.overture.vc), Plug and Play Tech Center (www.plugandplaytechcenter.com), Third Derivative (www.third-derivative.org), Toba Capital (www.tobacapital.com), Wireframe Ventures (www.wireframevc.com)</t>
  </si>
  <si>
    <t>312259-69P</t>
  </si>
  <si>
    <t>Joselyn Lai</t>
  </si>
  <si>
    <t>joselyn@bedrockenergy.com</t>
  </si>
  <si>
    <t>+1 (626) 679-4063</t>
  </si>
  <si>
    <t>Austin, TX</t>
  </si>
  <si>
    <t>4901 East Cesar Chavez Street</t>
  </si>
  <si>
    <t>Austin</t>
  </si>
  <si>
    <t>Texas</t>
  </si>
  <si>
    <t>78702</t>
  </si>
  <si>
    <t>+1 (512) 503-3452</t>
  </si>
  <si>
    <t>info@bedrockenergy.com</t>
  </si>
  <si>
    <t>Earth or rock drilling, Geothermal collectors</t>
  </si>
  <si>
    <t>229453-75</t>
  </si>
  <si>
    <t>Loupe (Entertainment Software)</t>
  </si>
  <si>
    <t>Loupe, Loupe Inc</t>
  </si>
  <si>
    <t>Loupe, Inc.</t>
  </si>
  <si>
    <t>Developer of a visual content streaming platform designed to serve artists around the globe. The company's platform offers an art player that continuously streams hi-res artwork from around the world as well as provides a marketplace that gives selected fine art prints and artist original works, enabling artists to get discovered by global audiences via a continuous, immersive display of artwork on television and other connected screens.</t>
  </si>
  <si>
    <t>Entertainment Software*, Media and Information Services (B2B), Other Commercial Services</t>
  </si>
  <si>
    <t>AudioTech, E-Commerce, SaaS</t>
  </si>
  <si>
    <t>art gallery, content streaming company, content streaming platform, digital art, digital media, online music platform, streaming platform, visual content</t>
  </si>
  <si>
    <t>loupeart.com</t>
  </si>
  <si>
    <t>http://www.linkedin.com/company/loupeart</t>
  </si>
  <si>
    <t>2020: 9, 2021: 14, 2022: 17</t>
  </si>
  <si>
    <t>The company raised $1 million of seed funding in the form of convertible debt from Grit Capital Partners and other undisclosed investors on June 20, 2024.</t>
  </si>
  <si>
    <t>ALIAVIA Ventures, Atlanta Technology Angels, Goal Ventures, Grit Capital Partners, H/L Ventures, Michael Perlis, Phoenix Capital Ventures, Randall Batinkoff, Rebel Venture Fund, Redwood Partners, SM Ventures, Sound Media Ventures, University of Nevada, Las Vegas Foundation, Yolo Investments</t>
  </si>
  <si>
    <t>ALIAVIA Ventures (www.aliavia.vc), Atlanta Technology Angels (www.angelatlanta.com), Goal Ventures (www.goalventurepartners.com), Grit Capital Partners (www.grit.vc), H/L Ventures (www.h-l.vc), Phoenix Capital Ventures (pcv.fund), Rebel Venture Fund (www.rebelventurefund.com), Redwood Partners (www.redwoodpartners.com), SM Ventures (www.smv.co), Sound Media Ventures (soundmedia.vc), Yolo Investments (yolo.io)</t>
  </si>
  <si>
    <t>Lowenstein Sandler(Legal Advisor)</t>
  </si>
  <si>
    <t>Bennett Thrasher(Advisor: General), Hutchison(Legal Advisor)</t>
  </si>
  <si>
    <t>320147-29P</t>
  </si>
  <si>
    <t>Casey Haynes</t>
  </si>
  <si>
    <t>casey@divewithbuddy.com</t>
  </si>
  <si>
    <t>+1 (412) 759-0088</t>
  </si>
  <si>
    <t>Atlanta, GA</t>
  </si>
  <si>
    <t>3343 Peachtree Road NorthEast</t>
  </si>
  <si>
    <t>Suite 145-2459</t>
  </si>
  <si>
    <t>Atlanta</t>
  </si>
  <si>
    <t>Georgia</t>
  </si>
  <si>
    <t>30326</t>
  </si>
  <si>
    <t>+1 (646) 729-9019</t>
  </si>
  <si>
    <t>Angel (individual)</t>
  </si>
  <si>
    <t>Bridge Loan - $1.00M (Convertible)</t>
  </si>
  <si>
    <t>442898-47</t>
  </si>
  <si>
    <t>Portal26</t>
  </si>
  <si>
    <t>Titaniam</t>
  </si>
  <si>
    <t>Titaniam, Inc.</t>
  </si>
  <si>
    <t>Developer of a Generative AI adoption platform intended to offer visibility, governance, forensics, analytics, and education. The company's platform provides essential infrastructure for enterprises to manage, monitor, and measure their Generative AI programs, enabling them to gain visibility into usage while mitigating risks associated with compliance, intellectual property, and privacy.</t>
  </si>
  <si>
    <t>Network Management Software</t>
  </si>
  <si>
    <t>Business/Productivity Software, Database Software, Network Management Software*</t>
  </si>
  <si>
    <t>Big Data, Cybersecurity</t>
  </si>
  <si>
    <t>data infrastructure, data privacy, data protection &amp; encryption, data protection and encryption, data protection firm, data protection platform, data protection software, data security, generative ai, privacy &amp; security, ransomware defense</t>
  </si>
  <si>
    <t>www.portal26.ai</t>
  </si>
  <si>
    <t>http://www.linkedin.com/company/titaniam</t>
  </si>
  <si>
    <t>2020: 7, 2022: 27, 2023: 29, 2024: 36</t>
  </si>
  <si>
    <t>The company raised $6 million of seed funding in a deal led by Refinery Ventures on February 10, 2022, putting the company's pre-money valuation at $14 million. Tokio Marine Future Fund and 12 other investors also participated in the round. The funds will be used by the company to support an aggressive sales expansion and further product innovations.</t>
  </si>
  <si>
    <t>Amit Jasuja, Dale Fuller, Fusion Fund, Igor Taber, Naveen Palavali, Piyush Sharma, Ray Rothrock, Refinery Ventures, Richard Clarke, Shasta Ventures, Tokio Marine Future Fund, Tokio Marine Holdings, Vishal Gupta</t>
  </si>
  <si>
    <t>Fusion Fund (www.fusionfund.com), Refinery Ventures (www.refinery.com), Richard Clarke (richardaclarke.net), Shasta Ventures (www.shasta.vc), Tokio Marine Future Fund (www.tmfuturefund.com), Tokio Marine Holdings (www.tokiomarinehd.com)</t>
  </si>
  <si>
    <t>244261-90P</t>
  </si>
  <si>
    <t>Arti Raman</t>
  </si>
  <si>
    <t>arti@portal26.ai</t>
  </si>
  <si>
    <t>+1 (415) 652-5544</t>
  </si>
  <si>
    <t>Los Gatos, CA</t>
  </si>
  <si>
    <t>15630 Shady Lane</t>
  </si>
  <si>
    <t>Los Gatos</t>
  </si>
  <si>
    <t>95032</t>
  </si>
  <si>
    <t>info@portal26.ai</t>
  </si>
  <si>
    <t>469070-56</t>
  </si>
  <si>
    <t>Redactable</t>
  </si>
  <si>
    <t>Redactable, Inc.</t>
  </si>
  <si>
    <t>Rectify, Nitro Software</t>
  </si>
  <si>
    <t>Developer an artificial intelligence-based platform intended to help companies permanently redact their sensitive documents. The company's platform offers features such as search automation, patterns redaction, manual redaction, workflow management, cloud collaboration, document scrubbing, and two-way integrations, enabling businesses to increase their productivity.</t>
  </si>
  <si>
    <t>Automation/Workflow Software, Business/Productivity Software*</t>
  </si>
  <si>
    <t>Artificial Intelligence &amp; Machine Learning, Big Data, SaaS</t>
  </si>
  <si>
    <t>ai automation platform, b2b saas, compliance data, content services, data privacy, kms, knowledge management system, productivity platform, regulation technology, search automation, vertical application, workflow management</t>
  </si>
  <si>
    <t>www.redactable.com</t>
  </si>
  <si>
    <t>http://www.linkedin.com/company/redactable</t>
  </si>
  <si>
    <t>2021: 3, 2022: 5, 2023: 15, 2024: 20</t>
  </si>
  <si>
    <t>The company is reportedly seeking venture funding from undisclosed investors. Previously, the company raised $5.65 million of seed funding in a deal led by Gradient Ventures on December 15, 2023, putting the company's pre-money valuation at $19.85 million. Everywhere Ventures, Blue Falcon Capital, WellFound, and Wocstar also participated in the round. The funds will be used to advance market reach, visibility, and operations. The company is actively tracked by PitchBook.</t>
  </si>
  <si>
    <t>757 Accelerate, Blockchain Founders Fund, Blue Falcon Capital, Bradley Mullen, CFV Ventures, Dave McDowell, David Hauslaib, Empty Set Group, Everywhere Ventures, FIS Ventures, Gradient Ventures, Hustle Fund, Jay Dahal, Jenny Fielding, Kurt Bilafer, Laura Fingal-Surma, Leading Cities, Michael Robbins, Ola Aboubakar, Queen City Fintech, Revelry Venture Partners, RevTech Labs Capital, Riverside Ventures, Stony Lonesome Group, Tampa Bay Wave, WellFound, Wocstar</t>
  </si>
  <si>
    <t>757 Accelerate (757accelerate.org), Blockchain Founders Fund (blockchainff.com), Blue Falcon Capital (bluefalconcapital.com), CFV Ventures (www.fintechvc.us), Empty Set Group (www.emptysetgroup.com), Everywhere Ventures (everywhere.vc), Gradient Ventures (www.gradient.com), Hustle Fund (www.hustlefund.vc), Leading Cities (leadingcities.org), Queen City Fintech (qcfintech.co), Revelry Venture Partners (revelryventurepartners.notion.site), RevTech Labs Capital (www.rtl.capital), Riverside Ventures (www.riversideventures.com), Stony Lonesome Group (www.stonylonesomegroupllc.com), Tampa Bay Wave (www.tampabaywave.org), WellFound (www.wellfound.com), Wocstar (www.wocstar.com)</t>
  </si>
  <si>
    <t>Cooley(Legal Advisor)</t>
  </si>
  <si>
    <t>267074-74P</t>
  </si>
  <si>
    <t>Amanda Levay</t>
  </si>
  <si>
    <t>Founder and Chief Executive Officer</t>
  </si>
  <si>
    <t>amanda@redactable.com</t>
  </si>
  <si>
    <t>+1 (929) 313-4946</t>
  </si>
  <si>
    <t>447 Broadway</t>
  </si>
  <si>
    <t>2nd Floor</t>
  </si>
  <si>
    <t>10013</t>
  </si>
  <si>
    <t>hello@redactable.com</t>
  </si>
  <si>
    <t>Upcoming</t>
  </si>
  <si>
    <t>442684-18</t>
  </si>
  <si>
    <t>SqlDBM</t>
  </si>
  <si>
    <t>We Comes Before Me, Corp.</t>
  </si>
  <si>
    <t>Developer of online data modeling software designed to import and export databases quickly and conveniently. The company's cloud-based software helps to generate and import script to automatically create a database model, assist in collaborating reports across teams, aids in converting projects into any assembly language, allow making visual effects as well as help to create specification and images, enabling clients to easily send and receive documents without writing a single line of code.</t>
  </si>
  <si>
    <t>Database Software</t>
  </si>
  <si>
    <t>Business/Productivity Software, Database Software*</t>
  </si>
  <si>
    <t>Big Data, SaaS</t>
  </si>
  <si>
    <t>data infrastructure, data management software, data modeling, data modeling and analytics, data modeling platform, data modeling service, data modeling technique, data software &amp; systems, data software and systems, database management system, database software</t>
  </si>
  <si>
    <t>www.sqldbm.com</t>
  </si>
  <si>
    <t>http://www.linkedin.com/company/sqldbm</t>
  </si>
  <si>
    <t>2020: 5, 2022: 21, 2023: 50, 2024: 51</t>
  </si>
  <si>
    <t>The company raised $9.59 million of Series B venture funding from Uncorrelated Ventures, Headline and other undisclosed investors on January 3, 2024, putting the company's pre-money valuation at $60.41 million.</t>
  </si>
  <si>
    <t>CEAS Investments I, Headline, Uncorrelated Ventures</t>
  </si>
  <si>
    <t>CEAS Investments I (www.ceasinvestments.com), Headline (www.headline.com), Uncorrelated Ventures (uncorrelated.com)</t>
  </si>
  <si>
    <t>327012-31P</t>
  </si>
  <si>
    <t>Anna Abramova</t>
  </si>
  <si>
    <t>Co-Founder, GTM, Chief Executive Officer, Director of Client Engagement &amp; Partnerships, Sales Director, Head of Growth &amp; Business Development Executive</t>
  </si>
  <si>
    <t>anna@sqldbm.com</t>
  </si>
  <si>
    <t>San Diego, CA</t>
  </si>
  <si>
    <t>San Diego</t>
  </si>
  <si>
    <t>sales@sqldbm.com</t>
  </si>
  <si>
    <t>439866-01</t>
  </si>
  <si>
    <t>Writer</t>
  </si>
  <si>
    <t>Qordoba</t>
  </si>
  <si>
    <t>Writer, Inc.</t>
  </si>
  <si>
    <t>Cohere, Anthropic, Boost Media, OpenAI, Microsoft Azure</t>
  </si>
  <si>
    <t>Developer of a full-stack generative artificial intelligence platform designed to provide organized workflows. The company's platform provides an integrated system of large language models, AI guardrails, and development tools that make it easy for organizations to deploy AI apps and workflows that deliver impactful returns on investment, enabling users with content that is consistent and on-brand.</t>
  </si>
  <si>
    <t>Artificial Intelligence &amp; Machine Learning, SaaS</t>
  </si>
  <si>
    <t>ai agent, ai marketing platform, enterprise ai, generative ai, llm agent, natural language technology, nlp technology, writer technology systems</t>
  </si>
  <si>
    <t>Generative AI, LLM Agents</t>
  </si>
  <si>
    <t>www.writer.com</t>
  </si>
  <si>
    <t>http://www.linkedin.com/company/getwriter</t>
  </si>
  <si>
    <t>2020: 20, 2021: 53, 2023: 100, 2024: 200</t>
  </si>
  <si>
    <t>The company joined ISV Startup Springboard on November 13, 2024. No equity or funding was exchanged as a result of this program. Previously, the company raised $200 million of Series C venture funding in a deal led by Premji Invest, Radical Ventures, and ICONIQ Growth on November 12, 2024, putting the company's pre-money valuation at $1.7 billion. Salesforce Ventures, Adobe Ventures, Citi Ventures, Accenture Ventures, IBM Ventures, Workday Ventures, Geodesic Capital, Insight Partners, Balderton Capital, The Vanguard Group, and B Capital also participated in the round. The funds will be used to cement leadership in the enterprise generative AI category, allowing us to expand our team, build more critical workflows for our customers, and bring powerful new agentic and workflow capabilities to our full-stack AI platform.</t>
  </si>
  <si>
    <t>Accenture Ventures, Acrew Capital, Adobe Ventures, Allison Pickens, Ankur Nagpal, Aspect Ventures, Austin Rief, B Capital, Balderton Capital, Bonfire Ventures, Broadway Angels, Camille Ricketts, Citi Ventures, Cristina Cordova, Dubai Silicon Oasis Authority, Earl Grey Capital, Geodesic Capital, Gradient Ventures, GTMFund, IBM Ventures, ICONIQ Growth, Insight Partners, ISV Startup Springboard, Jack Altman, James Beshara, Julia Lipton, Lemonade Capital, Lenny Rachitsky, MBC Ventures, Mubadala Capital, Oliver Jay, Oraseya Capital, Patrick McCormick, Plug and Play Tech Center, Premji Invest, Radical Ventures, Reform Ventures, Salesforce Ventures, Scott Belsky, The Vanguard Group, Todd and Rahul's Angel Fund, Upfront Ventures, ValueStream Ventures, Vibe Capital, Vivek Sodera, WndrCo, Workday Ventures</t>
  </si>
  <si>
    <t>The Perkins Fund</t>
  </si>
  <si>
    <t>Acrew Capital (www.acrewcapital.com), Aspect Ventures (www.aspectventures.com), B Capital (www.b.is), Balderton Capital (www.balderton.com), Bonfire Ventures (www.bonfirevc.com), Broadway Angels (www.broadway-angels.com), Cristina Cordova (www.cristinajcordova.com), Dubai Silicon Oasis Authority (dso.ae), Earl Grey Capital (earlgrey.capital), Geodesic Capital (www.geodesiccap.com), Gradient Ventures (www.gradient.com), GTMFund (www.gtmfund.com), IBM Ventures (www.ibmventures.com), ICONIQ Growth (www.iconiqgrowth.com), Insight Partners (www.insightpartners.com), Jack Altman (jackealtman.com), Lemonade Capital (www.lemonadecapital.com), Mubadala Capital (www.mubadalacapital.ae), Oraseya Capital (www.oraseyacapital.com), Plug and Play Tech Center (www.plugandplaytechcenter.com), Radical Ventures (radical.vc), Reform Ventures (www.reformventures.com), Salesforce Ventures (www.salesforceventures.com), Scott Belsky (www.scottbelsky.com), The Vanguard Group (www.vanguard.com), Todd and Rahul's Angel Fund (www.toddandrahulangelfund.com), Upfront Ventures (www.upfront.com), ValueStream Ventures (www.valuestreamventures.com), Vibe Capital (www.vibe.vc), WndrCo (www.wndrco.com), Workday Ventures (ventures.workday.com)</t>
  </si>
  <si>
    <t>The Perkins Fund (www.theperkinsfund.com)</t>
  </si>
  <si>
    <t>60335-47P</t>
  </si>
  <si>
    <t>May Habib</t>
  </si>
  <si>
    <t>may@writer.com</t>
  </si>
  <si>
    <t>+1 (415) 275-1883</t>
  </si>
  <si>
    <t>140 Geary Street</t>
  </si>
  <si>
    <t>8th Floor, Suite 800</t>
  </si>
  <si>
    <t>94108</t>
  </si>
  <si>
    <t>hello@writer.com</t>
  </si>
  <si>
    <t>482277-07</t>
  </si>
  <si>
    <t>Yuga Labs</t>
  </si>
  <si>
    <t>BAYC</t>
  </si>
  <si>
    <t>Yuga Labs, Inc.</t>
  </si>
  <si>
    <t>OpenSea, Rarible, Bitski, SuperRare Labs, Dapper Labs</t>
  </si>
  <si>
    <t>Provider of web3-based digital assets intended for enhancing community engagement and ownership. The company leverages blockchain technology, decentralized IP rights, and interactive experiences that are programmatically generated from various possible traits including expression, enabling users to participate in a vibrant digital ecosystem, create and trade assets, and engage in immersive storytelling and events.</t>
  </si>
  <si>
    <t>Financial Services</t>
  </si>
  <si>
    <t>Other Financial Services</t>
  </si>
  <si>
    <t>Financial Software, Other Financial Services*</t>
  </si>
  <si>
    <t>Cryptocurrency/Blockchain</t>
  </si>
  <si>
    <t>community engagement, cryptocurrency trading, digital asset space, digital ecosystem, ethereum exchange, ip rights, web3 company</t>
  </si>
  <si>
    <t>www.yuga.com</t>
  </si>
  <si>
    <t>http://www.linkedin.com/company/yuga-labs</t>
  </si>
  <si>
    <t>2021: 11, 2022: 70, 2023: 120, 2024: 151</t>
  </si>
  <si>
    <t>Competitor (New) Dapper Labs</t>
  </si>
  <si>
    <t>The company raised an undisclosed amount of angel funding from Adam Weitsman on September 26, 2023.</t>
  </si>
  <si>
    <t>10T Holdings, A.Capital Ventures, Adam Weitsman, Adidas, Alpha Wave Global, Andreessen Horowitz, Animoca Brands, Animoca Ventures, Arcane Group, Artist Capital Management, BLN Capital, BOND Capital (San Francisco), Bond, Schoeneck &amp; King, Calvin Broadus, Catenam Capital Management, Chimera Capital, Cobalt Capital, Cobalt Capital (Santa Monica), Coinbase Global, Coinbase Ventures, Colin Kaepernick, Collab+Currency, Dez Bryant, Digital (US), Eden Block, Friendly Trading Group 2, FTX, Gary Vaynerchuk, Genies, Google for Startups, GV, Hashed, Infinite Capital (San Juan), Intersection Growth Partners, J.A.S Ventures, Justin Blau, Kenetic Capital, LeadBlock Partners, Lightspeed Venture Partners, LionTree, Mark Cuban, Metavest Capital, MoonPay, New Enterprise Associates, NGC Ventures, Numeri Capital, Nural Capital, Patron (North America), Samsung NEXT Ventures, Sergio Kitchens, Seven Seven Six, Shaquille O'Neal, Sound Ventures, Standard Crypto, Steve Aoki, SV Angel, Tekkorp Capital, Tess Ventures, The Forest Road Company, The Sandbox Group, Thrive Capital, Tiger Global Management, Time Ventures, Timothy Mosley, Token Bay Capital</t>
  </si>
  <si>
    <t>10T Holdings (www.10tfund.com), A.Capital Ventures (www.acapital.com), Adidas (www.adidas-group.com), Alpha Wave Global (www.alphawaveglobal.com), Andreessen Horowitz (www.a16z.com), Animoca Brands (www.animocabrands.com), Animoca Ventures (www.animoca.ventures), Arcane Group (www.arcanegroup.io), Artist Capital Management (www.artistcapital.com/what-we-do/artistcapitalmanagement), BLN Capital (blncapital.com), BOND Capital (San Francisco) (www.bondcap.com), Bond, Schoeneck &amp; King (www.bsk.com), Calvin Broadus (snoopdogg.com), Catenam Capital Management (catenam.io), Chimera Capital (www.chimerainvestment.com), Cobalt Capital (www.cobaltcapital.ca), Cobalt Capital (Santa Monica) (cobalt.la), Coinbase Global (www.coinbase.com), Collab+Currency (www.collabcurrency.com), Digital (US) (www.digital.xyz), Eden Block (www.edenblock.com), Friendly Trading Group 2 (www.friendlytradinggroup2.com), FTX (www.ftx.com), Gary Vaynerchuk (www.garyvaynerchuk.com), Genies (www.genies.com), Google for Startups (startup.google.com), GV (www.gv.com), Hashed (www.hashed.com), Infinite Capital (San Juan) (infinite.xyz), Intersection Growth Partners (www.intersectiongp.com), J.A.S Ventures (www.jas.ventures), Kenetic Capital (www.kenetic.capital), LeadBlock Partners (leadblockpartners.com), Lightspeed Venture Partners (www.lsvp.com), LionTree (www.liontree.com), Mark Cuban (markcubancompanies.com), Metavest Capital (www.metavest.capital), MoonPay (www.moonpay.com), New Enterprise Associates (www.nea.com), NGC Ventures (www.ngc.fund), Numeri Capital (www.numeri.vc), Nural Capital (www.nural.capital), Patron (North America) (patron.fund), Samsung NEXT Ventures (www.samsungnext.com), Seven Seven Six (www.sevensevensix.com), Sound Ventures (www.soundventures.com), Standard Crypto (www.standardcrypto.vc), SV Angel (www.svangel.com), Tekkorp Capital (www.tekkorp.com), Tess Ventures (www.tessventures.com), The Forest Road Company (www.forestroadco.com), The Sandbox Group (www.sandbox.com), Thrive Capital (www.thrivecap.com), Tiger Global Management (www.tigerglobal.com), Time Ventures (www.timevc.capital), Token Bay Capital (www.tokenbaycapital.com)</t>
  </si>
  <si>
    <t>277996-87P</t>
  </si>
  <si>
    <t>Gregory Solano</t>
  </si>
  <si>
    <t>gsolano@yuga.com</t>
  </si>
  <si>
    <t>+1 (206) 913-4300</t>
  </si>
  <si>
    <t>Coral Gables, FL</t>
  </si>
  <si>
    <t>1430 South Dixie Highway</t>
  </si>
  <si>
    <t>Suite 105 1075</t>
  </si>
  <si>
    <t>Coral Gables</t>
  </si>
  <si>
    <t>33146</t>
  </si>
  <si>
    <t>Image or video recognition or understanding, Information and communication technology [ict] specially adapted for administrative, commercial, financial, managerial or supervisory purposes, Stringed musical instruments, Transmission of digital information</t>
  </si>
  <si>
    <t>266092-21</t>
  </si>
  <si>
    <t>Clocr</t>
  </si>
  <si>
    <t>Clocr, Inc</t>
  </si>
  <si>
    <t>Developer of a digital legacy planning and disbursement platform intended to secure essential documents and information and legally pass on digital assets. The company's platform offers a digital safety deposit box with encryption and security and an online compliant tool to manage estate planning, online will, and execution of documents, enabling users to secure essential information and organize them into vaults that can be unlocked by pre-assigned nominees in case of an emergency or death.</t>
  </si>
  <si>
    <t>Database Software*, Financial Software, Other Financial Services</t>
  </si>
  <si>
    <t>FinTech, Mobile</t>
  </si>
  <si>
    <t>digital asset, digital vault, emergency planning, end-of-life planning, estate planning tools, legacy planning</t>
  </si>
  <si>
    <t>End-of-Life Planning</t>
  </si>
  <si>
    <t>www.clocr.com</t>
  </si>
  <si>
    <t>http://www.linkedin.com/company/clocr</t>
  </si>
  <si>
    <t>2018: 2, 2019: 5, 2020: 9, 2021: 26</t>
  </si>
  <si>
    <t>The company joined InsurTech NY in 2024. No equity or funding was exchanged as a result of this program.</t>
  </si>
  <si>
    <t>Austin Young Chamber, Capital Factory, Draper Associates, Empire Group International, InsurTech NY, Maccabee Ventures, Manoj Saxena, Patrick Ryan, PRMM USA, Shawn Carpenter</t>
  </si>
  <si>
    <t>Austin Young Chamber (austinyc.org), Capital Factory (www.capitalfactory.com), Draper Associates (www.draper.vc), Empire Group International (www.empiregroupinternational.com), InsurTech NY (www.insurtechny.com), Maccabee Ventures (www.maccabee.vc)</t>
  </si>
  <si>
    <t>Republic(Lead Manager or Arranger)</t>
  </si>
  <si>
    <t>226512-73P</t>
  </si>
  <si>
    <t>Apoorva Chintala</t>
  </si>
  <si>
    <t>+1 (512) 943-7733</t>
  </si>
  <si>
    <t>11675 Jollyville Road</t>
  </si>
  <si>
    <t>78759</t>
  </si>
  <si>
    <t>info@clocr.com</t>
  </si>
  <si>
    <t>459035-74</t>
  </si>
  <si>
    <t>Credo AI</t>
  </si>
  <si>
    <t>Credo AI Corp.</t>
  </si>
  <si>
    <t>2021.AI, Anch.ai, Armilla AI, Sprinto, Norm AI, Saidot, Atlan</t>
  </si>
  <si>
    <t>Developer of AI governance platform designed to automate artificial intelligence oversight and risk management. The company's SaaS platform provides continuous and comprehensive regulatory compliance to measure, monitor, and manage AI-introduced risks at scale, enabling enterprises to build customer trust to unlock sales opportunities, differentiate with AI, and manage risks effectively to gain confidence in their deployments.</t>
  </si>
  <si>
    <t>ai audit, ai cores, ai governance, deep learning, deep learning tool, digital transformation, digital transformations, generative ai, machine learning, risk management</t>
  </si>
  <si>
    <t>www.credo.ai</t>
  </si>
  <si>
    <t>http://www.linkedin.com/company/credo-ai</t>
  </si>
  <si>
    <t>2021: 10, 2022: 14, 2023: 35, 2024: 47</t>
  </si>
  <si>
    <t>The company raised $21 million of Series A1 venture funding in a deal led by Mozilla Ventures, FPV Ventures and CrimsoNox Capital on July 30, 2024, putting the company's pre-money valuation at $82 million. Booz Allen Ventures, Sands Capital, Decibel Partners, and AI Fund also participated in the round. The funds will be used to help enterprises advance the development of AI in a more responsible way.</t>
  </si>
  <si>
    <t>AI Fund, Booz Allen Ventures, CrimsoNox Capital, Decibel Partners, FPV Ventures, Mozilla Ventures, Sands Capital, Village Global</t>
  </si>
  <si>
    <t>AI Fund (www.aifund.ai), Decibel Partners (www.decibel.vc), FPV Ventures (www.fpvventures.com), Mozilla Ventures (www.mozilla.vc), Sands Capital (www.sandscapital.com), Village Global (www.villageglobal.vc)</t>
  </si>
  <si>
    <t>250774-66P</t>
  </si>
  <si>
    <t>Navrina Singh</t>
  </si>
  <si>
    <t>navrina@credo.ai</t>
  </si>
  <si>
    <t>195 Page Mill Road</t>
  </si>
  <si>
    <t>94306</t>
  </si>
  <si>
    <t>info@credo.ai</t>
  </si>
  <si>
    <t>Series A1</t>
  </si>
  <si>
    <t>Computing arrangements based on specific computational models, Electric digital data processing, Transmission of digital information</t>
  </si>
  <si>
    <t>432723-34</t>
  </si>
  <si>
    <t>MightyFly</t>
  </si>
  <si>
    <t>MightyFly Inc.</t>
  </si>
  <si>
    <t>Censys Technologies, Elroy Air</t>
  </si>
  <si>
    <t>Provider of logistics and supply chain services intended to serve medical, spare parts, mining, defense, remote and oil and gas industries. The company connects remote locations together with long-range and heavy cargo aircraft, as well as express, customized aerial drone delivery services, and provides rapid and efficient package transport, enabling clients with expedited deliveries that are cheaper and faster.</t>
  </si>
  <si>
    <t>Logistics</t>
  </si>
  <si>
    <t>Logistics*, Other Hardware</t>
  </si>
  <si>
    <t>Mobility Tech, Robotics and Drones, Supply Chain Tech</t>
  </si>
  <si>
    <t>advances air mobility, cargo aircraft service, cargo fleet, drone delivery, drones logistics, evtol logistics, last mile delivery, logistics service, logistics services, supply chain model</t>
  </si>
  <si>
    <t>www.mightyfly.com</t>
  </si>
  <si>
    <t>http://www.linkedin.com/company/mightyfly</t>
  </si>
  <si>
    <t>2021: 7, 2022: 9, 2023: 15, 2024: 15</t>
  </si>
  <si>
    <t>The company raised an undisclosed amount of seed funding from Calm Ventures on September 4, 2024.</t>
  </si>
  <si>
    <t>500 Global, At One Ventures, Boost VC, Calm Ventures, Global Founders Capital, Graph Ventures, Halogen Ventures, Michigan Economic Development, Plug and Play Tech Center, Side Door Ventures</t>
  </si>
  <si>
    <t>500 Global (500.co), At One Ventures (www.atoneventures.com), Boost VC (www.boost.vc), Calm Ventures (www.calmvc.com), Global Founders Capital (www.globalfounderscapital.com), Graph Ventures (www.graphventures.com), Halogen Ventures (www.halogenvc.com), Michigan Economic Development (www.michiganbusiness.org), Plug and Play Tech Center (www.plugandplaytechcenter.com), Side Door Ventures (www.sdv.vc)</t>
  </si>
  <si>
    <t>223835-14P</t>
  </si>
  <si>
    <t>Manal Habib</t>
  </si>
  <si>
    <t>manal@mightyfly.com</t>
  </si>
  <si>
    <t>+1 (617) 710-1764</t>
  </si>
  <si>
    <t>94107</t>
  </si>
  <si>
    <t>info@mightyflying.com</t>
  </si>
  <si>
    <t>Aeroplanes, Meteorology, Radio direction-finding, Weighing</t>
  </si>
  <si>
    <t>482794-84</t>
  </si>
  <si>
    <t>Mojito</t>
  </si>
  <si>
    <t>Mojito Inc.</t>
  </si>
  <si>
    <t>peaq, Crunch (Bengaluru), Niftory, Moralis, Theta Network, BitMinutes, Nefta, Atomic Form, Medallion (Media and Information Services (B2B)), Alchemy ( Software Development Applications), NiftyKit</t>
  </si>
  <si>
    <t>Operator of a Web3 engagement platform intended to increase revenue and customer engagement. The company specializes in providing a variety of features including minting Non-Fungible Tokens (NFT), accepting crypto payments, creating token-gated content, and offering redeemable NFTs, enabling businesses to capture new customer insights and build stronger relationships with their audience.</t>
  </si>
  <si>
    <t>Financial Software</t>
  </si>
  <si>
    <t>Business/Productivity Software, Financial Software*, Other Financial Services</t>
  </si>
  <si>
    <t>application infrastructure, brand identity, crypto payment, crypto-market, enablement platform and marketplace, loyalty and incentive, middleware, nft marketplace, nft products, web3 firm, web3 infra, web4</t>
  </si>
  <si>
    <t>www.getmojito.com</t>
  </si>
  <si>
    <t>http://www.linkedin.com/company/mojitoinc</t>
  </si>
  <si>
    <t>2022: 46, 2023: 45, 2024: 42</t>
  </si>
  <si>
    <t>The company raised $20 million of Series 1 seed funding in a deal led by Connect Ventures on October 21, 2021, putting the company's pre-money valuation at $80 million. Atypical Ventures and 8 other investors also participated in the round. The funds will be used to develop the company's engineering teams to continue building the Mojito platform and to create more partnerships to launch brand-specific non-fungible token (NFT) marketplaces that work differently from today's standard of Amazon and eBay-type platforms.</t>
  </si>
  <si>
    <t>Arca (Asset Management), Atypical Ventures, CMT Digital, Connect Ventures (Venture Capital), Creative Artists Agency, Fifth Down Capital, Future\Perfect Ventures, New Enterprise Associates, Sfermion, Sotheby's</t>
  </si>
  <si>
    <t>Arca (Asset Management) (www.ar.ca), Atypical Ventures (www.atypical.com), CMT Digital (cmt.digital), Connect Ventures (Venture Capital) (www.connectventures.com), Creative Artists Agency (www.caa.com), Fifth Down Capital (fifthdown.com), Future\Perfect Ventures (www.futureperfectventures.com), New Enterprise Associates (www.nea.com), Sfermion (www.sfermion.io), Sotheby's (www.sothebys.com)</t>
  </si>
  <si>
    <t>Latham &amp; Watkins(Legal Advisor)</t>
  </si>
  <si>
    <t>258095-80P</t>
  </si>
  <si>
    <t>Raakhee Miller</t>
  </si>
  <si>
    <t>Chief Executive Officer</t>
  </si>
  <si>
    <t>raakhee@getmojito.com</t>
  </si>
  <si>
    <t>1334 York Avenue</t>
  </si>
  <si>
    <t>10021</t>
  </si>
  <si>
    <t>Dentistry, Lime, magnesia</t>
  </si>
  <si>
    <t>169204-42</t>
  </si>
  <si>
    <t>Obsess</t>
  </si>
  <si>
    <t>Obsess, Inc.</t>
  </si>
  <si>
    <t>Developer of a virtual store platform designed to turn online shopping into an experience. The company's platform offers brands and retailers the to set up three 
 dimensional virtual store on their website, enabling businesses to provide immersive, contextual, and fully visual online shopping experiences to their customers.</t>
  </si>
  <si>
    <t>Artificial Intelligence &amp; Machine Learning, Augmented Reality, Mobile Commerce, Virtual Reality</t>
  </si>
  <si>
    <t>3d virtual, augmented reality shopping, ecommerce search, virtual platform, virtual reality shopping, virtual shopping platform, virtual store project</t>
  </si>
  <si>
    <t>www.obsessar.com</t>
  </si>
  <si>
    <t>http://www.linkedin.com/company/obsess</t>
  </si>
  <si>
    <t>2017: 2, 2020: 14, 2021: 27, 2022: 85, 2023: 94, 2024: 87</t>
  </si>
  <si>
    <t>The company raised an undisclosed amount of venture funding from Five Two Five in approximately June 2024.</t>
  </si>
  <si>
    <t>Alex Iskold, Asimov Ventures, Asper Group, Blue 9 Capital, Disney Accelerator, Five Two Five, Future Tech Labs, Great Wave Ventures, Joseph Marchione, Jump Capital, Lightspeed Venture Partners, New York Fashion Tech Lab, Orange Fab France, Plug and Play Tech Center, Right Side Capital Management, Springboard Enterprises, Startupbootcamp FashionTech, Techstars, TechU Ventures, The Venture Reality Fund, Vijay Ravindran, Village Global, WXR Venture Fund</t>
  </si>
  <si>
    <t>SAP.iO, Store No 8</t>
  </si>
  <si>
    <t>Alex Iskold (www.startuphacks.vc), Asimov Ventures (www.asimovventures.com), Asper Group (www.aspergroupllc.com), Blue 9 Capital (www.blue9capital.com), Disney Accelerator (www.disneyaccelerator.com), Five Two Five (www.525.vc), Future Tech Labs (ftlab.com), Great Wave Ventures (www.greatwave.vc), Jump Capital (jumpcap.com), Lightspeed Venture Partners (www.lsvp.com), New York Fashion Tech Lab (www.nyftlab.com), Orange Fab France (www.orangefab.com), Plug and Play Tech Center (www.plugandplaytechcenter.com), Right Side Capital Management (www.rightsidecapital.com), Springboard Enterprises (www.springboardenterprises.org), Startupbootcamp FashionTech (www.sbcfashiontech.com), Techstars (www.techstars.com), TechU Ventures (www.techuventures.com), The Venture Reality Fund (www.thevrfund.com), Village Global (www.villageglobal.vc), WXR Venture Fund (www.wxrfund.com)</t>
  </si>
  <si>
    <t>SAP.iO (www.sap.io), Store No 8 (www.storeno8.com)</t>
  </si>
  <si>
    <t>Chase Bank(General Business Banking)</t>
  </si>
  <si>
    <t>Cooley(Legal Advisor), Polsinelli(Legal Advisor)</t>
  </si>
  <si>
    <t>153061-21P</t>
  </si>
  <si>
    <t>Neha Singh</t>
  </si>
  <si>
    <t>neha@obsessvr.com</t>
  </si>
  <si>
    <t>+1 (512) 773-9568</t>
  </si>
  <si>
    <t>199 Bowery 3B</t>
  </si>
  <si>
    <t>10012</t>
  </si>
  <si>
    <t>contact@obsessar.com</t>
  </si>
  <si>
    <t>Image data processing or generation, in general, Information and communication technology [ict] specially adapted for administrative, commercial, financial, managerial or supervisory purposes</t>
  </si>
  <si>
    <t>464064-67</t>
  </si>
  <si>
    <t>Scheduler AI</t>
  </si>
  <si>
    <t>Get Together</t>
  </si>
  <si>
    <t>Get Together AI, Inc.</t>
  </si>
  <si>
    <t>WooSender, Calendly, x.ai, Chili Piper</t>
  </si>
  <si>
    <t>Developer of a scheduling application designed to schedule with a message. The company's application integrates AI into its NLP smart-scheduling technology which works in Slack, Microsoft Teams, and Discord, it engages warm leads, books meetings, monitors calendars, sends reminders, re-books instantly, and coordinates group follow-ups using patented AI technology, enabling sales and recruiting teams set and show more revenue-generating meetings to coordinate and collaborate easily.</t>
  </si>
  <si>
    <t>Business/Productivity Software*, Communication Software, Information Services (B2C)</t>
  </si>
  <si>
    <t>Artificial Intelligence &amp; Machine Learning, Big Data, Mobile, TMT</t>
  </si>
  <si>
    <t>calendaring software, digital calendar, schedule tracker, scheduling system, texting application, texting platform</t>
  </si>
  <si>
    <t>Private Equity, Venture Capital</t>
  </si>
  <si>
    <t>www.scheduler.ai</t>
  </si>
  <si>
    <t>http://www.linkedin.com/company/schedulerai</t>
  </si>
  <si>
    <t>2021: 2, 2022: 4, 2023: 8, 2024: 8</t>
  </si>
  <si>
    <t>The company raised $2.79 million through a Seed funding led by Drive Capital and participated by 500 Global and 11 Tribes Ventures on April 15, 2024, putting the company's pre-money valuation at $7.21 million. Stephen Wiehe, Launny Steffens, George Bell and Gregg Bell also participated in the round.</t>
  </si>
  <si>
    <t>11 Tribes Ventures, 500 Global, Drive Capital, George Bell, Gregg Bell, Launny Steffens, OCEAN Accelerator, Stephen Wiehe</t>
  </si>
  <si>
    <t>Main Street Ventures</t>
  </si>
  <si>
    <t>11 Tribes Ventures (www.11tribes.vc), 500 Global (500.co), Drive Capital (www.drivecapital.com), OCEAN Accelerator (www.oceanprograms.com)</t>
  </si>
  <si>
    <t>Main Street Ventures (mainstventures.org.au)</t>
  </si>
  <si>
    <t>UB Greensfelder(Legal Advisor)</t>
  </si>
  <si>
    <t>Google Cloud Platform(Software Provider), UB Greensfelder(Legal Advisor), Ulmer &amp; Berne(Legal Advisor)</t>
  </si>
  <si>
    <t>258915-70P</t>
  </si>
  <si>
    <t>Michael Bell</t>
  </si>
  <si>
    <t>Co-Founder, Chief Technology Officer &amp; President</t>
  </si>
  <si>
    <t>mike@scheduler.ai</t>
  </si>
  <si>
    <t>+1 (972) 953-5156</t>
  </si>
  <si>
    <t>Cincinnati, OH</t>
  </si>
  <si>
    <t>8380 Jeanette Lane</t>
  </si>
  <si>
    <t>Cincinnati</t>
  </si>
  <si>
    <t>Ohio</t>
  </si>
  <si>
    <t>45249</t>
  </si>
  <si>
    <t>hello@scheduler.ai</t>
  </si>
  <si>
    <t>483772-87</t>
  </si>
  <si>
    <t>Tokki</t>
  </si>
  <si>
    <t>Tokki LLC</t>
  </si>
  <si>
    <t>Operator of a gift wrap company intended to provide sustainable design for every customer's gifting moments. The company combines technology with elegant, reusable designs and utilizes reusable gift wraps as an environment-friendly way to wrap any type of gift, enabling customers to make their gifts cost-effective, eco-friendly and unforgettable.</t>
  </si>
  <si>
    <t>Other Consumer Durables</t>
  </si>
  <si>
    <t>Application Software, Other Consumer Durables*</t>
  </si>
  <si>
    <t>E-Commerce, Mobile</t>
  </si>
  <si>
    <t>corporate gifting platform, digital card, gift wrap product, gifting platform, online gift shop, sustainable gift</t>
  </si>
  <si>
    <t>shop.tokki.com</t>
  </si>
  <si>
    <t>http://www.linkedin.com/company/tokkigifting</t>
  </si>
  <si>
    <t>2021: 5, 2022: 3, 2023: 5</t>
  </si>
  <si>
    <t>The company raised an estimated $1.47 million of Seed funding from Graham &amp; Walker and other undisclosed investors on April 10, 2023, putting the company's pre-money valuation at $3.53 million. Previously, the company raised $201,990 of equity crowdfunding via StartEngine on March 8, 2023, putting the company's pre-money valuation at $20 million.</t>
  </si>
  <si>
    <t>Graham &amp; Walker</t>
  </si>
  <si>
    <t>Graham &amp; Walker (www.grahamwalker.com)</t>
  </si>
  <si>
    <t>StartEngine(Lead Manager or Arranger)</t>
  </si>
  <si>
    <t>281375-20P</t>
  </si>
  <si>
    <t>Jane Park</t>
  </si>
  <si>
    <t>janepark@tokki.com</t>
  </si>
  <si>
    <t>+1 (833) 468-6554</t>
  </si>
  <si>
    <t>2212 Queen Anne Avenue North</t>
  </si>
  <si>
    <t>Suite 619</t>
  </si>
  <si>
    <t>98109</t>
  </si>
  <si>
    <t>hello@tokki.com</t>
  </si>
  <si>
    <t>Equity Crowdfunding</t>
  </si>
  <si>
    <t>501215-32</t>
  </si>
  <si>
    <t>Trusli</t>
  </si>
  <si>
    <t>Sleegal</t>
  </si>
  <si>
    <t>Trusli Inc.</t>
  </si>
  <si>
    <t>Evisort, LinkSquares</t>
  </si>
  <si>
    <t>Developer of a no-code automation software designed to empower in-house legal teams at hyper-growth companies. The company's platform leverages large language models to empower in-house legal teams, it collects, extracts, and classifies data from clients for various business functions such as business, employment, immigration, and IP, enabling clients with affordable and reliable legal services.</t>
  </si>
  <si>
    <t>Automation/Workflow Software, Business/Productivity Software*, Legal Services (B2B)</t>
  </si>
  <si>
    <t>Artificial Intelligence &amp; Machine Learning, Big Data, Legal Tech</t>
  </si>
  <si>
    <t>contract automation, contract automation software, contract lifecycle management, contract system, generative ai, legal automation software, legal paperwork</t>
  </si>
  <si>
    <t>Generative AI, Contract Management Automation</t>
  </si>
  <si>
    <t>www.trusli.com</t>
  </si>
  <si>
    <t>http://www.linkedin.com/company/trusli</t>
  </si>
  <si>
    <t>2020: 2, 2021: 3, 2022: 12, 2023: 17, 2024: 20</t>
  </si>
  <si>
    <t>The company raised $150,000 of seed funding from Plug and Play Tech Center on September 29, 2023.</t>
  </si>
  <si>
    <t>Plug and Play Tech Center, Rackhouse Venture Capital, Tarun Raisoni, UpHonest Capital</t>
  </si>
  <si>
    <t>Plug and Play Tech Center (www.plugandplaytechcenter.com), Rackhouse Venture Capital (www.rackhouse.vc), UpHonest Capital (www.uphonestcapital.com)</t>
  </si>
  <si>
    <t>308125-18P</t>
  </si>
  <si>
    <t>Gloria Yi Qiao</t>
  </si>
  <si>
    <t>gloria@trusli.com</t>
  </si>
  <si>
    <t>+1 (919) 699-9716</t>
  </si>
  <si>
    <t>Middletown, DE</t>
  </si>
  <si>
    <t>651 North Broad Street</t>
  </si>
  <si>
    <t>Suite 205 Number 3522</t>
  </si>
  <si>
    <t>Middletown</t>
  </si>
  <si>
    <t>Delaware</t>
  </si>
  <si>
    <t>19709</t>
  </si>
  <si>
    <t>info@trusli.com</t>
  </si>
  <si>
    <t>Capitalization</t>
  </si>
  <si>
    <t>433312-93</t>
  </si>
  <si>
    <t>AbstractOps</t>
  </si>
  <si>
    <t>The Abstract Operations Company</t>
  </si>
  <si>
    <t>Developer of state compliance software designed to reduce stress, uncertainty, and financial risk. The company's system automates payroll and entity registrations and compliance management, provides actionable task notifications, performs risk assessments, and gives alerts, enabling organizations to streamline and simplify legal back-end tasks.</t>
  </si>
  <si>
    <t>Automation/Workflow Software, Business/Productivity Software*, Financial Software</t>
  </si>
  <si>
    <t>Legal Tech, TMT</t>
  </si>
  <si>
    <t>back office automation, bill payment, compliance data, compliance management system, contract lifecycle management, legal registration, risk assessment</t>
  </si>
  <si>
    <t>www.abstractops.com</t>
  </si>
  <si>
    <t>http://www.linkedin.com/company/abstractops</t>
  </si>
  <si>
    <t>2021: 23, 2022: 47, 2023: 25</t>
  </si>
  <si>
    <t>The company raised an undisclosed amount of venture funding from The MBA Fund in approximately October 2023.</t>
  </si>
  <si>
    <t>8VC, Abad Capital, Accomplice VC, Altun Capital, Bossa Invest, Craft Ventures, Deepwater Asset Management, Earl Grey Capital, Hustle Fund, Not Boring, Outsiders Fund, Oyster Ventures, South Park Commons, The MBA Fund, Transmedia Capital, Tribe Capital, Vibe Capital</t>
  </si>
  <si>
    <t>8VC (www.8vc.com), Abad Capital (www.abadcapital.com), Accomplice VC (www.accomplice.co), Altun Capital (altuncapital.com), Bossa Invest (www.bossainvest.com), Craft Ventures (www.craftventures.com), Deepwater Asset Management (www.deepwatermgmt.com), Earl Grey Capital (earlgrey.capital), Hustle Fund (www.hustlefund.vc), Not Boring (www.notboring.co), Outsiders Fund (www.outsidersfund.com), Oyster Ventures (Oyster.vc), South Park Commons (www.southparkcommons.com), The MBA Fund (www.thembafund.com), Transmedia Capital (www.transmediacapital.com), Tribe Capital (www.tribecap.co), Vibe Capital (www.vibe.vc)</t>
  </si>
  <si>
    <t>372924-55P</t>
  </si>
  <si>
    <t>Kristin Bass</t>
  </si>
  <si>
    <t>kristin@abstractops.com</t>
  </si>
  <si>
    <t>+1 (415) 906-6990</t>
  </si>
  <si>
    <t>Miami, FL</t>
  </si>
  <si>
    <t>390 Northeast 191st Street</t>
  </si>
  <si>
    <t>Suite 8018</t>
  </si>
  <si>
    <t>Miami</t>
  </si>
  <si>
    <t>33179</t>
  </si>
  <si>
    <t>hello@abstractops.com</t>
  </si>
  <si>
    <t>454893-49</t>
  </si>
  <si>
    <t>Change</t>
  </si>
  <si>
    <t>GetChange Corp.</t>
  </si>
  <si>
    <t>Fluxx (San Francisco), Bright Funds, Network for Good, SofterWare, Unit4, Bitrix24, Bloomerang, Salesforce, Bonterra, SmartSimple Software, Community Funded, Salsa Labs, Kindful, MobileCause, StratusLIVE, Ellucian, iDonate, Sycamore Education, WealthEngine, Benevity, Act-On Software, Causemo Insights, Blackbaud, Kinetic Growth (California), Foundant Technologies, roundCorner, DoJiggy</t>
  </si>
  <si>
    <t>Operator of a donation platform designed to streamline regulations, donations, and analytics. The company's platform offers donation processing, curated non-profits, real-time analytics, and shareable content, enabling brands to drive a measurable impact by personalizing their content.</t>
  </si>
  <si>
    <t>Business/Productivity Software*, Financial Software</t>
  </si>
  <si>
    <t>Mobile, SaaS</t>
  </si>
  <si>
    <t>crm, customer relationship management, donation infrastructure, donation platform, financial software, shareable content, social engagement software, social impact platform, social impact service</t>
  </si>
  <si>
    <t>www.getchange.io</t>
  </si>
  <si>
    <t>http://www.linkedin.com/company/change-giving-experiences</t>
  </si>
  <si>
    <t>2020: 2, 2021: 39, 2022: 50</t>
  </si>
  <si>
    <t>The company raised $5.71 million of seed funding in a deal led by New Enterprise Associates and Freestyle Capital on May 27, 2022, putting the company's pre-money valuation at $14 million. Alchemy Inc. and 5 other investors also participated in the round. The funds will be used to double the company's team size to six people by the end of the year</t>
  </si>
  <si>
    <t>Alchemy Inc., Dapper Labs, Ellis Capital, Freestyle Capital, GC&amp;H Investments, Human Ventures, New Enterprise Associates, Shrug Capital, Solana (Investor), Spice Capital</t>
  </si>
  <si>
    <t>Alchemy Inc. (alchemyequities.com.au), Dapper Labs (www.dapperlabs.com), Ellis Capital (www.elliscapital.net), Freestyle Capital (www.freestyle.vc), Human Ventures (www.human.vc), New Enterprise Associates (www.nea.com), Shrug Capital (www.shrug.vc), Solana (Investor) (www.solanacapital.com.br), Spice Capital (www.spicecapital.xyz)</t>
  </si>
  <si>
    <t>247992-31P</t>
  </si>
  <si>
    <t>Amar Shah</t>
  </si>
  <si>
    <t>Co-Founder, President &amp; Board Member</t>
  </si>
  <si>
    <t>amar@getchange.io</t>
  </si>
  <si>
    <t>+1 (650) 450-1509</t>
  </si>
  <si>
    <t>548 Market Street</t>
  </si>
  <si>
    <t>94104-5401</t>
  </si>
  <si>
    <t>hello@getchange.io</t>
  </si>
  <si>
    <t>232190-47</t>
  </si>
  <si>
    <t>Dynam.AI</t>
  </si>
  <si>
    <t>Dynam.AI, Inc.</t>
  </si>
  <si>
    <t>Developer of artificial intelligence and machine learning platform designed to provide tailored services to businesses. The company's platform processes apply time-series data algorithms to address complex business challenges through prediction, forecasting, detection, and recommendations, enabling businesses to adopt prediction accuracy and transform their data into valuable business assets.</t>
  </si>
  <si>
    <t>Business/Productivity Software, Consulting Services (B2B), IT Consulting and Outsourcing, Media and Information Services (B2B), Software Development Applications*</t>
  </si>
  <si>
    <t>ai automation platform, business assets, consulting firm, content optimization services, forecasting model, forecasting tool, machine learning algorithms, prediction accuracy, vertical application</t>
  </si>
  <si>
    <t>www.dynam.ai</t>
  </si>
  <si>
    <t>http://www.linkedin.com/company/dynam-ai</t>
  </si>
  <si>
    <t>2021: 13, 2022: 20, 2023: 11</t>
  </si>
  <si>
    <t>The company raised $1 million of venture funding from Charles &amp; Potomac Capital on July 22, 2022, putting the company's pre-money valuation at $10 million.</t>
  </si>
  <si>
    <t>Analytics Ventures, Charles &amp; Potomac Capital, Ondas Holdings, San Diego Regional Economic Development Corporation</t>
  </si>
  <si>
    <t>Analytics Ventures (www.analyticsventures.com), Charles &amp; Potomac Capital (www.charles-potomac-capital.com), Ondas Holdings (www.ondas.com), San Diego Regional Economic Development Corporation (www.sandiegobusiness.org)</t>
  </si>
  <si>
    <t>266641-84P</t>
  </si>
  <si>
    <t>Mike Luther</t>
  </si>
  <si>
    <t>+1 (619) 566-8068</t>
  </si>
  <si>
    <t>9528 Miramar Road</t>
  </si>
  <si>
    <t>Private Mail Box 4037</t>
  </si>
  <si>
    <t>92126</t>
  </si>
  <si>
    <t>info@dynam.ai</t>
  </si>
  <si>
    <t>Computing arrangements based on specific computational models, Image data processing or generation, in general, Pictorial communication</t>
  </si>
  <si>
    <t>464161-60</t>
  </si>
  <si>
    <t>eddii</t>
  </si>
  <si>
    <t>eddii, Inc.</t>
  </si>
  <si>
    <t>Developer of a health tracking application designed to motivate everyone living with diabetes to record their wellness daily and adhere to healthy routines. The company's application offers a virtual in-app character designed to engage people living with diabetes to track and record their health through gamification and witty conversations, providing users with helpful tips in the form of a weekly report, and also rewards healthy practices and performance through in-app rewards.</t>
  </si>
  <si>
    <t>Application Software*, Other Healthcare Services</t>
  </si>
  <si>
    <t>Digital Health, Mobile</t>
  </si>
  <si>
    <t>diabetes tracking application, health management application, health tracking, healthcare app, medication record, virtual application</t>
  </si>
  <si>
    <t>www.eddiihealth.com</t>
  </si>
  <si>
    <t>http://www.linkedin.com/company/eddiihealth</t>
  </si>
  <si>
    <t>2022: 3, 2023: 7, 2024: 9</t>
  </si>
  <si>
    <t>The company raised $2.50 million of seed funding in a deal led by Kapor Capital on August 2, 2023, putting the company's pre-money valuation at $11 million. StartUp Health, MedMountain Ventures, Alumni Ventures, and Atento Capital also participated in the round. The funds will be used to gamify Real-Time Glucose Data.</t>
  </si>
  <si>
    <t>Alumni Ventures, Atento Capital, Kapor Capital, MedMountain Ventures, StartUp Health</t>
  </si>
  <si>
    <t>Alumni Ventures (www.av.vc), Atento Capital (www.atentocapital.com), Kapor Capital (www.kaporcapital.com), MedMountain Ventures (www.mmv.vc), StartUp Health (www.startuphealth.com)</t>
  </si>
  <si>
    <t>259188-85P</t>
  </si>
  <si>
    <t>Farhaneh Ahmadi</t>
  </si>
  <si>
    <t>farhaneh@eddiihealth.com</t>
  </si>
  <si>
    <t>+1 (857) 999-6369</t>
  </si>
  <si>
    <t>153 West 27th Street</t>
  </si>
  <si>
    <t>Suite 700</t>
  </si>
  <si>
    <t>10001</t>
  </si>
  <si>
    <t>info@eddiihealth.com</t>
  </si>
  <si>
    <t>Other - $0.05M</t>
  </si>
  <si>
    <t>Electric digital data processing, Healthcare informatics</t>
  </si>
  <si>
    <t>458627-59</t>
  </si>
  <si>
    <t>EMTECH</t>
  </si>
  <si>
    <t>EMTECH Solutions Inc.</t>
  </si>
  <si>
    <t>Data Dynamics (New Jersey), Xignite</t>
  </si>
  <si>
    <t>Developer of a cloud-based software designed to provide central banks with scalable and resilient digital infrastructure. The company offers digital regulatory sandboxes for multi-party collaborative workflows, digital cash, and digital currency integrators for cross-border integration among others, enabling central banks to modernize operations and improve efficiency.</t>
  </si>
  <si>
    <t>Business/Productivity Software, Financial Software*</t>
  </si>
  <si>
    <t>CloudTech &amp; DevOps, FinTech, SaaS</t>
  </si>
  <si>
    <t>api-first, application infrastructure, cross-border payments, currency management, digital cash system, digital currency software, enterprise payment, financial ecosystem, financial ecosystem network, financial services, financial software tools, fintech firm, fx</t>
  </si>
  <si>
    <t>www.emtech.com</t>
  </si>
  <si>
    <t>http://www.linkedin.com/company/emtechsolutionsinc</t>
  </si>
  <si>
    <t>2021: 6, 2023: 28, 2024: 20</t>
  </si>
  <si>
    <t>The company raised $9.78 million of seed funding in a deal led by Z47 on August 3, 2023. Level Up Ventures and 20 other investors also participated in the round. The funds will be used to fuel the ongoing development of the company's infrastructure tools for central banks and fintech companies.</t>
  </si>
  <si>
    <t>500 Global, 500 Startups LatAm, Accenture Ventures, Alumni Ventures, ASVC, Black Tech Nation Ventures, Canaan Partners, Claes-Henrik Julander, Collide Capital, Consonance (Lagos), Equity Alliance, Gilgamesh Ventures, Level Up Ventures, LoftyInc Capital Management, NetX (New Zealand), Noemis Ventures, Octerra Capital, Realm Capital Ventures, Serac Ventures, Starttech Ventures, VestedWorld, XFactor Ventures, Z47</t>
  </si>
  <si>
    <t>500 Global (500.co), 500 Startups LatAm (latam.500.co), Alumni Ventures (www.av.vc), ASVC (www.asvc.co), Black Tech Nation Ventures (www.btn.vc), Canaan Partners (www.canaan.com), Collide Capital (www.collidecap.com), Consonance (Lagos) (www.consonanceinvest.com), Equity Alliance (www.equityalliance.fund), Gilgamesh Ventures (gilgamesh.wpengine.com), Level Up Ventures (www.levelupventures.com), LoftyInc Capital Management (www.loftyinc.vc), NetX (New Zealand) (www.netx.fund), Noemis Ventures (www.noemisventures.com), Octerra Capital (www.octerracapital.com), Realm Capital Ventures (www.realmcapitalventures.com), Serac Ventures (www.seracventures.vc), Starttech Ventures (www.starttech.vc), VestedWorld (www.vestedworld.com), XFactor Ventures (www.xfactor.ventures), Z47 (www.z47.com)</t>
  </si>
  <si>
    <t>250296-40P</t>
  </si>
  <si>
    <t>Carmelle Cadet</t>
  </si>
  <si>
    <t>carmelle@futuremtech.com</t>
  </si>
  <si>
    <t>+1 (908) 312-0195</t>
  </si>
  <si>
    <t>1463 5th Avenue</t>
  </si>
  <si>
    <t>10027</t>
  </si>
  <si>
    <t>info@emtech.com</t>
  </si>
  <si>
    <t>460073-35</t>
  </si>
  <si>
    <t>Fireside Chat</t>
  </si>
  <si>
    <t>Fireside</t>
  </si>
  <si>
    <t>Fireside Chat Inc.</t>
  </si>
  <si>
    <t>Developer of a next-generation podcast platform intended for creators to bring the audience into the story through live, interactive, virtual shows. The company's platform is made for podcasting and conversing with listeners through said podcasts, enabling podcast hosts to distribute shows everywhere with the click of a button, understand what their audiences want more of with sophisticated analytics, and connect with those audiences in real-time.</t>
  </si>
  <si>
    <t>Broadcasting, Radio and Television, Social/Platform Software*</t>
  </si>
  <si>
    <t>AudioTech</t>
  </si>
  <si>
    <t>creators platform, entertainment platform, entertainment software, interactive entertainment, podcast software, podcast technology, podcast tools, podcasting platform, social software</t>
  </si>
  <si>
    <t>www.firesidechat.com</t>
  </si>
  <si>
    <t>http://www.linkedin.com/company/fireside</t>
  </si>
  <si>
    <t>2021: 20, 2022: 44</t>
  </si>
  <si>
    <t>The company raised $25 million of Series AA venture funding from PivotNorth Capital, Simon Sports, and Gaingels on September 18, 2024. The funds will be used to expand the company, as well as broaden and accelerate product development. Gaingels also invested in this round.</t>
  </si>
  <si>
    <t>10X Capital, Animal Capital, Aria Emiko (Investment), Baron Davis, Chris Voss, First Check Ventures, Florida Funders, Gaingels, Goodwater Capital, HBSE Ventures, Kelvin Beachum, LFG Ventures (VC), Mantis VC, Mark Cuban, North West Quadrant Ventures, Notre Dame Venture Capital, Paris Hilton, PivotNorth Capital, Precursor Ventures, Rabil Ventures, Red Beard Ventures, Sanat Rao, Simon Sports, Singularity Capital, SLVC, Sujay Jaswa, The Chainsmokers, Translink Investment, WillowTree Investments</t>
  </si>
  <si>
    <t>10X Capital (www.10xcapital.com), Animal Capital (www.animalcapital.com), Aria Emiko (Investment) (www.ariaemiko.com), First Check Ventures (www.firstcheckventures.com), Florida Funders (www.floridafunders.com), Gaingels (www.gaingels.com), Goodwater Capital (www.goodwatercap.com), HBSE Ventures (www.hbse.vc), LFG Ventures (VC) (www.lfgventures.com), Mantis VC (www.mantisvc.com), Mark Cuban (markcubancompanies.com), North West Quadrant Ventures (www.nwqventures.com), Notre Dame Venture Capital (www.ndventurecapital.com), PivotNorth Capital (www.pivotnorth.com), Precursor Ventures (precursorvc.com), Rabil Ventures (rabilventures.com), Red Beard Ventures (redbeard.ventures), Simon Sports (www.simonsports.com), Singularity Capital (singularitycapital.us), SLVC (www.slvcap.com), The Chainsmokers (thechainsmokers.com), Translink Investment (www.translink.kr), WillowTree Investments (www.willowtree.vc)</t>
  </si>
  <si>
    <t>128444-95P</t>
  </si>
  <si>
    <t>Falon Fatemi</t>
  </si>
  <si>
    <t>falon@firesidechat.com</t>
  </si>
  <si>
    <t>+1 (415) 524-4299</t>
  </si>
  <si>
    <t>Milpitas, CA</t>
  </si>
  <si>
    <t>1525 McCarthy Boulevard</t>
  </si>
  <si>
    <t>Suite 1157</t>
  </si>
  <si>
    <t>Milpitas</t>
  </si>
  <si>
    <t>95035</t>
  </si>
  <si>
    <t>+1 (650) 446-4505</t>
  </si>
  <si>
    <t>hello@firesidechat.com</t>
  </si>
  <si>
    <t>Series AA</t>
  </si>
  <si>
    <t>Pictorial communication</t>
  </si>
  <si>
    <t>226161-19</t>
  </si>
  <si>
    <t>Goalsetter</t>
  </si>
  <si>
    <t>iSow</t>
  </si>
  <si>
    <t>Students of Wealth, Inc.</t>
  </si>
  <si>
    <t>Mozper, UNest, Gohenry, Jassby, Spriggy Schools, Monzo, BusyKid, Pockit, Monese, Step, EarnIn, Qapital, Greenlight Financial Technology, Osper, Cleo, Qonto, albo, Chip, Revolut, Raisin, Wingocard, Chime, Plum (Financial Software), Squirrel Financial Wellbeing, Moneybox, Digit (Financial Software), Bnext, Dwolla, Kontist, Fondeadora, Acorns, Current (Commercial Banks), Z1, Soldo, GreenLight, Famzoo</t>
  </si>
  <si>
    <t>Operator of a goal-based savings and gifting platform intended to help kids and teens finance through games, memes, and pop culture. The company's platform facilitates the automatic deposit of a set amount every week or every month and offers debit cards with parental controls, and financial literacy quizzes, enabling young generations to make informed decisions and gain their saving goals seamlessly.</t>
  </si>
  <si>
    <t>Financial Software*, Information Services (B2C), Other Financial Services</t>
  </si>
  <si>
    <t>allowance management application, financial literacy, financial savings, financial savings management, financial savings platform, personal financial management, savings application, savings platform, wealthtech, youth banking</t>
  </si>
  <si>
    <t>Youth Banking</t>
  </si>
  <si>
    <t>www.goalsetter.co</t>
  </si>
  <si>
    <t>http://www.linkedin.com/company/goalsetter</t>
  </si>
  <si>
    <t>2021: 35, 2023: 24</t>
  </si>
  <si>
    <t>The company raised $24.6 million of Series A venture funding in a deal led by MassMutual Financial Group and Seae Ventures on March 25, 2024, putting the company's pre-money valuation at $43.4 million. Fiserv and 20 other investors also participated in the round. The funds will be used by the company to enhance our B2B offerings and forge stronger partnerships with credit unions, banks, and wealth management institutions, expanding our reach and impact to ensure that the next generation can grow into savvy savers and investors.</t>
  </si>
  <si>
    <t>AARP Innovation Labs, Amber Sabathia, Andre Drummond, Anthony Anderson, Astia, Backstage Capital, Baron Davis, Captain Partners, Carmelo Anthony, CC Sabathia, Chris Paul, Citizens Financial Group, Edward Jones, Elevate Capital, Entrepreneurs Roundtable Accelerator, Fearless Fund, Financial Health Network, Financial Solutions Lab, FinTech Innovation Lab, FintechNext Ventures, Fiserv, Kevin Durant, Lance Gross, MassChallenge, MassMutual Financial Group, MassMutual Impact Investing, MasterCard, Morgan Stanley Inclusive Ventures Lab, Northwestern Mutual Future Ventures, Partnership Fund for New York City, Pipeline Angels, PNC, Portfolia, Quesnay, Remarkable Ventures, Reseda Group, RGAx, Robert Smith, Ryan Bathe, Seae Ventures, StartX (US), Sterling Brown, Sterling National Bank, The Players Impact, Thirty Five Ventures, TruStage, TruStage Ventures, U.S. Bank, Webster Financial</t>
  </si>
  <si>
    <t>AARP Innovation Labs (www.aarpinnovationlabs.org), Astia (www.astia.org), Backstage Capital (www.backstagecapital.com), Captain Partners (www.captainpartners.com), Chris Paul (chrispaul3.com), Citizens Financial Group (www.citizensbank.com), Edward Jones (www.edwardjones.com), Elevate Capital (www.elevate.vc), Entrepreneurs Roundtable Accelerator (www.eranyc.com), Fearless Fund (www.fearless.fund), Financial Health Network (finhealthnetwork.org), Financial Solutions Lab (finlab.finhealthnetwork.org), FinTech Innovation Lab (www.fintechinnovationlab.com), FintechNext Ventures (www.fintechnextventures.com), Fiserv (www.fiserv.com), MassChallenge (www.masschallenge.org), MassMutual Financial Group (www.massmutual.com), MasterCard (www.mastercard.us), Northwestern Mutual Future Ventures (venture.northwesternmutual.com/future-ventures.html), Partnership Fund for New York City (www.partnershipfundnyc.org), Pipeline Angels (www.pipelineangels.com), PNC (www.pnc.com), Portfolia (www.portfolia.co), Quesnay (www.quesnays.com), Remarkable Ventures (www.remarkable.vc), Reseda Group (www.resedagroup.com), RGAx (www.rgax.com), Seae Ventures (www.seaeventures.com), StartX (US) (web.startx.com), Sterling National Bank (www.snb.com), The Players Impact (www.theplayersimpact.com), Thirty Five Ventures (35v.tv), TruStage (www.trustage.com), TruStage Ventures (www.cmfgventures.com), U.S. Bank (www.usbank.com), Webster Financial (www.websterbank.com)</t>
  </si>
  <si>
    <t>145375-39P</t>
  </si>
  <si>
    <t>Tanya Court</t>
  </si>
  <si>
    <t>tanya@goalsetter.co</t>
  </si>
  <si>
    <t>+1 (614) 777-1244</t>
  </si>
  <si>
    <t>266 Decatur Street</t>
  </si>
  <si>
    <t>2nd Floor, Brooklyn</t>
  </si>
  <si>
    <t>11233</t>
  </si>
  <si>
    <t>+1 (212) 296-5624</t>
  </si>
  <si>
    <t>hello@goalsetter.co</t>
  </si>
  <si>
    <t>Coating metallic material</t>
  </si>
  <si>
    <t>264643-93</t>
  </si>
  <si>
    <t>Labby</t>
  </si>
  <si>
    <t>Labby, Inc.</t>
  </si>
  <si>
    <t>Tellspec, SomaDetect</t>
  </si>
  <si>
    <t>Developer of an artificial intelligence-enabled optical sensing technology designed for testing raw milk on the farm. The company's advanced mobile spectroscopy uses light scattering, absorption, and fluorescence to determine milk composition simultaneously, as well as offers counterfeit detection, and quality control, and provides virtual brewmaster, enabling farmers and dairy processors to make informed decisions with accurate tests for milk composition.</t>
  </si>
  <si>
    <t>Business/Productivity Software, Electronic Equipment and Instruments*, Media and Information Services (B2B)</t>
  </si>
  <si>
    <t>AgTech, Artificial Intelligence &amp; Machine Learning, FoodTech</t>
  </si>
  <si>
    <t>ag biotech, agriculture technology, animal biotech, animal biotechnology, foodtech ai, industrial iot, milk testing, optical sensing, optical sensing application, optical sensing system, optical sensing technology, precision livestock technology</t>
  </si>
  <si>
    <t>AI in Foodtech</t>
  </si>
  <si>
    <t>www.labbyinc.com</t>
  </si>
  <si>
    <t>http://www.linkedin.com/company/labby</t>
  </si>
  <si>
    <t>2020: 5, 2022: 3, 2023: 5, 2024: 7</t>
  </si>
  <si>
    <t>The company joined NextCorps Luminate. on May 10, 2023 and received $50,000 in funding. Previously, the The company joined Grow NY in 2022 and received $250,000 in grant funding. Prior to that, the company joined Luminate NY Accelerator's 6th Cohort on March 13, 2023 and received $100,000 in funding in the form of convertible debt.</t>
  </si>
  <si>
    <t>ABS Global, AgriTech Capital (US), Azul Ocean Ventures, Dean's Dairy, E14 Fund, Grow NY, MassChallenge, National Science Foundation, NextCorps Luminate, Semapa Next, SPIE Startup Challenge, Techstars</t>
  </si>
  <si>
    <t>ABS Global (www.absglobal.com), AgriTech Capital (US) (www.agritechcapital.com), Azul Ocean Ventures (www.azulvc.com), Dean's Dairy (www.dfamilk.com), E14 Fund (www.e14.vc), Grow NY (www.grow-ny.com), MassChallenge (www.masschallenge.org), National Science Foundation (nsf.gov), NextCorps Luminate (www.luminate.org), Semapa Next (www.semapanext.com), SPIE Startup Challenge (spie.org/industry-resources/industry-events/spie-startup-challenge), Techstars (www.techstars.com)</t>
  </si>
  <si>
    <t>207637-21P</t>
  </si>
  <si>
    <t>Julia Somerdin</t>
  </si>
  <si>
    <t>julia@labbyinc.com</t>
  </si>
  <si>
    <t>+1 (781) 801-8971</t>
  </si>
  <si>
    <t>Cambridge, MA</t>
  </si>
  <si>
    <t>700 Massachusetts Avenue</t>
  </si>
  <si>
    <t>3rd Floor</t>
  </si>
  <si>
    <t>Cambridge</t>
  </si>
  <si>
    <t>Massachusetts</t>
  </si>
  <si>
    <t>02139</t>
  </si>
  <si>
    <t>hello@labbyinc.com</t>
  </si>
  <si>
    <t>Investigating or analysing materials by determining their chemical or physical properties</t>
  </si>
  <si>
    <t>483639-94</t>
  </si>
  <si>
    <t>Locker (Social/Platform Software)</t>
  </si>
  <si>
    <t>Locker 2.0, Inc.</t>
  </si>
  <si>
    <t>Developer of a website extension and social shopping platform intended to help customers organize their online shopping favorites and essentials in one place. The company's platform helps to organize all the fashion collections that were saved based on occasion or style, share those collections with friends and even recommend those perfect pieces to a friend when shopping online, enabling users to revolutionize their online shopping by saving their favorites across hundreds of brand websites.</t>
  </si>
  <si>
    <t>Application Software, Information Services (B2C), Social/Platform Software*</t>
  </si>
  <si>
    <t>online social shopping, social shopping app, social shopping platform, social shopping software, web extensions, website extensions</t>
  </si>
  <si>
    <t>www.wantlocker.com</t>
  </si>
  <si>
    <t>http://www.linkedin.com/company/wantlocker</t>
  </si>
  <si>
    <t>The company raised $2.5 million of seed funding from Wonder Ventures and other undisclosed investors in approximately January 2024.</t>
  </si>
  <si>
    <t>Wonder Ventures</t>
  </si>
  <si>
    <t>Wonder Ventures (www.wondervc.com)</t>
  </si>
  <si>
    <t>281061-73P</t>
  </si>
  <si>
    <t>Kristine Locker</t>
  </si>
  <si>
    <t>kristine@wantlocker.com</t>
  </si>
  <si>
    <t>+1 (818) 956-8800</t>
  </si>
  <si>
    <t>Glendale, CA</t>
  </si>
  <si>
    <t>601 East Glenoaks Boulevard</t>
  </si>
  <si>
    <t>Suite 200</t>
  </si>
  <si>
    <t>Glendale</t>
  </si>
  <si>
    <t>91207</t>
  </si>
  <si>
    <t>info@wantlocker.com</t>
  </si>
  <si>
    <t>519206-50</t>
  </si>
  <si>
    <t>RiskQ</t>
  </si>
  <si>
    <t>Cyber Innovative Technologies, Evans Resource Group</t>
  </si>
  <si>
    <t>RiskQ Inc.</t>
  </si>
  <si>
    <t>Kovrr, RiskLens, BitSight</t>
  </si>
  <si>
    <t>Developer of a cyber risk quantification platform designed to decipher risk details in financial language. The company's platform utilizes business intelligence and analytics to provide ransomware strategy, gap analysis of cyber controls, vulnerability remediation priorities, roadmaps, and regulatory compliance, enabling clients to increase cyber resilience.</t>
  </si>
  <si>
    <t>Business/Productivity Software, Network Management Software*</t>
  </si>
  <si>
    <t>Cybersecurity</t>
  </si>
  <si>
    <t>business analytics, business intelligence, cyber control, cyber risk management, cyber risk quantification, financial language, quantification platform, ransomware detection, regulatory compliance, vulnerability remediation</t>
  </si>
  <si>
    <t>www.risk-q.com</t>
  </si>
  <si>
    <t>http://www.linkedin.com/company/riskq</t>
  </si>
  <si>
    <t>2019: 4, 2023: 18, 2024: 17</t>
  </si>
  <si>
    <t>The company is in the process of raising $1.5 million of Series 1 venture funding from Randal Milch, Michel Weiss and Coryn Carson as of September 1, 2024, putting the company's pre-money valuation at $10 million. Other undisclosed investors are also participating in the round. It plans to close the round by January 31, 2025. Previously, the company raised $1.3 million of Series A venture funding from Vince Stewart, Randal Milch and Juergen Meffert in 2022. Anastassia Lauterbach, Tom Mannings and other undisclosed investors also participated in the round. The company is being actively tracked by PitchBook.</t>
  </si>
  <si>
    <t>Anastassia Lauterbach, Coryn Carson, Juergen Meffert, Michel Weiss, Randal Milch, Thomas Manning, Vince Stewart</t>
  </si>
  <si>
    <t>151500-88P</t>
  </si>
  <si>
    <t>Ariel Evans</t>
  </si>
  <si>
    <t>ariel@risk-q.com</t>
  </si>
  <si>
    <t>+1 (888) 510-1568</t>
  </si>
  <si>
    <t>66 West Flagler Street</t>
  </si>
  <si>
    <t>Suite 900</t>
  </si>
  <si>
    <t>33130</t>
  </si>
  <si>
    <t>info@risk-q.com</t>
  </si>
  <si>
    <t>Expected 27-May-2029</t>
  </si>
  <si>
    <t>491754-16</t>
  </si>
  <si>
    <t>Seek</t>
  </si>
  <si>
    <t>Seek AI Inc.</t>
  </si>
  <si>
    <t>Hebbia, Homesearch, Toptal, Vibe HCM, BambooHR, Jibe(Human Capital Services), Namely, Beyond Limits, Personio, RecruitLoop, Jobvite, Appcast, Cornerstone OnDemand, SyncHR, You.com, Urchin Software, Firebase</t>
  </si>
  <si>
    <t>Developer of data analytics platform designed to solve data bottleneck problems in organizations. The company's platform uses artificial intelligence to reduce human error and inefficiencies from the organization's data team, enabling organizations to deliver projects in less time at a reduced cost.</t>
  </si>
  <si>
    <t>ai automation platform, analytics &amp; business intelligence, analytics and business intelligence, analytics platform, artificial intelligence, data analytics platform, data ecosystem, data feed, generative ai, insightful data, insights system</t>
  </si>
  <si>
    <t>www.seek.ai</t>
  </si>
  <si>
    <t>http://www.linkedin.com/company/seekai</t>
  </si>
  <si>
    <t>2022: 13, 2023: 24, 2024: 31</t>
  </si>
  <si>
    <t>The company raised $2 million of venture funding from undisclosed investors on August 8, 2024.</t>
  </si>
  <si>
    <t>ARC Angel Fund, Battery Ventures, Conviction Partners, Differential Ventures, Function (Miami), Mustafa Suleyman, NJP Ventures, Plug and Play Tech Center, Robert Muglia, Tristan Handy</t>
  </si>
  <si>
    <t>ARC Angel Fund (www.arcangelfund.com), Battery Ventures (www.battery.com), Conviction Partners (conviction.com), Differential Ventures (www.differential.vc), Function (Miami) (www.function.vc), NJP Ventures (www.njpventures.com), Plug and Play Tech Center (www.plugandplaytechcenter.com)</t>
  </si>
  <si>
    <t>Reitler Kailas &amp; Rosenblatt(Legal Advisor)</t>
  </si>
  <si>
    <t>291812-23P</t>
  </si>
  <si>
    <t>Sarah Nagy</t>
  </si>
  <si>
    <t>sarah@seekwhatmatters.com</t>
  </si>
  <si>
    <t>+1 (650) 268-4404</t>
  </si>
  <si>
    <t>145 6th Avenue</t>
  </si>
  <si>
    <t>Floor 7</t>
  </si>
  <si>
    <t>10019</t>
  </si>
  <si>
    <t>info@seek.ai</t>
  </si>
  <si>
    <t>234370-00</t>
  </si>
  <si>
    <t>Swarm Vision</t>
  </si>
  <si>
    <t>Totem</t>
  </si>
  <si>
    <t>Swarm</t>
  </si>
  <si>
    <t>Swarm Vision, Inc.</t>
  </si>
  <si>
    <t>Developer of an innovative talent analytics platform designed to identify innovative talent among a company's workforce. The company's platform identifies and engages in innovation talent and helps in involvement and competitiveness, enabling Fortune 1000s and federal government agencies to accelerate speed to market and growth.</t>
  </si>
  <si>
    <t>Business/Productivity Software*, Human Capital Services</t>
  </si>
  <si>
    <t>HR Tech, SaaS</t>
  </si>
  <si>
    <t>talent analytics platform, talent analytics software, talent analytics technology, talent assessment platform, talent identification, team structure, workforce analytics</t>
  </si>
  <si>
    <t>www.swarmvision.com</t>
  </si>
  <si>
    <t>http://www.linkedin.com/company/swarmvision</t>
  </si>
  <si>
    <t>2021: 5, 2022: 5, 2023: 9, 2024: 5</t>
  </si>
  <si>
    <t>The company raised $760,000 of pre-seed funding from Plug and Play Tech Center on July 5, 2022, putting the company's pre-money valuation at $10 million.</t>
  </si>
  <si>
    <t>Cathleen Benko, Chloe Chan, Plug and Play Tech Center, Steve Gatfield</t>
  </si>
  <si>
    <t>Plug and Play Tech Center (www.plugandplaytechcenter.com)</t>
  </si>
  <si>
    <t>iCrowdNewswire(Lead Manager or Arranger)</t>
  </si>
  <si>
    <t>206486-20P</t>
  </si>
  <si>
    <t>Suzan Briganti</t>
  </si>
  <si>
    <t>Co-Founder, Chief Executive Officer &amp; Head of Products</t>
  </si>
  <si>
    <t>suzan@swarmvision.com</t>
  </si>
  <si>
    <t>+1 (415) 290-2476</t>
  </si>
  <si>
    <t>Los Altos, CA</t>
  </si>
  <si>
    <t>PO Box 806</t>
  </si>
  <si>
    <t>Los Altos</t>
  </si>
  <si>
    <t>94023</t>
  </si>
  <si>
    <t>info@swarmvision.com</t>
  </si>
  <si>
    <t>471554-38</t>
  </si>
  <si>
    <t>The ARIA Network</t>
  </si>
  <si>
    <t>ARIA</t>
  </si>
  <si>
    <t>Virtual Rights Management, LLC</t>
  </si>
  <si>
    <t>Developer of an integrated media network designed to provide physical and digital marketing services. The company immerses consumers and fans into a virtual world and builds disruptive augmented reality through proprietary recognition technology, and also powers an NFT trading platform that is more efficient, transparent, secure, and carbon-neutral, enabling clients with innovative marketing services and expanding brand reach.</t>
  </si>
  <si>
    <t>Business/Productivity Software, Financial Software, Media and Information Services (B2B)*</t>
  </si>
  <si>
    <t>AdTech, Augmented Reality, Marketing Tech, Virtual Reality</t>
  </si>
  <si>
    <t>ar technology, digital marketing, product marketing, technolo marketingy, vr marketing, vr technology</t>
  </si>
  <si>
    <t>www.thearianetwork.com</t>
  </si>
  <si>
    <t>http://www.linkedin.com/company/vrm-aria</t>
  </si>
  <si>
    <t>2021: 6, 2022: 16</t>
  </si>
  <si>
    <t>The company raised $200,000 of venture funding in the form of SAFE notes from undisclosed investors on May 19, 2022.</t>
  </si>
  <si>
    <t>Visible Ventures</t>
  </si>
  <si>
    <t>Visible Ventures (visibleventures.com)</t>
  </si>
  <si>
    <t>110875-60P</t>
  </si>
  <si>
    <t>Darren Mann</t>
  </si>
  <si>
    <t>+1 (310) 804-7425</t>
  </si>
  <si>
    <t>2934-1/2 Beverly Glen Circle</t>
  </si>
  <si>
    <t>Suite 590</t>
  </si>
  <si>
    <t>90077</t>
  </si>
  <si>
    <t>info@thearianetwork.com</t>
  </si>
  <si>
    <t>223055-29</t>
  </si>
  <si>
    <t>Veo</t>
  </si>
  <si>
    <t>VeoRide, Inc.</t>
  </si>
  <si>
    <t>Developer of a bike-share application designed to provide affordable, environmentally friendly transportation, especially in and around universities with dense student populations. The company's reservation platform recommends the nearest available bike and permits to reserve a bike before pickup and collects payment automatically to help people reduce their carbon footprint, enabling riders to see and book bikes in their locations within the community.</t>
  </si>
  <si>
    <t>Application Software, Automotive*, Other Transportation</t>
  </si>
  <si>
    <t>Climate Tech, LOHAS &amp; Wellness, Micro-Mobility, Mobility Tech</t>
  </si>
  <si>
    <t>bikes sharing platform, customer relationship management, last mile commute, micro mobility services, mobility tech, transportation app, transportation technology</t>
  </si>
  <si>
    <t>www.veoride.com</t>
  </si>
  <si>
    <t>http://www.linkedin.com/company/veomobility</t>
  </si>
  <si>
    <t>2021: 83, 2022: 205, 2024: 211</t>
  </si>
  <si>
    <t>The company raised $16.05 million through a combination of debt, Series A, Series A1, and Series A2 venture funding on June 18, 2021, putting the company's pre-money valuation at $50 million. Equity portion of $11.519979 million was led by Autotech Ventures with participation from Elevate Ventures, and 4 other investors. A $4.530021 million of debt was provided by undisclosed lender. The funds will be used to expand the company's fleet and focus on developing city and community partnerships.</t>
  </si>
  <si>
    <t>Autotech Ventures, Elevate Ventures, FJ Labs, Interplay (New York), Rockpool Capital, SVB Financial Group, UP.Partners</t>
  </si>
  <si>
    <t>Autotech Ventures (www.autotechvc.com), Elevate Ventures (www.elevateventures.com), FJ Labs (www.fjlabs.com), Interplay (New York) (www.interplay.vc), Rockpool Capital (www.rockpoolcap.com), UP.Partners (www.up.partners)</t>
  </si>
  <si>
    <t>Enjoy The Work(Advisor: General)</t>
  </si>
  <si>
    <t>176285-44P</t>
  </si>
  <si>
    <t>Yanke Tan</t>
  </si>
  <si>
    <t>edwin.tan@veoride.com</t>
  </si>
  <si>
    <t>+1 (765) 838-9861</t>
  </si>
  <si>
    <t>Santa Monica, CA</t>
  </si>
  <si>
    <t>1334 Third Street Promenade</t>
  </si>
  <si>
    <t>Suite 300</t>
  </si>
  <si>
    <t>Santa Monica</t>
  </si>
  <si>
    <t>90401</t>
  </si>
  <si>
    <t>+1 (855) 836-2256</t>
  </si>
  <si>
    <t>hello@veoride.com</t>
  </si>
  <si>
    <t>Other - $4.53M</t>
  </si>
  <si>
    <t>Cycles</t>
  </si>
  <si>
    <t>482180-59</t>
  </si>
  <si>
    <t>Wizard</t>
  </si>
  <si>
    <t>Wizard Commerce, Inc.</t>
  </si>
  <si>
    <t>Developer of a commerce technology designed to transform e-commerce with conversational artificial intelligence (AI). The company's technology empowers to sell, market, and engage customers directly via text, enabling clients to increase conversion rates.</t>
  </si>
  <si>
    <t>Other Commercial Services</t>
  </si>
  <si>
    <t>Business/Productivity Software, Media and Information Services (B2B), Other Commercial Services*, Other Financial Services</t>
  </si>
  <si>
    <t>Artificial Intelligence &amp; Machine Learning, E-Commerce</t>
  </si>
  <si>
    <t>ai technology, communication software system, conversational commerce, conversational commerce services, conversational commerce solutions, customer relationship management, natural language technology, shopping experience</t>
  </si>
  <si>
    <t>Startup</t>
  </si>
  <si>
    <t>www.wizard.com</t>
  </si>
  <si>
    <t>http://www.linkedin.com/company/wizardcommerce</t>
  </si>
  <si>
    <t>2021: 11, 2022: 112, 2023: 83, 2024: 77</t>
  </si>
  <si>
    <t>The company raised $51.5 million of Series A venture funding in a deal led by New Enterprise Associates on January 11, 2022. Accel and Capstar Ventures also participated in the round. The funds will be used for hiring a sales and operations team and filling the tech roster with AI, machine learning, and natural language processing experts.</t>
  </si>
  <si>
    <t>Accel, Capstar Ventures, New Enterprise Associates</t>
  </si>
  <si>
    <t>Accel (www.accel.com), Capstar Ventures (www.capstarventures.com), New Enterprise Associates (www.nea.com)</t>
  </si>
  <si>
    <t>204873-31P</t>
  </si>
  <si>
    <t>Melissa Bridgeford</t>
  </si>
  <si>
    <t>melissa.bridgeford@wizard.com</t>
  </si>
  <si>
    <t>+1 (917) 359-6368</t>
  </si>
  <si>
    <t>160 Varick Street, 3rd Floor</t>
  </si>
  <si>
    <t>info@wizard.com</t>
  </si>
  <si>
    <t>537974-11</t>
  </si>
  <si>
    <t>Zelig Technology</t>
  </si>
  <si>
    <t>Zelig</t>
  </si>
  <si>
    <t>Zelig Technology, LLC</t>
  </si>
  <si>
    <t>3D Cloud, Blippar, Layar, Augment, MirrAR (Media and Information Services (B2B)), Bold Metrics, Scapic, RE'FLEKT, ByondXR, Obsess, RestAR (Big Data), Threekit, 3DLOOK, Sizer</t>
  </si>
  <si>
    <t>Developer of a virtual styling tool designed to improve the virtual dressing room experience for users. The company offers a machine learning, computer vision, and generative AI-based try-on and styling platform, and more, helping clients by reducing returns and eliminating waste.</t>
  </si>
  <si>
    <t>Application Software, Business/Productivity Software*</t>
  </si>
  <si>
    <t>Artificial Intelligence &amp; Machine Learning, E-Commerce, SaaS</t>
  </si>
  <si>
    <t>computer vision, ecommerce search, email and authoring, fashion technology, fashion technology platform, fashion virtual community, kms, knowledge management system, try on garments, virtual fashion styling, virtual styling, virtual styling app, virtual styling tools</t>
  </si>
  <si>
    <t>www.zelig.com</t>
  </si>
  <si>
    <t>http://www.linkedin.com/company/zelig</t>
  </si>
  <si>
    <t>2023: 37, 2024: 41</t>
  </si>
  <si>
    <t>The company raised $15 million of Series A venture funding in a deal led by Hilco Global on November 6, 2023, putting the company's pre-money valuation at $85 million. Bezikian Zareh also participated in the round. The funds will be used for technology development around the company's personalization capabilities and to build out additional features.</t>
  </si>
  <si>
    <t>Bezikian Zareh, Hilco Global</t>
  </si>
  <si>
    <t>Hilco Global (www.hilcoglobal.com)</t>
  </si>
  <si>
    <t>191707-75P</t>
  </si>
  <si>
    <t>Sandy Sholl</t>
  </si>
  <si>
    <t>sandy@zelig.com</t>
  </si>
  <si>
    <t>9220 West Sunset Boulevard</t>
  </si>
  <si>
    <t>90069</t>
  </si>
  <si>
    <t>info@zelig.com</t>
  </si>
  <si>
    <t>Image data processing or generation, in general</t>
  </si>
  <si>
    <t>495775-90</t>
  </si>
  <si>
    <t>Zoo</t>
  </si>
  <si>
    <t>KittyCAD</t>
  </si>
  <si>
    <t>Zoo, Inc.</t>
  </si>
  <si>
    <t>Dassault Systemes, PTC, Autodesk, Siemens</t>
  </si>
  <si>
    <t>Developer of an infrastructure company designed to bring together everything required to build tools for hardware designers. The company offers a technological approach to hardware design to build tools, automation, websites, and applications, enabling developers to foster a new generation of hardware design tools with capabilities that are common across all.</t>
  </si>
  <si>
    <t>Business/Productivity Software, Software Development Applications*</t>
  </si>
  <si>
    <t>CloudTech &amp; DevOps</t>
  </si>
  <si>
    <t>api-first, application infrastructure, computer aided design, computer software, graphics technology, hardware design, hardware design software, hardware design solution, software development</t>
  </si>
  <si>
    <t>www.zoo.dev</t>
  </si>
  <si>
    <t>http://www.linkedin.com/company/zoodotdev</t>
  </si>
  <si>
    <t>2021: 4, 2022: 10, 2023: 19</t>
  </si>
  <si>
    <t>The company raised $5 million of venture funding in a deal led by Venrex Investment Management on June 30, 2023, putting the company's pre-money valuation at $25 million. Embedded Ventures and 6 other investors also participated in the round.</t>
  </si>
  <si>
    <t>Alumni Ventures, Calm Ventures, Chestnut Street Ventures, Embedded Ventures, Madrona Venture Group, Preston-Werner Ventures, Sequoia Capital, Sunset Holdings, Undeterred Capital, Venrex Investment Management</t>
  </si>
  <si>
    <t>Alumni Ventures (www.av.vc), Calm Ventures (www.calmvc.com), Chestnut Street Ventures (www.chestnutstreetventures.com), Embedded Ventures (www.embedded.ventures), Madrona Venture Group (www.madrona.com), Preston-Werner Ventures (www.pwv.com), Sequoia Capital (www.sequoiacap.com), Sunset Holdings (sunsetdam.com), Undeterred Capital (www.undeterredcapital.com), Venrex Investment Management (venrex.partners)</t>
  </si>
  <si>
    <t>JP Morgan Chase(General Business Banking)</t>
  </si>
  <si>
    <t>255328-57P</t>
  </si>
  <si>
    <t>Jordan Noone</t>
  </si>
  <si>
    <t>Co-Founder &amp; Executive Chairman</t>
  </si>
  <si>
    <t>jordan@embedded.ventures</t>
  </si>
  <si>
    <t>+1 (626) 437-9761</t>
  </si>
  <si>
    <t>Malibu, CA</t>
  </si>
  <si>
    <t>22619 Pacific Coast Highway</t>
  </si>
  <si>
    <t>Unit B120</t>
  </si>
  <si>
    <t>Malibu</t>
  </si>
  <si>
    <t>90265</t>
  </si>
  <si>
    <t>481581-91</t>
  </si>
  <si>
    <t>Arcascope</t>
  </si>
  <si>
    <t>Arcascope Inc</t>
  </si>
  <si>
    <t>Developer of a health and fitness application designed to improve daily life by targeting the body's internal, circadian clock. The company pulls in phone and wearable data to track the circadian clock accurately and dynamically to make fatigue predictions and personalized health recommendations, enabling customers to fix their body clock</t>
  </si>
  <si>
    <t>Healthcare</t>
  </si>
  <si>
    <t>Healthcare Devices and Supplies</t>
  </si>
  <si>
    <t>Therapeutic Devices</t>
  </si>
  <si>
    <t>Application Software, Other Healthcare Technology Systems, Therapeutic Devices*</t>
  </si>
  <si>
    <t>LOHAS &amp; Wellness, Mobile, Wearables &amp; Quantified Self</t>
  </si>
  <si>
    <t>circadian rhythms, fitness application, mathematical modeling, prediction data, wearable data, wearable device</t>
  </si>
  <si>
    <t>www.arcascope.com</t>
  </si>
  <si>
    <t>http://www.linkedin.com/company/arcascope</t>
  </si>
  <si>
    <t>2021: 6, 2022: 8</t>
  </si>
  <si>
    <t>The company received $4.73 million of grant funding from National Institutes of Health on March 1, 2023. Previously, the company raised $2.85 million of seed funding in a deal led by Supermoon Capital on September 27, 2022, putting the company's pre-money valuation at $7.05 million. Inception Health and 7 other investors also participated in the round. The funds will be used to expand the company's technology to the Android market and help more enterprise customers retain staff, reduce absenteeism and improve the health and well-being of their workers.</t>
  </si>
  <si>
    <t>AIoT Health, Creative Destruction Lab, HealthX Ventures, Inception Health, Inflect Capital, Innovation Partnerships, MassChallenge, Michigan Biomedical Venture Fund, MINTS (Michigan Investment in New Technology Startups), National Institutes of Health, New Dominion Angels, Supermoon Capital, U.S. Department of Health and Human Services</t>
  </si>
  <si>
    <t>AIoT Health (www.aiothealth.ca), Creative Destruction Lab (www.creativedestructionlab.com), HealthX Ventures (www.healthxventures.com), Inception Health (www.inceptionhealth.io), Inflect Capital (inflect.health), Innovation Partnerships (innovationpartnerships.umich.edu), MassChallenge (www.masschallenge.org), MINTS (Michigan Investment in New Technology Startups) (www.ns.umich.edu), National Institutes of Health (www.nih.gov), New Dominion Angels (www.newdominionangels.com), Supermoon Capital (www.supermooncapital.com), U.S. Department of Health and Human Services (hhs.gov)</t>
  </si>
  <si>
    <t>276101-47P</t>
  </si>
  <si>
    <t>Olivia Walch</t>
  </si>
  <si>
    <t>olivia@arcascope.com</t>
  </si>
  <si>
    <t>+1 (252) 922-0397</t>
  </si>
  <si>
    <t>Arlington, VA</t>
  </si>
  <si>
    <t>4075 Wilson Boulevard</t>
  </si>
  <si>
    <t>Floor 8</t>
  </si>
  <si>
    <t>Arlington</t>
  </si>
  <si>
    <t>22203</t>
  </si>
  <si>
    <t>inquiries@arcascope.com</t>
  </si>
  <si>
    <t>432988-48</t>
  </si>
  <si>
    <t>Atlas AI</t>
  </si>
  <si>
    <t>Atlas AI P.B.C.</t>
  </si>
  <si>
    <t>CropIn, The Cropio Group, Farm(x), Enertia Software, Farmax (Business/Productivity Software), Demand Management, SST Software, Optelos, Jumio, CropLogic, Systems Integration, Orbital Insight, S4Go, Senfal, Greenstone (United States), Descartes Labs, Ag Leader, Agrimap, Intello Labs, AgFlow, SureHarvest, Aker (Agriculture), Cainthus, Bushel Farm, Hummingbird Technologies, American Robotics, FarmLink Agri Distribution and Market Linkage, Crisp, Granular Business, Cabbige, HUVR, Conservis, Dexer, Environmental Systems Research Institute, SourceTrace, Resson Aerospace, GlobalView Software, Main Street Data, Aibono, SeeTree, AGRIVI, Mavrx, aWhere, Prospera (Agriculture), Gro Intelligence, Farmobile, Pimcore, FarmSolutions, Kespry, AgEagle Aerial Systems, Decisive Farming, Taranis, Agroptima, KisanHub, Movius, Pix4D, Agremo, Intelinair, eAgronom, Agralogics, DroneDeploy, Fraym, Farmers Edge, Agrology</t>
  </si>
  <si>
    <t>Developer of business analytics software designed to monitor drivers of economic development across emerging markets. The company's software generates reliable socioeconomic estimates including land under cultivation, staple crop productivity, household asset wealth and consumption, and access to reliable power and transportation infrastructure, enabling private and public organizations to explore data layers interactively and visual comparisons of export data.</t>
  </si>
  <si>
    <t>Business/Productivity Software*</t>
  </si>
  <si>
    <t>AgTech, Artificial Intelligence &amp; Machine Learning, Big Data</t>
  </si>
  <si>
    <t>artificial intelligence, economic development, farm management software, hyperlocal data, industrial data analytics, international development, machine learning, precision ag, precision agriculture, predictive analytics platform, satellite imagery, satellite mapping, sustainable development, vertical application, web platform</t>
  </si>
  <si>
    <t>www.atlasai.co</t>
  </si>
  <si>
    <t>http://www.linkedin.com/company/atlas-ai-pbc</t>
  </si>
  <si>
    <t>2020: 18, 2021: 20, 2022: 34, 2023: 36, 2024: 30</t>
  </si>
  <si>
    <t>The company received GBP 47,780 of grant funding from Innovate UK on November 1, 2022. Previously, the company joined 100+ Accelerator as a part of Cohort 4 in August 2022.</t>
  </si>
  <si>
    <t>100+ Accelerator, Airbus Ventures, Euston Capital Trust, Innovate UK, Micron Ventures, National Science Foundation, Rockefeller Foundation</t>
  </si>
  <si>
    <t>100+ Accelerator (100accelerator.com), Airbus Ventures (www.airbusventures.vc), Euston Capital Trust (www.eustonventures.com), National Science Foundation (nsf.gov), Rockefeller Foundation (www.rockefellerfoundation.org)</t>
  </si>
  <si>
    <t>192733-84P</t>
  </si>
  <si>
    <t>Abraham Tarapani</t>
  </si>
  <si>
    <t>abe@atlasai.co</t>
  </si>
  <si>
    <t>459 Hamilton Avenue</t>
  </si>
  <si>
    <t>Suite 201</t>
  </si>
  <si>
    <t>info@atlasai.co</t>
  </si>
  <si>
    <t>234603-82</t>
  </si>
  <si>
    <t>Blu.</t>
  </si>
  <si>
    <t>BluFocus</t>
  </si>
  <si>
    <t>Blu</t>
  </si>
  <si>
    <t>Blu Digital Group, Inc.</t>
  </si>
  <si>
    <t>Developer of a media platform designed to handle all operational media aspects including ingestion and delivery of content, image, and metadata files. The company's platform provides content aggregation, content licensing and distribution, content testing and certification, user experience and user interface testing, and hardware and software certification, enabling brands to improve content visibility by providing cost-effective, revenue-generating distribution for video content.</t>
  </si>
  <si>
    <t>Business/Productivity Software, Entertainment Software, Media and Information Services (B2B)*</t>
  </si>
  <si>
    <t>CloudTech &amp; DevOps, Marketing Tech, TMT, Virtual Reality</t>
  </si>
  <si>
    <t>content delivery, content services, digital content platform, digital marketing platform, kms, knowledge management system, media content platform, media content sharing, media technology company</t>
  </si>
  <si>
    <t>www.bludigitalgroup.com</t>
  </si>
  <si>
    <t>http://www.linkedin.com/company/bludigitalgroup</t>
  </si>
  <si>
    <t>2020: 86, 2021: 88, 2022: 93, 2023: 119</t>
  </si>
  <si>
    <t>The company raised $6 million of Series A venture funding in a deal led by C. Richard Kramlich on April 20, 2021. Gelman Brothers, Endurance Search Partners, and other undisclosed investors also participated in the round. The funds will be used to add key members to the company's executive team, accelerate software development growth, and continue entertainment industry expansion.</t>
  </si>
  <si>
    <t>C. Richard Kramlich, Endurance Search Partners, Gelman Brothers</t>
  </si>
  <si>
    <t>Endurance Search Partners (www.endurancesearchpartners.com), Gelman Brothers (www.gelmanbrothers.com)</t>
  </si>
  <si>
    <t>Young America Capital(Advisor: General)</t>
  </si>
  <si>
    <t>205635-07P</t>
  </si>
  <si>
    <t>Paulette Pantoja</t>
  </si>
  <si>
    <t>Chief Executive Officer &amp; Founder</t>
  </si>
  <si>
    <t>paulette@blu-team.com</t>
  </si>
  <si>
    <t>+1 (818) 527-2763</t>
  </si>
  <si>
    <t>Burbank, CA</t>
  </si>
  <si>
    <t>2233 North Ontario Street</t>
  </si>
  <si>
    <t>Suite 130</t>
  </si>
  <si>
    <t>Burbank</t>
  </si>
  <si>
    <t>91504</t>
  </si>
  <si>
    <t>Expected 16-Sep-2029</t>
  </si>
  <si>
    <t>464065-48</t>
  </si>
  <si>
    <t>Breshna</t>
  </si>
  <si>
    <t>GRID</t>
  </si>
  <si>
    <t>Gaming Revolution for International Development Inc.</t>
  </si>
  <si>
    <t>Roblox, YoYo Games, Canva</t>
  </si>
  <si>
    <t>Developer of a platform designed to empower users to create, share and monetize their own purposeful bite-sized, video games, with no code. The company's platform operates at the intersection of no code, hyper-casual games, web3, and social impact, thereby empowering users to not only create and share their own games but also own and monetize them on their carnival stands.</t>
  </si>
  <si>
    <t>Educational Software, Entertainment Software*</t>
  </si>
  <si>
    <t>Gaming, Mobile, SaaS, TMT</t>
  </si>
  <si>
    <t>educational game app, educative games, game engine, game publisher, gaming development, gaming studio, gaming tech, mobile games, no code analytics, web3 dapps, web3 gaming content platform</t>
  </si>
  <si>
    <t>Generating Revenue/Not Profitable</t>
  </si>
  <si>
    <t>www.breshna.io</t>
  </si>
  <si>
    <t>http://www.linkedin.com/company/gaming-revolution-for-international-development-grid-</t>
  </si>
  <si>
    <t>2021: 10, 2022: 19, 2023: 17, 2024: 18</t>
  </si>
  <si>
    <t>The company was in talks to receive Series A venture funding on an undisclosed date. Subsequently, the deal was cancelled. Previously, the company raised $60,300 of equity crowdfunding via Republic on February 16, 2024. START EQUITY VENTURES and Entrepreneur Ventures (Fund) also participated in this round.</t>
  </si>
  <si>
    <t>11 Tribes Ventures, 11:11 Media, Alpha Sigma Capital, Argoquest, Ben Alexander, Blockchain Founders Fund, Entrepreneur Ventures (Fund), Formless Capital, Jacob Schaufeld, Mask Network, OCEAN Accelerator, Realist Ventures, START EQUITY VENTURES, Tech Meets Trader, Vessel., William Ackman</t>
  </si>
  <si>
    <t>11 Tribes Ventures (www.11tribes.vc), 11:11 Media (www.parishilton.com), Alpha Sigma Capital (www.alphasigma.fund), Blockchain Founders Fund (blockchainff.com), Entrepreneur Ventures (Fund) (www.entrepreneur.vc), Formless Capital (www.formless.capital), Mask Network (www.mask.io), OCEAN Accelerator (www.oceanprograms.com), Realist Ventures (realistlab.org), START EQUITY VENTURES (www.startequity.io), Tech Meets Trader (techmeetstrader.com), Vessel. (www.buildvessel.com)</t>
  </si>
  <si>
    <t>258919-03P</t>
  </si>
  <si>
    <t>Mariam Nusrat</t>
  </si>
  <si>
    <t>Founder,Chief Executive Officer, President &amp; Board Member</t>
  </si>
  <si>
    <t>mariam.nusrat@gamingfordev.com</t>
  </si>
  <si>
    <t>+1 (202) 830-5691</t>
  </si>
  <si>
    <t>Vienna, VA</t>
  </si>
  <si>
    <t>2727 Bowling Green Drive</t>
  </si>
  <si>
    <t>Vienna</t>
  </si>
  <si>
    <t>22180</t>
  </si>
  <si>
    <t>info@gamingfordev.com</t>
  </si>
  <si>
    <t>Failed/Cancelled</t>
  </si>
  <si>
    <t>Card, board, or roulette games</t>
  </si>
  <si>
    <t>432914-05</t>
  </si>
  <si>
    <t>Candor</t>
  </si>
  <si>
    <t>Candor Technology Inc</t>
  </si>
  <si>
    <t>Candor Technology, Inc.</t>
  </si>
  <si>
    <t>Black Knight, ICE Mortgage Technology</t>
  </si>
  <si>
    <t>Operator of an autonomous mortgage underwriting platform intended to automate mortgage and secondary market underwriting procedures. The company's artificial intelligence-powered platform automates the critical expert thinking and problem-solving required to underwrite a mortgage loan without human assistance or review improves loan quality and reduces repurchase risk, enabling users to scale and match seasonal or market cycle demand with no change in staff.</t>
  </si>
  <si>
    <t>Artificial Intelligence &amp; Machine Learning, Big Data, FinTech, Mortgage Tech, SaaS</t>
  </si>
  <si>
    <t>abi custom application, alternative lending, analytics platform, automated underwriting, credit score, fintech, home loan originations, mortgage audit, mortgage automation, mortgage lender software, underwriting, underwriting tools</t>
  </si>
  <si>
    <t>www.candortechnology.com</t>
  </si>
  <si>
    <t>http://www.linkedin.com/company/candortechnology</t>
  </si>
  <si>
    <t>2020: 10, 2021: 31, 2022: 70, 2023: 51, 2024: 34</t>
  </si>
  <si>
    <t>The company raised an estimated $8 million through a combination of Series B1 and Series B2 venture funding in a deal led by Rice Park Capital on February 5, 2024, putting the company's pre-money valuation at $8.2 million. Assurant Ventures, Arthur Ventures and other undisclosed investors also participated in the round. The funds will be used to expand the company's Loan Engineering System's capabilities and enhance the user experience.</t>
  </si>
  <si>
    <t>Arthur Ventures, Assurant Ventures, Rice Park Capital, Torch Capital</t>
  </si>
  <si>
    <t>Arthur Ventures (www.arthurventures.com), Assurant Ventures (www.assurantventures.com), Rice Park Capital (www.riceparkcapital.com), Torch Capital (www.torchcapital.vc)</t>
  </si>
  <si>
    <t>Morris Manning &amp; Martin(Legal Advisor)</t>
  </si>
  <si>
    <t>224407-45P</t>
  </si>
  <si>
    <t>Thomas Showalter</t>
  </si>
  <si>
    <t>Co-Founder, Co-Chief Executive Officer &amp; Chairman</t>
  </si>
  <si>
    <t>tshowalter@candortechnology.com</t>
  </si>
  <si>
    <t>+1 (855) 520-1400</t>
  </si>
  <si>
    <t>Alpharetta, GA</t>
  </si>
  <si>
    <t>8000 Avalon Boulevard</t>
  </si>
  <si>
    <t>Suite 810</t>
  </si>
  <si>
    <t>Alpharetta</t>
  </si>
  <si>
    <t>30009</t>
  </si>
  <si>
    <t>info@candortechnology.com</t>
  </si>
  <si>
    <t>459521-29</t>
  </si>
  <si>
    <t>co:census</t>
  </si>
  <si>
    <t>cocensus</t>
  </si>
  <si>
    <t>Seam Social Labs Inc</t>
  </si>
  <si>
    <t>Developer of a survey and polling software designed to collect and analyze public sentiments for government agencies. The company's platform provides users with language translations to make surveys more inclusive, SMS-based surveys to engage constituents, integrations to import data, and tools to transform narrative-based data into usable information, enabling teams to gather representative data and transform public feedback into equitable insights efficiently.</t>
  </si>
  <si>
    <t>analytics platform, civic engagement platform, data visualisation, deep insights, govtech software, natural language processing, natural language technology, survey software, unstructured data analytics</t>
  </si>
  <si>
    <t>www.cocensus.io</t>
  </si>
  <si>
    <t>http://www.linkedin.com/company/cocensus-io</t>
  </si>
  <si>
    <t>2021: 12, 2022: 9, 2023: 15, 2024: 16</t>
  </si>
  <si>
    <t>The company joined Google for Startups on an undisclosed date.</t>
  </si>
  <si>
    <t>Ad Astra Ventures, Amazon Alexa Fund, Crescent Ridge, Google for Startups, Marc Bevand, New Age Capital, New Media Ventures, Satyam Shah, Techstars, Tubbs Ventures, Urban-X</t>
  </si>
  <si>
    <t>Ad Astra Ventures (adastra.ventures), Crescent Ridge (www.crescentridge.vc), Google for Startups (startup.google.com), New Age Capital (www.newage.vc), New Media Ventures (www.newmediaventures.org), Techstars (www.techstars.com), Tubbs Ventures (www.tubbs.ventures), Urban-X (www.urban-x.com)</t>
  </si>
  <si>
    <t>252106-57P</t>
  </si>
  <si>
    <t>Tiasia O'Brien</t>
  </si>
  <si>
    <t>Co-Founder, President, Chief Executive Officer &amp; Head of Strategy</t>
  </si>
  <si>
    <t>tiasia@seamsociallabs.com</t>
  </si>
  <si>
    <t>+1 (518) 360-1344</t>
  </si>
  <si>
    <t>28 Liberty Street</t>
  </si>
  <si>
    <t>10005</t>
  </si>
  <si>
    <t>hello@seamsociallabs.com</t>
  </si>
  <si>
    <t>Electric digital data processing, Speech analysis techniques or speech synthesis</t>
  </si>
  <si>
    <t>506806-93</t>
  </si>
  <si>
    <t>Outline</t>
  </si>
  <si>
    <t>Outline It, Inc.</t>
  </si>
  <si>
    <t>Developer of an interactive writing application designed for college and graduate school students. The company's platform allows bridging the gap by structuring essays that help to gain admission to schools and succeed and graduate from institutions of higher education and advance in careers, enabling students to understand how to have better captivating concise writing.</t>
  </si>
  <si>
    <t>Educational Software</t>
  </si>
  <si>
    <t>Educational Software*</t>
  </si>
  <si>
    <t>EdTech, SaaS</t>
  </si>
  <si>
    <t>essay editing, essay writing, essay writing software, essay writing tool, interactive writing, writing app, writing tool</t>
  </si>
  <si>
    <t>www.myoutline.com</t>
  </si>
  <si>
    <t>http://www.linkedin.com/company/myoutlineapp</t>
  </si>
  <si>
    <t>The company raised an estimated $100,000 of seed funding from Halcyon Incubator in approximately July 2023.</t>
  </si>
  <si>
    <t>Dorm Room Fund, Expert DOJO, Halcyon Incubator, NewSchools Venture Fund, Visible Hands, WGU Labs</t>
  </si>
  <si>
    <t>Dorm Room Fund (www.dormroomfund.com), Expert DOJO (www.expertdojo.com), Halcyon Incubator (www.halcyonhouse.org), NewSchools Venture Fund (www.newschools.org), Visible Hands (www.visiblehands.vc), WGU Labs (www.wgulabs.org)</t>
  </si>
  <si>
    <t>85780-63P</t>
  </si>
  <si>
    <t>Sambit Basu</t>
  </si>
  <si>
    <t>Chief Technology Officer</t>
  </si>
  <si>
    <t>sambit@myoutline.com</t>
  </si>
  <si>
    <t>+1 (301) 417-5167</t>
  </si>
  <si>
    <t>Princeton, NJ</t>
  </si>
  <si>
    <t>71 Sayre Drive</t>
  </si>
  <si>
    <t>Princeton</t>
  </si>
  <si>
    <t>New Jersey</t>
  </si>
  <si>
    <t>08540</t>
  </si>
  <si>
    <t>hello@myoutline.com</t>
  </si>
  <si>
    <t>227275-66</t>
  </si>
  <si>
    <t>Rantizo</t>
  </si>
  <si>
    <t>Rantizo, Inc.</t>
  </si>
  <si>
    <t>Developer of software and enablement platform designed to integrate spray UAV drones into large-scale agriculture operations. The company's software integrates with drone manufacturers, and agronomy and work order systems make the application a profitable choice, maps, compliance, and the connection of spraying supply and demand all solve pressing issues in US agriculture, enabling farmers to apply pesticides and chemicals on the farms evenly without any hassle and within a short duration of time.</t>
  </si>
  <si>
    <t>Other Agriculture, Other Hardware*</t>
  </si>
  <si>
    <t>AgTech, Manufacturing, Robotics and Drones, Supply Chain Tech</t>
  </si>
  <si>
    <t>agricultural services, agricultural sprays drones, cover crop, drone service provider, drones and imagery analytics, pesticides sprayers drones, precision ag, precision agriculture, precision agronomics, spray drones</t>
  </si>
  <si>
    <t>www.rantizo.com</t>
  </si>
  <si>
    <t>http://www.linkedin.com/company/rantizo</t>
  </si>
  <si>
    <t>2018: 5, 2019: 7, 2020: 12, 2021: 28, 2022: 26, 2023: 28, 2024: 35</t>
  </si>
  <si>
    <t>The company raised $14.94 million of venture funding in a deal led by Leaps by Bayer on June 19, 2024. KZValve, Sukup Manufacturing, Lewis &amp; Clark AgriFood, Fulcrum Global Capital, Innova Memphis, Ag Ventures Alliance, Fall Line Capital, ISA Ventures and C9 Capital also participated in the round. The funds will be used to expand the company's nationwide operator network, which now works across 30 states with more than 20% of the nation's top 50 ag retailers.</t>
  </si>
  <si>
    <t>Ag Ventures Alliance, AgLaunch, C9 Capital, Fall Line Capital, Farm Credit Services of America, Fulcrum Global Capital, Impact Venture Capital, Innova Memphis, ISA Ventures, KZValve, Leaps by Bayer, Lewis &amp; Clark AgriFood, New Bohemian Innovation Collaborative, NIACC John Pappajohn Entrepreneurial Center, Sukup Manufacturing, The Mosaic</t>
  </si>
  <si>
    <t>Ag Ventures Alliance (agventuresalliance.com), AgLaunch (www.aglaunch.com), C9 Capital (c9cap.com), Fall Line Capital (www.fall-line-capital.com), Farm Credit Services of America (www.fcsamerica.com), Fulcrum Global Capital (www.fgcvc.com), Impact Venture Capital (www.impactvc.com), Innova Memphis (www.innovamemphis.com), ISA Ventures (www.isaventures.com), KZValve (www.kzvalve.com), Leaps by Bayer (leaps.bayer.com), Lewis &amp; Clark AgriFood (www.lewisandclarkagrifood.com), New Bohemian Innovation Collaborative (www.newbo.co), NIACC John Pappajohn Entrepreneurial Center (www.pappajohncenter.com), Sukup Manufacturing (www.sukup.com), The Mosaic (www.mosaicco.com)</t>
  </si>
  <si>
    <t>BerganKDV(Auditor), Halbrook Law(Legal Advisor), Hills Bank(General Business Banking), Sidley(Legal Advisor), SVB Financial Group(General Business Banking)</t>
  </si>
  <si>
    <t>Shuttleworth &amp; Ingersoll(Legal Advisor)</t>
  </si>
  <si>
    <t>48003-94P</t>
  </si>
  <si>
    <t>Michael Ott</t>
  </si>
  <si>
    <t>Co-Chief Executive Officer &amp; Board Member</t>
  </si>
  <si>
    <t>ott@rantizo.com</t>
  </si>
  <si>
    <t>+1 (319) 201-3020</t>
  </si>
  <si>
    <t>Iowa City, IA</t>
  </si>
  <si>
    <t>4165 Alyssa Court</t>
  </si>
  <si>
    <t>Iowa City</t>
  </si>
  <si>
    <t>Iowa</t>
  </si>
  <si>
    <t>52240</t>
  </si>
  <si>
    <t>info@rantizo.com</t>
  </si>
  <si>
    <t>Equipment for fitting in or to aircraft</t>
  </si>
  <si>
    <t>433731-07</t>
  </si>
  <si>
    <t>Sangrove</t>
  </si>
  <si>
    <t>Sangrove, Inc.</t>
  </si>
  <si>
    <t>Faire, Westwing</t>
  </si>
  <si>
    <t>Developer of B2B platform designed to use blockchain-based smart contract technology to connect brands with retailers. The company's platform addresses the design-driven industries, that produce consumer goods with a short life span, reducing speculative overproduction, excess inventory, and deadstock, enabling retailers to jointly select design products for manufacturing.</t>
  </si>
  <si>
    <t>Business/Productivity Software, Media and Information Services (B2B)*</t>
  </si>
  <si>
    <t>Cryptocurrency/Blockchain, E-Commerce, Marketing Tech, SaaS</t>
  </si>
  <si>
    <t>b2b distribution, b2b ecommerce, b2b platform company, b2b wholesale marketplace, fashion and lifestyle industry, home accessories, marketplace platform, retailer commerce, smart contracts software, sustainable consumption</t>
  </si>
  <si>
    <t>www.sangrove.com</t>
  </si>
  <si>
    <t>http://www.linkedin.com/company/sangrove</t>
  </si>
  <si>
    <t>2019: 2, 2020: 7, 2021: 10, 2022: 10, 2024: 12</t>
  </si>
  <si>
    <t>The company was in talks to receive $1.2 million of seed funding from undisclosed investors on May 6, 2022. Subsequently, the deal was cancelled. Previously, the company graduated from Startupbootcamp FashionTech as a part of its (RE)NAISSANCE 2022 Cohort on February 24, 2022 and received $15,000 in funding in the form of grant.</t>
  </si>
  <si>
    <t>Hyper Accelerator, Ideaship, KiwiTech, Startupbootcamp, Startupbootcamp FashionTech</t>
  </si>
  <si>
    <t>Hyper Accelerator (www.hyperaccelerator.com), Ideaship (www.ideashipfund.com), KiwiTech (www.kiwitech.com), Startupbootcamp (www.startupbootcamp.org), Startupbootcamp FashionTech (www.sbcfashiontech.com)</t>
  </si>
  <si>
    <t>226604-80P</t>
  </si>
  <si>
    <t>Tatiana Alexa</t>
  </si>
  <si>
    <t>tatiana.alexa@sangrove.com</t>
  </si>
  <si>
    <t>+1 (917) 765-3753</t>
  </si>
  <si>
    <t>48 Wall Street</t>
  </si>
  <si>
    <t>Suite 1100</t>
  </si>
  <si>
    <t>info@sangrove.com</t>
  </si>
  <si>
    <t>491592-61</t>
  </si>
  <si>
    <t>Sky Peak Technologies</t>
  </si>
  <si>
    <t>Sky Peak Technologies, Inc.</t>
  </si>
  <si>
    <t>Developer of a data-intensive mobile content optimization technology intended for mobile operators. The company specializes in content optimization and routing algorithms and optimizes streaming video content being delivered specifically to connected smartphones, by enabling the phone to request rightsized data for its form factor, data plan, network constraints, CORA mobile edge data usage, and the demands on bandwidth, enabling users to shape the content before it is transmitted to the device and save significant money on their data costs.</t>
  </si>
  <si>
    <t>content optimization, data transmission, mobile operator, mobile traffic management, routing algorithm, satellite data, streaming video</t>
  </si>
  <si>
    <t>www.skypeaktechnologies.com</t>
  </si>
  <si>
    <t>http://www.linkedin.com/company/sky-peak-technologies</t>
  </si>
  <si>
    <t>2022: 8, 2023: 9, 2024: 10</t>
  </si>
  <si>
    <t>The company raised an undisclosed amount of venture funding in the form of convertible debt in March 2024.</t>
  </si>
  <si>
    <t>Greater Colorado Venture Fund</t>
  </si>
  <si>
    <t>Greater Colorado Venture Fund (www.greatercolorado.vc)</t>
  </si>
  <si>
    <t>291545-56P</t>
  </si>
  <si>
    <t>Don McIntosh</t>
  </si>
  <si>
    <t>Co-Founder, Chief Operating Officer, Chief Technology Officer &amp; President</t>
  </si>
  <si>
    <t>dmcintosh@skypeaktech.com</t>
  </si>
  <si>
    <t>Grand Junction, CO</t>
  </si>
  <si>
    <t>2259 Logos Court</t>
  </si>
  <si>
    <t>Grand Junction</t>
  </si>
  <si>
    <t>81505</t>
  </si>
  <si>
    <t>Transmission of digital information</t>
  </si>
  <si>
    <t>96724-36</t>
  </si>
  <si>
    <t>SnapMagic</t>
  </si>
  <si>
    <t>SnapEDA</t>
  </si>
  <si>
    <t>SnapEDA, Inc.</t>
  </si>
  <si>
    <t>Developer of an AI-powered PCB design platform designed to help engineers design electronics in a fast and efficient manner. The company's platform offers a suite of AI-powered tools that automate repetitive tasks, recommend design optimizations and generate schematics from scratch, enabling engineers to focus on the creative and challenging aspects of their work.</t>
  </si>
  <si>
    <t>Business/Productivity Software*, Connectivity Products, Electronic Equipment and Instruments, Multimedia and Design Software</t>
  </si>
  <si>
    <t>Artificial Intelligence &amp; Machine Learning, SaaS, TMT</t>
  </si>
  <si>
    <t>circuit board design, circuit design software, circuit design technology, electronic design automation, electronic design automation platform, electronic design automation software, electronic design automation software tool</t>
  </si>
  <si>
    <t>www.snapmagic.com</t>
  </si>
  <si>
    <t>http://www.linkedin.com/company/snapeda</t>
  </si>
  <si>
    <t>2016: 5, 2019: 25, 2021: 35, 2022: 36, 2023: 30, 2024: 31</t>
  </si>
  <si>
    <t>The company raised an estimated $4.11 million through a combination of Seed, Seed-2 and Seed -3 funding in a deal led by Bow Capital on October 10, 2023, putting the company's pre-money valuation at $14.03 million. Friends &amp; Family Capital, Jude Gomila, David Hodge, Alok Tayi, Andreas Schobel, Kartik Lamba, Jeff Dean and Tom Preston-Werner also participated in the round.</t>
  </si>
  <si>
    <t>79 Studios, Alexander Norman, Alok Tayi, Andreas Schobel, Andrew Van Valer, Bernard Thompson, Blackbox (Palo Alto), Bow Capital, Christopher Rowen, Cognite Ventures, David Hodge, DMZ (Financial Services), Fadi Bishara, Friends &amp; Family Capital, Georges Harik, Jason Gray, Jeff Dean, Jude Gomila, Justin Laing, Kartik Lamba, Ontario Centre of Innovation, Panayiotis Papadopoulos, Randy Whiting, Tamra Johnson, Tom Preston-Werner, Y Combinator</t>
  </si>
  <si>
    <t>Blackbox (Palo Alto) (www.blackbox.org), Bow Capital (www.bowcapital.com), Cognite Ventures (www.cogniteventures.com), DMZ (Financial Services) (www.dmz.torontomu.ca), Friends &amp; Family Capital (friendsandfamilycapital.com), Jason Gray (jasongraymusic.com), Jude Gomila (judegomila.com), Ontario Centre of Innovation (www.oc-innovation.ca), Y Combinator (www.ycombinator.com)</t>
  </si>
  <si>
    <t>MaRS Discovery District(Advisor: General), Wilson Sonsini Goodrich &amp; Rosati(Legal Advisor)</t>
  </si>
  <si>
    <t>Norton Rose Fulbright(Legal Advisor)</t>
  </si>
  <si>
    <t>116726-77P</t>
  </si>
  <si>
    <t>Natasha Baker</t>
  </si>
  <si>
    <t>natasha@snapeda.com</t>
  </si>
  <si>
    <t>+1 (650) 644-6199</t>
  </si>
  <si>
    <t>Walnut, CA</t>
  </si>
  <si>
    <t>340 South Lemon Avenue</t>
  </si>
  <si>
    <t>Suite 4212</t>
  </si>
  <si>
    <t>Walnut</t>
  </si>
  <si>
    <t>91789</t>
  </si>
  <si>
    <t>+1 (844) 625-8890</t>
  </si>
  <si>
    <t>info@snapmagic.com</t>
  </si>
  <si>
    <t>266403-52</t>
  </si>
  <si>
    <t>TalkMeUp</t>
  </si>
  <si>
    <t>TalkMeUp, Inc.</t>
  </si>
  <si>
    <t>Developer of an artificial intelligence-based platform designed to provide instant and personalized coaching on communication skills. The company's platform uses a combination of learning management systems and personalized training tools and provides on-demand, manageable and customized communication training services, enabling organizations to improve employee competence in all professional scenarios.</t>
  </si>
  <si>
    <t>Education and Training Services (B2B)</t>
  </si>
  <si>
    <t>Business/Productivity Software, Education and Training Services (B2B)*</t>
  </si>
  <si>
    <t>communication training, learning management system, natural language technology, personalized coaching, personalized training tools, soft skill training</t>
  </si>
  <si>
    <t>www.talkmeup.co</t>
  </si>
  <si>
    <t>http://www.linkedin.com/company/talkmeup</t>
  </si>
  <si>
    <t>2020: 17, 2021: 17, 2022: 16, 2023: 19</t>
  </si>
  <si>
    <t>The company raised $200,000 of seed funding from Innovation Works on September 12, 2023.</t>
  </si>
  <si>
    <t>412 Venture Fund, Andrew Rabin, Bruce Gebhardt, Carnegie Mellon University Endowment, Chloe Capital, HearstLab, Innovation Works, TiE Pittsburgh, UpPrize</t>
  </si>
  <si>
    <t>412 Venture Fund (www.412venturefund.com), Chloe Capital (www.chloecapital.com), HearstLab (www.hearstlab.com), Innovation Works (www.innovationworks.org), TiE Pittsburgh (pittsburgh.tie.org), UpPrize (www.upprize.org)</t>
  </si>
  <si>
    <t>172253-44P</t>
  </si>
  <si>
    <t>Jiaojiao Xu</t>
  </si>
  <si>
    <t>jj@talkmeup.co</t>
  </si>
  <si>
    <t>+1 (412) 467-9300</t>
  </si>
  <si>
    <t>160 North Craig Street</t>
  </si>
  <si>
    <t>Suite 204</t>
  </si>
  <si>
    <t>15213</t>
  </si>
  <si>
    <t>+1 (412) 228-0289</t>
  </si>
  <si>
    <t>info@talkmeup.co</t>
  </si>
  <si>
    <t>Speech analysis techniques or speech synthesis, Transmission of digital information</t>
  </si>
  <si>
    <t>498016-63</t>
  </si>
  <si>
    <t>Adim</t>
  </si>
  <si>
    <t>Adim, Inc.</t>
  </si>
  <si>
    <t>Developer of a web3 platform intended to empower creators and fans to develop and own a new generation of content. The company's platform helps creators to easily connect, collaborate, and create stories, characters, and narrative universes under the mentorship of established writers and in return own a greater share in their creative output, enabling communities of creators, writers, artists, designers, developers, fans and friends to collaborate and work together to establish their own project and reach their true potential.</t>
  </si>
  <si>
    <t>Media and Information Services (B2B)*, Social/Platform Software</t>
  </si>
  <si>
    <t>collaborate media, collaborative storytelling, content creator, content launch, entertainment ecosystem, storyteller connection, storytellers platform, web3 entertainment</t>
  </si>
  <si>
    <t>www.adimverse.com</t>
  </si>
  <si>
    <t>http://www.linkedin.com/company/adimverse</t>
  </si>
  <si>
    <t>2022: 10, 2023: 34, 2024: 34</t>
  </si>
  <si>
    <t>The company raised $5 million of seed funding in a deal led by Andreessen Horowitz and Christopher Dixon on March 2, 2022, putting the company's pre-money valuation at $20 million. Other undisclosed investors also participated in the round. The funds will be used to achieve the company's vision of bringing content development into the future using technology.</t>
  </si>
  <si>
    <t>Andreessen Horowitz, Christopher Dixon</t>
  </si>
  <si>
    <t>Andreessen Horowitz (www.a16z.com), Christopher Dixon (cdixon.org)</t>
  </si>
  <si>
    <t>304132-78P</t>
  </si>
  <si>
    <t>Chase Rosenblatt</t>
  </si>
  <si>
    <t>Co-Founder and Executive of Strategy</t>
  </si>
  <si>
    <t>chase@adimverse.com</t>
  </si>
  <si>
    <t>+1 (213) 293-6537</t>
  </si>
  <si>
    <t>3000 Olympic Boulevard</t>
  </si>
  <si>
    <t>90404</t>
  </si>
  <si>
    <t>Peptides</t>
  </si>
  <si>
    <t>266088-43</t>
  </si>
  <si>
    <t>Agtools</t>
  </si>
  <si>
    <t>Agtools Inc.</t>
  </si>
  <si>
    <t>The Nielsen Company, Gartner</t>
  </si>
  <si>
    <t>Developer of a digital agribusiness platform designed for operators to increase profitability. The company's platform provides critical data to reduce food supply chain waste through timely decision-making, enabling farmers to get a value for their crops.</t>
  </si>
  <si>
    <t>Business/Productivity Software*, Media and Information Services (B2B), Other Agriculture</t>
  </si>
  <si>
    <t>AgTech, Artificial Intelligence &amp; Machine Learning, Supply Chain Tech</t>
  </si>
  <si>
    <t>agricultural data, agriculture production, commodity market data, enterprise supply chain management, farm management software, financial analysis, food supply chain, precision ag, precision agriculture, supply chain solution, suppy chain management</t>
  </si>
  <si>
    <t>www.agtechtools.com</t>
  </si>
  <si>
    <t>http://www.linkedin.com/company/agtools</t>
  </si>
  <si>
    <t>2017: 12, 2018: 10, 2019: 15, 2020: 28, 2021: 28, 2022: 35, 2023: 42, 2024: 38</t>
  </si>
  <si>
    <t>The company joined Western Growers Center for Innovation &amp; Technology on an undisclosed date. No equity or funding was exchanged as a result of this program.</t>
  </si>
  <si>
    <t>Alchemist Accelerator, Amplifica Capital, Angeles Investors, Chloe Capital, CONNECT (Accelerator), gener8tor, Ideaship, InsurTech NY, Janet Lustgarten, John G. Watson Foundation, Marcela Lopez, Nutrien, Octane (California), Parallel18, Plug and Play Tech Center, Portland Seed Fund, Radicle (San Diego), Reinventure Capital, Right Side Capital Management, San Diego Angel Conference, Serra Ventures, TCA Venture Group, Techstars, UCI Beall Applied Innovation, Western Growers Center for Innovation &amp; Technology, WTIA Startup Program</t>
  </si>
  <si>
    <t>Alchemist Accelerator (www.alchemistaccelerator.com), Amplifica Capital (www.amplifica.capital), Angeles Investors (www.angelesinvestors.com), Chloe Capital (www.chloecapital.com), CONNECT (Accelerator) (www.connect.org), gener8tor (www.gener8tor.com), Ideaship (www.ideashipfund.com), InsurTech NY (www.insurtechny.com), Nutrien (www.nutrien.com), Octane (California) (www.octaneoc.org), Parallel18 (www.parallel18.com), Plug and Play Tech Center (www.plugandplaytechcenter.com), Portland Seed Fund (portlandseedfund.com), Radicle (San Diego) (www.radicle.vc), Reinventure Capital (www.reinventurecapital.com), Right Side Capital Management (www.rightsidecapital.com), San Diego Angel Conference (www.thesdangels.com), Serra Ventures (www.serraventures.com), TCA Venture Group (www.tcaventuregroup.com), Techstars (www.techstars.com), UCI Beall Applied Innovation (innovation.uci.edu), Western Growers Center for Innovation &amp; Technology (www.wginnovation.com)</t>
  </si>
  <si>
    <t>Bank of America(General Business Banking), MM &amp; Company(Auditor)</t>
  </si>
  <si>
    <t>216546-40P</t>
  </si>
  <si>
    <t>Martha Montoya</t>
  </si>
  <si>
    <t>Co-Founder, Chief Executive Officer, President and Board Member</t>
  </si>
  <si>
    <t>martha@ag.tools</t>
  </si>
  <si>
    <t>+1 (714) 366-3225</t>
  </si>
  <si>
    <t>Orange, CA</t>
  </si>
  <si>
    <t>8502 East Chapman Avenue</t>
  </si>
  <si>
    <t>Suite 137</t>
  </si>
  <si>
    <t>Orange</t>
  </si>
  <si>
    <t>92869</t>
  </si>
  <si>
    <t>+1 (714) 707-4848</t>
  </si>
  <si>
    <t>info@ag.tools</t>
  </si>
  <si>
    <t>501885-01</t>
  </si>
  <si>
    <t>AngeLink</t>
  </si>
  <si>
    <t>AngeLink, Inc.</t>
  </si>
  <si>
    <t>Operator of a crowdfunding platform intended to close the gap on gender-based economic disparity. The company's platform drives social impact through life-changing technology, enabling users to fundraise for or donate to people they love and causes they believe in, with a safer, more trusted crowdfunding community.</t>
  </si>
  <si>
    <t>Financial Software*, Other Financial Services</t>
  </si>
  <si>
    <t>FinTech</t>
  </si>
  <si>
    <t>campaign support, crowdfunding company, crowdfunding platform, fundraising community, fundraising platform, social crowdfunding</t>
  </si>
  <si>
    <t>www.angelink.com</t>
  </si>
  <si>
    <t>http://www.linkedin.com/company/angelink-inc</t>
  </si>
  <si>
    <t>2022: 22, 2023: 17, 2024: 16</t>
  </si>
  <si>
    <t>The company raised $5.5 million of seed funding from AIM-HI, Onur Haytac and Markus Rinderer on June 21, 2022. Steve Wishner also participated in the round.</t>
  </si>
  <si>
    <t>AIM-HI, Markus Rinderer, Onur Haytac, Steve Wishner</t>
  </si>
  <si>
    <t>AIM-HI (www.aim-hiaccelerator.org)</t>
  </si>
  <si>
    <t>309942-46P</t>
  </si>
  <si>
    <t>Gerry Poirier</t>
  </si>
  <si>
    <t>Founder, Chief Executive Officer &amp; Chairman</t>
  </si>
  <si>
    <t>gerry.poirier@angelink.com</t>
  </si>
  <si>
    <t>+1 (877) 526-4354</t>
  </si>
  <si>
    <t>78 South West 7th Street</t>
  </si>
  <si>
    <t>229611-43</t>
  </si>
  <si>
    <t>Base Operations</t>
  </si>
  <si>
    <t>Base Operations Inc</t>
  </si>
  <si>
    <t>Verkada, Alegion, Dataminr</t>
  </si>
  <si>
    <t>Developer of a threat intelligence platform that aggregates, visualizes and interprets threat data to mitigate risk and help organizations protect people and assets. The company's platform offers a granular threat database with AI-powered predictive analytics to quickly uncover actionable insights, improving response time and accuracy for enterprise security tasks, and includes a dashboard for security personnel, enabling clients to connect to their employees in the field, manage their trips and improve their safety.</t>
  </si>
  <si>
    <t>Cybersecurity, SaaS</t>
  </si>
  <si>
    <t>ai automation platform, connected service, data visualisation, enterprise resource planning, erp, risk management, safety tool, security team, smart city, threat intelligence, threat intelligence platform, threat intelligence software</t>
  </si>
  <si>
    <t>www.baseoperations.com</t>
  </si>
  <si>
    <t>http://www.linkedin.com/company/base-operations</t>
  </si>
  <si>
    <t>2017: 5, 2018: 5, 2020: 10, 2021: 15, 2022: 28, 2023: 30, 2024: 29</t>
  </si>
  <si>
    <t>The company raised $14.1 million of Series A venture funding in a deal led by Spero Ventures and Grotech Ventures on December 21, 2023, putting the company's pre-money valuation at $22 million. Alliance Holdings, Calm Ventures, Good Growth Capital, Vela Partners, Gaingels, Mindset Ventures and Prefix Capital also participated in the round. The funds will be used by the company to augment its forecasting capabilities, elucidate the threat landscape in emerging markets with new data strategies, programmatically generate detailed reports and, analysis, and enhance tailored recommendations.</t>
  </si>
  <si>
    <t>Alliance Holdings, Calm Ventures, First In, First Round Capital, Gaingels, Glasswing Ventures, Good Growth Capital, Grotech Ventures, Harvard i-lab, Inner Loop Capital, Magma Partners, Mindset Ventures, Predictive Venture Partners, Prefix Capital, Spero Ventures, Techstars, Vela Partners</t>
  </si>
  <si>
    <t>TRNC Ventures</t>
  </si>
  <si>
    <t>Alliance Holdings (www.allianceholdings.com), Calm Ventures (www.calmvc.com), First In (www.wearefirstin.com), First Round Capital (www.firstround.com), Gaingels (www.gaingels.com), Glasswing Ventures (www.glasswing.vc), Good Growth Capital (www.goodgrowthvc.com), Grotech Ventures (www.grotech.com), Inner Loop Capital (www.innerloopcap.com), Magma Partners (www.magmapartners.com), Mindset Ventures (www.mindset.ventures), Predictive Venture Partners (www.predictivevc.com), Prefix Capital (www.prefixcapital.com), Spero Ventures (www.spero.vc), Techstars (www.techstars.com), Vela Partners (www.vela.partners)</t>
  </si>
  <si>
    <t>TRNC Ventures (trnc.ventures)</t>
  </si>
  <si>
    <t>Cooley(Legal Advisor), WilmerHale(Legal Advisor)</t>
  </si>
  <si>
    <t>187287-40P</t>
  </si>
  <si>
    <t>Cory Siskind</t>
  </si>
  <si>
    <t>Washington, DC</t>
  </si>
  <si>
    <t>650 Massachusetts Avenue</t>
  </si>
  <si>
    <t>North West</t>
  </si>
  <si>
    <t>District of Columbia</t>
  </si>
  <si>
    <t>20001</t>
  </si>
  <si>
    <t>info@baseoperations.com</t>
  </si>
  <si>
    <t>Measuring distances, levels or bearings</t>
  </si>
  <si>
    <t>234712-45</t>
  </si>
  <si>
    <t>Beagle Learning</t>
  </si>
  <si>
    <t>Beagle</t>
  </si>
  <si>
    <t>Beagle Learning, LLC</t>
  </si>
  <si>
    <t>Developer of an inquiry-based learning framework software platform intended to facilitate, track, and assess student inquiry. The company's software platform automatically summarizes and analyzes student questions, provides same-day reports highlighting the popular and unique questions from the course, and also assists in solving questions such as critical thinking, problem-solving, and team building, enabling students to connect their learnings allowing them to visualize the connections between their findings and develop higher-order thinking and synthesis skills.</t>
  </si>
  <si>
    <t>EdTech</t>
  </si>
  <si>
    <t>digital learning, education application, education platform, learning framework, online education, online learning</t>
  </si>
  <si>
    <t>www.beaglelearning.com</t>
  </si>
  <si>
    <t>http://www.linkedin.com/company/beaglelearning</t>
  </si>
  <si>
    <t>2022: 6, 2023: 2</t>
  </si>
  <si>
    <t>The company joined Techstars on February 10, 2020, and received $120,000 in funding. As a part of the transaction, $100,000 was received in the form of convertible debt. Subsequently, the company raised $290,000 of pre-seed funding from LearnLaunch Fund + Accelerator, Social Capital and Techstars on February 1, 2020. ASU ScaleU and David Jiang also participated in the round.</t>
  </si>
  <si>
    <t>ASU ScaleU, Creative Destruction Lab, David Jiang, LearnLaunch Fund + Accelerator, Social Capital, Techstars</t>
  </si>
  <si>
    <t>ASU ScaleU (www.scaleu.org), Creative Destruction Lab (www.creativedestructionlab.com), LearnLaunch Fund + Accelerator (www.learnlaunch.com), Social Capital (www.socialcapital.com), Techstars (www.techstars.com)</t>
  </si>
  <si>
    <t>196909-03P</t>
  </si>
  <si>
    <t>Carolyn Bickers</t>
  </si>
  <si>
    <t>Co-Founder, Co-Chief Executive Officer &amp; Chief Operating Officer</t>
  </si>
  <si>
    <t>carolyn@beaglelearning.com</t>
  </si>
  <si>
    <t>+1 (508) 202-2866</t>
  </si>
  <si>
    <t>Paradise Valley, AZ</t>
  </si>
  <si>
    <t>5033 East Turquoise Avenue</t>
  </si>
  <si>
    <t>Paradise Valley</t>
  </si>
  <si>
    <t>Arizona</t>
  </si>
  <si>
    <t>85253</t>
  </si>
  <si>
    <t>info@beaglearning.com</t>
  </si>
  <si>
    <t>Bridge Loan - $0.10M (Convertible)</t>
  </si>
  <si>
    <t>483188-95</t>
  </si>
  <si>
    <t>BellaLift</t>
  </si>
  <si>
    <t>Curio</t>
  </si>
  <si>
    <t>Curio Digital Therapeutics Inc.</t>
  </si>
  <si>
    <t>Developer of personalized digital wellness application designed for women's health management. The company's platform offers a holistic approach to women's health, addressing both physical and psychological aspects, tailored information and resources, and guiding through the transformative journey of fertility, pregnancy, motherhood, and overall well-being, enabling women with personalized healthcare services.</t>
  </si>
  <si>
    <t>Healthcare Technology Systems</t>
  </si>
  <si>
    <t>Other Healthcare Technology Systems</t>
  </si>
  <si>
    <t>Application Software, Other Healthcare Technology Systems*</t>
  </si>
  <si>
    <t>Digital Health, FemTech, HealthTech, Mobile</t>
  </si>
  <si>
    <t>digital health app, digital treatment, maternal care, mental health care, pregnancy guide, psychological care, wellness advice</t>
  </si>
  <si>
    <t>www.bellalift.in</t>
  </si>
  <si>
    <t>http://www.linkedin.com/company/curio-digital-therapeutics</t>
  </si>
  <si>
    <t>2021: 12, 2022: 20, 2023: 30, 2024: 35</t>
  </si>
  <si>
    <t>The company raised an undisclosed amount of venture funding from Otsuka, ONCE Ventures and RYSE Asset Management on August 28, 2024. Avestria Ventures and Bridge Point Capital also participated in the round. The funds will be used to support continued commercialization with health plans and insurers in the US, UK and India.</t>
  </si>
  <si>
    <t>Amadeus Capital Partners, Avestria Ventures, Bridge Point Capital, Careit (Paris), MassChallenge, Mount Sinai Innovation Partners, New Jersey Economic Development Authority, ONCE Ventures, Otsuka, RYSE Asset Management</t>
  </si>
  <si>
    <t>Amadeus Capital Partners (www.amadeuscapital.com), Avestria Ventures (www.avestria.vc), Bridge Point Capital (www.bridgepoint.capital), Careit (Paris) (careit.fr/en), MassChallenge (www.masschallenge.org), Mount Sinai Innovation Partners (www.ip.mountsinai.org), New Jersey Economic Development Authority (www.njeda.com), ONCE Ventures (www.onceventures.com), Otsuka (www.otsuka-shokai.co.jp), RYSE Asset Management (www.ryseam.com)</t>
  </si>
  <si>
    <t>279773-38P</t>
  </si>
  <si>
    <t>Shailja Dixit</t>
  </si>
  <si>
    <t>shailja@curiodigitaltx.com</t>
  </si>
  <si>
    <t>+1 (800) 762-9854</t>
  </si>
  <si>
    <t>100 Overlook Drive</t>
  </si>
  <si>
    <t>hello@curiodigitaltx.com</t>
  </si>
  <si>
    <t>Healthcare informatics</t>
  </si>
  <si>
    <t>481748-50</t>
  </si>
  <si>
    <t>BeMe Health</t>
  </si>
  <si>
    <t>BeMe</t>
  </si>
  <si>
    <t>BeMe Health, Inc</t>
  </si>
  <si>
    <t>Brightline (Clinics/Outpatient Services)</t>
  </si>
  <si>
    <t>Developer of a mental health application designed for teens to improve emotional well-being. The company's platform brings together another aspect of social, gaming, and streaming engagement along with human coaching and clinical care, enabling users to engage with one another or access resources to be well-equipped and aware to better handle their mental well-being.</t>
  </si>
  <si>
    <t>Application Software, Educational Software, Other Healthcare Technology Systems*</t>
  </si>
  <si>
    <t>Digital Health, HealthTech, LOHAS &amp; Wellness, Mobile</t>
  </si>
  <si>
    <t>behavioral healthcare, clinical care, coaching platform, emotional health treatment, general wellness, health coaching, human coaching, mental health care, mental health platform, personalized coaching, streaming platform, wellness program</t>
  </si>
  <si>
    <t>www.beme.com</t>
  </si>
  <si>
    <t>http://www.linkedin.com/company/bemehealth</t>
  </si>
  <si>
    <t>2022: 23</t>
  </si>
  <si>
    <t>The company raised an estimated $14 million of seed funding in a deal led by Flare Capital Partners and Polaris Partners on August 22, 2024. Blue Cross and Blue Shield of Kansas, Hesperia Capital, Fiore Ventures, and California Health Care Foundation also participated in the round. The funds will be used to enhance the company's platform, expand its reach, and continue innovating in youth behavioral healthcare.</t>
  </si>
  <si>
    <t>Blue Cross and Blue Shield of Kansas, California Health Care Foundation, Fiore Ventures, Flare Capital Partners, Hesperia Capital, Polaris Partners</t>
  </si>
  <si>
    <t>Blue Cross and Blue Shield of Kansas (www.bcbsks.com), California Health Care Foundation (www.chcf.org), Flare Capital Partners (www.flarecapital.com), Hesperia Capital (www.hesperiacapital.com), Polaris Partners (www.polarispartners.com)</t>
  </si>
  <si>
    <t>276449-14P</t>
  </si>
  <si>
    <t>Ronald Geraty</t>
  </si>
  <si>
    <t>Co-Founder &amp; Chairman</t>
  </si>
  <si>
    <t>ronald@beme.com</t>
  </si>
  <si>
    <t>+1 (617) 510-4642</t>
  </si>
  <si>
    <t>Surfside, FL</t>
  </si>
  <si>
    <t>9017 Froude Avenue</t>
  </si>
  <si>
    <t>Surfside</t>
  </si>
  <si>
    <t>33154</t>
  </si>
  <si>
    <t>+1 (888) 979-7616</t>
  </si>
  <si>
    <t>Rumor/Speculation</t>
  </si>
  <si>
    <t>Diagnosis, Healthcare informatics</t>
  </si>
  <si>
    <t>442271-62</t>
  </si>
  <si>
    <t>Gameboard</t>
  </si>
  <si>
    <t>Last Gameboard</t>
  </si>
  <si>
    <t>The Last Gameboard, Inc.</t>
  </si>
  <si>
    <t>Developer of a tabletop gaming platform designed to bring back social gameplay. The company's platform utilizes a blend of physical, digital, and augmented reality to offer virtual tabletop games, enabling customers to play any tabletop game at any place without the need for game-specific items.</t>
  </si>
  <si>
    <t>Electronics (B2C)*, Entertainment Software, Recreational Goods</t>
  </si>
  <si>
    <t>Augmented Reality, Gaming</t>
  </si>
  <si>
    <t>board games, game developer, gaming access, gaming hardware, table tops games, tabletop gaming developer, tabletop gaming software, video game creator</t>
  </si>
  <si>
    <t>www.lastgameboard.com</t>
  </si>
  <si>
    <t>http://www.linkedin.com/company/last-gameboard</t>
  </si>
  <si>
    <t>2020: 7, 2021: 13, 2022: 22, 2023: 14, 2024: 11</t>
  </si>
  <si>
    <t>The company joined AARP Innovation Labs on December 30, 2023. No equity or funding was exchanged as a result of this program.</t>
  </si>
  <si>
    <t>AARP Innovation Labs, AgeTech Collaborative, Behind Genius Ventures, Blockchain Founders Capital, Blue 9 Capital, Cashmere Fund, Conscience, Coppice Capital, Corner3 Ventures, HAX, IrishAngels, Jake Perlman-Garr, Phil Fogel, Riot Games, SOSV</t>
  </si>
  <si>
    <t>TheVentureCity</t>
  </si>
  <si>
    <t>AARP Innovation Labs (www.aarpinnovationlabs.org), AgeTech Collaborative (www.agetechcollaborative.org), Behind Genius Ventures (www.behindgeniusventures.com), Blockchain Founders Capital (www.bfc.vc), Blue 9 Capital (www.blue9capital.com), Cashmere Fund (www.thecashmerefund.com), Conscience (www.conscience.vc), Coppice Capital (www.coppicecapital.co.uk), Corner3 Ventures (www.corner3.vc), HAX (hax.co), IrishAngels (www.irishangels.com), Riot Games (www.riotgames.com), SOSV (www.sosv.com)</t>
  </si>
  <si>
    <t>TheVentureCity (www.theventure.city)</t>
  </si>
  <si>
    <t>Holland &amp; Hart(Legal Advisor), Kickstarter(Lead Manager or Arranger)</t>
  </si>
  <si>
    <t>243016-30P</t>
  </si>
  <si>
    <t>Shail Mehta</t>
  </si>
  <si>
    <t>shail@lastgameboard.com</t>
  </si>
  <si>
    <t>+1 (720) 219-8337</t>
  </si>
  <si>
    <t>Denver, CO</t>
  </si>
  <si>
    <t>1404 Larimer Street</t>
  </si>
  <si>
    <t>Denver</t>
  </si>
  <si>
    <t>80202</t>
  </si>
  <si>
    <t>+1 (310) 621-3039</t>
  </si>
  <si>
    <t>info@lastgameboard.com</t>
  </si>
  <si>
    <t>Image or video recognition or understanding, Radio direction-finding</t>
  </si>
  <si>
    <t>490139-20</t>
  </si>
  <si>
    <t>Green Room</t>
  </si>
  <si>
    <t>GR</t>
  </si>
  <si>
    <t>Green Room Solutions, Inc.</t>
  </si>
  <si>
    <t>Gigwell, Artist Growth, Eventric</t>
  </si>
  <si>
    <t>Developer of business and tour management software intended for touring entertainers. The company's software offers an all-in-one, mobile solution for event scheduling, coordination and finance tracking, enabling local venues and independent artists to save time as well as stay compliant while managing gig payments.</t>
  </si>
  <si>
    <t>Business/Productivity Software*, Other Financial Services</t>
  </si>
  <si>
    <t>FinTech, Mobile, SaaS</t>
  </si>
  <si>
    <t>creator economy, entertainment, gig economy, live music, payment app, payment application platform, payment gateway, tax compliance platform, tax compliance software, tax compliance solutions</t>
  </si>
  <si>
    <t>www.greenroom.app</t>
  </si>
  <si>
    <t>http://www.linkedin.com/company/greenroomapp</t>
  </si>
  <si>
    <t>2022: 8, 2023: 8</t>
  </si>
  <si>
    <t>The company was in talks to receive seed funding on an undisclosed date. Subsequently, the deal was canceled. Previously, Blue Catalyst Group sold its stake in the company to an undisclosed buyer in May 2023.</t>
  </si>
  <si>
    <t>Alexander Moore, Allison Kimball, Bragiel Brothers, Chris Stroud, Concord CN, Daniel Altmann, gBETA, Henry Turner, Impact Assets, Mercury Fund, Phoenix Investment Club, Phoenix Investment Club (San Francisco), Scott Crosby, Techstars, The Artemis Fund, Urban Capital Network, Warner Music Group</t>
  </si>
  <si>
    <t>Blue Catalyst Group</t>
  </si>
  <si>
    <t>Bragiel Brothers (www.bragielbrothers.com), gBETA (gbetastartups.com), Impact Assets (www.impactassets.org), Mercury Fund (www.mercuryfund.com), Phoenix Investment Club (www.phoenixclub.co.za), Phoenix Investment Club (San Francisco) (www.phoenixclub.vc), Techstars (www.techstars.com), The Artemis Fund (www.theartemisfund.com), Urban Capital Network (www.urbancapitalnetwork.com), Warner Music Group (www.wmg.com)</t>
  </si>
  <si>
    <t>Mercury(General Business Banking)</t>
  </si>
  <si>
    <t>Houston, TX</t>
  </si>
  <si>
    <t>1801 Main Street</t>
  </si>
  <si>
    <t>Houston</t>
  </si>
  <si>
    <t>77002</t>
  </si>
  <si>
    <t>+1 (346) 298-5667</t>
  </si>
  <si>
    <t>hello@greenroom.app</t>
  </si>
  <si>
    <t>496227-07</t>
  </si>
  <si>
    <t>Groflo</t>
  </si>
  <si>
    <t>Ethically</t>
  </si>
  <si>
    <t>Ethically Platform Inc</t>
  </si>
  <si>
    <t>Developer of a discovery platform designed to recognize and support sustainable brands online. The company's portal helps the customer to find scores for hundreds of companies and shop with brands that are more aligned with their values, enabling customers to make responsible buying decisions and have a positive impact.</t>
  </si>
  <si>
    <t>Application Software*, Information Services (B2C), Other Services (B2C Non-Financial)</t>
  </si>
  <si>
    <t>E-Commerce</t>
  </si>
  <si>
    <t>discovery platform, discovery site, ethical practice, loyalty and incentive, shopping advice, shopping place, sustainable branding</t>
  </si>
  <si>
    <t>www.joinethically.com</t>
  </si>
  <si>
    <t>http://www.linkedin.com/company/groflo</t>
  </si>
  <si>
    <t>2022: 7, 2023: 9, 2024: 7</t>
  </si>
  <si>
    <t>The company raised $1.31 million of venture funding in the form of SAFE notes from PivotNorth Capital and other undisclosed investors on May 6, 2022.</t>
  </si>
  <si>
    <t>PivotNorth Capital, Visible Hands</t>
  </si>
  <si>
    <t>PivotNorth Capital (www.pivotnorth.com), Visible Hands (www.visiblehands.vc)</t>
  </si>
  <si>
    <t>193587-13P</t>
  </si>
  <si>
    <t>Jada McLean</t>
  </si>
  <si>
    <t>+1 (626) 404-3580</t>
  </si>
  <si>
    <t>2850 Moraga Street</t>
  </si>
  <si>
    <t>94112</t>
  </si>
  <si>
    <t>Animal husbandry</t>
  </si>
  <si>
    <t>170476-30</t>
  </si>
  <si>
    <t>Huckleberry (Information Services (B2C))</t>
  </si>
  <si>
    <t>Huckleberry</t>
  </si>
  <si>
    <t>Huckleberry Labs, Inc.</t>
  </si>
  <si>
    <t>Developer of an evidence-based program designed to improve sleeping conditions for children. The company's offering includes a mobile application that understands a child's sleep situation by their sleeping patterns for over a week and then suggests an easy-to-follow program, enabling parents to help their kids improve their sleep patterns.</t>
  </si>
  <si>
    <t>Media</t>
  </si>
  <si>
    <t>Information Services (B2C)</t>
  </si>
  <si>
    <t>Application Software, Information Services (B2C)*</t>
  </si>
  <si>
    <t>Digital Health, LOHAS &amp; Wellness</t>
  </si>
  <si>
    <t>behavioral analysis, pediatric sleep study, sleep pattern analysis, sleep pattern management, sleep pattern statistics, sleeping application</t>
  </si>
  <si>
    <t>www.huckleberrycare.com</t>
  </si>
  <si>
    <t>http://www.linkedin.com/company/huckleberry-labs</t>
  </si>
  <si>
    <t>2021: 18, 2022: 43</t>
  </si>
  <si>
    <t>FY 2019</t>
  </si>
  <si>
    <t>The company raised an estimated $12.5 million of Series A venture funding in a deal led by Morningside Group on September 23, 2021, putting the company's pre-money valuation at $47 million. Tamarisc Ventures and 5 other investors also participated in the round. The funds will be used to broaden its data-driven reach in making health and wellness accessible to all families, particularly in developmental areas such as sleep, feeding, and tantrums.</t>
  </si>
  <si>
    <t>Burst Capital, City Light Capital, CSC UpShot Ventures, Everywhere Ventures, Morningside Group, Spero Ventures, Tamarisc Ventures, Tom Williams, Vela Partners</t>
  </si>
  <si>
    <t>Burst Capital (www.burst.llc), City Light Capital (www.citylight.vc), CSC UpShot Ventures (www.csc-upshot.vc), Everywhere Ventures (everywhere.vc), Morningside Group (www.morningside.com), Spero Ventures (www.spero.vc), Tamarisc Ventures (www.tamarisc.vc), Tom Williams (tomwilliamselementary.com), Vela Partners (www.vela.partners)</t>
  </si>
  <si>
    <t>157386-07P</t>
  </si>
  <si>
    <t>Jessica Toh</t>
  </si>
  <si>
    <t>jessica@huckleberry-labs.com</t>
  </si>
  <si>
    <t>Irvine, CA</t>
  </si>
  <si>
    <t>15615 Alton Parkway</t>
  </si>
  <si>
    <t>Suite 450</t>
  </si>
  <si>
    <t>Irvine</t>
  </si>
  <si>
    <t>92618</t>
  </si>
  <si>
    <t>hello@huckleberry-labs.com</t>
  </si>
  <si>
    <t>434171-53</t>
  </si>
  <si>
    <t>Kindest</t>
  </si>
  <si>
    <t>Kindest Nonprofit Solutions, Inc.</t>
  </si>
  <si>
    <t>Developer of an online fundraising platform designed to power and simplify philanthropic giving. The company's platform allows people to donate money and get involved in activities that benefit important causes for humanity or the local community to bridge the gap between non-profit organizations and donors by creating a social sphere where they all can engage and get recognition, enabling non-profit organizations to elevate their fundraising with easy-to-create donor-friendly pages and essential transaction reports that empower them to engage effectively with their donors.</t>
  </si>
  <si>
    <t>Business/Productivity Software*, Financial Software, Other Financial Services, Social/Platform Software</t>
  </si>
  <si>
    <t>FinTech, Marketing Tech</t>
  </si>
  <si>
    <t>crowdfunding platform, crowdfunding platform provider, crowdfunding platform service, fundraising app, fundraising platform service, social welfare services</t>
  </si>
  <si>
    <t>www.kindest.com</t>
  </si>
  <si>
    <t>http://www.linkedin.com/company/kindest</t>
  </si>
  <si>
    <t>2021: 23</t>
  </si>
  <si>
    <t>Credo Ventures sold its stake in the company to an undisclosed buyer in November 2023.</t>
  </si>
  <si>
    <t>Alumni Ventures, Bali Venture Partners, Basecamp Fund, Ben Lewis, Charles Hudson, Christina Melas-Kyriazi, Daniel Schryer, Jes Wolfe, Kumara Gowrappan, Precursor Ventures, Sean Rad, Verissimo Ventures</t>
  </si>
  <si>
    <t>Credo Ventures</t>
  </si>
  <si>
    <t>Alumni Ventures (www.av.vc), Bali Venture Partners (www.baliventurepartners.com), Basecamp Fund (www.basecampfund.com), Charles Hudson (www.charleshudson.net), Precursor Ventures (precursorvc.com), Verissimo Ventures (verissimo.vc)</t>
  </si>
  <si>
    <t>Credo Ventures (www.credoventures.com)</t>
  </si>
  <si>
    <t>55186-57P</t>
  </si>
  <si>
    <t>Denise Wang-Kline</t>
  </si>
  <si>
    <t>denise@kindest.com</t>
  </si>
  <si>
    <t>+1 (415) 320-2288</t>
  </si>
  <si>
    <t>Tiburon, CA</t>
  </si>
  <si>
    <t>1550 Tiburon Boulevard</t>
  </si>
  <si>
    <t>Suite G615</t>
  </si>
  <si>
    <t>Tiburon</t>
  </si>
  <si>
    <t>94920</t>
  </si>
  <si>
    <t>info@kindest.com</t>
  </si>
  <si>
    <t>462671-29</t>
  </si>
  <si>
    <t>Layer Metrics</t>
  </si>
  <si>
    <t>Layer Metrics Inc.</t>
  </si>
  <si>
    <t>Developer of an optical monitoring technology designed to focus on quality control for third-dimensional metal additive manufacturing. The company's technology delivers an optical hardware sensor system that monitors and detects flaws during the manufacturing process and captures an amalgam of real-time synchronized data to deliver confidence in the build-integrity of third-dimensional metal printed parts, enabling clients to take corrective action while the part is being printed fuelling rapid growth.</t>
  </si>
  <si>
    <t>Electronic Equipment and Instruments, Industrial Supplies and Parts, Other Commercial Services*</t>
  </si>
  <si>
    <t>3d metal, hardware sensors, instrument manufacturer, optical monitoring technology, quality control, sensor system</t>
  </si>
  <si>
    <t>www.layermetricsinc.com</t>
  </si>
  <si>
    <t>http://www.linkedin.com/company/layer-metrics-inc</t>
  </si>
  <si>
    <t>2023: 7, 2024: 7</t>
  </si>
  <si>
    <t>The company raised $400,000 of venture funding from Launch NY, Excell Partners and NextCorps Luminate. on August 24, 2023.</t>
  </si>
  <si>
    <t>Excell Partners, Launch NY, New York Ventures, NextCorps Luminate, The Innovation Space</t>
  </si>
  <si>
    <t>Excell Partners (www.excellny.com), Launch NY (www.launchny.org), NextCorps Luminate (www.luminate.org), The Innovation Space (www.innovationspace.org)</t>
  </si>
  <si>
    <t>256236-58P</t>
  </si>
  <si>
    <t>Clare Murphy</t>
  </si>
  <si>
    <t>Co-Founder, Owner, Chief Executive Officer &amp; President</t>
  </si>
  <si>
    <t>clare@layermetricsinc.com</t>
  </si>
  <si>
    <t>Suite 6414</t>
  </si>
  <si>
    <t>Bridge Loan - $0.05M (Convertible)</t>
  </si>
  <si>
    <t>Measurement of intensity, velocity, spectral content, polarisation, phase or pulse characteristics of infrared, visible or ultraviolet light</t>
  </si>
  <si>
    <t>471036-97</t>
  </si>
  <si>
    <t>Mpathic</t>
  </si>
  <si>
    <t>Empathy Rocks</t>
  </si>
  <si>
    <t>Empathy Rocks, Inc.</t>
  </si>
  <si>
    <t>Cogito, John Snow Labs, OM1</t>
  </si>
  <si>
    <t>Operator of a conversational AI platform intended to improve human accuracy in various industries. The company's platform elevates trust, augments data quality and improves outcomes with real-time AI conversation analytics and actionable tips grounded in the science of human behavior, enabling clients to increase customer retention and trust and save millions in the costs of human review and feedback.</t>
  </si>
  <si>
    <t>Business/Productivity Software*, Communication Software</t>
  </si>
  <si>
    <t>ai enabled software, analytics software service, artificial intelligence engine, conversational ai, empathic technology, natural language technology, saas platform</t>
  </si>
  <si>
    <t>www.mpathic.ai</t>
  </si>
  <si>
    <t>http://www.linkedin.com/company/mpathic-ai</t>
  </si>
  <si>
    <t>2021: 11, 2022: 16, 2023: 43, 2024: 47</t>
  </si>
  <si>
    <t>The company raised an estimated $5.85 million through a combination of Seed-2 and Seed-3 funding in a deal led by Next Frontier Capital on October 2, 2023, putting the company's pre-money valuation at $20.15 million. FullCircle, Keiretsu Forum and WRF Capital also participated in the round.</t>
  </si>
  <si>
    <t>Colchuck, Crosscut Ventures, First Row Partners, Full Circle Venture Capital, FullCircle (New York), Graham &amp; Walker, Ideaship, Illuminate Ventures, Keiretsu Forum, Next Frontier Capital, Portland Seed Fund, Verissimo Ventures, WRF Capital, WXR Venture Fund</t>
  </si>
  <si>
    <t>Colchuck (www.colchuck.com), Crosscut Ventures (www.crosscut.vc), First Row Partners (www.firstrowpartners.vc), Full Circle Venture Capital (www.fullcircle.vc), FullCircle (New York) (www.fullcirclefund.io), Graham &amp; Walker (www.grahamwalker.com), Ideaship (www.ideashipfund.com), Illuminate Ventures (www.illuminate.com), Keiretsu Forum (www.keiretsuforum.com), Next Frontier Capital (www.nextfrontiercapital.com), Portland Seed Fund (portlandseedfund.com), Verissimo Ventures (verissimo.vc), WRF Capital (www.wrfseattle.org), WXR Venture Fund (www.wxrfund.com)</t>
  </si>
  <si>
    <t>Moss Adams(Auditor), O'Melveny &amp; Myers(Legal Advisor), SVB Financial Group(General Business Banking)</t>
  </si>
  <si>
    <t>O'Melveny &amp; Myers(Legal Advisor)</t>
  </si>
  <si>
    <t>334110-97P</t>
  </si>
  <si>
    <t>Sam Blum</t>
  </si>
  <si>
    <t>Fractional Chief Financial Officer</t>
  </si>
  <si>
    <t>sam@mpathic.ai</t>
  </si>
  <si>
    <t>+1 (425) 330-7335</t>
  </si>
  <si>
    <t>14655 Bel-Red Road</t>
  </si>
  <si>
    <t>Suite 203</t>
  </si>
  <si>
    <t>98007</t>
  </si>
  <si>
    <t>hello@mpathic.ai</t>
  </si>
  <si>
    <t>432512-47</t>
  </si>
  <si>
    <t>Nextmv</t>
  </si>
  <si>
    <t>Nextmv.io, Inc.</t>
  </si>
  <si>
    <t>7bridges, Locus (Business/Productivity Software), Bringg, Shipsy, Radius Intelligence, GetSwift, LogiNext, Onfleet, Mojro, InsideView, Decisions (Virginia Beach), Sparkling Logic, DueDil, FarEye, Neural Technologies, Transporeon, Shipa, BluJay Solutions, OmPrompt, Intugine, CA Technologies, Camunda, Thinventory, Appian, NICE (Business/Productivity Software), LexisNexis Group</t>
  </si>
  <si>
    <t>Operator of DecisionOps platform that accelerates optimization AI teams with tools for deployment, testing, CI/CD, collaboration, and management of decision models. With the company's platform, developers can create scalable, custom decision services complete with unique API endpoints and options to integrate with popular solvers and modeling solutions.</t>
  </si>
  <si>
    <t>Automation/Workflow Software, Business/Productivity Software*, Logistics, Media and Information Services (B2B)</t>
  </si>
  <si>
    <t>SaaS, TMT</t>
  </si>
  <si>
    <t>automation platform service, business automation solutions, business performance insights, decision automation process, decision automation software, decision automation solutions, enterprise resource planning, erp, optimization platform</t>
  </si>
  <si>
    <t>www.nextmv.io</t>
  </si>
  <si>
    <t>http://www.linkedin.com/company/nextmv</t>
  </si>
  <si>
    <t>2020: 8, 2021: 26, 2022: 30, 2023: 30, 2024: 24</t>
  </si>
  <si>
    <t>The company raised $11.50 million of venture funding from RTP Global and other undisclosed investors on May 25, 2021.</t>
  </si>
  <si>
    <t>2048 Ventures, Atypical Ventures, Claire Johnson, Dynamo Ventures, FirstMark Capital, GreenHawk Corporation, Holly Liu, Jason Finger, Jason Warner, Richard Robinette, RTP Global, Trajectory Ventures, XFactor Ventures, Y Combinator</t>
  </si>
  <si>
    <t>2048 Ventures (www.2048.vc), Atypical Ventures (www.atypical.com), Dynamo Ventures (www.dynamo.vc), FirstMark Capital (www.firstmark.com), GreenHawk Corporation (www.greenhawkcorp.com), Jason Finger (www.fingergroup.com), RTP Global (www.rtp.vc), Trajectory Ventures (www.trajectoryventures.vc), XFactor Ventures (www.xfactor.ventures), Y Combinator (www.ycombinator.com)</t>
  </si>
  <si>
    <t>Goodwin Procter(Legal Advisor)</t>
  </si>
  <si>
    <t>223200-46P</t>
  </si>
  <si>
    <t>Ryan O'Neil</t>
  </si>
  <si>
    <t>Co-Founder &amp; Chief Technology Officer</t>
  </si>
  <si>
    <t>ryan@nextmv.io</t>
  </si>
  <si>
    <t>+1 (609) 760-3529</t>
  </si>
  <si>
    <t>Philadelphia, PA</t>
  </si>
  <si>
    <t>1835 North Palethorp Street</t>
  </si>
  <si>
    <t>Philadelphia</t>
  </si>
  <si>
    <t>19122</t>
  </si>
  <si>
    <t>info@nextmv.io</t>
  </si>
  <si>
    <t>509282-02</t>
  </si>
  <si>
    <t>Orby AI</t>
  </si>
  <si>
    <t>Orby</t>
  </si>
  <si>
    <t>Orby AI, Inc.</t>
  </si>
  <si>
    <t>Cleo Communications, Wilson Allen (Billstream), Satuit Technologies, Exosite, Twilio Segment, Elastic.io, iovox, Mixpanel, Help Scout, Mailbird, Presail, MarianaIQ, IFTTT, FogHorn, Salesfusion, Celigo, Cazoomi, OpenProject, RedBooth, Zendesk, Tray, Prismm (Business/Productivity Software), K2 (Bellevue), Arya.ai, MuleSoft, Crosscap Media Services, Axonator, Reflective, Adeptia, Process Street, Bizagi Group, Confluence Technologies, MeisterLabs Software, Freedcamp, Roam (Leeds), Pipefy, Bitrix24, Coda (Business/Productivity Software), Scoro, Teamwork, Signavio, Workato, Kissflow, AgilePoint, Clarizen, Smartsheet, Wrike, WorkBoard, Fylamynt, ProjectManager, Asana, Nintex, Transpose (Network Management Software), Paymo(Oradea), Bedrock Data, Digital Reasoning, FORMVERSE, Issuetrak, LiquidPlanner, Notion, Tray.io, Symphony (New York), Appian, PagerDuty, Relayr, Jitterbit, TeamSupport, Celoxis, Aeris Communications, Talend, ConnectWise, Clarifai, Monday.com, Salesforce, Podbox, Planview PPM Pro, Bonitasoft, Quire (Business/Productivity Software), Workfront, OneSaas, Pipemonk, ServiceNow, Calypso (Business Productivity Software), Planview, Ayla Networks, PieSync, Missions, Zapier, Airtable, Collab, ProofHub, Jive Software, WSO2, Time Doctor, Quip (Business/Productivity Software), Projectplace International, Delightree</t>
  </si>
  <si>
    <t>Developer of an artificial intelligence-based enterprise platform designed to automate mundane and repetitive tasks. The company's platform observes users' activities, identifies repetitive work steps, and automatically generates code to automate tasks such as finance and accounting processing, ticket resolution for customer support, and inputting lead management data, enabling companies to optimize their business processes.</t>
  </si>
  <si>
    <t>ai agent, ai automation platform, automation planning, automation platform, data auditing, enterprise resource planning, erp, generative ai, generative ai tools, inventory management system, inventory planning platform, invoice processing service, large language model agent, lead management platform, llm agent, task automation, work automation</t>
  </si>
  <si>
    <t>www.orby.ai</t>
  </si>
  <si>
    <t>http://www.linkedin.com/company/orby-ai</t>
  </si>
  <si>
    <t>2023: 12, 2024: 30</t>
  </si>
  <si>
    <t>The company joined Plug and Play Tech Center as a part of its Insurtech Batch 16 on April 4, 2024. No equity or funding was exchanged as a result of this program.</t>
  </si>
  <si>
    <t>Neo (Consulting Services (B2B)), New Enterprise Associates, Pear (California), Plug and Play Tech Center, Stanford University, Wing Venture Capital, WndrCo</t>
  </si>
  <si>
    <t>Neo (Consulting Services (B2B)) (www.neo.com), New Enterprise Associates (www.nea.com), Pear (California) (www.pear.vc), Plug and Play Tech Center (www.plugandplaytechcenter.com), Stanford University (www.stanford.edu), Wing Venture Capital (www.wing.vc), WndrCo (www.wndrco.com)</t>
  </si>
  <si>
    <t>Inventus Law(Legal Advisor)</t>
  </si>
  <si>
    <t>143057-62P</t>
  </si>
  <si>
    <t>Bella Liu</t>
  </si>
  <si>
    <t>bella@orby.ai</t>
  </si>
  <si>
    <t>+1 (650) 318-1389</t>
  </si>
  <si>
    <t>1975 West El Camino Real</t>
  </si>
  <si>
    <t>94040</t>
  </si>
  <si>
    <t>info@orby.ai</t>
  </si>
  <si>
    <t>130609-45</t>
  </si>
  <si>
    <t>Plinqit</t>
  </si>
  <si>
    <t>Plinqit, Inc</t>
  </si>
  <si>
    <t>Qapital, Acorns, Digit (Financial Software), Robinhood</t>
  </si>
  <si>
    <t>Developer of savings platform designed to easily and cost-effectively introduce new services for attracting and retaining customers. The company's platform helps both brick-and-mortar and virtual banks attract and retain depositors through a set of powerful age-specific interactive applications, enabling customers and their children to save as well as learn modern money management techniques and grow through its unique savings gamification system.</t>
  </si>
  <si>
    <t>Application Software, Financial Software*</t>
  </si>
  <si>
    <t>banking application, consumer payment, crm, customer relationship management, financial application, fintech company, loyalty &amp; rewards, mobile banking, mobile banking platform, mobile banking service, money saving app, money saving education, retail loyalty, retail rewards</t>
  </si>
  <si>
    <t>www.plinqit.com</t>
  </si>
  <si>
    <t>http://www.linkedin.com/company/plinqitcompanypage</t>
  </si>
  <si>
    <t>2015: 6, 2016: 7, 2018: 9, 2020: 16, 2022: 16, 2023: 15, 2024: 18</t>
  </si>
  <si>
    <t>The company raised $5 million of Series A venture funding in a deal led by FINTOP Capital and Jam Fintop Capital on January 7, 2022, putting the company's pre-money valuation at $14 million. Invest Detroit Ventures and 5 other investors also participated in the round. The funds will be used to continue to expand the company's business reach.</t>
  </si>
  <si>
    <t>4Front Credit Union, Fidelity National Information Services, FINTOP Capital, Invest Detroit Ventures, Invest Michigan, JAM FINTOP, Michigan Angel Fund, Michigan Rise, Points of Light Institute, Red Cedar Ventures, SixThirty Ventures, Stout Street Capital, The Venture Center</t>
  </si>
  <si>
    <t>4Front Credit Union (4frontcu.com), Fidelity National Information Services (www.fisglobal.com/en), FINTOP Capital (www.fintopcapital.com), Invest Detroit Ventures (www.idventures.com), Invest Michigan (www.investmichigan.org), JAM FINTOP (www.jamfintop.com), Michigan Angel Fund (www.miangelfund.com), Michigan Rise (www.michiganrise.com), Points of Light Institute (pointsoflight.org), Red Cedar Ventures (www.redcedarventures.com), SixThirty Ventures (www.sixthirty.co), Stout Street Capital (www.stoutstreetcapital.com), The Venture Center (www.venturecenter.co)</t>
  </si>
  <si>
    <t>Bank of Ann Arbor(General Business Banking), Chase Bank(General Business Banking), Hoeg Law(Legal Advisor), Honigman(Legal Advisor), Taft Stettinius &amp; Hollister(Legal Advisor)</t>
  </si>
  <si>
    <t>130871-71P</t>
  </si>
  <si>
    <t>Kathleen Craig</t>
  </si>
  <si>
    <t>kcraig@plinqit.com</t>
  </si>
  <si>
    <t>+1 (734) 822-7544</t>
  </si>
  <si>
    <t>Ann Arbor, MI</t>
  </si>
  <si>
    <t>315 East Eisenhower</t>
  </si>
  <si>
    <t>Suite 304</t>
  </si>
  <si>
    <t>Ann Arbor</t>
  </si>
  <si>
    <t>48108</t>
  </si>
  <si>
    <t>info@plinqit.com</t>
  </si>
  <si>
    <t>484529-05</t>
  </si>
  <si>
    <t>Sign-Speak</t>
  </si>
  <si>
    <t>Sign-Speak, Inc.</t>
  </si>
  <si>
    <t>Developer of a translation and language software designed to translate sign language into the spoken word in real time. The company's application utilizes artificial intelligence and machine learning to translate American sign language to text and voice to text easily, enabling deaf people with hearing impairments to communicate by recognizing gestures and displays.</t>
  </si>
  <si>
    <t>Communication Software</t>
  </si>
  <si>
    <t>Communication Software*</t>
  </si>
  <si>
    <t>access service, accessibility technology, language translation, machine learning data, natural language technology, sign language software</t>
  </si>
  <si>
    <t>www.sign-speak.com</t>
  </si>
  <si>
    <t>http://www.linkedin.com/company/signspeak</t>
  </si>
  <si>
    <t>2021: 5, 2022: 6, 2023: 12, 2024: 10</t>
  </si>
  <si>
    <t>The company joined Comcast NBCUniversal LIFT Labs on an undisclosed date. No equity or funding was exchanged as a result of this program.</t>
  </si>
  <si>
    <t>AWS Startups, Boston Impact Initiative, Comcast NBCUniversal LIFT Labs, Hispanics In Philanthropy, Impact Assets, Launch NY, National Science Foundation, New York Ventures, RIT Venture Creations Incubator, Samaritan Partners, Techstars, Veloric Center for Entrepreneurship, Women Who Tech</t>
  </si>
  <si>
    <t>Hispanic Tech Incubator</t>
  </si>
  <si>
    <t>AWS Startups (aws-startup-lofts.com), Boston Impact Initiative (www.bostonimpact.org), Comcast NBCUniversal LIFT Labs (lift.comcast.com), Hispanics In Philanthropy (www.powerupfund.org), Impact Assets (www.impactassets.org), Launch NY (www.launchny.org), National Science Foundation (nsf.gov), RIT Venture Creations Incubator (www.rit.edu/incubator), Samaritan Partners (www.samaritanpartners.com), Techstars (www.techstars.com), Veloric Center for Entrepreneurship (kogod.american.edu/students/entrepreneurship), Women Who Tech (womenwhotech.org)</t>
  </si>
  <si>
    <t>Hispanic Tech Incubator (www.ihccbusiness.net)</t>
  </si>
  <si>
    <t>Skylight Law(Legal Advisor)</t>
  </si>
  <si>
    <t>283985-65P</t>
  </si>
  <si>
    <t>Yamillet Payano</t>
  </si>
  <si>
    <t>yamillet_payano@sign-speak.com</t>
  </si>
  <si>
    <t>+1 (347) 373-1040</t>
  </si>
  <si>
    <t>1 Lomb Memorial Drive</t>
  </si>
  <si>
    <t>14623</t>
  </si>
  <si>
    <t>+1 (816) 301-7900</t>
  </si>
  <si>
    <t>contact-us@sign-speak.com</t>
  </si>
  <si>
    <t>Electric digital data processing, Image data processing or generation, in general</t>
  </si>
  <si>
    <t>158968-72</t>
  </si>
  <si>
    <t>Sphir</t>
  </si>
  <si>
    <t>Supirb Technologies, LLC.</t>
  </si>
  <si>
    <t>Developer of an information-sharing platform designed for community, content, and commerce. The company's platform offers the facts and data gained through education or experience that is also available all over the internet and holds some mental nutritional value, enabling users to collect, filter, and exchange information with others across the world.</t>
  </si>
  <si>
    <t>TMT</t>
  </si>
  <si>
    <t>cloud sharing application, exchange information, information app, information sharing platform, marketing acceleration software, marketing analytics tool, social media advertising</t>
  </si>
  <si>
    <t>Formerly VC-backed</t>
  </si>
  <si>
    <t>www.sphir.io</t>
  </si>
  <si>
    <t>http://www.linkedin.com/company/sphir</t>
  </si>
  <si>
    <t>2016: 3</t>
  </si>
  <si>
    <t>Tricent Capital sold a stake in the company to an undisclosed buyer on March 7, 2022.</t>
  </si>
  <si>
    <t>Tricent Capital</t>
  </si>
  <si>
    <t>Tricent Capital (www.tricentcapital.com)</t>
  </si>
  <si>
    <t>135829-36P</t>
  </si>
  <si>
    <t>Alissa Desancic</t>
  </si>
  <si>
    <t>Founder, Chief Executive Officer, Executive Officer, Promoter &amp; Board Member</t>
  </si>
  <si>
    <t>adesancic@sphir.io</t>
  </si>
  <si>
    <t>+1 (206) 227-8999</t>
  </si>
  <si>
    <t>24 Roy Street</t>
  </si>
  <si>
    <t>Number 316</t>
  </si>
  <si>
    <t>info@supirb.com</t>
  </si>
  <si>
    <t>515628-82</t>
  </si>
  <si>
    <t>Stell</t>
  </si>
  <si>
    <t>Stell Engineering Inc.</t>
  </si>
  <si>
    <t>Developer of aerospace and defense supply chain software designed to digitize the relationship between aerospace companies and their suppliers with a living specification workflow. The company's platform offers various solutions such as requirement intake, workflow planning, quoting process, approval cycles solutions, feedback tracking, and more, enabling the aerospace and defense industry to eliminate the use of outdated PDFs, back-and-forth email threads, and communication errors due to complicated paperwork.</t>
  </si>
  <si>
    <t>Aerospace and Defense, Automation/Workflow Software, Business/Productivity Software*</t>
  </si>
  <si>
    <t>aerospace software, feedback tracking, quote process, supply chain software, supplychain software, workflow planning</t>
  </si>
  <si>
    <t>www.stell-engineering.com</t>
  </si>
  <si>
    <t>http://www.linkedin.com/company/stell-engineering</t>
  </si>
  <si>
    <t>2022: 2, 2023: 6, 2024: 6</t>
  </si>
  <si>
    <t>The company raised $4.4 million of Seed-1 funding in a deal led by Long Journey Ventures, Scott Banister, and Cyan Banister on March 11, 2024, putting the company's pre-money valuation at $15.6 million. Wischoff Ventures, Third Prime, Fulcrum Venture Group, Forward Deployed VC, and Urban Innovation Fund also participated in the round. The funds will be used to hire a few more engineers and an individual dedicated to compliance and cybersecurity.</t>
  </si>
  <si>
    <t>Banter Capital, Cyan Banister, Forward Deployed VC, Fulcrum Venture Group, Long Journey Ventures, Picks and Shovels, Rolling Fun, Scott Banister, Third Prime, Urban Innovation Fund, Wischoff Ventures</t>
  </si>
  <si>
    <t>Forward Deployed VC (www.deployed.vc), Fulcrum Venture Group (www.fulcrumvg.com), Long Journey Ventures (www.longjourney.vc), Picks and Shovels (www.picksandshovelsvc.com), Rolling Fun (www.rolling.fun), Scott Banister (www.banister.net), Third Prime (www.thirdprime.vc), Urban Innovation Fund (www.urbaninnovationfund.com), Wischoff Ventures (www.wischoff.com)</t>
  </si>
  <si>
    <t>Crowell &amp; Moring(Legal Advisor)</t>
  </si>
  <si>
    <t>326324-89P</t>
  </si>
  <si>
    <t>Malory McLemore</t>
  </si>
  <si>
    <t>malory@stell-engineering.com</t>
  </si>
  <si>
    <t>+1 (310) 878-1001</t>
  </si>
  <si>
    <t>Marina Del Rey, CA</t>
  </si>
  <si>
    <t>4136 Del Rey Avenue</t>
  </si>
  <si>
    <t>Suite 514</t>
  </si>
  <si>
    <t>Marina Del Rey</t>
  </si>
  <si>
    <t>90292</t>
  </si>
  <si>
    <t>472352-32</t>
  </si>
  <si>
    <t>Tabi</t>
  </si>
  <si>
    <t>Treasureland</t>
  </si>
  <si>
    <t>Treasureland, Inc.</t>
  </si>
  <si>
    <t>Developer of a non-fungible token (NFT) issuance and trading platform designed to conveniently buy, sell, and auction NFTs. The company's platform provides an online marketplace to connect NFT creators, users and consumers in a decentralized way where users can connect blockchain wallets for accessing their crypto-collectibles, enabling users with an efficient and simple gateway in the crypto world.</t>
  </si>
  <si>
    <t>crypto collectibles, crypto trading platform, defi space, nft auction, nft trading platform, non fungible token platform, online marketplace</t>
  </si>
  <si>
    <t>tabi.lol</t>
  </si>
  <si>
    <t>http://www.linkedin.com/company/treasurelandmarket</t>
  </si>
  <si>
    <t>2022: 6, 2024: 14</t>
  </si>
  <si>
    <t>The company raised an undisclosed amount of venture funding from Undefined Labs and Zonff Partners in 2024.</t>
  </si>
  <si>
    <t>Animoca Brands, Animoca Ventures, Assembly Ventures, Binance Labs, Bo Feng, Digital Finance Group, Draper Dragon, GBV Capital, Hashkey Capital, Mask Network, NGC Ventures, Riyad AD, Signum Capital, SNZ Holding, Spark Digital Capital, Suji Yan, Undefined Labs(Seoul), YBB, Youbi Capital, Zonff Partners</t>
  </si>
  <si>
    <t>Metasense DAO</t>
  </si>
  <si>
    <t>Animoca Brands (www.animocabrands.com), Animoca Ventures (www.animoca.ventures), Assembly Ventures (www.assemblyventures.com), Binance Labs (labs.binance.com), Digital Finance Group (www.dfg.group), Draper Dragon (www.draperdragon.com), GBV Capital (gbv.capital), Hashkey Capital (capital.hashkey.com), Mask Network (www.mask.io), NGC Ventures (www.ngc.fund), Signum Capital (www.signum.capital), SNZ Holding (www.snzholding.com), Spark Digital Capital (www.sparkdigitalcapital.com), Undefined Labs(Seoul) (www.undefinedlabs.xyz), YBB (www.ybb.io), Youbi Capital (www.youbicapital.com), Zonff Partners (www.zonff.partners)</t>
  </si>
  <si>
    <t>Metasense DAO (www.metasensedao.com)</t>
  </si>
  <si>
    <t>301008-25P</t>
  </si>
  <si>
    <t>Briana Chamoun</t>
  </si>
  <si>
    <t>contact@treasureland.market</t>
  </si>
  <si>
    <t>Containers for storage or transport of articles or materials</t>
  </si>
  <si>
    <t>432703-63</t>
  </si>
  <si>
    <t>Talli</t>
  </si>
  <si>
    <t>BabyLogger</t>
  </si>
  <si>
    <t>Talli, Inc.</t>
  </si>
  <si>
    <t>Cubtale, Nobu</t>
  </si>
  <si>
    <t>Developer of a baby-tracking device designed to provide innovative solutions for tracking health events. The company simplifies the process of capturing and sharing this information, reducing the mental burden of caregiving for hands-on caregivers, care managers, and medical professionals who utilize care and symptom data to enhance diagnosis, treatment, and outcomes, enabling parents to reduce the mental burden of caregiving.</t>
  </si>
  <si>
    <t>Application Software, Business/Productivity Software, Electronics (B2C)*, Other Healthcare</t>
  </si>
  <si>
    <t>Digital Health, E-Commerce, HealthTech, Internet of Things, Mobile</t>
  </si>
  <si>
    <t>activities of daily living, aging population, baby care product, baby tracking, baby tracking app, care team, caregiver information, consumer electronics product, ease of use, elderly care, internet of things, maternal care application, parental care services</t>
  </si>
  <si>
    <t>www.talli.me</t>
  </si>
  <si>
    <t>http://www.linkedin.com/company/talli-tracker</t>
  </si>
  <si>
    <t>2020: 5, 2021: 6, 2022: 8, 2023: 10, 2024: 10</t>
  </si>
  <si>
    <t>The company raised $1.10 million of venture funding in the form of equity, debt, options and warrants from Fulcrum Financial Partners, Oval Park Capital and other undisclosed investors on May 8, 2024, putting the company's post-valuation at $3 million.</t>
  </si>
  <si>
    <t>AgeTech Collaborative, Cleo Capital, Fulcrum Financial Partners, Osparna, Outlander VC, Oval Park Capital, Reform Ventures, TheVentureCity</t>
  </si>
  <si>
    <t>AgeTech Collaborative (www.agetechcollaborative.org), Cleo Capital (www.cleocap.com), Fulcrum Financial Partners (fulcrumfp.com), Osparna (www.osparna.com), Outlander VC (www.outlander.vc), Oval Park Capital (www.ovalpark.com), Reform Ventures (www.reformventures.com), TheVentureCity (www.theventure.city)</t>
  </si>
  <si>
    <t>Grasshopper Bank(General Business Banking)</t>
  </si>
  <si>
    <t>Hutchison(Legal Advisor)</t>
  </si>
  <si>
    <t>121500-46P</t>
  </si>
  <si>
    <t>Michael Donohue</t>
  </si>
  <si>
    <t>Chief Executive Officer &amp; Board Member</t>
  </si>
  <si>
    <t>michael@talli.me</t>
  </si>
  <si>
    <t>+1 (919) 841-3889</t>
  </si>
  <si>
    <t>Holly Springs, NC</t>
  </si>
  <si>
    <t>149 Silver Bluff Street</t>
  </si>
  <si>
    <t>Holly Springs</t>
  </si>
  <si>
    <t>North Carolina</t>
  </si>
  <si>
    <t>27540</t>
  </si>
  <si>
    <t>494733-43</t>
  </si>
  <si>
    <t>Unmudl</t>
  </si>
  <si>
    <t>Unmudl Public Benefit Corp.</t>
  </si>
  <si>
    <t>Operator of a skills-to-jobs platform designed for working learners to connect their skills to jobs. The company's platform provides multiple pathways to learning and employment, with clear signaling as to the time, cost, and uncertainty of each, enabling learners to explore skills training &amp; certification programs to get job-ready quickly &amp; affordably.</t>
  </si>
  <si>
    <t>higher education, higher education program, job marketplace, jobs finding app, jobs search, recruiter platform, recruitment site, skill-building</t>
  </si>
  <si>
    <t>unmudl.com</t>
  </si>
  <si>
    <t>http://www.linkedin.com/company/unmudl</t>
  </si>
  <si>
    <t>2018: 2, 2019: 2, 2020: 3, 2021: 4, 2022: 12, 2023: 10</t>
  </si>
  <si>
    <t>The company raised $1.26 million of Series 2 seed funding from CNM Ingenuity, Cengage Learning, and South Fraser Law Group on April 11, 2023. Stand Together Ventures Lab, and 5 other investors also participated in the round. The funds will be used to further develop the company's skills-to-jobs online marketplace.</t>
  </si>
  <si>
    <t>Cengage Learning, Central New Mexico Community College, Christopher Curran, CNM Ingenuity, Deborah Quazzo, Family Dental Health, Holly Sparkman, James Caras, Kirpal Singh, Potencia Ventures, South Fraser Law Group, Stand Together Ventures Lab, Stephanie Boone, WGU Labs</t>
  </si>
  <si>
    <t>Cengage Learning (www.cengage.co.in), Central New Mexico Community College (www.cnm.edu), CNM Ingenuity (www.cnmingenuity.org), Family Dental Health (fdhonline.com), Potencia Ventures (potenciaventures.net), South Fraser Law Group (www.sflg.ca), Stand Together Ventures Lab (www.stventureslab.com), WGU Labs (www.wgulabs.org)</t>
  </si>
  <si>
    <t>Bank of America(General Business Banking)</t>
  </si>
  <si>
    <t>298072-54P</t>
  </si>
  <si>
    <t>Parminder Jassal</t>
  </si>
  <si>
    <t>pjassal@unmudl.com</t>
  </si>
  <si>
    <t>+1 (512) 669-5624</t>
  </si>
  <si>
    <t>1250 S Capital of Texas Highway Building 1</t>
  </si>
  <si>
    <t>78746</t>
  </si>
  <si>
    <t>hello@unmudl.com</t>
  </si>
  <si>
    <t>Educational or demonstration appliances</t>
  </si>
  <si>
    <t>491562-28</t>
  </si>
  <si>
    <t>Virtual Sapiens</t>
  </si>
  <si>
    <t>Virtual Sapiens, Inc.</t>
  </si>
  <si>
    <t>Developer of a virtual communication platform intended to offer elevated human interaction. The company's platform uses artificial intelligence and science-based communication algorithms to turn body language blind spots into a newfound and powerful presence on video, enabling people to improve their communication skills over time by providing them with coaching and feedback.</t>
  </si>
  <si>
    <t>Business/Productivity Software, Communication Software*, Education and Training Services (B2B), Human Capital Services</t>
  </si>
  <si>
    <t>Artificial Intelligence &amp; Machine Learning, HR Tech, SaaS</t>
  </si>
  <si>
    <t>artificial intelligence, coaching on demand, communication platform, communication skill, communication solutions, video presentation platform, virtual communication platform</t>
  </si>
  <si>
    <t>www.virtualsapiens.co</t>
  </si>
  <si>
    <t>http://www.linkedin.com/company/virtual-sapiens</t>
  </si>
  <si>
    <t>2021: 3, 2022: 3, 2023: 5, 2024: 5</t>
  </si>
  <si>
    <t>The company joined Techstars as part of its The Roux Institute Techstars Accelerator on September 20, 2022, and received $120,000 in funding. Previously, the company raised an undisclosed amount of seed funding from VITALIZE Venture Capital and other undisclosed investors on March 18, 2022. Earlier, the company raised $55,250 of equity crowdfunding via Wefunder in March 2022. Initially, the amount was raised in the form of SAFE notes, which subsequently got converted into equity.</t>
  </si>
  <si>
    <t>MassChallenge, Roux Institute at Northeastern University, Techstars, VITALIZE Venture Capital</t>
  </si>
  <si>
    <t>MassChallenge (www.masschallenge.org), Roux Institute at Northeastern University (www.roux.northeastern.edu), Techstars (www.techstars.com), VITALIZE Venture Capital (vitalize.vc)</t>
  </si>
  <si>
    <t>Wefunder(Lead Manager or Arranger)</t>
  </si>
  <si>
    <t>291443-05P</t>
  </si>
  <si>
    <t>Rachel Cossar</t>
  </si>
  <si>
    <t>rachel@virtualsapiens.co</t>
  </si>
  <si>
    <t>+1 (617) 981-3292</t>
  </si>
  <si>
    <t>Swampscott, MA</t>
  </si>
  <si>
    <t>37 Blodgett Avenue</t>
  </si>
  <si>
    <t>Swampscott</t>
  </si>
  <si>
    <t>01907</t>
  </si>
  <si>
    <t>info@virtualsapiens.co</t>
  </si>
  <si>
    <t>458694-73</t>
  </si>
  <si>
    <t>Wonderment</t>
  </si>
  <si>
    <t>Wonderment, Inc.</t>
  </si>
  <si>
    <t>Developer of an e-commerce management platform designed to get real-time insight into stalled shipments. The company's platform notifies customers about delayed or lost shipments and automates proactive shipping notifications via email and SMS, enabling e-commerce teams to improve customer satisfaction while reducing support costs.</t>
  </si>
  <si>
    <t>Mobile</t>
  </si>
  <si>
    <t>account &amp; order management, account and order management, customer relationship management, post-purchase experience, shipment handles, shipment notifications, shipping monitoring services, shipping services assistance</t>
  </si>
  <si>
    <t>www.wonderment.com</t>
  </si>
  <si>
    <t>http://www.linkedin.com/company/hiwonderment</t>
  </si>
  <si>
    <t>2021: 6, 2022: 22, 2023: 27, 2024: 36</t>
  </si>
  <si>
    <t>The company raised $5 million of seed funding in a deal led by CRV on January 10, 2022, putting the company's pre-money valuation at $20 million. Underscore VC and 5 other undisclosed investors also participated in the round.</t>
  </si>
  <si>
    <t>Accomplice VC, Andrew Bialecki, Brian Shin, CRV, Edward Hallen, Guillaume Racine, Jeffrey Zilberman, Jonathan Poma, Mike Volpe, Rob Biederman, Underscore VC, York IE</t>
  </si>
  <si>
    <t>Accomplice VC (www.accomplice.co), CRV (www.crv.com), Mike Volpe (www.mikevolpe.com), Underscore VC (www.underscore.vc), York IE (www.york.ie)</t>
  </si>
  <si>
    <t>138346-30P</t>
  </si>
  <si>
    <t>Jessica Meher</t>
  </si>
  <si>
    <t>jessica@wonderment.com</t>
  </si>
  <si>
    <t>+1 (413) 313-2506</t>
  </si>
  <si>
    <t>Boston, MA</t>
  </si>
  <si>
    <t>210 South Street</t>
  </si>
  <si>
    <t>Boston</t>
  </si>
  <si>
    <t>02111</t>
  </si>
  <si>
    <t>Personal adornments</t>
  </si>
  <si>
    <t>463295-80</t>
  </si>
  <si>
    <t>Advocat</t>
  </si>
  <si>
    <t>Advocat Technologies, Inc.</t>
  </si>
  <si>
    <t>Developer of a legal software platform designed to create researched legal documents from attorney conversations. The company's platform utilizes artificial intelligence to select the correct internal legal template and asks the user a series of questions, drafts the document, and sends the draft to in-house counsel for approval, it uses generative contract artificial intelligence and analyzes contracts, enabling in-house attorneys to save a significant amount of time and manage cases in a hassle-free manner.</t>
  </si>
  <si>
    <t>Business/Productivity Software*, Legal Services (B2B)</t>
  </si>
  <si>
    <t>Artificial Intelligence &amp; Machine Learning, Legal Tech, SaaS</t>
  </si>
  <si>
    <t>contract analysis, corporate counseling, legal document, legal platform, legal software, legaltech app, saas product, workflow automation tools</t>
  </si>
  <si>
    <t>www.advocat.ai</t>
  </si>
  <si>
    <t>http://www.linkedin.com/company/advocat-ai</t>
  </si>
  <si>
    <t>2021: 8, 2022: 8, 2023: 12, 2024: 13</t>
  </si>
  <si>
    <t>Gaingels sold its stake in the company to an undisclosed buyer.</t>
  </si>
  <si>
    <t>Mastersfund, Morgan Stanley Inclusive Ventures Lab, REFASHIOND Ventures, San Diego Angel Conference, Spark Growth Ventures, TiE Oregon, WTIA Startup Program</t>
  </si>
  <si>
    <t>Gaingels</t>
  </si>
  <si>
    <t>Mastersfund (www.masters.vc), REFASHIOND Ventures (www.refashiond.com), San Diego Angel Conference (www.thesdangels.com), Spark Growth Ventures (www.sparkgv.com), TiE Oregon (www.oregon.tie.org)</t>
  </si>
  <si>
    <t>Gaingels (www.gaingels.com)</t>
  </si>
  <si>
    <t>92232-10P</t>
  </si>
  <si>
    <t>Pradnya Desh</t>
  </si>
  <si>
    <t>Co-Founder, Chief Executive Officer &amp; Chairperson</t>
  </si>
  <si>
    <t>pradnya@advocat.ai</t>
  </si>
  <si>
    <t>+1 (425) 429-3643</t>
  </si>
  <si>
    <t>3120 139th Avenue South East</t>
  </si>
  <si>
    <t>Suite 500</t>
  </si>
  <si>
    <t>+1 (425) 578-1981</t>
  </si>
  <si>
    <t>info@advocat.ai</t>
  </si>
  <si>
    <t>277241-41</t>
  </si>
  <si>
    <t>Anonybit</t>
  </si>
  <si>
    <t>Anonybit, Inc.</t>
  </si>
  <si>
    <t>Ping Identity, Nok Nok, uPort (NY), Trusted Key Solutions, Authenteq, Duo Security, JumpCloud, Bitium, PureID, Passwordless.dev, OneLogin, LoginRadius, Gataca (Network Management Software), Jumio, Emailage, BeyondTrust, ThreatMark, Thycotic, SecureAuth, Simility, Jolocom, TeleSign, Factom, 1Kosmos, Auth0, ShoCard, One Identity, Trust Stamp, Evernym, SAASPASS, SailPoint Technologies, Beyond Identity, SafeNet, Secure Thingz, Keyless, Delinea, HYPR ( Network Management Software), Xage Security, Signifyd, Iovation, Biometric Signature ID, InAuth, Veridium (Network Management Software), Identity Automation, Ubisecure, Secret Double Octopus, Trusona, Vision-Box, Trulioo, Daon, Transmit Security, UnifyID, Securlinx, Tierion, Okta, Gem(Financial Software), Magic, Civic Technologies, BlockCypher, HID Global, NeoKe, Socure</t>
  </si>
  <si>
    <t>Developer of a patented decentralized biometrics infrastructure designed to protect personal data and digital assets. The company offers a flagship integrated identity management software that connects the entire use lifecycle to protect security and eliminate account takeover fraud, enabling users to protect their personal identity online.</t>
  </si>
  <si>
    <t>Business/Productivity Software, Network Management Software*, Software Development Applications</t>
  </si>
  <si>
    <t>biometric identification, biometric platform, data protection technology, data vaulting, data vaulting storage, decentralized platform, identity &amp; access management, identity administration, identity and access management, identity governance, identity governance &amp; administration, identity governance and administration, identity solutions, privacy software, privacy technology</t>
  </si>
  <si>
    <t>www.anonybit.io</t>
  </si>
  <si>
    <t>http://www.linkedin.com/company/anonybit</t>
  </si>
  <si>
    <t>2021: 2, 2022: 9, 2023: 22, 2024: 25</t>
  </si>
  <si>
    <t>The company raised $3 million of seed funding in a deal led by JAM FINTOP on October 17, 2023, putting the company's pre-money valuation at $19 million. Connecticut Innovations and 4S Bay Partners also participated in the round. Other undisclosed investors also participated in the round. The funds will be used for the privacy-by-design identity management solutions to enterprises battling data breaches and account takeover attacks.</t>
  </si>
  <si>
    <t>4S Bay Partners, A100x, Andy Walter, Aperture Venture Capital, Connecticut Innovations, Industry Ventures, JAM FINTOP, NextGen Venture Partners, Plug and Play Tech Center, Preceptor Capital, Switch Ventures, Target Global</t>
  </si>
  <si>
    <t>4S Bay Partners (4sbay.com), A100x (www.a100x.vc), Aperture Venture Capital (www.aperturevc.com), Connecticut Innovations (www.ctinnovations.com), Industry Ventures (www.industryventures.com), JAM FINTOP (www.jamfintop.com), NextGen Venture Partners (www.nextgenvp.com), Plug and Play Tech Center (www.plugandplaytechcenter.com), Preceptor Capital (www.preceptorcapital.com), Switch Ventures (www.switch.vc), Target Global (www.targetglobal.vc)</t>
  </si>
  <si>
    <t>Pearl Cohen Law Office.(Legal Advisor)</t>
  </si>
  <si>
    <t>151809-85P</t>
  </si>
  <si>
    <t>Frances Zelazny</t>
  </si>
  <si>
    <t>frances@anonybit.io</t>
  </si>
  <si>
    <t>+1 (201) 477-8697</t>
  </si>
  <si>
    <t>33 West 60th Street</t>
  </si>
  <si>
    <t>10028</t>
  </si>
  <si>
    <t>info@anonybit.io</t>
  </si>
  <si>
    <t>435491-83</t>
  </si>
  <si>
    <t>Aviagames</t>
  </si>
  <si>
    <t>Avia</t>
  </si>
  <si>
    <t>AviaGames, Inc.</t>
  </si>
  <si>
    <t>Operator of a game development studio intended to offer real money content. The company offers multiple titles related to classic card, board, and casino mobile games and also holds monthly tournaments, enabling gamers to improve their walkthrough experience and earn money.</t>
  </si>
  <si>
    <t>Entertainment Software*</t>
  </si>
  <si>
    <t>Esports, Gaming, Mobile, SaaS, TMT</t>
  </si>
  <si>
    <t>computer games, entertainment play, gaming content, gaming developer, real money gambling, tournaments app</t>
  </si>
  <si>
    <t>www.aviagames.com</t>
  </si>
  <si>
    <t>http://www.linkedin.com/company/aviagames</t>
  </si>
  <si>
    <t>2021: 90, 2024: 300</t>
  </si>
  <si>
    <t>The company raised $60 million of venture funding in a deal led by ACME Capital on August 11, 2021. Block.one and 4 other investors also participated in the round. Of the total amount, $20 million was originally raised in the form of convertible debt and was subsequently converted to equity. The funds will be used to accelerate player acquisition, develop new games on the platform, diversify gaming and expand the team and international presence.</t>
  </si>
  <si>
    <t>ACME Capital, Block.one, Galaxy Interactive, Makers Fund, Powerhouse Capital (California), Washington Harbour</t>
  </si>
  <si>
    <t>ACME Capital (www.acme.vc), Block.one (www.b1.com), Galaxy Interactive (interactive.galaxy.com), Makers Fund (www.makersfund.com), Powerhouse Capital (California) (www.powerhouse.vc), Washington Harbour (www.washingtonharbour.com)</t>
  </si>
  <si>
    <t>231099-40P</t>
  </si>
  <si>
    <t>Vickie Chen</t>
  </si>
  <si>
    <t>vickie@aviagames.com</t>
  </si>
  <si>
    <t>+1 (607) 229-7810</t>
  </si>
  <si>
    <t>San Mateo, CA</t>
  </si>
  <si>
    <t>28 East 3rd Avenue</t>
  </si>
  <si>
    <t>San Mateo</t>
  </si>
  <si>
    <t>94401</t>
  </si>
  <si>
    <t>462560-86</t>
  </si>
  <si>
    <t>CampfireSocial</t>
  </si>
  <si>
    <t>CampfireSocial, Inc.</t>
  </si>
  <si>
    <t>Developer of a social network and e-commerce software designed to create a meaningful community and marketplace. The company's software creates a modern member, attendee, and vendor partner experience that is monetizable to expand return on investment, enabling businesses to encourage social interactivity through deep relationship-building and generate revenue.</t>
  </si>
  <si>
    <t>E-Commerce, FinTech, SaaS</t>
  </si>
  <si>
    <t>association commerce, customized application system, digital marketplace software, e-commerce-based intelligent marketing, events attendees, learning management system, learning management system platform, marketing solutions, social network</t>
  </si>
  <si>
    <t>www.campfiresocial.io</t>
  </si>
  <si>
    <t>http://www.linkedin.com/company/campfiresocial</t>
  </si>
  <si>
    <t>2020: 2, 2021: 3, 2022: 5, 2023: 5, 2024: 4</t>
  </si>
  <si>
    <t>The company raised $600,000 of seed funding from Kleinmuntz Associates in March 2021.</t>
  </si>
  <si>
    <t>Kleinmuntz Associates</t>
  </si>
  <si>
    <t>Kleinmuntz Associates (www.kleinmuntzassociates.com)</t>
  </si>
  <si>
    <t>255943-99P</t>
  </si>
  <si>
    <t>Erica Bishaf</t>
  </si>
  <si>
    <t>Founder, Chief Executive Officer &amp; Vice President of Strategy &amp; Operations and Board Advisor</t>
  </si>
  <si>
    <t>erica.bishaf@campfiresocial.io</t>
  </si>
  <si>
    <t>+1 (202) 949-2208</t>
  </si>
  <si>
    <t>222 West Merchandise Mart</t>
  </si>
  <si>
    <t>Plaza, Suite 1212</t>
  </si>
  <si>
    <t>60654</t>
  </si>
  <si>
    <t>info@campfiresocial.io</t>
  </si>
  <si>
    <t>437533-84</t>
  </si>
  <si>
    <t>Canoa</t>
  </si>
  <si>
    <t>The Canoa Supply Company, PBC</t>
  </si>
  <si>
    <t>Developer of a digital design platform intended for designers to create, share, present, comment, approve, and hand off design work all in one platform. The company's platform helps clients envision what space can become, enabling brands to roll out space at scale and reinvent the way businesses shop for their low-carbon offices, enabling companies to reduce costs and environmental impact and also offer sustainable spaces as a team from start to finish.</t>
  </si>
  <si>
    <t>Business/Productivity Software, Media and Information Services (B2B), Multimedia and Design Software*</t>
  </si>
  <si>
    <t>LOHAS &amp; Wellness, Real Estate Technology, SaaS, TMT</t>
  </si>
  <si>
    <t>architectural furniture, architectural interior, commercial real estate, crm, customer relationship management, digital commerce, interior designer company, interior designer platform, interior designer service</t>
  </si>
  <si>
    <t>www.canoa.supply</t>
  </si>
  <si>
    <t>http://www.linkedin.com/company/the-canoa-supply-co</t>
  </si>
  <si>
    <t>2020: 5, 2021: 11, 2022: 32, 2023: 34, 2024: 33</t>
  </si>
  <si>
    <t>The company raised $8.7 million of seed funding in a deal led by Building Ventures, Eclipse Ventures and Stackpoint on November 1, 2021, putting the company's pre-money valuation at $26.3 million. TMV and Evolution VC also participated in the round. The funds will be used to scale the team to meet burgeoning demand.</t>
  </si>
  <si>
    <t>Building Ventures, Eclipse Ventures, Evolution VC, Stackpoint, Sustainable Ventures, TMV(Trail Mix Ventures)</t>
  </si>
  <si>
    <t>Building Ventures (www.buildingventures.com), Eclipse Ventures (www.eclipse.vc), Evolution VC (www.evolution-vc.com), Stackpoint (www.stackpoint.com), Sustainable Ventures (www.sustainableventures.co.uk), TMV(Trail Mix Ventures) (tmv.vc)</t>
  </si>
  <si>
    <t>Kluk Farber(Legal Advisor)</t>
  </si>
  <si>
    <t>109439-29P</t>
  </si>
  <si>
    <t>Federico Negro</t>
  </si>
  <si>
    <t>Founder</t>
  </si>
  <si>
    <t>federico@canoa.supply</t>
  </si>
  <si>
    <t>1130 Bedford Avenue</t>
  </si>
  <si>
    <t>Suite 1100, Brooklyn</t>
  </si>
  <si>
    <t>11216</t>
  </si>
  <si>
    <t>info@canoa.supply</t>
  </si>
  <si>
    <t>432639-10</t>
  </si>
  <si>
    <t>Cobble</t>
  </si>
  <si>
    <t>idk tonight</t>
  </si>
  <si>
    <t>Cobble, Inc.</t>
  </si>
  <si>
    <t>Howbout, eezylife, Likewise, BACH, Friendspire</t>
  </si>
  <si>
    <t>Developer of an artificial intelligence-driven platform designed to drive collaborative agreement on social decisions. The company's platform encourages proposals and feedback from everyone involved to reach a final state of agreement, understanding connections between people and their shared interests and preferences, enabling the wiring of how people make collaborative agreements on ideas.</t>
  </si>
  <si>
    <t>Artificial Intelligence &amp; Machine Learning, Mobile</t>
  </si>
  <si>
    <t>activity discovery, curated content, experience platform, female entrepreneurs, female founders, personal assistant, social activation platform, social app</t>
  </si>
  <si>
    <t>www.trycobble.com</t>
  </si>
  <si>
    <t>http://www.linkedin.com/company/trycobble</t>
  </si>
  <si>
    <t>2020: 22, 2021: 26, 2022: 7, 2024: 10</t>
  </si>
  <si>
    <t>The company raised venture funding in the form of convertible debt from undisclosed investors in 2024.</t>
  </si>
  <si>
    <t>CMDM Holdings, Google for Startups, Hardin Homestead Investments, Josh Kerr, Kerr Tech Investments, NYC Startup Leadership Program</t>
  </si>
  <si>
    <t>Google for Startups (startup.google.com), Kerr Tech Investments (kerr.vc), NYC Startup Leadership Program (www.slp-nyc.com)</t>
  </si>
  <si>
    <t>SVB Financial Group(General Business Banking)</t>
  </si>
  <si>
    <t>Mintz (Legal services B2B)(Legal Advisor)</t>
  </si>
  <si>
    <t>223580-08P</t>
  </si>
  <si>
    <t>Jordan Scott</t>
  </si>
  <si>
    <t>jordan@trycobble.com</t>
  </si>
  <si>
    <t>+1 (518) 312-7273</t>
  </si>
  <si>
    <t>Sunny Isles Beach, FL</t>
  </si>
  <si>
    <t>17901 Collins Avenue</t>
  </si>
  <si>
    <t>Sunny Isles Beach</t>
  </si>
  <si>
    <t>33160</t>
  </si>
  <si>
    <t>494181-19</t>
  </si>
  <si>
    <t>CyDeploy</t>
  </si>
  <si>
    <t>CyDeploy, Inc.</t>
  </si>
  <si>
    <t>Quest Software, Vembu Technologies, Legit Security, GFI MAX RemoteManagement, SolarWinds, Nagios, FOSSA, 5nine Software, NTT Application Security, Veeam, Druva, Barracuda Networks, Continuum Managed Services, Darktrace, ConnectWise, Imanis Data, Anchore, Veracode, HashiCorp, McAfee, CrashPlan Group, Smartsheet, XebiaLabs, New Relic, CodeTwo, Auvik Networks, BMC Software, Macrium Software, Sonatype, Acronis, Perforce Software, Checkmarx, StorageCraft Technology, Palamida, Arcserve, Zerto, Clarizen, Kaseya, Panzura, Sumo Logic, CommVault Systems, Cohesity, Datera, Black Duck Software, Snyk, Rubrik, Scoro, Unitrends, Chef Software, BlueCamroo, Kantata, Veritas Technologies, Code42, Infrascale, Alooma, CloudBlue PSA, Autotask, Cloudsmith, Dynatrace, Actifio, Egnyte, Cloudian, Dell EMC, Celoxis, Scality, CyberOne(UK), Chainguard, Datrium, ServiceNow, Zylo, Qumulo, Micro Focus International, Hortonworks, Functionize, Certinia, Testim, Cisco Systems, Datadog, Accelo, Moogsoft</t>
  </si>
  <si>
    <t>Developer of a cloud-based replica system designed for organizations to make security changes to their system with confidence. The company offers SaaS assistance by automating insight into the functional impact of making system security changes, enabling users to adjust or prevent workflow disruptions</t>
  </si>
  <si>
    <t>Artificial Intelligence &amp; Machine Learning, Cybersecurity, Internet of Things, SaaS</t>
  </si>
  <si>
    <t>artificial intelligence technology, automated testing system, automated testing technology, cloud security, cloud-based systems, digital twin technology services, iot security, network security</t>
  </si>
  <si>
    <t>IoT Security</t>
  </si>
  <si>
    <t>cydeploy.com</t>
  </si>
  <si>
    <t>http://www.linkedin.com/company/cydeploy</t>
  </si>
  <si>
    <t>2022: 6, 2023: 9, 2024: 8</t>
  </si>
  <si>
    <t>Competitor (New) Cisco Systems</t>
  </si>
  <si>
    <t>The company joined Google for Startups Accelerator on July 18, 2023, and received $150,000 in funding in the form of a grant. The funds will be used to expand the company's customer base while continuously refining its innovative cybersecurity product. Previously, the company raised $350,000 of venture funding in a deal led by Preface Ventures on March 9, 2023. Amazon Web Services and 7 other investors also participated in the round.</t>
  </si>
  <si>
    <t>Amazon Web Services, AWS Startups, BIP Ventures, bwtech@UMBC Research and Technology Park, Female Founders Fund, Google for Startups, Latimer Ventures, Maryland Industrial Partnerships, National Association of Black Engineers Baltimore Metropolitan Area Chapter, Preface Ventures, Startup Showdown, T. Rowe Price Group, Techstars, TEDCO</t>
  </si>
  <si>
    <t>Amazon Web Services (www.aws.amazon.com), AWS Startups (aws-startup-lofts.com), BIP Ventures (www.bipventures.vc), bwtech@UMBC Research and Technology Park (bwtechumbc.com), Female Founders Fund (www.femalefoundersfund.com), Google for Startups (startup.google.com), Latimer Ventures (www.latimer.vc), Maryland Industrial Partnerships (www.mips.umd.edu), Preface Ventures (www.prefaceventures.com), T. Rowe Price Group (www.troweprice.com), Techstars (www.techstars.com), TEDCO (www.tedcomd.com)</t>
  </si>
  <si>
    <t>Goodwin Procter(Legal Advisor), No Mud No Magic(Advisor: General), Pitch Creator(Software Provider)</t>
  </si>
  <si>
    <t>192327-40P</t>
  </si>
  <si>
    <t>Tina Williams-Koroma</t>
  </si>
  <si>
    <t>tina.williams@cydeploy.com</t>
  </si>
  <si>
    <t>+1 (202) 573-9344</t>
  </si>
  <si>
    <t>Baltimore, MD</t>
  </si>
  <si>
    <t>901 South Bond Street</t>
  </si>
  <si>
    <t>Baltimore</t>
  </si>
  <si>
    <t>Maryland</t>
  </si>
  <si>
    <t>21231</t>
  </si>
  <si>
    <t>527193-82</t>
  </si>
  <si>
    <t>Dapple Security</t>
  </si>
  <si>
    <t>Dapple</t>
  </si>
  <si>
    <t>Dapple Security, Inc.</t>
  </si>
  <si>
    <t>Developer of a digital security technology platform designed to protect human digital identity. The company's technology utilizes responsible biometrics and privacy by design principles and with the help of its passwordless platform, enabling enterprises to defend against phishing and other cyber attacks.</t>
  </si>
  <si>
    <t>Media and Information Services (B2B), Network Management Software*</t>
  </si>
  <si>
    <t>digital identity security, identity &amp; access management, identity administration, identity and access management, identity governance, identity governance &amp; administration, identity governance and administration, security technology, security technology developer, security technology operations, security technology platform, security technology service</t>
  </si>
  <si>
    <t>www.dapplesecurity.com</t>
  </si>
  <si>
    <t>http://www.linkedin.com/company/dapple-security</t>
  </si>
  <si>
    <t>2023: 3, 2024: 6</t>
  </si>
  <si>
    <t>The company raised $2.33 million of pre-seed funding led by First In with the participation of Everywhere Ventures, Access Ventures Techstars, ex/ante, and other undisclosed investors on February 16, 2024. Previously, the company joined Techstars as a part of Techstars Boulder Accelerator on July 18, 2023, and received $120,000 in funding.</t>
  </si>
  <si>
    <t>Access Ventures, Everywhere Ventures, ex/ante, First In, Techstars</t>
  </si>
  <si>
    <t>Access Ventures (www.accessventures.org), Everywhere Ventures (everywhere.vc), ex/ante (www.buildexante.com), First In (www.wearefirstin.com), Techstars (www.techstars.com)</t>
  </si>
  <si>
    <t>King &amp; Spalding(Legal Advisor)</t>
  </si>
  <si>
    <t>346113-82P</t>
  </si>
  <si>
    <t>Gadalia O'Bryan</t>
  </si>
  <si>
    <t>go'bryan@dapplesecurity.com</t>
  </si>
  <si>
    <t>+1 (301) 801-9815</t>
  </si>
  <si>
    <t>Centennial, CO</t>
  </si>
  <si>
    <t>6563 East Costilla Place</t>
  </si>
  <si>
    <t>Centennial</t>
  </si>
  <si>
    <t>80112</t>
  </si>
  <si>
    <t>info@dapplesecurity.com</t>
  </si>
  <si>
    <t>147109-15</t>
  </si>
  <si>
    <t>DEXA (Logistics)</t>
  </si>
  <si>
    <t>Drone Express</t>
  </si>
  <si>
    <t>Drone Express, Inc.</t>
  </si>
  <si>
    <t>Wing, Flytrex, Zipline, Amazon Air</t>
  </si>
  <si>
    <t>Operator of an aviation company intended to change last-mile logistics by adopting autonomous delivery. The company's platform facilitates easy ordering and delivery tracking through a mobile app, while it is also developing a drone delivery network for swift product delivery within minutes, enabling businesses to streamline their logistic services for local package delivery.</t>
  </si>
  <si>
    <t>Aerospace and Defense, Logistics*, Other Hardware</t>
  </si>
  <si>
    <t>Artificial Intelligence &amp; Machine Learning, Manufacturing, Mobility Tech, Robotics and Drones, Supply Chain Tech</t>
  </si>
  <si>
    <t>advances air mobility, automated drones delivery service, autonomous delivery, autonomous drone delivery, autonomous mobile delivery, aviation company, drone delivery platform, drone delivery technology, drones delivery service, drones delivery system, drones tech, evtol logistics, intelligent robotics, last mile delivery, logistics support, uav</t>
  </si>
  <si>
    <t>Autonomous Delivery</t>
  </si>
  <si>
    <t>www.droneexpress.com</t>
  </si>
  <si>
    <t>http://www.linkedin.com/company/drone-express</t>
  </si>
  <si>
    <t>2021: 15, 2022: 40, 2023: 29, 2024: 40</t>
  </si>
  <si>
    <t>The company is in the process of raising $100,000 of an undisclosed targeted amount of Series 1 venture funding in the form of SAFE notes on May 2, 2024. It plans to close the round by December 1, 2024.</t>
  </si>
  <si>
    <t>G2A Investment Partners, Venture 53</t>
  </si>
  <si>
    <t>G2A Investment Partners (www.g2aip.com), Venture 53 (www.venture53.com)</t>
  </si>
  <si>
    <t>Wyrick Robbins Yates &amp; Ponton(Legal Advisor)</t>
  </si>
  <si>
    <t>378760-33P</t>
  </si>
  <si>
    <t>Eduardo Borge</t>
  </si>
  <si>
    <t>eborges@flydexa.com</t>
  </si>
  <si>
    <t>+1 (937) 510-1776</t>
  </si>
  <si>
    <t>Dayton, OH</t>
  </si>
  <si>
    <t>123 Webster Street</t>
  </si>
  <si>
    <t>Dayton</t>
  </si>
  <si>
    <t>45402</t>
  </si>
  <si>
    <t>+1 (513) 577-5152</t>
  </si>
  <si>
    <t>info@flydexa.com</t>
  </si>
  <si>
    <t>522121-51</t>
  </si>
  <si>
    <t>DIA (Therapeutic Devices)</t>
  </si>
  <si>
    <t>DIA</t>
  </si>
  <si>
    <t>E-Sentience LLC</t>
  </si>
  <si>
    <t>Epicore Biosystems, PointFit, EnLiSense, Zimmer &amp; Peacock, Molecular Innovations</t>
  </si>
  <si>
    <t>Manufacturer of a wearable sensor designed to continuously measure cortisol through ambient levels of sweat on the user's skin. The company's products include wearable arm sleeves, and microfluidics technology-based sensors that provide real-time data and frequent testing and can be connected to smartphone applications via Bluetooth, enabling patients to have increased performance and improved health outcomes</t>
  </si>
  <si>
    <t>Digital Health, HealthTech, SaaS, Wearables &amp; Quantified Self</t>
  </si>
  <si>
    <t>health outcomes analysis, health technology, sensor device, sensor product, wearable accessory, wearable tech</t>
  </si>
  <si>
    <t>www.diasensor.com</t>
  </si>
  <si>
    <t>http://www.linkedin.com/company/diasensor</t>
  </si>
  <si>
    <t>2022: 2, 2023: 5, 2024: 6</t>
  </si>
  <si>
    <t>The company is reportedly in the process of raising $3 million of seed funding from undisclosed investors on February 12, 2024. It plans to close the round by June 14, 2024. Previously, the company joined Lighthouse Labs as part of its Spring 2023 Cohort on March 13, 2023, and received $20,000 in funding. The company is actively tracked by PitchBook.</t>
  </si>
  <si>
    <t>Duke University, Lighthouse Labs (Richmond), SOSV</t>
  </si>
  <si>
    <t>Duke University (www.duke.edu), Lighthouse Labs (Richmond) (www.lighthouselabsrva.org), SOSV (www.sosv.com)</t>
  </si>
  <si>
    <t>Alpine Patents(Legal Advisor), JP Morgan Chase(Advisor: General), WilmerHale(Legal Advisor)</t>
  </si>
  <si>
    <t>340754-86P</t>
  </si>
  <si>
    <t>Sloane Tilley</t>
  </si>
  <si>
    <t>sloane@diasensor.com</t>
  </si>
  <si>
    <t>+1 (919) 818-7221</t>
  </si>
  <si>
    <t>Newark, NJ</t>
  </si>
  <si>
    <t>2 Cedar Street</t>
  </si>
  <si>
    <t>9th Floor</t>
  </si>
  <si>
    <t>Newark</t>
  </si>
  <si>
    <t>07102</t>
  </si>
  <si>
    <t>Devices for introducing media into, or onto, the body</t>
  </si>
  <si>
    <t>222787-99</t>
  </si>
  <si>
    <t>Double A Labs</t>
  </si>
  <si>
    <t>Double A Events</t>
  </si>
  <si>
    <t>Double A Labs Corp.</t>
  </si>
  <si>
    <t>Kumospace, SpatialChat</t>
  </si>
  <si>
    <t>Developer of a technology platform designed for community engagement and collaboration. The company offers an immersive multimedia communication platform that allows users to collaborate through video, messaging, whiteboarding, polls, and games and serves as a web-based, unified video-chat platform that facilitates community connection, learning, and collaboration by consolidating all tools in a single location, enabling businesses to drive engagements and build relationships with their consumers in innovative ways while having the ability to quantify their results at each touch point.</t>
  </si>
  <si>
    <t>Business/Productivity Software*, Communication Software, Media and Information Services (B2B), Multimedia and Design Software</t>
  </si>
  <si>
    <t>Marketing Tech, SaaS</t>
  </si>
  <si>
    <t>change management, collaboration platform, engagement level, experiential marketing, multimedia communication, multimedia communication platform, multimedia communication product, talent management, training and employment services, virtual workforce, virtual workshops</t>
  </si>
  <si>
    <t>www.doublealabs.com</t>
  </si>
  <si>
    <t>http://www.linkedin.com/company/doublealabs</t>
  </si>
  <si>
    <t>2020: 29, 2022: 43, 2023: 48, 2024: 33</t>
  </si>
  <si>
    <t>The company is reportedly seeking Series A venture funding from undisclosed investors by Q3 of 2024. Previously, Meta Impact Capital sold its stake in the company to an undisclosed buyer on February 29, 2024. The company is being actively tracked by PitchBook.</t>
  </si>
  <si>
    <t>ATX Venture Partners, Hurt Family Investments, The Veteran Fund</t>
  </si>
  <si>
    <t>Meta Impact Capital</t>
  </si>
  <si>
    <t>ATX Venture Partners (www.atxventurepartners.com), Hurt Family Investments (www.lucky7.io), The Veteran Fund (www.veteran.fund)</t>
  </si>
  <si>
    <t>Meta Impact Capital (www.metaimpact.capital)</t>
  </si>
  <si>
    <t>175715-02P</t>
  </si>
  <si>
    <t>Amber Allen</t>
  </si>
  <si>
    <t>Founder, Owner &amp; Chief Executive Officer</t>
  </si>
  <si>
    <t>amber@doublealabs.com</t>
  </si>
  <si>
    <t>+1 (310) 740-7629</t>
  </si>
  <si>
    <t>1600 East 7th Street</t>
  </si>
  <si>
    <t>info@doubleaevents.com</t>
  </si>
  <si>
    <t>Sound-producing devices</t>
  </si>
  <si>
    <t>435083-59</t>
  </si>
  <si>
    <t>EngFlow</t>
  </si>
  <si>
    <t>EngFlow Inc.</t>
  </si>
  <si>
    <t>BuildBuddy</t>
  </si>
  <si>
    <t>Developer of a remote execution platform intended to help developers build software faster and ship well-tested products. The company's platform speeds up software builds and can be run on-premises or on the cloud and supports all clients around the clock that implement the open-source remote execution API with no hidden costs, enabling developers to build tools and connect experts to accelerate productivity.</t>
  </si>
  <si>
    <t>IT Consulting and Outsourcing, Software Development Applications*</t>
  </si>
  <si>
    <t>CloudTech &amp; DevOps, SaaS</t>
  </si>
  <si>
    <t>bazel building system, devops setup, information technology advice, information technology service, it remote support, remote execution service, software development guide</t>
  </si>
  <si>
    <t>www.engflow.com</t>
  </si>
  <si>
    <t>http://www.linkedin.com/company/engflow</t>
  </si>
  <si>
    <t>2021: 11, 2022: 26, 2023: 33, 2024: 45</t>
  </si>
  <si>
    <t>The company raised EUR 18 million of Series A venture funding from Tiger Global Management, Andreessen Horowitz and Firstminute Capital on November 15, 2022. Dev Angels, Rachel Potvin and 6 other investors also participated in the round.</t>
  </si>
  <si>
    <t>Adam Frankl, Alchemist Accelerator, Andreessen Horowitz, Bossa Invest, Dev Angels, Everywhere Ventures, Firstminute Capital, Ian Rust, Jenny Fielding, Martin Giese, Martina Lauchengco, Matthew Klein, Michael Scarpelli, Rachel Potvin, Scott Hartley, Siesta Ventures, Spencer Kimball, Sylvia Isler, Tiger Global Management, Tom Preston-Werner, Xpreneurs</t>
  </si>
  <si>
    <t>Alchemist Accelerator (www.alchemistaccelerator.com), Andreessen Horowitz (www.a16z.com), Bossa Invest (www.bossainvest.com), Dev Angels (www.angels.dev), Everywhere Ventures (everywhere.vc), Firstminute Capital (www.firstminute.capital), Siesta Ventures (www.siestaventur.es), Tiger Global Management (www.tigerglobal.com), Xpreneurs (xpreneurs.io)</t>
  </si>
  <si>
    <t>230057-11P</t>
  </si>
  <si>
    <t>Ulf Adams</t>
  </si>
  <si>
    <t>Co-Founder, Chief Technology Officer &amp; Managing Director</t>
  </si>
  <si>
    <t>ulf@engflow.com</t>
  </si>
  <si>
    <t>2025 Guadalupe Street</t>
  </si>
  <si>
    <t>Suite 260</t>
  </si>
  <si>
    <t>78705</t>
  </si>
  <si>
    <t>contact@engflow.com</t>
  </si>
  <si>
    <t>433221-85</t>
  </si>
  <si>
    <t>Ethena</t>
  </si>
  <si>
    <t>Ethena, Inc.</t>
  </si>
  <si>
    <t>SkillSoft, EasyLlama</t>
  </si>
  <si>
    <t>Developer of a training platform designed to provide harassment prevention training for modern teams. The company's platform contextualizes complex topics in current events and uses the news to illustrate workplace gray areas and offers a curriculum based on topical and nuanced content like mentorship, intersectionality, bystander intervention, and gendered feedback, enabling organizations to implement actionable strategies for preventing harassment and improving corporate culture.</t>
  </si>
  <si>
    <t>Education and Training Services (B2B)*, Educational Software</t>
  </si>
  <si>
    <t>EdTech, HR Tech, SaaS</t>
  </si>
  <si>
    <t>behavior therapy, behavior training, education services, educational training, e-learning platform, enterprise resource planning, erp, harassment prevention, human capital management</t>
  </si>
  <si>
    <t>www.goethena.com</t>
  </si>
  <si>
    <t>http://www.linkedin.com/company/ethena</t>
  </si>
  <si>
    <t>2020: 24, 2021: 25, 2022: 72, 2023: 76, 2024: 74</t>
  </si>
  <si>
    <t>The company raised $30 million of Series B venture funding in a deal led by Lachy Groom on June 7, 2022, putting the company's pre-money valuation at $170 million. Felicis and 8 other investors also participated in the round. The funds will be used to build out additional compliance product lines and expand the company's core training technology.</t>
  </si>
  <si>
    <t>Alumni Ventures, Claire Johnson, David Petraeus, Felicis, Gretchen Howard, GSV Ventures, Henry Kravis, Homebrew, Jack Altman, January Ventures, Jeffrey Katzenberg, Lachy Groom, Mathilde Collin, Neo (Consulting Services (B2B)), PEAK6 Strategic Capital, PeopleTech Partners, Reshma Saujani, Underscore VC, Village Global, William Hockey</t>
  </si>
  <si>
    <t>Alumni Ventures (www.av.vc), Felicis (www.felicis.com), GSV Ventures (www.gsv.ventures), Homebrew (www.homebrew.co), Jack Altman (jackealtman.com), January Ventures (january.ventures), Neo (Consulting Services (B2B)) (www.neo.com), PeopleTech Partners (peopletechpartners.com), Reshma Saujani (reshmasaujani.com), Underscore VC (www.underscore.vc), Village Global (www.villageglobal.vc)</t>
  </si>
  <si>
    <t>225244-45P</t>
  </si>
  <si>
    <t>Roxanne Petraeus</t>
  </si>
  <si>
    <t>roxanne@goethena.com</t>
  </si>
  <si>
    <t>+1 (917) 426-0537</t>
  </si>
  <si>
    <t>134 North 4th Street</t>
  </si>
  <si>
    <t>Brooklyn</t>
  </si>
  <si>
    <t>11249</t>
  </si>
  <si>
    <t>info@goethena.com</t>
  </si>
  <si>
    <t>462628-09</t>
  </si>
  <si>
    <t>Gable</t>
  </si>
  <si>
    <t>Gable, Inc.</t>
  </si>
  <si>
    <t>Flydesk</t>
  </si>
  <si>
    <t>Developer of a workspace-as-a-service platform intended to distribute workspaces for companies and remote workers to manage the hybrid workspace. The company's platform helps to explore workspaces nearby and offers a secure space, enabling users to create flexible workplaces where they can connect, collaborate, and thrive.</t>
  </si>
  <si>
    <t>Business/Productivity Software*, Other Commercial Services</t>
  </si>
  <si>
    <t>Real Estate Technology</t>
  </si>
  <si>
    <t>enterprise asset management, enterprise resource planning, erp, generative ai, hybrid workspace, local workspace, remote work environment, remote workplace, workspace provider, workspace search</t>
  </si>
  <si>
    <t>www.gable.to</t>
  </si>
  <si>
    <t>http://www.linkedin.com/company/gable-inc</t>
  </si>
  <si>
    <t>2021: 14, 2022: 23, 2023: 46, 2024: 47</t>
  </si>
  <si>
    <t>The company raised $12 million of Series A venture funding in a deal led by Foundation Capital, 515 Ventures, Allison Pickens Ventures, and SemperVirens Venture Capital on February 28, 2023. January Ventures and 3 other investors also participated in the round. The funds will be used to expand the company's workforce in the sales, customer success, and marketing areas extend its product offering, and hire more engineers and product team employees in its Israel offices to facilitate this.</t>
  </si>
  <si>
    <t>515 Ventures, Allison Pickens Ventures, Andrew Sinkov, Andrija Vrdoljak, Canaan Partners, Foundation Capital, Harshith Dmello, January Ventures, Kevin Jurczyk, Liron Smadja, Michael Jarmuz, Nadia Harris, Olga Maslikhova, PeopleTech Partners, Sarah Sorenson, SemperVirens Venture Capital, StartX (US), Techstars, Texas McCombs Investment Advisers, The Emprise Group, The MBA Fund, Tishman Speyer Properties, Ulu Ventures, Unpopular Ventures, Yasmin Lukatz</t>
  </si>
  <si>
    <t>515 Ventures (www.515ventures.com), Allison Pickens Ventures (allisonpickens.com), Canaan Partners (www.canaan.com), Foundation Capital (www.foundationcapital.com), January Ventures (january.ventures), PeopleTech Partners (peopletechpartners.com), SemperVirens Venture Capital (www.sempervirensvc.com), StartX (US) (web.startx.com), Techstars (www.techstars.com), The Emprise Group (www.theemprisegroup.com), The MBA Fund (www.thembafund.com), Tishman Speyer Properties (www.tishmanspeyer.com), Ulu Ventures (www.uluventures.com), Unpopular Ventures (www.unpopular.vc)</t>
  </si>
  <si>
    <t>256105-18P</t>
  </si>
  <si>
    <t>Liza Levin</t>
  </si>
  <si>
    <t>liza@gable.to</t>
  </si>
  <si>
    <t>+1 (210) 718-4752</t>
  </si>
  <si>
    <t>1598 Bay Street</t>
  </si>
  <si>
    <t>94123</t>
  </si>
  <si>
    <t>info@gable.to</t>
  </si>
  <si>
    <t>481843-36</t>
  </si>
  <si>
    <t>Glacier</t>
  </si>
  <si>
    <t>Glacier Technology Inc.</t>
  </si>
  <si>
    <t>Waste Robotics, AMP (Other Hardware), ZenRobotics, Bulk Handling Systems</t>
  </si>
  <si>
    <t>Developer of recycling robots designed to revolutionize the way recycling facilities use technology. The company's platform uses artificial intelligence-powered sensors and robotics to automate the sorting of recyclable materials, enabling recycling facilities to streamline their operations, improve accuracy and increase profitability.</t>
  </si>
  <si>
    <t>Environmental Services (B2B), Other Hardware*</t>
  </si>
  <si>
    <t>Artificial Intelligence &amp; Machine Learning, CleanTech, Climate Tech, Robotics and Drones</t>
  </si>
  <si>
    <t>environmental technology, recycling analytics, renewable technology, sustainable environment, waste management, waste management technology, waste management tool</t>
  </si>
  <si>
    <t>www.endwaste.io</t>
  </si>
  <si>
    <t>http://www.linkedin.com/company/endwaste</t>
  </si>
  <si>
    <t>2022: 12, 2024: 20</t>
  </si>
  <si>
    <t>The company raised $7.7 million of seed funding in the form of SAFE notes from The Climate Pledge, Watershed Collective, New Enterprise Associates, and AlleyCorp on January 12, 2024. Overture VC and VSC Ventures also participated in the round.</t>
  </si>
  <si>
    <t>AlleyCorp, Asymmetric Capital Partners, Climate Capital, Elemental Impact, Gratitude Railroad, Jeffrey Immelt, Jetstream (San Francisco), Manik Gupta, New Enterprise Associates, Overlap Holdings, Overture Climate VC, SHAKTI, Sierra Peterson, The Climate Pledge, Tommy Leep, VSC Ventures, Watershed Collective</t>
  </si>
  <si>
    <t>AlleyCorp (www.alleycorp.com), Asymmetric Capital Partners (acp.vc), Climate Capital (www.climatecapital.co), Elemental Impact (www.elementalimpact.com), Gratitude Railroad (www.gratituderailroad.com), Jetstream (San Francisco) (www.jetstream.io), New Enterprise Associates (www.nea.com), Overlap Holdings (www.overlapholdings.com), Overture Climate VC (www.overture.vc), SHAKTI (www.shaktivc.com), The Climate Pledge (www.theclimatepledge.com), VSC Ventures (www.vscventures.com), Watershed Collective (watershed.vc)</t>
  </si>
  <si>
    <t>Buchalter(Legal Advisor)</t>
  </si>
  <si>
    <t>276838-12P</t>
  </si>
  <si>
    <t>Areeb Malik</t>
  </si>
  <si>
    <t>areeb@endwaste.io</t>
  </si>
  <si>
    <t>363 Clementina Street</t>
  </si>
  <si>
    <t>Unit A</t>
  </si>
  <si>
    <t>94103</t>
  </si>
  <si>
    <t>459390-43</t>
  </si>
  <si>
    <t>GoodMaps</t>
  </si>
  <si>
    <t>Access Explorer</t>
  </si>
  <si>
    <t>GM</t>
  </si>
  <si>
    <t>GoodMaps, Inc.</t>
  </si>
  <si>
    <t>NaviLens (Information Services), Waymap, MapsPeople, MappedIn</t>
  </si>
  <si>
    <t>Developer of indoor digital mapping, geospatial positioning, and accessible navigation software intended to improve the accessibility, safety and productivity of indoor spaces. The company's platform uses LiDAR, image recognition, and patented positioning technology to create unparalleled infrastructure-free indoor mapping and AI/AR-enhanced navigation experiences for complex spaces like airports and train stations, hospitals, malls and retail stores, and college or corporate campuses, it's UX have validated accessible for audiences ranging from blind and low vision, deaf, neurodiverse, limited mobility, new travelers, or individuals who may not know the venue's primary language, enabling users to access and provide first responders with data critical for performing their jobs and ensuring their safety.</t>
  </si>
  <si>
    <t>Artificial Intelligence &amp; Machine Learning, Big Data, Mobile</t>
  </si>
  <si>
    <t>accessibility, accessibility software service, blindness, computer vision, digital mapping application, digital mapping platform, digital mapping software, indoor mapping platform, indoor mapping software, indoor positioning, indoor positioning system, indoor positioning technology, mapping platform developer, mobility data analytics, vertical application</t>
  </si>
  <si>
    <t>Indoor Mapping</t>
  </si>
  <si>
    <t>www.goodmaps.com</t>
  </si>
  <si>
    <t>http://www.linkedin.com/company/goodmaps</t>
  </si>
  <si>
    <t>2019: 5, 2020: 11, 2021: 15, 2022: 20, 2023: 44, 2024: 41</t>
  </si>
  <si>
    <t>The company raised an undisclosed amount of Series A venture funding from GrowthX Capital and Keyhorse Capital on July 10, 2024.</t>
  </si>
  <si>
    <t>American Printing House For The Blind, Awesome Incubator, Cherub Fund, Future Labs Capital, GrowthX Capital, Keyhorse Capital, Leading Cities, Rachele Brooke Smith, Strike Ventures, U.S. Department of Health and Human Services, Venture First</t>
  </si>
  <si>
    <t>American Printing House For The Blind (www.aph.org), Awesome Incubator (www.awesomeinc.org), Cherub Fund (cherubfund.org), Future Labs Capital (www.futurelabscapital.com), GrowthX Capital (www.growthx.com), Keyhorse Capital (www.keyhorse.vc), Leading Cities (leadingcities.org), Rachele Brooke Smith (rachelebsmith.com), Strike Ventures (www.strike.ventures), U.S. Department of Health and Human Services (hhs.gov), Venture First (www.venturefirst.com)</t>
  </si>
  <si>
    <t>Chase Bank(General Business Banking), Frost Brown Todd(Legal Advisor)</t>
  </si>
  <si>
    <t>Venture First(Accounting)</t>
  </si>
  <si>
    <t>330100-12P</t>
  </si>
  <si>
    <t>Theresa Reno-Weber</t>
  </si>
  <si>
    <t>theresa@goodmaps.com</t>
  </si>
  <si>
    <t>+1 (202) 375-9811</t>
  </si>
  <si>
    <t>Louisville, KY</t>
  </si>
  <si>
    <t>1741 Frankfort Avenue</t>
  </si>
  <si>
    <t>Louisville</t>
  </si>
  <si>
    <t>Kentucky</t>
  </si>
  <si>
    <t>40206</t>
  </si>
  <si>
    <t>+1 (502) 845-3113</t>
  </si>
  <si>
    <t>info@goodmaps.com</t>
  </si>
  <si>
    <t>Image or video recognition or understanding</t>
  </si>
  <si>
    <t>515648-80</t>
  </si>
  <si>
    <t>HiNote</t>
  </si>
  <si>
    <t>HiNotes Inc</t>
  </si>
  <si>
    <t>Developer of a self-expression platform designed to send customized messages through messaging apps. The company's platform offers personalized and customizable expressive forms of digitally predesigned templates for all kinds of greetings and messages, from work meeting invitations and thank you notes to informal wedding party planning messages and grocery lists, enabling customers to express themselves through messages with ease.</t>
  </si>
  <si>
    <t>Application Software, Communication Software*, Other Services (B2C Non-Financial)</t>
  </si>
  <si>
    <t>messaging app, messaging application, mobile messaging, mobile messaging app, personalized messaging tool, predesigned templates</t>
  </si>
  <si>
    <t>www.hinoteapp.com</t>
  </si>
  <si>
    <t>http://www.linkedin.com/company/hinotess</t>
  </si>
  <si>
    <t>2022: 5, 2024: 8</t>
  </si>
  <si>
    <t>The company raised an undisclosed amount of venture funding in the form of SAFE notes from Impact Assets on September 17, 2024.</t>
  </si>
  <si>
    <t>Cleo Capital, Impact Assets, Marc Benioff, Marissa Mayer, Peter Thiel, Richard Costolo, Sarah Kunst, Short List Capital, Yuri Milner</t>
  </si>
  <si>
    <t>Cleo Capital (www.cleocap.com), Impact Assets (www.impactassets.org), Short List Capital (www.shortlistcapital.com)</t>
  </si>
  <si>
    <t>326859-58P</t>
  </si>
  <si>
    <t>Alexis Traina</t>
  </si>
  <si>
    <t>alexis@hinoteapp.com</t>
  </si>
  <si>
    <t>+1 (209) 247-0287</t>
  </si>
  <si>
    <t>2825 Broadway Street</t>
  </si>
  <si>
    <t>94115</t>
  </si>
  <si>
    <t>hello@hinoteapp.com</t>
  </si>
  <si>
    <t>469182-34</t>
  </si>
  <si>
    <t>illumex</t>
  </si>
  <si>
    <t>Illumex Technologies, Inc.</t>
  </si>
  <si>
    <t>Collibra, MapR, Cambridge Semantics, Platfora, Chartio, Cursor ( Database Software), Panoply (Database Software), MarkLogic, Qubole, Cloudera, Astronomer, Instaclustr, Periscope Data, data.world, Alation, Zepl, Incorta, Sisense, Hortonworks, TIBCO Software, Stitch (Database Software), Dataiku, Looker, Redis, Informatica, Teraki, Datameer, Talend, Yellowbrick Data, ScyllaDB, SnapLogic, Riak, Grow, SAS Institute, LlamaIndex, Alteryx, Metabase, Aerospike, Fivetran, Firebolt, Weights &amp; Biases, OrientDB, DataRobot, Databricks, Avathon, Atlan, MySQL, Birst, Emailage, Pivotal Software, DataStax, SphereEx, GoodData, Aiven, Domo, Neo4j, Ab Initio, LangChain, Klipfolio, Qlik Technologies, Arize, 1010data, Tableau Software, Mixpanel, Airbyte</t>
  </si>
  <si>
    <t>Developer of a generative semantic fabric platform designed to unlock the potential of generative AI. The company's generative AI offers data and analytics mapping, interpretation, and governance, with a domain-specific AI engine offers business users a trustworthy, ensuring smooth, governed, and customized organizational LLM, enabling organizations to harness the power of Big Data for decision intelligence while contextualizing organizational knowledge to promote data democratization, trust, and efficient Return on investment.</t>
  </si>
  <si>
    <t>Business/Productivity Software*, Database Software</t>
  </si>
  <si>
    <t>ai automation platform, ai governance, data fabrics, data infrastructure, database management system, deep learning, generative ai, knowledge graphing, llm governance, ontology automation, semantic discovery technology</t>
  </si>
  <si>
    <t>www.illumex.ai</t>
  </si>
  <si>
    <t>http://www.linkedin.com/company/illumexai</t>
  </si>
  <si>
    <t>2021: 11, 2022: 19, 2023: 18, 2024: 30</t>
  </si>
  <si>
    <t>Competitor (New) Qlik Technologies</t>
  </si>
  <si>
    <t>The company raised $13 million of seed funding in a deal led by Samsung Venture Investment, Amdocs Ventures, and Cardumen Capital on June 25, 2024, putting the company's pre-money valuation at an estimated $18.97 million. ToDay Ventures and 6 other investors also participated in the round. Previously, the company joined Bulgarian Expansion Bridge as a part of the 2024 Cohort in 2024.</t>
  </si>
  <si>
    <t>Amdocs Ventures, Ameet Patel, Bulgarian Expansion Bridge, Cardumen Capital, Croton Capital, Ginossar Ventures, Giora Yaron, ICI Fund, ICON (Palo Alto), Intel Ignite, Iron Nation, Jibe Ventures, Lyra Ventures, Moshe Lichtman, Ofir Laor, Samsung Venture Investment, Teramips Technologies, ToDay Ventures</t>
  </si>
  <si>
    <t>Bulgarian Expansion Bridge (www.bexbridge.com), Cardumen Capital (www.cardumencapital.com), Ginossar Ventures (ginossarventures.com), ICI Fund (www.ici.fund), ICON (Palo Alto) (www.iconsv.org), Intel Ignite (intelignite.com), Iron Nation (www.ironnation.org), Jibe Ventures (www.jibevc.com), Lyra Ventures (www.lyra-ventures.com), Samsung Venture Investment (samsungventure.co.kr), Teramips Technologies (www.teramips.com), ToDay Ventures (www.today.ventures)</t>
  </si>
  <si>
    <t>267520-42P</t>
  </si>
  <si>
    <t>Inna Tokarev Sela</t>
  </si>
  <si>
    <t>inna@illumex.ai</t>
  </si>
  <si>
    <t>224 West 35th Street</t>
  </si>
  <si>
    <t>Suite 500, PMB 398</t>
  </si>
  <si>
    <t>contact@illumex.ai</t>
  </si>
  <si>
    <t>438451-57</t>
  </si>
  <si>
    <t>Inclusively</t>
  </si>
  <si>
    <t>Ligilo</t>
  </si>
  <si>
    <t>Ligilo Inc.</t>
  </si>
  <si>
    <t>Developer of a human-first employment platform designed to match work profiles for people with disabilities. The company's platform uses technology to drive authentic inclusion in the workplace and empowers employers with the insights, access, training, and support they need to attract and retain previously hidden talent, enabling employers to retain their employees and people with disabilities to find the ideal position and inclusive company.</t>
  </si>
  <si>
    <t>Human Capital Services</t>
  </si>
  <si>
    <t>Business/Productivity Software, Human Capital Services*, Information Services (B2C), Media and Information Services (B2B)</t>
  </si>
  <si>
    <t>disability employment services, disability inclusion company, disabled employment, disabled support, enterprise resource planning, erp, human capital management, job matching platform, job searching services</t>
  </si>
  <si>
    <t>www.inclusively.com</t>
  </si>
  <si>
    <t>http://www.linkedin.com/company/workinclusively</t>
  </si>
  <si>
    <t>2020: 12, 2021: 22, 2022: 34, 2023: 42, 2024: 44</t>
  </si>
  <si>
    <t>The company joined The World Economic Forum as a part of its 2024 Technology Pioneer cohort on June 6, 2024. No equity or funding was exchanged as a result of this program.</t>
  </si>
  <si>
    <t>Acumen America, Acumen Fund, Arch Grants, Benson Capital Partners, Charlottesville Angel Network, Enable Ventures, Eudaimonia Capital, Firework Ventures, How Women Invest, Naples Technology Ventures, Purple Sage Ventures, Sorenson Impact Foundation, Tech Square Ventures, The Pearl Fund, The World Economic Forum</t>
  </si>
  <si>
    <t>Acumen America (acumenamerica.org), Acumen Fund (www.acumen.org), Arch Grants (www.archgrants.org), Benson Capital Partners (www.bensoncp.com), Charlottesville Angel Network (www.cvilleangelnetwork.net), Enable Ventures (www.enableventures.vc), Eudaimonia Capital (eudaimoniacapital.com), Firework Ventures (www.firework.vc), How Women Invest (www.howwomeninvest.com), Naples Technology Ventures (www.naplestechnologyventures.com), Purple Sage Ventures (www.purplesageventures.com), Sorenson Impact Foundation (www.sorensonimpactfoundation.org), Tech Square Ventures (www.techsquareventures.com), The Pearl Fund (www.thepearl.fund), The World Economic Forum (widgets.weforum.org)</t>
  </si>
  <si>
    <t>239093-74P</t>
  </si>
  <si>
    <t>Marios Politis</t>
  </si>
  <si>
    <t>Co-Founder</t>
  </si>
  <si>
    <t>m.politis@exeter.ac.uk</t>
  </si>
  <si>
    <t>+1 (833) 446-2587</t>
  </si>
  <si>
    <t>Saint Louis, MO</t>
  </si>
  <si>
    <t>911 Washington Avenue</t>
  </si>
  <si>
    <t>Saint Louis</t>
  </si>
  <si>
    <t>Missouri</t>
  </si>
  <si>
    <t>63101</t>
  </si>
  <si>
    <t>contactus@inclusively.com</t>
  </si>
  <si>
    <t>530514-46</t>
  </si>
  <si>
    <t>InnovationForce</t>
  </si>
  <si>
    <t>CatalyticFX</t>
  </si>
  <si>
    <t>InnovationForce, Inc.</t>
  </si>
  <si>
    <t>Developer of an artificial intelligence-enabled software-as-a-service platform designed to manage the innovation process. The company's platform offers features for idea submission, evaluation, and workflow management, enabling organizations to improve collaboration, accelerate decision-making, and increase innovation success rates.</t>
  </si>
  <si>
    <t>business assessment, collaboration apps, crowdsourcing data, culture of innovation, digital transformation path, innovation management platform, metrics dashboard, program management, workflow management</t>
  </si>
  <si>
    <t>www.innovationforce.io</t>
  </si>
  <si>
    <t>http://www.linkedin.com/company/innovation-force</t>
  </si>
  <si>
    <t>2023: 5, 2024: 10</t>
  </si>
  <si>
    <t>The company raised $872,500 of pre-seed funding in a deal led by The Sondergaard Group on November 1, 2024. Skybridge Technology Group, Jason Wild and other undisclosed investors also participated in the round.</t>
  </si>
  <si>
    <t>Jason Wild, Skybridge Technology Group, The Sondergaard Group</t>
  </si>
  <si>
    <t>Skybridge Technology Group (www.skybridgewireless.com), The Sondergaard Group (www.sondergaardgroup.com)</t>
  </si>
  <si>
    <t>134715-97P</t>
  </si>
  <si>
    <t>Kimberly Getgen</t>
  </si>
  <si>
    <t>kim.getgen@innovationforce.io</t>
  </si>
  <si>
    <t>+1 (703) 932-2891</t>
  </si>
  <si>
    <t>Durham, NC</t>
  </si>
  <si>
    <t>4804 Page Creek Lane</t>
  </si>
  <si>
    <t>Durham</t>
  </si>
  <si>
    <t>27703</t>
  </si>
  <si>
    <t>info@innovatinoforce.io</t>
  </si>
  <si>
    <t>442755-10</t>
  </si>
  <si>
    <t>Jam</t>
  </si>
  <si>
    <t>Jam, Inc.</t>
  </si>
  <si>
    <t>Developer of a collaboration platform designed to improve the operational efficiency of software developers and designers. The company's tool turns any product or website into a collaborative document to add comments, facilitate discussions and create and manage tasks, enabling businesses to track underlying issues and make suggestions conveniently.</t>
  </si>
  <si>
    <t>Internet Software</t>
  </si>
  <si>
    <t>Business/Productivity Software, Internet Software*</t>
  </si>
  <si>
    <t>collaboration tool, developer collaboration, developer platform, developer tools, task management, team collaboration, work collaboration software</t>
  </si>
  <si>
    <t>www.jam.dev</t>
  </si>
  <si>
    <t>http://www.linkedin.com/company/jamdotdev</t>
  </si>
  <si>
    <t>2021: 8, 2022: 7, 2024: 18</t>
  </si>
  <si>
    <t>The company raised $8.9 million of Series A venture funding in a deal led by GGV Capital U.S. on February 4, 2024. Figma Ventures, Guillermo Rauch, Suhail Doshi, Paul Yacoubian, Claire Vo Lawless, Austen Allred, Burst Capital, Cassidy Williams, Sandeep Jain, and Amanda Kleha also participated in the round.</t>
  </si>
  <si>
    <t>Amanda Kleha, Andrew Miklas, Austen Allred, BoxGroup, Burst Capital, Cassidy Williams, Claire Lawless, Dane Knecht, Figma Ventures, Guillermo Rauch, James Allworth, Jamie Wilkinson, Jason Warner, Josh Elman, Matthew Prince, Notable Capital, Paul Yacoubian, Sahil Lavingia, Sandeep Jain, Suhail Doshi, Union Square Ventures, Version One Ventures, Village Global</t>
  </si>
  <si>
    <t>BoxGroup (www.boxgroup.com), Burst Capital (www.burst.llc), Jamie Wilkinson (jamiedubs.com), Notable Capital (notablecap.com), Sahil Lavingia (sahillavingia.com), Union Square Ventures (www.usv.com), Version One Ventures (www.versionone.vc), Village Global (www.villageglobal.vc)</t>
  </si>
  <si>
    <t>187134-31P</t>
  </si>
  <si>
    <t>Dani Grant</t>
  </si>
  <si>
    <t>dani@jam.dev</t>
  </si>
  <si>
    <t>4806 Ribbecke Avenue</t>
  </si>
  <si>
    <t>Unit B</t>
  </si>
  <si>
    <t>hello@jam.dev</t>
  </si>
  <si>
    <t>454285-18</t>
  </si>
  <si>
    <t>Logica (Financial Software)</t>
  </si>
  <si>
    <t>Logica</t>
  </si>
  <si>
    <t>Proforma Technologies, Inc.</t>
  </si>
  <si>
    <t>Developer of financial modeling software designed to collaborate finance teams with the entire organization securely and efficiently. The company's software provides financial planning, scenario analysis, dynamic planning, budgeting, and forecasting and offers transparent, controlled reporting and consolidation for management, investors, and other stakeholders, enabling businesses to make decisions by creating and comparing multiple scenarios.</t>
  </si>
  <si>
    <t>Financial Software*</t>
  </si>
  <si>
    <t>analysis platform, financial modeling platform, financial modeling tools, financial modelling framework, reporting making, scenario analysis</t>
  </si>
  <si>
    <t>www.logica.cloud</t>
  </si>
  <si>
    <t>http://www.linkedin.com/company/logica-app</t>
  </si>
  <si>
    <t>2021: 5, 2022: 7, 2023: 4, 2024: 4</t>
  </si>
  <si>
    <t>The company raised $1 million of Series 1 venture funding in the combination of SAFE notes and equity from Open Opportunity Fund, Proven Ventures, and Tribe Capital on April 9, 2021. Invest Nebraska, Nelnet Ventures, and other undisclosed investors also participated in the round. Out of the total amount, $100,000 was raised in the form of SAFE notes.</t>
  </si>
  <si>
    <t>Invest Nebraska, Maverick Venture Fund, Nelnet Ventures, Open Opportunity Fund, Proven Ventures, Tribe Capital, Y Combinator</t>
  </si>
  <si>
    <t>Invest Nebraska (www.investnebraska.com), Maverick Venture Fund (www.maverickventurefund.com), Open Opportunity Fund (www.theopportunityfund.com), Proven Ventures (www.proven.ventures), Tribe Capital (www.tribecap.co), Y Combinator (www.ycombinator.com)</t>
  </si>
  <si>
    <t>246644-38P</t>
  </si>
  <si>
    <t>Carissa Castro</t>
  </si>
  <si>
    <t>carissa.castro@logica.cloud</t>
  </si>
  <si>
    <t>Omaha, NE</t>
  </si>
  <si>
    <t>1299 Farnam Street</t>
  </si>
  <si>
    <t>Omaha</t>
  </si>
  <si>
    <t>Nebraska</t>
  </si>
  <si>
    <t>68102</t>
  </si>
  <si>
    <t>info@logica.cloud</t>
  </si>
  <si>
    <t>490234-78</t>
  </si>
  <si>
    <t>Mavi.io</t>
  </si>
  <si>
    <t>Mavi.io, Inc.</t>
  </si>
  <si>
    <t>Developer of an in-car commerce software designed for the retail marketplace for curated shopping for the dashboard of cars. The company's software provides a location-based in-car shopping platform, en-route snack, and pharmacy pick-up services, and knowledge-based hotel booking services, enabling customers to shop and avail themselves of a range of commerce services from the dashboard of cars.</t>
  </si>
  <si>
    <t>Other Services (B2C Non-Financial)</t>
  </si>
  <si>
    <t>Application Software, Other Services (B2C Non-Financial)*</t>
  </si>
  <si>
    <t>E-Commerce, FoodTech, Mobile, Restaurant Technology, SaaS</t>
  </si>
  <si>
    <t>automotive shopping, b2b2c insurtech company, car retail service, connected car, curbside pickup, curbside service, ecommerce channel, food ordering application, food tech, restaurant technology</t>
  </si>
  <si>
    <t>www.mavi.io</t>
  </si>
  <si>
    <t>http://www.linkedin.com/company/mavi.io</t>
  </si>
  <si>
    <t>2022: 10, 2023: 12, 2024: 15</t>
  </si>
  <si>
    <t>The company is in the process of raising $3 million of seed funding in a deal led by Govo Venture Partners as of February 15, 2024. REFASHIOND Ventures and Plug and Play Tech Center also participated in the round. Previously, the company raised $530,000 of seed funding from undisclosed investors on January 2, 2024. The funding was raised initially in the form of SAFE notes and subsequently converted into equity. The company is being actively tracked by PitchBook.</t>
  </si>
  <si>
    <t>Govo Venture Partners, Plug and Play Tech Center, REFASHIOND Ventures, Schottenstein Family Capital</t>
  </si>
  <si>
    <t>Govo Venture Partners (www.govovp.com), Plug and Play Tech Center (www.plugandplaytechcenter.com), REFASHIOND Ventures (www.refashiond.com), Schottenstein Family Capital (www.schottycapital.com)</t>
  </si>
  <si>
    <t>JP Morgan Chase(General Business Banking), Lorium Law(Legal Advisor), SVB Financial Group(General Business Banking)</t>
  </si>
  <si>
    <t>104795-56P</t>
  </si>
  <si>
    <t>Cynthia Hollen</t>
  </si>
  <si>
    <t>cynthia@mavi.io</t>
  </si>
  <si>
    <t>+1 (917) 723-5654</t>
  </si>
  <si>
    <t>111 North East 1st Street</t>
  </si>
  <si>
    <t>Suite 88958</t>
  </si>
  <si>
    <t>33132</t>
  </si>
  <si>
    <t>481841-20</t>
  </si>
  <si>
    <t>Meili</t>
  </si>
  <si>
    <t>Meili Technologies, Inc.</t>
  </si>
  <si>
    <t>Developer of an enterprise management platform designed for bridging compliance and safety initiatives across an organization. The company's platform specializes in the automation of critical documentation, keeps track of team and third parties, and simplifies complex insights, enabling clients to make informed and expedited decisions.</t>
  </si>
  <si>
    <t>compliance system, comprehensive database, computer vision, digital platform, fragmented data, process automation, real time reporting, risk mitigation</t>
  </si>
  <si>
    <t>www.meilitechnologies.com</t>
  </si>
  <si>
    <t>http://www.linkedin.com/company/meilitech</t>
  </si>
  <si>
    <t>The company raised $2.5 million of Seed 1 funding from HearstLab, Chingona Ventures and Female Founders Fund on September 1, 2023, putting the company's pre-money valuation at $6.5 million. Other undisclosed investors also participated in the round.</t>
  </si>
  <si>
    <t>Chingona Ventures, Female Founders Fund, HearstLab, Newlab, Plug and Play Tech Center, Runway Startup Postdoc</t>
  </si>
  <si>
    <t>Chingona Ventures (chingona.ventures), Female Founders Fund (www.femalefoundersfund.com), HearstLab (www.hearstlab.com), Newlab (www.newlab.com), Plug and Play Tech Center (www.plugandplaytechcenter.com), Runway Startup Postdoc (tech.cornell.edu/programs/phd/startup-postdocs)</t>
  </si>
  <si>
    <t>276672-25P</t>
  </si>
  <si>
    <t>Samantha Lee</t>
  </si>
  <si>
    <t>sam@meilitechnologies.com</t>
  </si>
  <si>
    <t>19 Morris Avenue</t>
  </si>
  <si>
    <t>11205</t>
  </si>
  <si>
    <t>contact@meilitechnologies.com</t>
  </si>
  <si>
    <t>481794-04</t>
  </si>
  <si>
    <t>Modicus Prime</t>
  </si>
  <si>
    <t>Modicus Prime Ltd.</t>
  </si>
  <si>
    <t>SigTuple, Techcyte, Ibex Medical Analytics, Qritive, Gestalt, Deciphex, Hindsait, Clarify, Definiens, PathologyWatch, Aiforia, PreciseDx, HistoWiz, PathXL, Proscia, Prognos Health, Keen Eye, Inspirata, Tempus AI, Paige, CureMetrix</t>
  </si>
  <si>
    <t>Developer of self-service artificial intelligence tools designed to integrate heterogeneous life sciences data for anomaly detection, monitoring, and enhanced decision-making. The company's platform lets end users execute state-of-the-art research and production, train proprietary algorithms on specific data sets, and feed data to the self-service tools to let artificial intelligence algorithms extract the insights, enabling clients to tackle the emerging data challenges in the life sciences, including continuous manufacturing and smart monitoring.</t>
  </si>
  <si>
    <t>Business/Productivity Software, Other Healthcare Technology Systems*</t>
  </si>
  <si>
    <t>Artificial Intelligence &amp; Machine Learning, Big Data, HealthTech, TMT</t>
  </si>
  <si>
    <t>ai integration, biotechnology and biopharmaceuticals, healthcare data analytics, image analysis system, machine learning tech, training session, vertical application, workflow system</t>
  </si>
  <si>
    <t>www.modicusprime.com</t>
  </si>
  <si>
    <t>http://www.linkedin.com/company/modicus-prime</t>
  </si>
  <si>
    <t>2021: 3, 2022: 3, 2023: 8, 2024: 13</t>
  </si>
  <si>
    <t>The company raised $3.49 million through a combination of Series Seed, and Seed 1 funding in a deal led by Silverton Partners on July 9, 2024, putting the company's pre-money valuation at $6.51 million. Dotmatics and 11 others also participated in the round.</t>
  </si>
  <si>
    <t>Alumni Ventures, Dotmatics, Flywheel Fund, Granatus Ventures, Hagop Hagopian, Healthcare Equity Angels, Jack Topdjian, Plug and Play Tech Center, Roman Wilson, Silverton Partners, SmartGateVC, Techstars, Triple S Ventures, Valor Ventures</t>
  </si>
  <si>
    <t>Alumni Ventures (www.av.vc), Dotmatics (www.dotmatics.com), Flywheel Fund (www.flywheelfund.vc), Granatus Ventures (granatusventures.com), Healthcare Equity Angels (www.hltheqt.com), Plug and Play Tech Center (www.plugandplaytechcenter.com), Silverton Partners (www.silvertonpartners.com), SmartGateVC (www.smartgate.vc), Techstars (www.techstars.com), Triple S Ventures (www.triples.vc), Valor Ventures (www.valor.vc)</t>
  </si>
  <si>
    <t>276637-69P</t>
  </si>
  <si>
    <t>Taylor Chartier</t>
  </si>
  <si>
    <t>taylor@modicusprime.com</t>
  </si>
  <si>
    <t>+12194481924</t>
  </si>
  <si>
    <t>La Porte, IN</t>
  </si>
  <si>
    <t>1118 Michigan Avenue</t>
  </si>
  <si>
    <t>La Porte</t>
  </si>
  <si>
    <t>Indiana</t>
  </si>
  <si>
    <t>46350</t>
  </si>
  <si>
    <t>info@modicusprime.com</t>
  </si>
  <si>
    <t>Expected 16-Apr-2029</t>
  </si>
  <si>
    <t>467221-06</t>
  </si>
  <si>
    <t>N-Sense</t>
  </si>
  <si>
    <t>Nsence</t>
  </si>
  <si>
    <t>Nsence, Inc.</t>
  </si>
  <si>
    <t>Developer of a soil nitrate sensor system intended to determine in-real-time on-the-go soil nitrate concentrations with sufficient accuracy. The company's system uses soil sensing technology that helps farmers to measure nitrates and apply nitrogen only where it is needed as well as avoid wastage in the form of ammonia, enabling farmers to increase farm profitability and decrease the environmental impact associated with it.</t>
  </si>
  <si>
    <t>Application Specific Semiconductors, Electronic Equipment and Instruments*, Other Agriculture, Other Commercial Services</t>
  </si>
  <si>
    <t>Advanced Manufacturing, AgTech, Climate Tech</t>
  </si>
  <si>
    <t>farm management, fertilizer alternatives, field iot, landscape analysis, nitrate concentration, nitrogen solution fertilizer, precision ag, precision agriculture, sensing technology, sensor system</t>
  </si>
  <si>
    <t>www.n-sense.us</t>
  </si>
  <si>
    <t>2021: 4</t>
  </si>
  <si>
    <t>The company raised $50,000 of venture funding from Ag Startup Engine on November 17, 2021. The total funds were originally raised in the form of convertible debt and subsequently converted to equity.</t>
  </si>
  <si>
    <t>Ag Startup Engine, National Science Foundation</t>
  </si>
  <si>
    <t>Iowa AgriTech Accelerator</t>
  </si>
  <si>
    <t>Ag Startup Engine (www.agstartupengine.com), National Science Foundation (nsf.gov)</t>
  </si>
  <si>
    <t>Iowa AgriTech Accelerator (www.agiowa.com)</t>
  </si>
  <si>
    <t>264816-19P</t>
  </si>
  <si>
    <t>Stephen Ringlee</t>
  </si>
  <si>
    <t>sringlee@n-sense.us</t>
  </si>
  <si>
    <t>+1 (515) 292-4508</t>
  </si>
  <si>
    <t>Ames, IA</t>
  </si>
  <si>
    <t>415 Stanton Avenue</t>
  </si>
  <si>
    <t>Ames</t>
  </si>
  <si>
    <t>50014</t>
  </si>
  <si>
    <t>+1 (515) 291-0142</t>
  </si>
  <si>
    <t>Electric machines not otherwise provided for</t>
  </si>
  <si>
    <t>491787-19</t>
  </si>
  <si>
    <t>Olyn</t>
  </si>
  <si>
    <t>Olyn Inc.</t>
  </si>
  <si>
    <t>Developer of asset registry platform designed to remove barriers and connect individuals, businesses, and economies to thrive on the web3. The company's platform focuses on value exchange and helps in tracking the assets that are owned by the users and empowers ownership and identity in this new era, enabling investors to track NFT integration, registration on a chain, and asset registry list.</t>
  </si>
  <si>
    <t>Cryptocurrency/Blockchain, FinTech, SaaS</t>
  </si>
  <si>
    <t>blockchain technology, digital asset manager, digital asset token, physical asset management, physical assets, token economy</t>
  </si>
  <si>
    <t>www.olyn.com</t>
  </si>
  <si>
    <t>http://www.linkedin.com/company/olyn-com</t>
  </si>
  <si>
    <t>2022: 14, 2023: 14, 2024: 17</t>
  </si>
  <si>
    <t>The company raised $850,000 of pre-seed funding from Hard Yaka and Greg Kidd in November 2020, putting the company's pre-money valuation at $14.15 million.</t>
  </si>
  <si>
    <t>Greg Kidd, Hard Yaka</t>
  </si>
  <si>
    <t>Hard Yaka (www.hardyaka.com)</t>
  </si>
  <si>
    <t>211008-16P</t>
  </si>
  <si>
    <t>Ana Jipa</t>
  </si>
  <si>
    <t>ana@olyn.com</t>
  </si>
  <si>
    <t>+1 (860) 442-2767</t>
  </si>
  <si>
    <t>San Jose, CA</t>
  </si>
  <si>
    <t>123 East San Carlos Street</t>
  </si>
  <si>
    <t>San Jose</t>
  </si>
  <si>
    <t>95112</t>
  </si>
  <si>
    <t>info@olyn.com</t>
  </si>
  <si>
    <t>471756-07</t>
  </si>
  <si>
    <t>OOO.</t>
  </si>
  <si>
    <t>Out Of Office.</t>
  </si>
  <si>
    <t>Out Of Office, Inc.</t>
  </si>
  <si>
    <t>Wanderlog, Trippy</t>
  </si>
  <si>
    <t>Developer of a mobile application intended to let users discover and share travel recommendations and restaurants with friends. The company's platform allows travelers to plan, discover and explore trendy hotspots, book hotels and reserve tables, enabling travelers to find safe, flexible, curated accommodation via an easy-to-use and intuitive platform.</t>
  </si>
  <si>
    <t>Application Software, Information Services (B2C)*, Other Restaurants, Hotels and Leisure</t>
  </si>
  <si>
    <t>food ecommerce, restaurant marketplace, travel guide platform, travel guide tools, travel ideas, travel recommendation, travel recommendation platform, travel reference platform</t>
  </si>
  <si>
    <t>www.takemeoutofoffice.com</t>
  </si>
  <si>
    <t>http://www.linkedin.com/company/oootravel</t>
  </si>
  <si>
    <t>2021: 10, 2022: 15, 2023: 42</t>
  </si>
  <si>
    <t>The company raised $1.29 million of seed funding in the form of SAFE notes from Hyde Park Venture Partners and Connetic Ventures on January 26, 2024, putting the company's pre-money valuation at $5.21 million.</t>
  </si>
  <si>
    <t>Brand Foundry Ventures, Brian Kelly, Chris Brown, Chris Ruder, Connetic Ventures, Hyde Park Venture Partners, Jessie Dixon, Sarah Simmer, Service Provider Capital, Shalinee Mayer, Slojo Investments, Steven Galanis, VITALIZE Venture Capital</t>
  </si>
  <si>
    <t>Brand Foundry Ventures (brandfoundry.com), Connetic Ventures (www.conneticventures.com), Hyde Park Venture Partners (www.hydeparkvp.com), Service Provider Capital (www.serviceprovidercapital.com), Slojo Investments (www.slojoinvestments.com), VITALIZE Venture Capital (vitalize.vc)</t>
  </si>
  <si>
    <t>272663-38P</t>
  </si>
  <si>
    <t>Shana Kastan</t>
  </si>
  <si>
    <t>Co-Founder, Board Member &amp; Chief Operating Officer</t>
  </si>
  <si>
    <t>coabi@takemeoutofoffice.com</t>
  </si>
  <si>
    <t>+1 (312) 801-7200</t>
  </si>
  <si>
    <t>878 North Marshfield Avenue</t>
  </si>
  <si>
    <t>60622</t>
  </si>
  <si>
    <t>+1 (614) 469-3234</t>
  </si>
  <si>
    <t>contact@takemeoutofoffice.com</t>
  </si>
  <si>
    <t>437880-52</t>
  </si>
  <si>
    <t>Perygee</t>
  </si>
  <si>
    <t>Perygee, Inc.</t>
  </si>
  <si>
    <t>Developer of an automation platform designed to maintain and improve device functionality. The company's platform brings together all asset information and security stakeholders to defend critical assets and automate OT security workflows and integrates device-specific edge monitoring with easy-to-use no-code data modeling and automation tools, enabling businesses to get a holistic cybersecurity platform that implements security with a consumer-grade user experience.</t>
  </si>
  <si>
    <t>Network Management Software*</t>
  </si>
  <si>
    <t>Cybersecurity, Internet of Things</t>
  </si>
  <si>
    <t>ai, automation, cybersecurity, endpoint security, enterprise software, information technology, iot software, iot/ot security, middleware, ot security</t>
  </si>
  <si>
    <t>www.perygee.com</t>
  </si>
  <si>
    <t>http://www.linkedin.com/company/perygee</t>
  </si>
  <si>
    <t>2020: 2, 2021: 5, 2022: 7, 2024: 8</t>
  </si>
  <si>
    <t>The company raised $4.75 million of seed funding in a deal led by Ballistic Ventures (California) on October 27, 2022. BBG Ventures (North America), Qudit, Ray Rothrock, Corey Thomas, John Donovan, Ohad Finkelstein and Bryson Bort also participated in the round.</t>
  </si>
  <si>
    <t>Ballistic Ventures (California), BBG Ventures (North America), Bryson Bort, Contour Venture Partners, Corey Thomas, Innospark Ventures, John Donovan, Ohad Finkelstein, Outsiders Fund, Qudit, Ray Rothrock, The Arthur Rock Center for Entrepreneurship, Westport Capital Partners</t>
  </si>
  <si>
    <t>Ballistic Ventures (California) (www.ballisticventures.com), BBG Ventures (North America) (www.bbgventures.com), Contour Venture Partners (www.contourventures.com), Innospark Ventures (www.innospark.vc), Outsiders Fund (www.outsidersfund.com), Qudit (www.qudit.ai), The Arthur Rock Center for Entrepreneurship (www.entrepreneurship.hbs.edu/Pages/default.aspx), Westport Capital Partners (www.westportcp.com)</t>
  </si>
  <si>
    <t>237480-85P</t>
  </si>
  <si>
    <t>Mollie Breen</t>
  </si>
  <si>
    <t>mollie@perygee.com</t>
  </si>
  <si>
    <t>+1 (703) 597-0109</t>
  </si>
  <si>
    <t>45 School Street</t>
  </si>
  <si>
    <t>02108</t>
  </si>
  <si>
    <t>+1 (202) 838-6693</t>
  </si>
  <si>
    <t>info@perygee.com</t>
  </si>
  <si>
    <t>465106-33</t>
  </si>
  <si>
    <t>Pomp</t>
  </si>
  <si>
    <t>Pomp Beauty, Inc.</t>
  </si>
  <si>
    <t>HelloAva</t>
  </si>
  <si>
    <t>Operator of a skincare platform intended to empower estheticians and med spas with technology to support client relationships outside the treatment room. The company's platform offers estheticians and med spas access to clinical-grade skincare lines, free consultations with professional estheticians and tools to create personalized at-home routines for clients, enabling customers to achieve optimal results and fostering long-term customer loyalty.</t>
  </si>
  <si>
    <t>Consumer Non-Durables</t>
  </si>
  <si>
    <t>Personal Products</t>
  </si>
  <si>
    <t>Application Software, Business/Productivity Software, Information Services (B2C), Personal Products*</t>
  </si>
  <si>
    <t>Beauty, E-Commerce, Mobile, SaaS</t>
  </si>
  <si>
    <t>esthetician services, skincare advice, skincare center, skincare line, skincare platform, skincare service, skincare service provider, skincare tech</t>
  </si>
  <si>
    <t>www.pompbeauty.com</t>
  </si>
  <si>
    <t>http://www.linkedin.com/company/pompbeauty</t>
  </si>
  <si>
    <t>2021: 9, 2023: 41, 2024: 37</t>
  </si>
  <si>
    <t>The company raised $307,999 of venture funding from undisclosed investors on October 23, 2024.</t>
  </si>
  <si>
    <t>Cannell Capital, CASSIUS, FirstMile Ventures, GAN Ventures, Kickstart Fund, Moth Fund, Service Provider Capital, SpringTime Ventures</t>
  </si>
  <si>
    <t>Cannell Capital (www.cannellcapital.com), CASSIUS (www.cassius.vc), FirstMile Ventures (www.firstmilevc.com), GAN Ventures (www.gan.ventures), Kickstart Fund (www.kickstartfund.com), Moth Fund (www.mothfund.com), Service Provider Capital (www.serviceprovidercapital.com), SpringTime Ventures (www.springtimeventures.com)</t>
  </si>
  <si>
    <t>Koenig, Oelsner, Taylor, Schoenfeld &amp; Gaddis(Legal Advisor)</t>
  </si>
  <si>
    <t>260325-91P</t>
  </si>
  <si>
    <t>Nicole Cox</t>
  </si>
  <si>
    <t>Co-Founder &amp; Chief Operating Officer</t>
  </si>
  <si>
    <t>nicole@pompbeauty.com</t>
  </si>
  <si>
    <t>+1 (720) 383-7469</t>
  </si>
  <si>
    <t>PO Box 100802</t>
  </si>
  <si>
    <t>80250</t>
  </si>
  <si>
    <t>hello@pompbeauty.com</t>
  </si>
  <si>
    <t>463468-24</t>
  </si>
  <si>
    <t>Qatch</t>
  </si>
  <si>
    <t>Qatchco Inc.</t>
  </si>
  <si>
    <t>The Yes, Wishi, Stitch Fix</t>
  </si>
  <si>
    <t>Operator of a short message service-based marketing platform intended to give personal recommendations from brands via text. The company's platform brings personalization to online shoppers from different brands in order to save them time and deliver an improved shopping experience, enabling business owners to improve inventory management, trend forecasting, and audience targeting and helping brands optimize their product marketing in a scalable and cost-effective way.</t>
  </si>
  <si>
    <t>Application Software, Media and Information Services (B2B)*, Other Consumer Products and Services</t>
  </si>
  <si>
    <t>Big Data, E-Commerce, Marketing Tech, Mobile Commerce</t>
  </si>
  <si>
    <t>big data and ecommerce, brand promotion, marketing platform software, next generation commerce, personal recommendation, product recommendation, sms marketing, vision machine learning</t>
  </si>
  <si>
    <t>www.joinqatch.com</t>
  </si>
  <si>
    <t>http://www.linkedin.com/company/joinqatch</t>
  </si>
  <si>
    <t>2019: 5, 2020: 14, 2021: 41, 2022: 14, 2023: 10, 2024: 8</t>
  </si>
  <si>
    <t>JKS Ventures sold a stake in the company to an undisclosed buyer for $1 million on September 21, 2023.</t>
  </si>
  <si>
    <t>Bolt (Boston), Evolution Accelerator, For Later, Richard Levandov, Rocky Barnes, TBD Angels, XRC Ventures</t>
  </si>
  <si>
    <t>JKS Ventures</t>
  </si>
  <si>
    <t>Bolt (Boston) (www.bolt.io), Evolution Accelerator (www.evolutionacceleration.com), For Later (www.forlater.com), TBD Angels (www.tbdangels.com), XRC Ventures (www.xrcventures.com)</t>
  </si>
  <si>
    <t>JKS Ventures (jks-ventures.com)</t>
  </si>
  <si>
    <t>258152-32P</t>
  </si>
  <si>
    <t>Nicole Phillips</t>
  </si>
  <si>
    <t>nicole@joinqatch.com</t>
  </si>
  <si>
    <t>25 Dorchester Avenue</t>
  </si>
  <si>
    <t>Suite 52264</t>
  </si>
  <si>
    <t>02205</t>
  </si>
  <si>
    <t>hiya@joinqatch.com</t>
  </si>
  <si>
    <t>437675-86</t>
  </si>
  <si>
    <t>Qolo</t>
  </si>
  <si>
    <t>Qolo, Inc.</t>
  </si>
  <si>
    <t>Galileo (Financial Software), Marqeta</t>
  </si>
  <si>
    <t>Developer of a business-to-business payment platform intended to navigate complex payments and financial transactions landscape. The company's platform offers multi-currency payments, cross-border businesses, simplicity, speed and security, enabling clients to manage payments efficiently and focus on growth.</t>
  </si>
  <si>
    <t>B2B Payments, FinTech, SaaS</t>
  </si>
  <si>
    <t>b2b payment, b2b payment app, enterprise payment, enterprise resource planning, erp, financial management system, foreign exchange, international payment app, otc payment, payment app, payment processing, payments processing</t>
  </si>
  <si>
    <t>www.qolo.io</t>
  </si>
  <si>
    <t>http://www.linkedin.com/company/qolo</t>
  </si>
  <si>
    <t>2021: 50, 2022: 100, 2023: 73, 2024: 64</t>
  </si>
  <si>
    <t>The company raised $19.02 million of Series A venture funding in a deal led by Raptor Group on August 26, 2021, putting the company's pre-money valuation at $100 million. Other undisclosed investors also participated in the round. The funds will be used to continue its expansion with additional talent growth, new product launches, and increased international focus.</t>
  </si>
  <si>
    <t>236881-99P</t>
  </si>
  <si>
    <t>Patricia Montesi</t>
  </si>
  <si>
    <t>patricia.montesi@qolo.io</t>
  </si>
  <si>
    <t>+1 (415) 231-2543</t>
  </si>
  <si>
    <t>Fort Lauderdale, FL</t>
  </si>
  <si>
    <t>616 North West 2nd Avenue</t>
  </si>
  <si>
    <t>Fort Lauderdale</t>
  </si>
  <si>
    <t>33311</t>
  </si>
  <si>
    <t>info@qolo.io</t>
  </si>
  <si>
    <t>433643-77</t>
  </si>
  <si>
    <t>Queenly</t>
  </si>
  <si>
    <t>Queenly Inc.</t>
  </si>
  <si>
    <t>Poshmark, Fashion Nova, Maje Paris, The RealReal, Mercari</t>
  </si>
  <si>
    <t>Operator of an online formal wear marketplace intended to connect dress owners both old and new, to people who wish to buy. The company's marketplace includes a feature called in-search, which handles long-term, custom search behavior, along with its feature to help flexible access to purchases at negotiable prices, enabling buyers to purchase varieties of formal wear at acceptable prices and as per their convenience.</t>
  </si>
  <si>
    <t>Apparel and Accessories</t>
  </si>
  <si>
    <t>Clothing</t>
  </si>
  <si>
    <t>Application Software, Clothing*, Information Services (B2C)</t>
  </si>
  <si>
    <t>Augmented Reality, E-Commerce, Mobile, SaaS</t>
  </si>
  <si>
    <t>apparel retailer, augmented reality software, designer wearable, dresses platform, formal wear, formalwear marketplace, formalwear stores</t>
  </si>
  <si>
    <t>www.queenly.com</t>
  </si>
  <si>
    <t>http://www.linkedin.com/company/queenly</t>
  </si>
  <si>
    <t>2020: 5, 2021: 12, 2022: 19, 2023: 15, 2024: 10</t>
  </si>
  <si>
    <t>Gaingels and Red Bike Capital sold their stakes in the company to an undisclosed buyer.</t>
  </si>
  <si>
    <t>Alumni Ventures, Amino Capital, Andreessen Horowitz, Andrew Yates, Andy Zhang, Annie Tsai, Austen Allred, Brightlane Ventures, Corey Goodman, Daniel Ha, Daniel Hill, Doug Bend, Dragon Capital (California), Eric Kwan, Harvard Management Company, Huayang Guo, Interlace Ventures, James Park, Jared Schrieber, Jason Wang, John Thomas, Jonathan Brelig, Joseph Gerges, Kelly Thompson, Lodestar Ventures, Manik Gupta, Mike Smith, Mitra Raman, MyAsiaVC, NextView Ventures, Nicholas Peddy, Pareta Ventures, Rachel Brink, Ralph Gootee, Rebel Fund, Robert Hess, Ryo Ishizuka, SHAKTI, Shawn Tsao, Shayna Modarresi, The House Fund, Thuan Pham, Tram Nguyen, Y Combinator, Yongsheng Wu, Yuichi Uchida</t>
  </si>
  <si>
    <t>Gaingels, Red Bike Capital</t>
  </si>
  <si>
    <t>Alumni Ventures (www.av.vc), Amino Capital (www.aminocapital.com), Andreessen Horowitz (www.a16z.com), Brightlane Ventures (www.brightlane.co), Dragon Capital (California) (www.dragoncapital.vc), Harvard Management Company (www.hmc.harvard.edu), Interlace Ventures (www.interlacevc.com), Lodestar Ventures (www.lodestarvc.com), MyAsiaVC (www.myasiavc.com), NextView Ventures (www.nextview.vc), Rebel Fund (www.rebelfund.vc), SHAKTI (www.shaktivc.com), The House Fund (www.thehouse.fund), Y Combinator (www.ycombinator.com)</t>
  </si>
  <si>
    <t>Gaingels (www.gaingels.com), Red Bike Capital (www.redbikecapital.com)</t>
  </si>
  <si>
    <t>Cooley(Legal Advisor), Wefunder(Lead Manager or Arranger)</t>
  </si>
  <si>
    <t>226550-98P</t>
  </si>
  <si>
    <t>Kathy Zhou</t>
  </si>
  <si>
    <t>Co-Founder, Chief Technology Officer &amp; Board Member</t>
  </si>
  <si>
    <t>kathy@queenly.com</t>
  </si>
  <si>
    <t>+1 (415) 298-2313</t>
  </si>
  <si>
    <t>880 Harrison Street</t>
  </si>
  <si>
    <t>info@queenly.com</t>
  </si>
  <si>
    <t>435026-08</t>
  </si>
  <si>
    <t>Reflekt Me</t>
  </si>
  <si>
    <t>Reflekt Me Inc.</t>
  </si>
  <si>
    <t>Developer of e-commerce website user experience software designed to show how products will look to consumers relative to their label size and body type. The company's web tool allows it to leverage influencers, user-generated content, consumer insights, and the body's positive movement, helping businesses create a consumer buying experience that increases sales, loyalty, and satisfaction.</t>
  </si>
  <si>
    <t>consumer insights tools, content marketing, ecommerce service, ecommerce software platform, influencer marketing, personalization software</t>
  </si>
  <si>
    <t>www.reflektme.com</t>
  </si>
  <si>
    <t>http://www.linkedin.com/company/reflekt-me</t>
  </si>
  <si>
    <t>2021: 4, 2022: 4, 2023: 5, 2024: 5</t>
  </si>
  <si>
    <t>The company joined Techstars as part of Techstars Atlanta powered by J.P. Morgan on April 4, 2023, and received $120,000 in funding, putting the company's pre-money valuation at $310,000. Out of the total funding amount, $100,000 was raised in the form of convertible debt.</t>
  </si>
  <si>
    <t>AWS Startups, Backstage Capital, Black Women Talk Tech, Creative Destruction Lab, New York Fashion Tech Lab, Plug and Play Tech Center, Springboard Enterprises, Techstars, XRC Ventures</t>
  </si>
  <si>
    <t>AWS Startups (aws-startup-lofts.com), Backstage Capital (www.backstagecapital.com), Black Women Talk Tech (www.blackwomentalktech.com), Creative Destruction Lab (www.creativedestructionlab.com), New York Fashion Tech Lab (www.nyftlab.com), Plug and Play Tech Center (www.plugandplaytechcenter.com), Springboard Enterprises (www.springboardenterprises.org), Techstars (www.techstars.com), XRC Ventures (www.xrcventures.com)</t>
  </si>
  <si>
    <t>229817-26P</t>
  </si>
  <si>
    <t>Oluwatope Mitchell</t>
  </si>
  <si>
    <t>Co-Founder, Chief Executive Officer &amp; Chairman</t>
  </si>
  <si>
    <t>tope@reflektme.com</t>
  </si>
  <si>
    <t>+1 (213) 290-4456</t>
  </si>
  <si>
    <t>7000 Central Parkway</t>
  </si>
  <si>
    <t>30328</t>
  </si>
  <si>
    <t>469506-70</t>
  </si>
  <si>
    <t>Reliabl</t>
  </si>
  <si>
    <t>Lips Co.</t>
  </si>
  <si>
    <t>Developer of a content moderation platform intended to moderate online content accurately with less bias for the well-being of marginalized communities. The company's platform aims to encourage social mission, improve mental health and help members show their creative skills by purchasing and selling their work, enabling people of every community to be empowered with the technological tools, educational resources and facilitation support they need to classify and moderate themselves based on their community values and norms.</t>
  </si>
  <si>
    <t>Social Content</t>
  </si>
  <si>
    <t>Business/Productivity Software, Information Services (B2C), Social Content*, Social/Platform Software</t>
  </si>
  <si>
    <t>Artificial Intelligence &amp; Machine Learning, TMT</t>
  </si>
  <si>
    <t>content moderation platform, content sharing, data annotation system, mental healthcare, proprietary technology, social platform</t>
  </si>
  <si>
    <t>Trust &amp; Safety Tech</t>
  </si>
  <si>
    <t>www.reliabl.ai</t>
  </si>
  <si>
    <t>http://www.linkedin.com/company/reliablai</t>
  </si>
  <si>
    <t>2021: 5, 2022: 22, 2023: 9, 2024: 8</t>
  </si>
  <si>
    <t>FY 2020</t>
  </si>
  <si>
    <t>The company joined Women's Innovation Fund Accelerator on an undisclosed date. No equity or funding was exchanged as a result of this program.</t>
  </si>
  <si>
    <t>Astralabs, Chasing Rainbows, Impact Assets, Matthew Schaar, New Media Ventures, Nineteenth Amendment, Omar Shehab, Patrick Spaulding-Ryan, PSR Crypto, Richard Whitt, Silvia Mah, Trailyn VC, Women's Innovation Fund Accelerator</t>
  </si>
  <si>
    <t>Astralabs (www.astralabs.com), Chasing Rainbows (www.chasingrainbows.vc), Impact Assets (www.impactassets.org), New Media Ventures (www.newmediaventures.org), Nineteenth Amendment (www.nineteenthamendment.com), Trailyn VC (www.trailynvc.com), Women's Innovation Fund Accelerator (wifaxvc.com)</t>
  </si>
  <si>
    <t>267899-23P</t>
  </si>
  <si>
    <t>Annie Brown</t>
  </si>
  <si>
    <t>abrown@lipsdistro.com</t>
  </si>
  <si>
    <t>+1 (510) 698-2462</t>
  </si>
  <si>
    <t>Sacramento, CA</t>
  </si>
  <si>
    <t>1401 21st Street</t>
  </si>
  <si>
    <t>Suite R</t>
  </si>
  <si>
    <t>Sacramento</t>
  </si>
  <si>
    <t>95811</t>
  </si>
  <si>
    <t>team@reliabl.com</t>
  </si>
  <si>
    <t>Term Loan - $0.01M</t>
  </si>
  <si>
    <t>481553-56</t>
  </si>
  <si>
    <t>Sika Health</t>
  </si>
  <si>
    <t>Sika</t>
  </si>
  <si>
    <t>Sika Health, Inc.</t>
  </si>
  <si>
    <t>Developer of a payment technology designed to unlock savings with health wallets. The company's technology partners with health and wellness brands and converts new customers by discovering and qualifying them for wallet purchases at the point of sale, with no risk of cart abandonment, enabling consumers to use their health benefits accounts in ways that are personally relevant and impactful as they continue their long-term health journey.</t>
  </si>
  <si>
    <t>crm, customer relationship management, enterprise payment, fintech platform, health wallets, payment, payment analysis, payment platform, payment technology, payment transaction, payments processing, pos</t>
  </si>
  <si>
    <t>www.sikahealth.com</t>
  </si>
  <si>
    <t>http://www.linkedin.com/company/sikahealth</t>
  </si>
  <si>
    <t>2022: 10, 2023: 10, 2024: 8</t>
  </si>
  <si>
    <t>The company raised $6.2 million of seed funding in a deal led by Forerunner Ventures on January 4, 2022, putting the company's pre-money valuation at $13.8 million. Shine Capital and 8 other investors also participated in the round.</t>
  </si>
  <si>
    <t>Atacama Ventures, Forerunner Ventures, One Planet Group, Pacific Health Ventures, Prime Set, Shine Capital, Socially Financed, Ulu Ventures, William Hockey</t>
  </si>
  <si>
    <t>Atacama Ventures (www.atacamaventures.com), Forerunner Ventures (www.forerunnerventures.com), One Planet Group (www.oneplanetgroup.com), Pacific Health Ventures (www.pac.vc), Prime Set (www.primeset.com), Shine Capital (www.shine.vc), Socially Financed (www.sociallyfinanced.com), Ulu Ventures (www.uluventures.com)</t>
  </si>
  <si>
    <t>298484-29P</t>
  </si>
  <si>
    <t>Ami Kumordzie</t>
  </si>
  <si>
    <t>Founder, Chief Evangelist &amp; Board Member</t>
  </si>
  <si>
    <t>ami.kumordzie@sikahealth.com</t>
  </si>
  <si>
    <t>+1 (650) 988-8500</t>
  </si>
  <si>
    <t>2196 Third Avenue</t>
  </si>
  <si>
    <t>Unit 10039</t>
  </si>
  <si>
    <t>10035</t>
  </si>
  <si>
    <t>hello@sikahealth.com</t>
  </si>
  <si>
    <t>502836-22</t>
  </si>
  <si>
    <t>Socket (Social Platform Software)</t>
  </si>
  <si>
    <t>Socket</t>
  </si>
  <si>
    <t>Socket Labs, Inc.</t>
  </si>
  <si>
    <t>Developer of a web privacy infrastructure platform designed to offer social interactions. The company's platform is used for social interactions for crypto-related purposes, giving read-only access and permissions to the wallet addresses, enabling users with a web3 privacy connection to explore and plug in social information on-chain or off-chain.</t>
  </si>
  <si>
    <t>Information Services (B2C), Social/Platform Software*</t>
  </si>
  <si>
    <t>cryptocurrency application, privacy infrastructure, privacy security, social interaction software, web 3 platform, web3 social network, web3 social platform</t>
  </si>
  <si>
    <t>www.mysocket.xyz</t>
  </si>
  <si>
    <t>http://www.linkedin.com/company/socketxyz</t>
  </si>
  <si>
    <t>2023: 2</t>
  </si>
  <si>
    <t>The company raised $2 million of seed funding in a deal led by IDEO Crypto on July 27, 2022. OpenSea Ventures and 13 others also participated in the round.</t>
  </si>
  <si>
    <t>ACME Capital, Anthony Ghosn, Balaji Shrinivasan, CitizenX, IDEO Crypto, Immersion Partners, Joyce Yang, K5 Global, K5 Ventures, LongHash Ventures, Marky Wagner, OpenSea Ventures, SignalFire, Steel Perlot, Theo Marcu</t>
  </si>
  <si>
    <t>ACME Capital (www.acme.vc), CitizenX (www.citizenx.co), Immersion Partners (www.immersionpartners.com), K5 Global (www.k5global.com), K5 Ventures (www.k5ventures.com), LongHash Ventures (www.longhash.vc), SignalFire (www.signalfire.com), Steel Perlot (www.steelperlot.com)</t>
  </si>
  <si>
    <t>310455-19P</t>
  </si>
  <si>
    <t>Eva Zhang</t>
  </si>
  <si>
    <t>492956-02</t>
  </si>
  <si>
    <t>Soundful</t>
  </si>
  <si>
    <t>Soundful Inc.</t>
  </si>
  <si>
    <t>Loudly, Musicfy, Beatoven.ai, Musico (Netherlands), Boomy, AirGigs, Jukedeck, Aimi, Arraiy, Soundraw, Rewind (Media and Information Services), GliaCloud, Aiva Technologies</t>
  </si>
  <si>
    <t>Developer of artificial intelligence-based music creation software designed to empower everyone to make content. The company's platform offers different genres and templates to create music and unlock monetization or worldwide commercial use, enabling artists, music producers, and video publishers to produce studio-quality tracks.</t>
  </si>
  <si>
    <t>Business/Productivity Software, Entertainment Software, Media and Information Services (B2B), Multimedia and Design Software*</t>
  </si>
  <si>
    <t>artificial intelligence engine, creativity platform, creativity tools, generative ai, music albums, music content, music creation platform</t>
  </si>
  <si>
    <t>www.soundful.com</t>
  </si>
  <si>
    <t>http://www.linkedin.com/company/soundful</t>
  </si>
  <si>
    <t>2022: 14, 2023: 20, 2024: 23</t>
  </si>
  <si>
    <t>Competitor (New) Aimi, Competitor (New) AirGigs, Competitor (New) Boomy, Competitor (New) Musico (Netherlands)</t>
  </si>
  <si>
    <t>The company raised $3.8 million of seed funding from Microsoft, Universal Music Group, and Beatport on April 22, 2022. Accenture, SQUEAK E. CLEAN STUDIOS LLC, and Tom Staggs also participated in the round.</t>
  </si>
  <si>
    <t>Accenture, Beatport, Microsoft, SQUEAK E. CLEAN STUDIOS LLC, Thomas Staggs, Universal Music Group</t>
  </si>
  <si>
    <t>Accenture (www.accenture.com), Beatport (www.beatport.com), Microsoft (www.microsoft.com), Universal Music Group (www.universalmusic.com)</t>
  </si>
  <si>
    <t>292851-91P</t>
  </si>
  <si>
    <t>Diaa All</t>
  </si>
  <si>
    <t>Co-Founder, Chief Executive Officer &amp; Chief Financial Officer</t>
  </si>
  <si>
    <t>diaa@soundful.com</t>
  </si>
  <si>
    <t>+1 (480) 544-2529</t>
  </si>
  <si>
    <t>3950 Sorrento Valley Boulevard</t>
  </si>
  <si>
    <t>Suite 400</t>
  </si>
  <si>
    <t>92121</t>
  </si>
  <si>
    <t>info@soundful.com</t>
  </si>
  <si>
    <t>Bridge Loan - $3.80M (Convertible)</t>
  </si>
  <si>
    <t>Electrophonic musical instruments</t>
  </si>
  <si>
    <t>325344-07</t>
  </si>
  <si>
    <t>Spekit</t>
  </si>
  <si>
    <t>Spekit Inc.</t>
  </si>
  <si>
    <t>Pendo, Terminus Software, WalkMe (Business/Productivity Software), Guru ( Business/Productivity Software), Whatfix, Seismic (San Diego), Toonimo</t>
  </si>
  <si>
    <t>Developer of an e-learning platform intended to deliver bite-sized knowledge to employees, directly in their flow of work. The company's platform delivers training and guidance when and where teams need to navigate new processes, technologies, and methodologies, without disrupting productivity, enabling organizations to reduce onboarding and ramp-up time while driving productivity and digital adoption.</t>
  </si>
  <si>
    <t>Business/Productivity Software*, Education and Training Services (B2B), Human Capital Services</t>
  </si>
  <si>
    <t>EdTech, HR Tech</t>
  </si>
  <si>
    <t>digital adoption platform, digital adoption solutions, digital enablement platform, employee learning services, enablement services, enterprise resource planning, erp, human capital management, online learning guide, salesforce adoption</t>
  </si>
  <si>
    <t>www.spekit.com</t>
  </si>
  <si>
    <t>http://www.linkedin.com/company/spekit</t>
  </si>
  <si>
    <t>2019: 15, 2020: 39, 2021: 102, 2022: 169, 2023: 130, 2024: 107</t>
  </si>
  <si>
    <t>The company raised $45 million of Series B venture funding in a deal led by Craft Ventures on January 4, 2022, putting the company's pre-money valuation at $303.93 million. Matchstick Ventures and 6 other investors also participated in the round. Previously, the company raised $12.73 million through a combination of Series A1 and Series A2 venture funding in a deal led by Foundry Group and Renegade Partners on March 23, 2021, putting the company's pre-money valuation at $45 million. Bonfire Ventures and 7 other investors also participated in the round. The funds will be used to further advance the product by developing personalized learning experiences and scaling the company's go-to-market operations.</t>
  </si>
  <si>
    <t>Bonfire Ventures, Craft Ventures, Daniel Scheinman, Felicis, Foundry Group, GTMFund, Matchstick Ventures, Navjot Athwal, Nick Soman, Nicolle Paradise, Operator Collective, Renegade Partners, Sahra Growth Capital, Sarona Ventures, Titanium Ventures</t>
  </si>
  <si>
    <t>Bonfire Ventures (www.bonfirevc.com), Craft Ventures (www.craftventures.com), Felicis (www.felicis.com), Foundry Group (www.foundry.vc), GTMFund (www.gtmfund.com), Matchstick Ventures (www.matchstick.vc), Operator Collective (www.operatorcollective.com), Renegade Partners (www.renegadepartners.com), Sahra Growth Capital (www.sahra.world), Sarona Ventures (sarona.vc), Titanium Ventures (www.ti.vc)</t>
  </si>
  <si>
    <t>212307-22P</t>
  </si>
  <si>
    <t>Melanie Fellay</t>
  </si>
  <si>
    <t>Co-Founder, Board Member &amp; Chief Executive Officer</t>
  </si>
  <si>
    <t>melanie@spekit.co</t>
  </si>
  <si>
    <t>+1 (415) 964-0092</t>
  </si>
  <si>
    <t>3301 Lawrence Street</t>
  </si>
  <si>
    <t>Suite 1</t>
  </si>
  <si>
    <t>80205</t>
  </si>
  <si>
    <t>info@spekit.com</t>
  </si>
  <si>
    <t>Other - $0.51M</t>
  </si>
  <si>
    <t>235076-50</t>
  </si>
  <si>
    <t>Storyblaster</t>
  </si>
  <si>
    <t>Storyblaster Inc.</t>
  </si>
  <si>
    <t>Developer of social media marketing software designed to increase customer engagement. The company's software offers strategy, content expertise, video content, promotion, ad-buying capabilities, packing, and everything needed to market a product in a single place, enabling brands to connect emotionally and authentically with their target audience, increasing engagement and sales.</t>
  </si>
  <si>
    <t>Business/Productivity Software, Consulting Services (B2B), Media and Information Services (B2B)*</t>
  </si>
  <si>
    <t>marketing platform, marketing service agency, media marketing, paid media planning, saas-based product, sales growth</t>
  </si>
  <si>
    <t>www.storyblaster.com</t>
  </si>
  <si>
    <t>http://www.linkedin.com/company/storyblaster</t>
  </si>
  <si>
    <t>The company raised $2.5 million through a combination of Seed and Seed-1 funding in a deal led by Stage Venture Partners and Act One Ventures on March 5, 2020, putting the company's pre-money valuation at $4.5 million. Sify Ventures and 4 other investors also participated in the round.</t>
  </si>
  <si>
    <t>412 Venture Fund, Act One Ventures, Jordan Rothstein, Michael Montgomery, Ron Simons, Sify Ventures, Stage Venture Partners</t>
  </si>
  <si>
    <t>412 Venture Fund (www.412venturefund.com), Act One Ventures (www.actoneventures.com), Michael Montgomery (johnmichael.com), Sify Ventures (www.sifyventures.com), Stage Venture Partners (www.stagevp.com)</t>
  </si>
  <si>
    <t>197725-24P</t>
  </si>
  <si>
    <t>Hillary Carlip</t>
  </si>
  <si>
    <t>Co-Founder, Chief Creative Officer &amp; Board Member</t>
  </si>
  <si>
    <t>hillary@storyblaster.com</t>
  </si>
  <si>
    <t>+1 (323) 882-8275</t>
  </si>
  <si>
    <t>11271 Ventura Boulevard</t>
  </si>
  <si>
    <t>Suite 324, Studio City</t>
  </si>
  <si>
    <t>91604</t>
  </si>
  <si>
    <t>503061-49</t>
  </si>
  <si>
    <t>Sugarwork</t>
  </si>
  <si>
    <t>Sugarwork, Inc.</t>
  </si>
  <si>
    <t>Developer of an AI-powered technology platform designed to improve team empowerment. The company's platform offers customized templates and tracks the knowledge-sharing progress of employees to reduce reorganisation expenses, enabling clients to accelerate business growth and invest in on-boarding.</t>
  </si>
  <si>
    <t>Business/Productivity Software*, Human Capital Services, Media and Information Services (B2B)</t>
  </si>
  <si>
    <t>ai-powered technology, knowledge-based software, pre-retirement planning, retirement help, retirement plan, retirement planning, team empowerment, team management, wealthtech</t>
  </si>
  <si>
    <t>www.sugarwork.com</t>
  </si>
  <si>
    <t>http://www.linkedin.com/company/sugarwork</t>
  </si>
  <si>
    <t>2023: 10, 2024: 6</t>
  </si>
  <si>
    <t>The company joined Harvard Alumni Entrepreneurs as a part of 2024 Cohort on March 12, 2024.</t>
  </si>
  <si>
    <t>Altari Ventures, Blue Lion Global, Charge Ventures, Everywhere Ventures, Harvard Alumni Entrepreneurs</t>
  </si>
  <si>
    <t>Altari Ventures (altariventures.com), Blue Lion Global (www.bluelion.co), Charge Ventures (www.charge.vc), Everywhere Ventures (everywhere.vc), Harvard Alumni Entrepreneurs (harvardae.org)</t>
  </si>
  <si>
    <t>301638-79P</t>
  </si>
  <si>
    <t>Vanessa Liu</t>
  </si>
  <si>
    <t>+61 (0)2 9230 7400</t>
  </si>
  <si>
    <t>312 5th Avenue</t>
  </si>
  <si>
    <t>7th Floor</t>
  </si>
  <si>
    <t>hello@sugarwork.com</t>
  </si>
  <si>
    <t>494477-47</t>
  </si>
  <si>
    <t>Superbloom</t>
  </si>
  <si>
    <t>Superbloom Games, Inc.</t>
  </si>
  <si>
    <t>Developer of a lifestyle game studio designed to create meaningful connections for women through play. The company's platform offers diverse and elevated games, enabling female audiences to enjoy a broader spectrum of games.</t>
  </si>
  <si>
    <t>Business/Productivity Software, Entertainment Software*</t>
  </si>
  <si>
    <t>Gaming, Mobile</t>
  </si>
  <si>
    <t>computer game application, computer games interface, computer games software, connection building platform, game studio, gaming content, gaming developer, gaming publisher, gaming studio, lifestyle games, mobile game studio, social gameplay, social games, social lifestyle games</t>
  </si>
  <si>
    <t>www.superbloomgames.com</t>
  </si>
  <si>
    <t>http://www.linkedin.com/company/superbloomgames</t>
  </si>
  <si>
    <t>2022: 15, 2023: 27, 2024: 31</t>
  </si>
  <si>
    <t>The company raised an undisclosed amount of venture funding from Mantis VC in approximately December 2023. Nuard Ventures also participated in this round.</t>
  </si>
  <si>
    <t>1Up Ventures, BITKRAFT Ventures, Joakim Achrén, Mantis VC, Nuard Ventures</t>
  </si>
  <si>
    <t>1Up Ventures (1upfund.com), BITKRAFT Ventures (www.bitkraft.vc), Mantis VC (www.mantisvc.com), Nuard Ventures (nuard.com)</t>
  </si>
  <si>
    <t>296681-32P</t>
  </si>
  <si>
    <t>Emily Yim</t>
  </si>
  <si>
    <t>emily@superbloomgames.com</t>
  </si>
  <si>
    <t>24 Oak Street</t>
  </si>
  <si>
    <t>Beacon</t>
  </si>
  <si>
    <t>12508</t>
  </si>
  <si>
    <t>info@superbloomgames.com</t>
  </si>
  <si>
    <t>458377-93</t>
  </si>
  <si>
    <t>Surfboard (San Francisco)</t>
  </si>
  <si>
    <t>Surfboard</t>
  </si>
  <si>
    <t>Daommo, Inc.</t>
  </si>
  <si>
    <t>Developer of a work optimization platform designed to help startups manage and collaborate with their company board. The company's platform offers a meeting interface purpose-built for all investor touchpoints from earnings calls to meetings, direct access, and feedback channel to company management in and after meetings, enabling clients to have access to a module plug-in to automate repetitive company intros and updates.</t>
  </si>
  <si>
    <t>Business/Productivity Software, Communication Software, Information Services (B2C)*</t>
  </si>
  <si>
    <t>company management, company management service, company management software, work automation, work automation software, work optimization, work optimization platform</t>
  </si>
  <si>
    <t>www.surfboard.team</t>
  </si>
  <si>
    <t>http://www.linkedin.com/company/getsurfboard</t>
  </si>
  <si>
    <t>2021: 2, 2022: 10, 2023: 10</t>
  </si>
  <si>
    <t>The company raised $2.5 million of seed funding from Social Leverage, Soma Capital, Gold House Ventures and other undisclosed investors on October 1, 2022, putting the company's pre-money valuation at $10 million.</t>
  </si>
  <si>
    <t>Gold House Ventures, Philip Libin, Precursor Ventures, Social Leverage, Soma Capital, South Park Commons</t>
  </si>
  <si>
    <t>Gold House Ventures (www.goldhouse.org), Precursor Ventures (precursorvc.com), Social Leverage (www.socialleverage.com), Soma Capital (somacap.com), South Park Commons (www.southparkcommons.com)</t>
  </si>
  <si>
    <t>249683-23P</t>
  </si>
  <si>
    <t>Chuhan Wang</t>
  </si>
  <si>
    <t>chuhan@get-surfboard.com</t>
  </si>
  <si>
    <t>+1 (650) 475-2150</t>
  </si>
  <si>
    <t>team@surfboard.team</t>
  </si>
  <si>
    <t>463961-17</t>
  </si>
  <si>
    <t>Tato (Business/Productivity Software)</t>
  </si>
  <si>
    <t>OSQ, Tato</t>
  </si>
  <si>
    <t>Tato LLC</t>
  </si>
  <si>
    <t>Developer of queue management software designed to create a virtual line and manage limited capacity or waiting areas. The company's platform offers line-management technology, enabling clients to create and manage virtual lines and queues.</t>
  </si>
  <si>
    <t>application platform, customer queues management, data privacy, online application, queues manager, virtual system</t>
  </si>
  <si>
    <t>www.tatollc.com</t>
  </si>
  <si>
    <t>http://www.linkedin.com/company/tato-llc</t>
  </si>
  <si>
    <t>2023: 2, 2024: 2</t>
  </si>
  <si>
    <t>The company raised $20,000 of Series 1 seed funding from Elevate Ventures on March 10, 2021. The funds will be used to make virtual queueing the norm by jumpstarting company sales and marketing efforts.</t>
  </si>
  <si>
    <t>Elevate Ventures</t>
  </si>
  <si>
    <t>Elevate Ventures (www.elevateventures.com)</t>
  </si>
  <si>
    <t>258665-50P</t>
  </si>
  <si>
    <t>Peter Rodgers</t>
  </si>
  <si>
    <t>Co-Founder, Chief Technology Officer &amp; Chief Quantum Officer</t>
  </si>
  <si>
    <t>peter.rodgers@oursafeq.com</t>
  </si>
  <si>
    <t>+1 (812) 369-1774</t>
  </si>
  <si>
    <t>Bloomington, IN</t>
  </si>
  <si>
    <t>Bloomington</t>
  </si>
  <si>
    <t>info@tatollc.com</t>
  </si>
  <si>
    <t>235069-30</t>
  </si>
  <si>
    <t>Taygo</t>
  </si>
  <si>
    <t>Taygo, Inc.</t>
  </si>
  <si>
    <t>Developer of a digital branding and marketing platform designed to expand business outreach. The company's platform offers a digital workspace, digital branding, a mortgage-specific website, search engine optimization and social media automation, enabling clients to set up their digital shop and access all necessary integration for maximum productivity.</t>
  </si>
  <si>
    <t>Artificial Intelligence &amp; Machine Learning, Big Data, Marketing Tech, Mobile, Real Estate Technology, SaaS</t>
  </si>
  <si>
    <t>business automation systems, business automation tools, crm tool, digital marketing platform, lead management platform, mortgage management service, mortgage management system, vertical application</t>
  </si>
  <si>
    <t>www.taygo.com</t>
  </si>
  <si>
    <t>http://www.linkedin.com/company/taygo</t>
  </si>
  <si>
    <t>2021: 12, 2022: 11, 2023: 15, 2024: 16</t>
  </si>
  <si>
    <t>The company raised an undisclosed amount of venture funding from Sage Hill Investors in 2023. Previously, the company raised $4.13 million of seed funding from Global Catalyst Partners Japan, 4D Capital and Sage Hill Capital on July 27, 2022, putting the company's pre-money valuation at $8 million.</t>
  </si>
  <si>
    <t>4D Capital, Global Catalyst Partners Japan, Sage Hill Capital, Sage Hill Investors</t>
  </si>
  <si>
    <t>Astralabs</t>
  </si>
  <si>
    <t>4D Capital (www.4datx.com), Global Catalyst Partners Japan (gcp-j.com), Sage Hill Investors (www.sagehillinvestors.com)</t>
  </si>
  <si>
    <t>Astralabs (www.astralabs.com)</t>
  </si>
  <si>
    <t>197697-97P</t>
  </si>
  <si>
    <t>Sepideh Ghajar</t>
  </si>
  <si>
    <t>sepi@taygo.com</t>
  </si>
  <si>
    <t>+1 (646) 573-2209</t>
  </si>
  <si>
    <t>4 West 4th Avenue Floor 2</t>
  </si>
  <si>
    <t>Unit 222</t>
  </si>
  <si>
    <t>94402</t>
  </si>
  <si>
    <t>+1 (650) 524-5454</t>
  </si>
  <si>
    <t>taygo@taygo.com</t>
  </si>
  <si>
    <t>222045-31</t>
  </si>
  <si>
    <t>Tendo Technologies</t>
  </si>
  <si>
    <t>Tendo</t>
  </si>
  <si>
    <t>Tendo Technologies, Inc.</t>
  </si>
  <si>
    <t>Manufacturer of flow sensors and dispensing systems intended for commercial and industrial applications. The company offers miniature sensors based on the novel EFV technology to detect flow rates and measure temperature and provides medical injections, infusion pumps, tube sets, HVAC, and AUV, enabling medical, agriculture, food, and manufacturing sector industries to monitor flow rate and pressure measurements with cost-effective dispensing systems. 
.</t>
  </si>
  <si>
    <t>Electronic Equipment and Instruments*, Machinery (B2B), Other Commercial Products, Other Healthcare Technology Systems</t>
  </si>
  <si>
    <t>discovery &amp; review, discovery and review, dispensing systems, dispensing systems manufacturer, flow sensors, miniature sensors, personalized nutrition, precision meter, pressure measurement</t>
  </si>
  <si>
    <t>www.tendo.tech</t>
  </si>
  <si>
    <t>http://www.linkedin.com/company/tendo-tech</t>
  </si>
  <si>
    <t>2017: 4, 2021: 4, 2022: 9, 2023: 11, 2024: 11</t>
  </si>
  <si>
    <t>The company raised an undisclosed amount of venture funding from Fitz Gate Ventures on July 1, 2024.</t>
  </si>
  <si>
    <t>Fitz Gate Ventures, Keller Center's eLab, National Science Foundation, Rhapsody Venture Partners, True Capital Management, Tyche Partners</t>
  </si>
  <si>
    <t>Fitz Gate Ventures (www.fitzgate.com), Keller Center's eLab (www.kellercenter.princeton.edu), National Science Foundation (nsf.gov), Rhapsody Venture Partners (www.rhapsodyvp.com), True Capital Management (www.truecapitalmgmt.com), Tyche Partners (www.tychepartners.com)</t>
  </si>
  <si>
    <t>173885-59P</t>
  </si>
  <si>
    <t>Marcus Hultmark</t>
  </si>
  <si>
    <t>mhultmark@tendo.tech</t>
  </si>
  <si>
    <t>+1 (609) 423-1567</t>
  </si>
  <si>
    <t>303A College Road East</t>
  </si>
  <si>
    <t>info@tendo.tech</t>
  </si>
  <si>
    <t>Measuring linear or angular speed, acceleration, deceleration, or shock</t>
  </si>
  <si>
    <t>464306-05</t>
  </si>
  <si>
    <t>100.co</t>
  </si>
  <si>
    <t>Sway Group</t>
  </si>
  <si>
    <t>100.co LLC</t>
  </si>
  <si>
    <t>Developer of an artificial intelligence-based platform designed to provide deep insights into market trends, and consumer preferences. The company's platform uses machine learning, and big data to predict product needs, reduce risk, and inform development attributes, enabling companies to identify emerging market trends, brand sentiment, and consumer product preferences.</t>
  </si>
  <si>
    <t>Business/Productivity Software, Media and Information Services (B2B)*, Other Financial Services, Private Equity</t>
  </si>
  <si>
    <t>Artificial Intelligence &amp; Machine Learning, Big Data, Marketing Tech</t>
  </si>
  <si>
    <t>ai data analysis, artificial intelligence engine, brand development, machine learning data, market insight, market trends, product development, trends analysis, vertical application</t>
  </si>
  <si>
    <t>www.100.co</t>
  </si>
  <si>
    <t>http://www.linkedin.com/company/100co</t>
  </si>
  <si>
    <t>2021: 22, 2022: 15, 2023: 11</t>
  </si>
  <si>
    <t>Grand Slam Partners sold a stake in the company to an undisclosed buyer.</t>
  </si>
  <si>
    <t>Burch Creative Capital, Pres10 Ventures</t>
  </si>
  <si>
    <t>Grand Slam Partners</t>
  </si>
  <si>
    <t>Burch Creative Capital (www.burchcreativecapital.com), Pres10 Ventures (www.pres10ventures.com)</t>
  </si>
  <si>
    <t>Grand Slam Partners (www.grandslampartners.com)</t>
  </si>
  <si>
    <t>222987-88P</t>
  </si>
  <si>
    <t>Kim Perell</t>
  </si>
  <si>
    <t>kim@100.co</t>
  </si>
  <si>
    <t>+1 (619) 238-4854</t>
  </si>
  <si>
    <t>Miami Beach, FL</t>
  </si>
  <si>
    <t>4420 North Bay Road</t>
  </si>
  <si>
    <t>Miami Beach</t>
  </si>
  <si>
    <t>33140</t>
  </si>
  <si>
    <t>hello@100.co</t>
  </si>
  <si>
    <t>494307-28</t>
  </si>
  <si>
    <t>2ft.D</t>
  </si>
  <si>
    <t>2ftD</t>
  </si>
  <si>
    <t>2ft. Design Data Inc.</t>
  </si>
  <si>
    <t>Developer of an online toolbox intended to guide the user through the steps to fully plan their project. The company's toolbox works similarly to tax preparation software that guides property developers through planning a project with interactive questions and allows them to upload photographs, drawings, and tables that amplify the project's value, enabling community-focused developers to access a professional pitch deck of their project overview, costs, and community impact for sharing with potential investors.</t>
  </si>
  <si>
    <t>Business/Productivity Software*, Media and Information Services (B2B), Multimedia and Design Software</t>
  </si>
  <si>
    <t>architecture work, project management platform, project management system, project planning software, rebuilding service, toolbox platform</t>
  </si>
  <si>
    <t>www.2ftdesigndata.com</t>
  </si>
  <si>
    <t>http://www.linkedin.com/company/2ftd-design-data</t>
  </si>
  <si>
    <t>2022: 3, 2023: 4, 2024: 4</t>
  </si>
  <si>
    <t>The company raised $50,000 of seed funding from Doyenne Group on March 16, 2022.</t>
  </si>
  <si>
    <t>Doyenne Group</t>
  </si>
  <si>
    <t>Doyenne Group (www.doyennegroup.org)</t>
  </si>
  <si>
    <t>Michael Best &amp; Friedrich(Legal Advisor)</t>
  </si>
  <si>
    <t>296363-98P</t>
  </si>
  <si>
    <t>Rebecca Holderness</t>
  </si>
  <si>
    <t>+1 (571) 402-4002</t>
  </si>
  <si>
    <t>Milwaukee, WI</t>
  </si>
  <si>
    <t>Milwaukee</t>
  </si>
  <si>
    <t>Wisconsin</t>
  </si>
  <si>
    <t>info@2ftdesigndata.com</t>
  </si>
  <si>
    <t>178260-22</t>
  </si>
  <si>
    <t>7 Chord</t>
  </si>
  <si>
    <t>7 Chord, Inc.</t>
  </si>
  <si>
    <t>Developer of predictive pricing and trend forecasting platform designed to predict trade bids and ask levels of high grade, high yield, and emerging market bonds. The company's platform applies machine learning to automate trading in corporate bonds and auto-prices and auto-quotes bonds by extracting insights from public, vendor, or client's proprietary data, with speed and precision, enabling traders to reduce their cost of execution and make informed investment decisions.</t>
  </si>
  <si>
    <t>Business/Productivity Software, Financial Software*, Other Capital Markets/Institutions</t>
  </si>
  <si>
    <t>Artificial Intelligence &amp; Machine Learning, Big Data, FinTech, SaaS, TMT</t>
  </si>
  <si>
    <t>bonds trading platform, capital market, data analytics, enterprise resource planning, financial management system, price prediction, trading technology, trend forecasting technology</t>
  </si>
  <si>
    <t>www.7-chord.com</t>
  </si>
  <si>
    <t>http://www.linkedin.com/company/7-chord</t>
  </si>
  <si>
    <t>2018: 5, 2020: 13, 2021: 12, 2022: 10, 2023: 7</t>
  </si>
  <si>
    <t>The company raised $5.5 million of seed funding through a combination of debt and equity on June 17, 2022, putting the company's pre-money valuation at $13 million. Of the total amount, $4 million was raised in the form of equity by undisclosed investors. A $1.5 million of convertible debt was provided by undisclosed lenders.</t>
  </si>
  <si>
    <t>Barclays, Creative Destruction Lab, Jon Zanoff, Techstars</t>
  </si>
  <si>
    <t>Barclays (www.home.barclays), Creative Destruction Lab (www.creativedestructionlab.com), Techstars (www.techstars.com)</t>
  </si>
  <si>
    <t>180840-16P</t>
  </si>
  <si>
    <t>Kristina Fan</t>
  </si>
  <si>
    <t>Co-Founder, Chief Executive Officer, Interim Chief Technology Officer &amp; Board Member</t>
  </si>
  <si>
    <t>kristina.fan@7-chord.com</t>
  </si>
  <si>
    <t>+1 (917) 930-1974</t>
  </si>
  <si>
    <t>43 West 23rd Street</t>
  </si>
  <si>
    <t>10010</t>
  </si>
  <si>
    <t>info@7-chord.com</t>
  </si>
  <si>
    <t>Bridge Loan - $1.50M (Convertible)</t>
  </si>
  <si>
    <t>499941-37</t>
  </si>
  <si>
    <t>8B Education Investments</t>
  </si>
  <si>
    <t>8B Education</t>
  </si>
  <si>
    <t>8B Finance, Inc.</t>
  </si>
  <si>
    <t>Prodigy Finance, Mpower Financing</t>
  </si>
  <si>
    <t>Provider of financing services intended to offer affordable college financing to exceptional African students attending leading global universities. The company offers scholarship information, financing gaps in education loans, and mentorship for students going to study at global universities, thereby, facilitating affordable loans through integrating lenders, students, and colleges on their platform, it bridges the gap between the university-age population, enabling colleges to meet revenue and diversity goals.</t>
  </si>
  <si>
    <t>Consumer Finance</t>
  </si>
  <si>
    <t>Consumer Finance*, Financial Software</t>
  </si>
  <si>
    <t>college financing, comparison tool, education loan provider, financing services, gap funding, income shares agreement</t>
  </si>
  <si>
    <t>www.8b.africa</t>
  </si>
  <si>
    <t>http://www.linkedin.com/company/8b-education-investment-fund</t>
  </si>
  <si>
    <t>2022: 20, 2023: 23, 2024: 21</t>
  </si>
  <si>
    <t>The company raised an undisclosed amount of venture funding from Impellent Ventures, True Ventures and 54 Collective in September 2024. The WES Mariam Assefa Fund also participated in the round. The funds will be used to enable more accessible, inclusive higher education opportunities for African students in global universities.</t>
  </si>
  <si>
    <t>54 Collective, Armory Square Ventures, Bryan Meehan, Debra Fine, Impellent Ventures, Larry Berger, New York Ventures, RevIthaca Startup Works, Richard Segal, The WES Mariam Assefa Fund, True Ventures</t>
  </si>
  <si>
    <t>54 Collective (54collective.vc), Armory Square Ventures (www.armorysv.com), Impellent Ventures (www.impellent.vc), RevIthaca Startup Works (www.revithaca.com), The WES Mariam Assefa Fund (www.wes.org), True Ventures (www.trueventures.com)</t>
  </si>
  <si>
    <t>Dentons(Legal Advisor)</t>
  </si>
  <si>
    <t>306207-19P</t>
  </si>
  <si>
    <t>Lydiah Bosire</t>
  </si>
  <si>
    <t>lydiah@8b.finance</t>
  </si>
  <si>
    <t>Ithaca, NY</t>
  </si>
  <si>
    <t>314 East State Street</t>
  </si>
  <si>
    <t>Ithaca</t>
  </si>
  <si>
    <t>14850</t>
  </si>
  <si>
    <t>info@8b.finance</t>
  </si>
  <si>
    <t>228211-12</t>
  </si>
  <si>
    <t>Accelerist</t>
  </si>
  <si>
    <t>Catalist</t>
  </si>
  <si>
    <t>Accelerist, Inc.</t>
  </si>
  <si>
    <t>Developer of a social impact partnership technology designed to connect people, communities, and industries around the globe. The company's platform uses technology, insightful data, and industry expertise to match companies with causes in partnerships that accelerate social change, enabling companies to find the right partners and measure their impact on the company's mission, stakeholders and bottom line.</t>
  </si>
  <si>
    <t>Marketing Tech, Mobile, SaaS</t>
  </si>
  <si>
    <t>corporate partnership, corporate philanthropy, corporate platform, data analysis, global impact, social impact</t>
  </si>
  <si>
    <t>www.accelerist.com</t>
  </si>
  <si>
    <t>http://www.linkedin.com/company/accelerist</t>
  </si>
  <si>
    <t>2020: 5, 2021: 9, 2022: 12</t>
  </si>
  <si>
    <t>The company raised $999,998 of venture funding in a deal led by Golden Section on December 14, 2020, putting the company's pre-money valuation at $4 million. Capital Factory and Seed I Pod and other undisclosed investors also participated in the round. The funds will be used to catalyze the company's growth plans and build upon the success of the last several years.</t>
  </si>
  <si>
    <t>Capital Factory, Golden Section, Seed I Pod, SWAN Impact Network</t>
  </si>
  <si>
    <t>Capital Factory (www.capitalfactory.com), Golden Section (www.goldensection.com), Seed I Pod (www.seedpodinvestments.com), SWAN Impact Network (www.swanimpact.org)</t>
  </si>
  <si>
    <t>184587-58P</t>
  </si>
  <si>
    <t>Brittany Hill</t>
  </si>
  <si>
    <t>bhill@accelerist.com</t>
  </si>
  <si>
    <t>+1 (512) 881-7421</t>
  </si>
  <si>
    <t>701 Brazos Street</t>
  </si>
  <si>
    <t>78701</t>
  </si>
  <si>
    <t>info@accelerist.com</t>
  </si>
  <si>
    <t>Expected 29-Mar-2027</t>
  </si>
  <si>
    <t>170502-94</t>
  </si>
  <si>
    <t>Accumatic</t>
  </si>
  <si>
    <t>Accumatic One</t>
  </si>
  <si>
    <t>Accumatic, Inc.</t>
  </si>
  <si>
    <t>Developer of a business automotive platform designed to automate factory reports. The company's platform offers benefits that include warranty claims, rebates, incentives, monthly statements, retail payments and holdback detail, enabling clients to upload the data into the database management system easily.</t>
  </si>
  <si>
    <t>business automotive platform, business data management, data uploading, database management system, dealer reporting, rebate reporting</t>
  </si>
  <si>
    <t>www.accumatic.com</t>
  </si>
  <si>
    <t>http://www.linkedin.com/company/accumatic</t>
  </si>
  <si>
    <t>2021: 2, 2022: 4, 2023: 5</t>
  </si>
  <si>
    <t>The company raised $526,442 of venture funding from undisclosed investors on February 15, 2024.</t>
  </si>
  <si>
    <t>Pioneer Venture Partners</t>
  </si>
  <si>
    <t>Pioneer Venture Partners (www.pvpartners.com)</t>
  </si>
  <si>
    <t>42162-04P</t>
  </si>
  <si>
    <t>Ben Goux</t>
  </si>
  <si>
    <t>Chief Financial Officer &amp; Board Member</t>
  </si>
  <si>
    <t>ben@pvpartners.com</t>
  </si>
  <si>
    <t>Kirkland, WA</t>
  </si>
  <si>
    <t>1100 Carillon Point</t>
  </si>
  <si>
    <t>Kirkland</t>
  </si>
  <si>
    <t>98033</t>
  </si>
  <si>
    <t>+1 (877) 500-7049</t>
  </si>
  <si>
    <t>info@accumatic.com</t>
  </si>
  <si>
    <t>483827-68</t>
  </si>
  <si>
    <t>Acorn Genetics</t>
  </si>
  <si>
    <t>Acorn Genetics LLC</t>
  </si>
  <si>
    <t>Developer of a novel third-generation genetic sequencing method intended to make genetic testing secure, accessible, and affordable to all people. The company's services include delivering at-home genetic testing through a fast and precise genetic sequencer, enabling clients to take action to beat diseases such as cancer, Alzheimer's, and heart disease years before it start to affect their lives.</t>
  </si>
  <si>
    <t>Biotechnology, Drug Discovery, Electronic Equipment and Instruments*</t>
  </si>
  <si>
    <t>Life Sciences, Nanotechnology, Oncology</t>
  </si>
  <si>
    <t>bio technologies, dna testing, genetic sequencing, genetic testing information, genetic testing method, genetic testing technology</t>
  </si>
  <si>
    <t>www.acorngenetics.com</t>
  </si>
  <si>
    <t>http://www.linkedin.com/company/acorn-genetics</t>
  </si>
  <si>
    <t>2021: 10, 2023: 7, 2024: 7</t>
  </si>
  <si>
    <t>The company raised $1.88 million of seed funding from 10 VC, Caffeinated Capital and 1517 Fund on January 1, 2024. Northwestern University also participated in the round.</t>
  </si>
  <si>
    <t>10vc, 1517 Fund, Caffeinated Capital, National Science Foundation Innovation Corps Program, Northwestern University, Thiel Foundation, VentureWell</t>
  </si>
  <si>
    <t>10vc (10vc.com), 1517 Fund (www.1517fund.com), Caffeinated Capital (www.caffeinatedcapital.com), Northwestern University (www.northwestern.edu), Thiel Foundation (www.thielfoundation.org), VentureWell (www.venturewell.org)</t>
  </si>
  <si>
    <t>281611-00P</t>
  </si>
  <si>
    <t>Max Derbyshire</t>
  </si>
  <si>
    <t>Chief Operating Officer</t>
  </si>
  <si>
    <t>mderbyshire@acorngenetics.com</t>
  </si>
  <si>
    <t>+1 (847) 790-2290</t>
  </si>
  <si>
    <t>400 North Aberdeen Street</t>
  </si>
  <si>
    <t>60642</t>
  </si>
  <si>
    <t>contact@acorngenetics.com</t>
  </si>
  <si>
    <t>502741-18</t>
  </si>
  <si>
    <t>Adaptis</t>
  </si>
  <si>
    <t>Adaptis Technologies, Inc.</t>
  </si>
  <si>
    <t>Madaster, Cove.Tool, Concular, Spacemaker, Unbuilders</t>
  </si>
  <si>
    <t>Operator of a carbon accounting and reduction platform intended to improve and optimize existing condition assessments and adaptation planning for buildings. The company's platform analyzes existing building conditions, generates automated material salvage value and deconstruction planning, and optimizes for environmental and economic performance, enabling clients to reduce the carbon footprint and make informed decisions for decarbonizing buildings and lowering the costs of planning.</t>
  </si>
  <si>
    <t>Construction and Engineering</t>
  </si>
  <si>
    <t>Business/Productivity Software, Construction and Engineering*, Environmental Services (B2B)</t>
  </si>
  <si>
    <t>CleanTech, Climate Tech, Construction Technology, LOHAS &amp; Wellness</t>
  </si>
  <si>
    <t>carbon accounting, carbon analytics, carbon tech, carbon technology, circular construction system, circular engineering, demolition waste services, design optimization, lifecycle assessment</t>
  </si>
  <si>
    <t>www.adaptis.ai</t>
  </si>
  <si>
    <t>http://www.linkedin.com/company/adaptis-ai</t>
  </si>
  <si>
    <t>2022: 7, 2023: 19, 2024: 26</t>
  </si>
  <si>
    <t>The company raised $5.5 million of seed funding in a deal led by 2048 Ventures on June 17, 2024. Blue Vision Capital, Powerhouse Ventures, and OneEleven (Private Equity) also participated in the round. The funds will be used to expand, automate, and optimize the company's building adaptation platform.</t>
  </si>
  <si>
    <t>2048 Ventures, Blue Vision Capital, Creative Destruction Lab, i.d.e.a. Fund, Next (Consulting Services), OneEleven (Private Equity), Powerhouse Ventures (Oakland), The Accelerator Centre, Velocity (University of Waterloo)</t>
  </si>
  <si>
    <t>2048 Ventures (www.2048.vc), Blue Vision Capital (bluevisioncapital.com), Creative Destruction Lab (www.creativedestructionlab.com), i.d.e.a. Fund (www.idea-fund.ca), Next (Consulting Services) (www.nextcanada.com), OneEleven (Private Equity) (www.oneeleven.com), Powerhouse Ventures (Oakland) (www.powerhouse.fund), The Accelerator Centre (www.acceleratorcentre.com), Velocity (University of Waterloo) (www.velocityincubator.com)</t>
  </si>
  <si>
    <t>310743-46P</t>
  </si>
  <si>
    <t>Sheida Shahi</t>
  </si>
  <si>
    <t>Co-Founder, Chief Executive Officer, Board Member &amp; Architect</t>
  </si>
  <si>
    <t>sheida@adaptis.ca</t>
  </si>
  <si>
    <t>+1 (647) 867-6260</t>
  </si>
  <si>
    <t>99 Hudson Street</t>
  </si>
  <si>
    <t>+1 (647) 254-1797</t>
  </si>
  <si>
    <t>info@adaptis.ca</t>
  </si>
  <si>
    <t>532754-38</t>
  </si>
  <si>
    <t>AddGlow</t>
  </si>
  <si>
    <t>AG</t>
  </si>
  <si>
    <t>AddGlow, Inc.</t>
  </si>
  <si>
    <t>Developer of SaaS software intended to help brands build community on their website and capture additional data on prospective and current customers to generate additional revenue. The company's platform allows anyone to view content from the community but requires an account to post or engage, enabling brands to foster community on their website and capture additional data on prospective and current customers to generate additional revenue.</t>
  </si>
  <si>
    <t>Media and Information Services (B2B)*, Personal Products, Social Content, Social/Platform Software</t>
  </si>
  <si>
    <t>Beauty, E-Commerce, SaaS</t>
  </si>
  <si>
    <t>brand building, community platform, conversion rate, customer engagement, ecommerce enablement, saas software</t>
  </si>
  <si>
    <t>www.addglow.com</t>
  </si>
  <si>
    <t>http://www.linkedin.com/company/addglow</t>
  </si>
  <si>
    <t>2023: 3, 2024: 5</t>
  </si>
  <si>
    <t>The company raised $1.7 million of pre-seed funding in a deal led by Stellation Capital and Precursor Ventures on December 7, 2022. StoryHouse Ventures and other investors also participated in the round. The funds will be used to hire engineers and a designer.</t>
  </si>
  <si>
    <t>Anthemos Georgiades, Chris Kaufman, Henry Davis, Jeff Shotts, Precursor Ventures, Stellation Capital, StoryHouse Ventures, Tristan Walker</t>
  </si>
  <si>
    <t>Precursor Ventures (precursorvc.com), Stellation Capital (www.stellation.vc), StoryHouse Ventures (www.storyhousevc.com)</t>
  </si>
  <si>
    <t>357869-62P</t>
  </si>
  <si>
    <t>Ina Herlihy</t>
  </si>
  <si>
    <t>+1 (707) 395-7097</t>
  </si>
  <si>
    <t>228 Park Avenue South</t>
  </si>
  <si>
    <t>PMB 64019</t>
  </si>
  <si>
    <t>10003-1502</t>
  </si>
  <si>
    <t>518079-16</t>
  </si>
  <si>
    <t>Advocate</t>
  </si>
  <si>
    <t>Benefits Advocate Corp.</t>
  </si>
  <si>
    <t>Harvey (Business/Productivity Software), Arkifi, Covariant</t>
  </si>
  <si>
    <t>Developer of artificial intelligence applications designed to improve government and civilian relations by automating filing and response processes. The company's application streamlines human processing, decision-making and risk assessment for federal government benefits programs to increase efficiency and effectiveness for individuals and the government, enabling disabled individuals to receive financial support with ease.</t>
  </si>
  <si>
    <t>Business/Productivity Software*, Media and Information Services (B2B), Other Commercial Services, Other Services (B2C Non-Financial)</t>
  </si>
  <si>
    <t>disability benefits, financial support, government benefit program, government benefits, risk assessment, service platform</t>
  </si>
  <si>
    <t>www.joinadvocate.com</t>
  </si>
  <si>
    <t>http://www.linkedin.com/company/joinadvocate</t>
  </si>
  <si>
    <t>2022: 3, 2023: 15</t>
  </si>
  <si>
    <t>The company raised an undisclosed amount of venture funding from Gaingels on August 30, 2024.</t>
  </si>
  <si>
    <t>10X Capital, Ambush Capital, Commonweal Ventures, Evolution VC Partners, Gaingels, Khosla Ventures, Lerer Hippeau</t>
  </si>
  <si>
    <t>10X Capital (www.10xcapital.com), Ambush Capital (www.ambush.capital), Commonweal Ventures (www.commonwealventures.com), Evolution VC Partners (www.evolutionvcp.com), Gaingels (www.gaingels.com), Khosla Ventures (www.khoslaventures.com), Lerer Hippeau (www.lererhippeau.com)</t>
  </si>
  <si>
    <t>246469-24P</t>
  </si>
  <si>
    <t>Emilie Poteat</t>
  </si>
  <si>
    <t>emilie@ouradvocates.com</t>
  </si>
  <si>
    <t>+1 (888) 383-7091</t>
  </si>
  <si>
    <t>3811 Ditmars Boulevard</t>
  </si>
  <si>
    <t>Suite 2242, Astoria</t>
  </si>
  <si>
    <t>11105</t>
  </si>
  <si>
    <t>hello@ouradvocates.com</t>
  </si>
  <si>
    <t>472071-16</t>
  </si>
  <si>
    <t>Advocord</t>
  </si>
  <si>
    <t>AccountAbility Tech, Inc.</t>
  </si>
  <si>
    <t>Operator of a life-management platform intended for guardians, conservators, and agents to manage finances and medical care of the elderly. The company's platform promotes compliance with legal obligations by educating users about how they are accountable and organize information, and compiles the data needed to complete state, and federally-mandated reports, enabling caregivers to have immediate and mobile access to all the information they need to fulfill their legal duties.</t>
  </si>
  <si>
    <t>Legal Services (B2B)</t>
  </si>
  <si>
    <t>Application Software, Financial Software, Legal Services (B2B)*</t>
  </si>
  <si>
    <t>Legal Tech, Mobile</t>
  </si>
  <si>
    <t>finance management, legal compliance, legal information, legal obligations, legal service, life management</t>
  </si>
  <si>
    <t>www.advocord.com</t>
  </si>
  <si>
    <t>http://www.linkedin.com/company/advocord</t>
  </si>
  <si>
    <t>2022: 3, 2023: 2, 2024: 2</t>
  </si>
  <si>
    <t>The company raised $1.79 million of seed funding in the form of convertible debt from Ben Franklin Technology Partners of Central and Northern Pennsylvania and other undisclosed investors on August 26, 2022.</t>
  </si>
  <si>
    <t>Ben Franklin Technology Partners of Central and Northern Pennsylvania</t>
  </si>
  <si>
    <t>Ben Franklin Technology Partners of Central and Northern Pennsylvania (www.cnp.benfranklin.org)</t>
  </si>
  <si>
    <t>273673-81P</t>
  </si>
  <si>
    <t>Nancy Meyers</t>
  </si>
  <si>
    <t>Founder, Chief Executive Officer, President &amp; Board Member</t>
  </si>
  <si>
    <t>nmeyers@advocord.com</t>
  </si>
  <si>
    <t>+1 (717) 977-7603</t>
  </si>
  <si>
    <t>Chambersburg, PA</t>
  </si>
  <si>
    <t>PO Box 616</t>
  </si>
  <si>
    <t>Chambersburg</t>
  </si>
  <si>
    <t>17201</t>
  </si>
  <si>
    <t>info@accountabilitytech.com</t>
  </si>
  <si>
    <t>Bridge Loan - $1.79M (Convertible)</t>
  </si>
  <si>
    <t>521118-64</t>
  </si>
  <si>
    <t>Aegis (Application Software)</t>
  </si>
  <si>
    <t>Aegis</t>
  </si>
  <si>
    <t>Developer of a personal safety mobile application designed to modernize emergency interactions. The company's mobile application utilizes smartphone functionality to covertly notify a local dispatch center of the location, medical history, and details of the reported incident, enabling users to avail emergency responders best equipped to handle the specific crisis.</t>
  </si>
  <si>
    <t>Mobile, SaaS, TMT</t>
  </si>
  <si>
    <t>crisis prevention application, emergency application, emergency response app, personal safety, personal safety app, safety application technology, safety services</t>
  </si>
  <si>
    <t>www.aegisapp.io</t>
  </si>
  <si>
    <t>http://www.linkedin.com/company/aegis-app</t>
  </si>
  <si>
    <t>The company raised an undisclosed amount of venture funding from Fifth Star Funds in approximately June 2024. Previously, the company joined Matter on February 6, 2024.</t>
  </si>
  <si>
    <t>Fifth Star Funds, LongJump, Matter (Consulting Services (B2B))</t>
  </si>
  <si>
    <t>Fifth Star Funds (www.fifthstarfunds.com), LongJump (www.longjump.vc), Matter (Consulting Services (B2B)) (www.matter.health)</t>
  </si>
  <si>
    <t>338432-68P</t>
  </si>
  <si>
    <t>Tamika Vantifflin</t>
  </si>
  <si>
    <t>tamika@aegisapp.io</t>
  </si>
  <si>
    <t>+1 (312) 612-9228</t>
  </si>
  <si>
    <t>info@aegisapp.io</t>
  </si>
  <si>
    <t>433437-67</t>
  </si>
  <si>
    <t>Agapé</t>
  </si>
  <si>
    <t>Agape App</t>
  </si>
  <si>
    <t>Agape</t>
  </si>
  <si>
    <t>Agape App, Inc.</t>
  </si>
  <si>
    <t>Developer of relationship wellness platform designed to help people feel and show love. The company's platform sends daily questions designed to spark meaningful conversations, enabling couples to get personalized advice and suggestions to improve their relationships.</t>
  </si>
  <si>
    <t>Application Software, Communication Software, Social/Platform Software*</t>
  </si>
  <si>
    <t>application software, online platform, relationship platform, relationship wellness, wellness fitness, wellness platform</t>
  </si>
  <si>
    <t>www.getdailyagape.com</t>
  </si>
  <si>
    <t>http://www.linkedin.com/company/theagapeapp</t>
  </si>
  <si>
    <t>2020: 3, 2021: 7, 2022: 11, 2023: 21</t>
  </si>
  <si>
    <t>The company raised $1.5 million of seed funding in a deal led by Harlem Capital Partners on July 2, 2021, putting the company's pre-money valuation at $8.5 million. Launch NY and 5 other investors also participated in the round.</t>
  </si>
  <si>
    <t>Acrew Capital, Diverse Angels, Harlem Capital, Intonation Ventures, Jack Greco, Launch NY, Samsung NEXT Ventures, Y Combinator</t>
  </si>
  <si>
    <t>Acrew Capital (www.acrewcapital.com), Diverse Angels (www.diverseangels.org), Harlem Capital (harlem.capital), Intonation Ventures (www.intonationventures.com), Launch NY (www.launchny.org), Samsung NEXT Ventures (www.samsungnext.com), Y Combinator (www.ycombinator.com)</t>
  </si>
  <si>
    <t>Egan Nelson(Legal Advisor)</t>
  </si>
  <si>
    <t>225728-74P</t>
  </si>
  <si>
    <t>Khadesha Okwudili</t>
  </si>
  <si>
    <t>khadesha@theagapeapp.com</t>
  </si>
  <si>
    <t>+1 (585) 376-1750</t>
  </si>
  <si>
    <t>300 Hylan Drive</t>
  </si>
  <si>
    <t>Suite 6, Street 158</t>
  </si>
  <si>
    <t>info@theagapeapp.com</t>
  </si>
  <si>
    <t>520807-60</t>
  </si>
  <si>
    <t>Agenda Hero</t>
  </si>
  <si>
    <t>Agenda Hero, Inc.</t>
  </si>
  <si>
    <t>Developer of an automation platform designed to convert text or images to calendars. The company's platform updates schedules on a real-time basis, by providing relevant information to pop up on the calendar and allows collaboration of schedules for an entire group, enabling users to create and manage schedules with ease while saving time.</t>
  </si>
  <si>
    <t>calendar management platform, calendar management software, calendar management system, schedule management, scheduled tasks, scheduling system</t>
  </si>
  <si>
    <t>www.agendahero.com</t>
  </si>
  <si>
    <t>http://www.linkedin.com/company/agendahero</t>
  </si>
  <si>
    <t>2023: 5, 2024: 7</t>
  </si>
  <si>
    <t>The company raised $4.5 million of seed funding from K9 Ventures and other undisclosed investors on February 10, 2022, putting the company's pre-money valuation at $10.5 million.</t>
  </si>
  <si>
    <t>K9 Ventures</t>
  </si>
  <si>
    <t>K9 Ventures (www.k9ventures.com)</t>
  </si>
  <si>
    <t>41485-42P</t>
  </si>
  <si>
    <t>Tim Walling</t>
  </si>
  <si>
    <t>2261 Market Street</t>
  </si>
  <si>
    <t>Suite 5165</t>
  </si>
  <si>
    <t>540699-58</t>
  </si>
  <si>
    <t>AGI (Business/Productivity Software)</t>
  </si>
  <si>
    <t>Operator of a coding platform intended to support the federated learning algorithms. The company offers various kinds of services that include computing power in the pool with a federated learning algorithm, supplying stable computing power, with an EVM-compatible extends Ethereum's capabilities and improved performance for the various software, enabling software development companies with an ecological network supporting AI big computing power and intelligent applications.</t>
  </si>
  <si>
    <t>Artificial Intelligence &amp; Machine Learning, Cryptocurrency/Blockchain</t>
  </si>
  <si>
    <t>artificial intelligence, blockchain data, business tools, coding platform, computing power, computing power optimization, devops, full service devops</t>
  </si>
  <si>
    <t>www.wod.ai</t>
  </si>
  <si>
    <t>The company raised $10 million of venture funding from Nvidia, Amazon.com, and DIA on November 18, 2023. Web3 Analytics,West Labs, and Alkhabeer Capital also participated in the round. The funds will be used to expedite the realization of key initiatives, including real GPU computing power allocation, the establishment of a global multi-node GPU computing center, the low-code AI training platform, personalized training, and services.</t>
  </si>
  <si>
    <t>Alkhabeer Capital, Amazon.com, DIA, Nvidia, Web3 Analytics, West Labs</t>
  </si>
  <si>
    <t>Alkhabeer Capital (www.alkhabeer.com), Amazon.com (www.amazon.com), DIA (www.diadata.org), Nvidia (www.nvidia.com/en-us), Web3 Analytics (www.3gpt.ai), West Labs (westlabs.io)</t>
  </si>
  <si>
    <t>374467-96P</t>
  </si>
  <si>
    <t>Alexandrine A</t>
  </si>
  <si>
    <t>442781-47</t>
  </si>
  <si>
    <t>Agility Bank</t>
  </si>
  <si>
    <t>Operator of a financial company aimed to provide equity investment to the business. The company offers various services like digital features related to banking procedures, lending of money through digital technology, providing financial assistance, providing small and medium-sized businesses to grow financially, and helping customers adapt to change and create opportunities at every juncture of the economy, cultural, and civic change.</t>
  </si>
  <si>
    <t>Specialized Finance</t>
  </si>
  <si>
    <t>Financial Software, Specialized Finance*</t>
  </si>
  <si>
    <t>banking and investment, banking facility, financial assistance, financial community, financial company, financial funding, financial service</t>
  </si>
  <si>
    <t>www.agility.bank</t>
  </si>
  <si>
    <t>http://www.linkedin.com/company/agility-bank</t>
  </si>
  <si>
    <t>The company raised $41 million of venture funding in a deal led by Bank of America on September 14, 2022. Other undisclosed investors also participated in the round.</t>
  </si>
  <si>
    <t>Bank of America</t>
  </si>
  <si>
    <t>Bank of America (www.bankofamerica.com)</t>
  </si>
  <si>
    <t>398209-69P</t>
  </si>
  <si>
    <t>Harold Johnson</t>
  </si>
  <si>
    <t>harold@agility.bank</t>
  </si>
  <si>
    <t>+1 (713) 324-8810</t>
  </si>
  <si>
    <t>2401 North Shepherd Drive</t>
  </si>
  <si>
    <t>Suite 140</t>
  </si>
  <si>
    <t>77008</t>
  </si>
  <si>
    <t>info@agility.bank</t>
  </si>
  <si>
    <t>186627-07</t>
  </si>
  <si>
    <t>Agrela</t>
  </si>
  <si>
    <t>Developer of a crop-plot environmental sensor and phenotyping station intended for real-time measurements of environmental conditions for the crops. The company's technology and phenotyping station is solar-powered, which makes wireless data transmission and has a flexible, modular configuration, enabling farmers to receive proper data to manage crop timings.</t>
  </si>
  <si>
    <t>Electronic Equipment and Instruments*</t>
  </si>
  <si>
    <t>AgTech, CleanTech</t>
  </si>
  <si>
    <t>environmental data, environmental monitoring, environmental sensors, field iot, monitoring system, precision ag, precision agriculture, solar power, sustainable ecosystem</t>
  </si>
  <si>
    <t>www.agrelaeco.com</t>
  </si>
  <si>
    <t>http://www.linkedin.com/company/agrela-ecosystems</t>
  </si>
  <si>
    <t>The company raised an estimated $185,000 of Seed funding from BioGenerator Ventures, Danforth Technology Company and other undisclosed investors on November 3, 2022, putting the company's pre-money valuation at $215,000. The funds will be used to expand into new markets.</t>
  </si>
  <si>
    <t>Arch Grants, BioGenerator Ventures, Danforth Technology Company</t>
  </si>
  <si>
    <t>Arch Grants (www.archgrants.org), BioGenerator Ventures (www.biogenerator.org), Danforth Technology Company (www.danforthtechnology.com)</t>
  </si>
  <si>
    <t>362463-31P</t>
  </si>
  <si>
    <t>Nadia Shakoor</t>
  </si>
  <si>
    <t>nshakoor@agrelaeco.com</t>
  </si>
  <si>
    <t>+1 (314) 485-9850</t>
  </si>
  <si>
    <t>975 North Warson Road</t>
  </si>
  <si>
    <t>63132</t>
  </si>
  <si>
    <t>info@agrelaeco.com</t>
  </si>
  <si>
    <t>535938-94</t>
  </si>
  <si>
    <t>AGRI-TRAK</t>
  </si>
  <si>
    <t>Agri-Trak LLC</t>
  </si>
  <si>
    <t>Developer of labor tracking and compliance software designed to streamline farm management for every farmer. The company offers software that provides digital tools to manage employee contracts, payroll, time sheets, production records, and enterprise reports, all in a customizable format, enabling farmers to replace manual record-keeping with efficient digital records, thus enhancing productivity in the agriculture industry.</t>
  </si>
  <si>
    <t>Business/Productivity Software*, Other Agriculture, Other Commercial Services</t>
  </si>
  <si>
    <t>AgTech, SaaS</t>
  </si>
  <si>
    <t>agriculture software tools, digital records management, employee contracting, enterprise reporting tool, farm management, farm management software, labor tracking, payroll tools, precision ag, precision agriculture</t>
  </si>
  <si>
    <t>www.agri-trak.com</t>
  </si>
  <si>
    <t>http://www.linkedin.com/company/agritrak</t>
  </si>
  <si>
    <t>2022: 2, 2023: 3, 2024: 7</t>
  </si>
  <si>
    <t>The company joined Morgan Stanley Inclusive Ventures Lab as a part of the Tenth Lab cohort program on September 16, 2024, and received $250,000 in funding. Previously, the company raised $180,000 of Series 1 venture funding from Launch NY, The W Fund, JHH vc and other undisclosed investors on July 15, 2024, putting the company's pre-money valuation at $5 million.</t>
  </si>
  <si>
    <t>Economic Development Corporation of Wayne County, JHH vc, Koffman Southern Tier Incubator, Launch NY, Morgan Stanley, Morgan Stanley Inclusive Ventures Lab, Mucker Capital, New York State Electric and Gas Corporation, RIT Venture Creations Incubator, Techstars, The W Fund, Wegmans</t>
  </si>
  <si>
    <t>Economic Development Corporation of Wayne County (www.whywaynecounty.com), JHH vc (www.jhh.vc), Koffman Southern Tier Incubator (thekoffman.com), Launch NY (www.launchny.org), Morgan Stanley (www.morganstanley.com), Mucker Capital (www.mucker.com), RIT Venture Creations Incubator (www.rit.edu/incubator), Techstars (www.techstars.com), The W Fund (www.thewfund.com), Wegmans (www.wegmans.com)</t>
  </si>
  <si>
    <t>366423-31P</t>
  </si>
  <si>
    <t>Jamie Sonneville</t>
  </si>
  <si>
    <t>+1 (585) 747-9532</t>
  </si>
  <si>
    <t>4137 Mill Street</t>
  </si>
  <si>
    <t>Pultneyville</t>
  </si>
  <si>
    <t>14538</t>
  </si>
  <si>
    <t>info@agri-trak.com</t>
  </si>
  <si>
    <t>535033-00</t>
  </si>
  <si>
    <t>Aimerce</t>
  </si>
  <si>
    <t>Aimerce Inc.</t>
  </si>
  <si>
    <t>Developer of a sales-boosting platform designed to help businesses increase sales and improve customer experiences by providing personalized recommendations and insights. The company's platform offers a suite of artificial intelligence-powered tools for product discovery, recommendation, and customer segmentation, enabling customers to increase conversion rates, average order value, and build loyalty.</t>
  </si>
  <si>
    <t>Artificial Intelligence &amp; Machine Learning, Marketing Tech</t>
  </si>
  <si>
    <t>branding services, customer relationship management, ecommerce builder, product discovery, sales booster, sales enhancer</t>
  </si>
  <si>
    <t>Product In Beta Test</t>
  </si>
  <si>
    <t>www.aimerce.ai</t>
  </si>
  <si>
    <t>http://www.linkedin.com/company/aimerce</t>
  </si>
  <si>
    <t>The company raised $5.17 million of Seed-1 funding from 1Indicator, Soma Capital, and other undisclosed investors on October 27, 2023, putting the company's pre-money valuation at $10 million.</t>
  </si>
  <si>
    <t>1Indicator, Soma Capital</t>
  </si>
  <si>
    <t>1Indicator (www.indicatorfund.com), Soma Capital (somacap.com)</t>
  </si>
  <si>
    <t>364368-43P</t>
  </si>
  <si>
    <t>Yiqi Wu</t>
  </si>
  <si>
    <t>ywu@aimerce.ai</t>
  </si>
  <si>
    <t>+1 (650) 644-9060</t>
  </si>
  <si>
    <t>1000 Fulton Street</t>
  </si>
  <si>
    <t>94117</t>
  </si>
  <si>
    <t>553555-09</t>
  </si>
  <si>
    <t>Aimiable</t>
  </si>
  <si>
    <t>Aimiable, Inc.</t>
  </si>
  <si>
    <t>Developer of a customer support operating system designed to manage all critical workforce management tasks. The company's system provides critical workforce management tools, including forecasting, scheduling, and reporting for customer support teams, enabling clients to get predictive analytics and intelligent routing services.</t>
  </si>
  <si>
    <t>workforce management, workforce management company, workforce management firm, workforce management program, workforce management system, workforce management tool</t>
  </si>
  <si>
    <t>www.aimiable.io</t>
  </si>
  <si>
    <t>http://www.linkedin.com/company/aimiable</t>
  </si>
  <si>
    <t>2024: 19</t>
  </si>
  <si>
    <t>The company raised $3.09 million through a combination of Seed-1 and Seed-2 funding from Bienville Capital, and other undisclosed investors on March 19, 2024, putting the company's pre-money valuation at $12 million. Previously, the company raised an estimated $1 million of Seed-3 funding from Harvard Alumni Entrepreneurs, and other undisclosed investors on an undisclosed date, putting the company's pre-money valuation at $2 million.</t>
  </si>
  <si>
    <t>Bienville Capital, Harvard Alumni Entrepreneurs, Miami DDA</t>
  </si>
  <si>
    <t>Bienville Capital (www.bienvillecapital.com), Harvard Alumni Entrepreneurs (harvardae.org), Miami DDA (miamidda.com)</t>
  </si>
  <si>
    <t>188013-79P</t>
  </si>
  <si>
    <t>Olga Gomonova</t>
  </si>
  <si>
    <t>olga@aimiable.io</t>
  </si>
  <si>
    <t>+1 (917) 816-2930</t>
  </si>
  <si>
    <t>495 Brickell avenue</t>
  </si>
  <si>
    <t>1409</t>
  </si>
  <si>
    <t>33131</t>
  </si>
  <si>
    <t>461860-48</t>
  </si>
  <si>
    <t>Airpals</t>
  </si>
  <si>
    <t>Airpals Technologies Inc.</t>
  </si>
  <si>
    <t>Pitney Bowes Software</t>
  </si>
  <si>
    <t>Provider of same-day b2b courier services intended to offer strategic pickup and drop-off services to businesses and prosumers. The company offers same-day pickup and delivery or sends a package across town or pick up, enabling companies to remove the friction and loss of productivity created by parcel coordination.</t>
  </si>
  <si>
    <t>Business/Productivity Software, Logistics*</t>
  </si>
  <si>
    <t>b2b saas, courier search, courier service, courier service firm, courier system, parcel system</t>
  </si>
  <si>
    <t>www.airpals.co</t>
  </si>
  <si>
    <t>http://www.linkedin.com/company/airpals</t>
  </si>
  <si>
    <t>2021: 5, 2022: 8, 2023: 9, 2024: 10</t>
  </si>
  <si>
    <t>The company raised an undisclosed amount of venture funding from START EQUITY and 5150 Capital on January 1, 2023.</t>
  </si>
  <si>
    <t>5150 Capital, BuenTrip Ventures, Capitalize VC, David Chan, DigitalUndivided, Envision Accelerator, Fearless Fund, Google for Startups, Hispanics In Philanthropy, Impact Assets, Inicio Ventures, Juan Carlos Reyes, LAUNCH Fund, MGV Capital Group, Rohit Gupta, START EQUITY VENTURES</t>
  </si>
  <si>
    <t>5150 Capital (www.5150capital.com), BuenTrip Ventures (www.buentrip.vc), Capitalize VC (www.capitalizevc.com), DigitalUndivided (www.digitalundivided.com), Envision Accelerator (www.envisionaccelerator.com), Fearless Fund (www.fearless.fund), Google for Startups (startup.google.com), Hispanics In Philanthropy (www.powerupfund.org), Impact Assets (www.impactassets.org), Inicio Ventures (www.inicio.ventures), LAUNCH Fund (www.launch.co), MGV Capital Group (www.mgvcapital.com), START EQUITY VENTURES (www.startequity.io)</t>
  </si>
  <si>
    <t>Silicon Legal Strategy(Legal Advisor)</t>
  </si>
  <si>
    <t>254348-74P</t>
  </si>
  <si>
    <t>Joshe Ordonez</t>
  </si>
  <si>
    <t>Founder, Chief Executive Officer, Creative Director &amp; Board Member</t>
  </si>
  <si>
    <t>joshe@airpals.co</t>
  </si>
  <si>
    <t>+1 (929) 515-2453</t>
  </si>
  <si>
    <t>222 Broadway</t>
  </si>
  <si>
    <t>10038</t>
  </si>
  <si>
    <t>+1 (929) 203-8621</t>
  </si>
  <si>
    <t>info@airpals.co</t>
  </si>
  <si>
    <t>512772-22</t>
  </si>
  <si>
    <t>Akto</t>
  </si>
  <si>
    <t>Akto Io, Inc.</t>
  </si>
  <si>
    <t>Levo (Software Development Applications), Noname Security, Traceable, Metlo</t>
  </si>
  <si>
    <t>Developer of an open source application programming interface security platform designed to see, secure managed, and unmanaged application programming interfaces for potentially malicious activity. The company's platform specializes in protecting application programming Interfaces in real-time and detecting vulnerabilities and misconfigurations before exploited, enabling businesses to find issues and detect runtime threats, find vulnerabilities, and automate application programming interface security testing.</t>
  </si>
  <si>
    <t>Network Management Software*, Software Development Applications</t>
  </si>
  <si>
    <t>CloudTech &amp; DevOps, Cybersecurity</t>
  </si>
  <si>
    <t>api security, application security, cloud api platform, cloud server management, data authentication platform, data security, network security, web application protection</t>
  </si>
  <si>
    <t>www.akto.io</t>
  </si>
  <si>
    <t>http://www.linkedin.com/company/akto-io</t>
  </si>
  <si>
    <t>2022: 10, 2023: 25, 2024: 19</t>
  </si>
  <si>
    <t>The company raised $4.5 million of seed funding in a deal led by Accel India on March 16, 2023, putting the company's pre-money valuation at $15.5 million. Alumni Ventures, Akshay Kothari, Renaud Deraison, and Milin Desai also participated in the round. The funds will be used to integrate with all CI/CD tools, enabling developers to run checks before deploying APIs.</t>
  </si>
  <si>
    <t>Accel, Accel India, Akshay Kothari, Alumni Ventures, Milin Desai, Renaud Deraison</t>
  </si>
  <si>
    <t>Accel (www.accel.com), Alumni Ventures (www.av.vc)</t>
  </si>
  <si>
    <t>322250-14P</t>
  </si>
  <si>
    <t>Ankita Gupta</t>
  </si>
  <si>
    <t>ankita@akto.io</t>
  </si>
  <si>
    <t>95 Third Street</t>
  </si>
  <si>
    <t>+1 (415) 658-1353</t>
  </si>
  <si>
    <t>hello@akto.io</t>
  </si>
  <si>
    <t>507170-71</t>
  </si>
  <si>
    <t>Alcove Labs</t>
  </si>
  <si>
    <t>Alcove</t>
  </si>
  <si>
    <t>Alcove Labs, Inc.</t>
  </si>
  <si>
    <t>Developer of a traceable and collaborative platform designed to scale carbon credit inventory. The company's platform replaces siloed, manual processes and operates at a commercial scale, transforms stale baseline assumptions with real-life inventory snapshots, and highlights the project's co-benefits to buyers, enabling businesses to make up-to-date inventory easily.</t>
  </si>
  <si>
    <t>Business/Productivity Software*, Environmental Services (B2B)</t>
  </si>
  <si>
    <t>CleanTech, Climate Tech</t>
  </si>
  <si>
    <t>carbon credit, carbon credit inventory, carbon credit service, carbon tech, connect crm data, inventory snapshots, voluntary carbon market infrastructure</t>
  </si>
  <si>
    <t>Carbon Offset Trading Platforms</t>
  </si>
  <si>
    <t>www.alcove.io</t>
  </si>
  <si>
    <t>http://www.linkedin.com/company/alcove-labs</t>
  </si>
  <si>
    <t>2022: 2, 2023: 6</t>
  </si>
  <si>
    <t>The company raised $2.97 million of seed funding in a deal led by Seven Seven Six on September 8, 2022, putting the company's pre-money valuation at $15 million. XYZ Venture Capital and Sequoia Capital also participated in the round.</t>
  </si>
  <si>
    <t>Sequoia Capital, Seven Seven Six, XYZ Venture Capital</t>
  </si>
  <si>
    <t>Sequoia Capital (www.sequoiacap.com), Seven Seven Six (www.sevensevensix.com), XYZ Venture Capital (www.xyz.vc)</t>
  </si>
  <si>
    <t>266168-44P</t>
  </si>
  <si>
    <t>Mariana Garza</t>
  </si>
  <si>
    <t>Co-Founder, Co-Chief Executive Officer &amp; Board Member</t>
  </si>
  <si>
    <t>mariana@alcove.io</t>
  </si>
  <si>
    <t>+1 (201) 381-1497</t>
  </si>
  <si>
    <t>169 Madison Avenue</t>
  </si>
  <si>
    <t>Suite 2241</t>
  </si>
  <si>
    <t>10016</t>
  </si>
  <si>
    <t>info@alcovelabs.com</t>
  </si>
  <si>
    <t>343267-48</t>
  </si>
  <si>
    <t>Alinea</t>
  </si>
  <si>
    <t>Alinea Invest, Inc.</t>
  </si>
  <si>
    <t>Public Holdings, Freetrade, Ellevest, Robinhood</t>
  </si>
  <si>
    <t>Developer of an investing application intended to empower the next generation of investors. The company specializes in building a social trading platform to buy and sell stocks, exchange-traded funds, and cryptocurrencies, enabling investors to make simple, personal, and transparent investment decisions.</t>
  </si>
  <si>
    <t>Financial Software*, Other Financial Services, Social/Platform Software</t>
  </si>
  <si>
    <t>brokerage, digital advisory, financial platform, investing app, investing application, investing platform, social trading platform, stock information platform, wealthtech</t>
  </si>
  <si>
    <t>www.alinea-invest.com</t>
  </si>
  <si>
    <t>http://www.linkedin.com/company/alineainvest</t>
  </si>
  <si>
    <t>2021: 42, 2022: 86, 2023: 16, 2024: 13</t>
  </si>
  <si>
    <t>The company raised $3.4 million of seed funding in a deal led by F7 Ventures and GFR Fund on January 24, 2024, putting the company's pre-money valuation at $16.6 million. Work Life Ventures, FoundersX Ventures, Evolution VC , Gaingels, Calm Ventures, Leonis Investissement, Saanvi Ventures, Arash Ferdowsi, Jemison Alexander, and Odenn Impact also participated in the round.</t>
  </si>
  <si>
    <t>Arash Ferdowsi, B5 Capital, Calm Ventures, Diaspora Ventures, Dragon Capital (California), Evolution VC, F7 Ventures, FoundersX Ventures, Gaingels, GFR Fund, Goodwater Capital, Harvard Management Company, Jemison Alexander, Jonathan Cherki, Kima Ventures, Leonis Investissement, Odenn Impact, Philippe Suchet, Saanvi Ventures, Super Capital, VentureSouq, Work Life Ventures, Y Combinator</t>
  </si>
  <si>
    <t>B5 Capital (www.b5cap.com), Calm Ventures (www.calmvc.com), Diaspora Ventures (www.diaspora.vc), Dragon Capital (California) (www.dragoncapital.vc), Evolution VC (www.evolution-vc.com), F7 Ventures (www.f7ventures.com), FoundersX Ventures (www.foundersxventures.com), Gaingels (www.gaingels.com), GFR Fund (www.gfrfund.com), Goodwater Capital (www.goodwatercap.com), Harvard Management Company (www.hmc.harvard.edu), Jemison Alexander (www.jemisonalexander.com), Kima Ventures (www.kimaventures.com), Leonis Investissement (www.leonis.vc), Odenn Impact (www.odennimpact.com), Saanvi Ventures (saanvi-ventures.com), Super Capital (www.supercapital.club), VentureSouq (www.venturesouq.com), Work Life Ventures (www.worklife.vc), Y Combinator (www.ycombinator.com)</t>
  </si>
  <si>
    <t>254825-56P</t>
  </si>
  <si>
    <t>Anam Lakhani</t>
  </si>
  <si>
    <t>anam@alinea-invest.com</t>
  </si>
  <si>
    <t>46 Howard Street</t>
  </si>
  <si>
    <t>info@alinea-invest.com</t>
  </si>
  <si>
    <t>592298-29</t>
  </si>
  <si>
    <t>Alinia (Business/Productivity Software)</t>
  </si>
  <si>
    <t>Alinia</t>
  </si>
  <si>
    <t>Alinia AI Inc</t>
  </si>
  <si>
    <t>Cohere, Scale AI, Arize, Klu (Business/Productivity Software), Dataturks, Black Swan Data, DataRobot, Rasa (Business/Productivity Software), Databricks, Retention Science, NetBase Quid, Anthropic, Primer, Signals Analytics, Board International, Datameer, Birst, PatternEx, Tableau Software, Mu Sigma, Abacus.AI, CognitiveScale, Avaamo, Tellius, GumGum, Fiddler, Splice Machine, Monetate, Kyndi, Qlik Technologies, mParticle Predictions, Clarabridge, Cloverpop, Bonsai (Software Development Applications), Inflection AI, Patronus AI, Hugging Face, AgilOne, DataCebo, OneSpace, Mistral AI_, Wise.io, Clinc, Respeecher, OpenAi Italia, CloudFactory, Perplexity, Digital Map Products, OpenAI, Clarifai, Labelbox, Trax Retail, xAI, Datascience.com, Element AI, Correlor, Dataiku, InstaDeep, Aera Technology, DataLoop, Clusterone, 1010data, Algorithmia, Civis (Business/Productivity Software), Interactions, V7, Seldon, Firebase, DataRPM</t>
  </si>
  <si>
    <t>Developer of a generative AI stack platform designed to evaluate, control and optimize Gen AI applications. The company's platform offers subject matter experts to guide LLM output based on the policies and preferences, enabling businesses to bring the transparency and evidence that both Executive and ML teams need to confidently deploy Gen AI applications.</t>
  </si>
  <si>
    <t>Business/Productivity Software*, Media and Information Services (B2B), Software Development Applications</t>
  </si>
  <si>
    <t>ai, ai platform, generative ai, generative ai model, generative ai tools, stack platform</t>
  </si>
  <si>
    <t>www.alinia.ai</t>
  </si>
  <si>
    <t>http://www.linkedin.com/company/alinia-ai</t>
  </si>
  <si>
    <t>2024: 5</t>
  </si>
  <si>
    <t>Competitor (New) DataLoop</t>
  </si>
  <si>
    <t>The company raised $2.4 million of pre-seed funding in a deal led by Precursor Ventures and Speedinvest on June 5, 2024. KFund and 5 other investors also participated in the round. The funds will be used to hire additional talent to build the Alinia Alignment Platform to create an end-to-end alignment process focused on safety and regulatory requirements - enabling safe and inclusive use of generative AI across LLM modalities and languages.</t>
  </si>
  <si>
    <t>Clément Delangue, Jason Warner, KFund, Oriol Vinyals, Precursor Ventures, Speedinvest, Thomas Wolf, Tom Preston-Werner, Xavier Amatriain</t>
  </si>
  <si>
    <t>KFund (www.kfund.vc), Precursor Ventures (precursorvc.com), Speedinvest (www.speedinvest.com)</t>
  </si>
  <si>
    <t>399684-16P</t>
  </si>
  <si>
    <t>Ariadna Llitjos</t>
  </si>
  <si>
    <t>ari@alinia.ai</t>
  </si>
  <si>
    <t>22 Vanderbilt Avenue</t>
  </si>
  <si>
    <t>Suite 7C</t>
  </si>
  <si>
    <t>10017</t>
  </si>
  <si>
    <t>contact@alinia.ai</t>
  </si>
  <si>
    <t>533023-21</t>
  </si>
  <si>
    <t>Alix</t>
  </si>
  <si>
    <t>Alix, Inc.</t>
  </si>
  <si>
    <t>Developer of an artificial intelligence-powered settlement platform designed to automatically manage the disbursement of estates and probate procedures. The company's secure digital portal gives users a plan, guides them along each step of the process and does the work for them, enabling clients with clear and simple guidance, making their involvement as straightforward and minimal as possible.</t>
  </si>
  <si>
    <t>Artificial Intelligence &amp; Machine Learning, FinTech</t>
  </si>
  <si>
    <t>ai-powered system, digital portal, estate settlement, probate work, settlement platform, task management</t>
  </si>
  <si>
    <t>www.meetalix.com</t>
  </si>
  <si>
    <t>http://www.linkedin.com/company/meetalix</t>
  </si>
  <si>
    <t>2023: 15, 2024: 25</t>
  </si>
  <si>
    <t>The company raised $5.5 million of pre-seed funding in a deal led by Initialized Capital Management on March 10, 2023. American Family Ventures, Scribble Ventures, Alumni Ventures, and Magnify VC also participated in the round.</t>
  </si>
  <si>
    <t>Alumni Ventures, American Family Ventures, Initialized Capital Management, Magnify VC, Scribble Ventures</t>
  </si>
  <si>
    <t>Alumni Ventures (www.av.vc), American Family Ventures (www.amfamventures.com), Initialized Capital Management (www.initialized.com), Magnify VC (www.magnify.vc), Scribble Ventures (www.scribble.vc)</t>
  </si>
  <si>
    <t>358590-79P</t>
  </si>
  <si>
    <t>Alexandra Mysoor</t>
  </si>
  <si>
    <t>59 North Santa Cruz Avenue</t>
  </si>
  <si>
    <t>Suite Y</t>
  </si>
  <si>
    <t>95030</t>
  </si>
  <si>
    <t>hello@meetalix.com</t>
  </si>
  <si>
    <t>483582-79</t>
  </si>
  <si>
    <t>All3D</t>
  </si>
  <si>
    <t>All3D, Inc.</t>
  </si>
  <si>
    <t>Developer of AI-based three-dimensional scanning and animation technology designed for arming the 3D revolution. The company's technology creates hyper-realistic, low-cost cost, and reusable product images, virtual spaces, and tours, enabling businesses to create better visualization and stronger brands as well as customers to create and render models of products.</t>
  </si>
  <si>
    <t>Multimedia and Design Software*</t>
  </si>
  <si>
    <t>3D Printing, Artificial Intelligence &amp; Machine Learning, E-Commerce, SaaS</t>
  </si>
  <si>
    <t>3d model, 3d technology design, artificial intelligence technology, ecommerce integration, ecommerce tools, online shopping tech, scanning app, shopping guide</t>
  </si>
  <si>
    <t>www.all3d.ai</t>
  </si>
  <si>
    <t>http://www.linkedin.com/company/all3d-ai</t>
  </si>
  <si>
    <t>2021: 8, 2022: 28, 2023: 46</t>
  </si>
  <si>
    <t>The company raised $8.84 million through a combination of Series A venture funding from WXR Venture Fund, Mentors Fund, and other undisclosed investors on October 11, 2024, putting the company's pre-money valuation at $14 million. $3.674892 million was raised in the form of SAFE notes and subsequently got converted to equity.</t>
  </si>
  <si>
    <t>HearstLab, Mentors Fund, WXR Venture Fund</t>
  </si>
  <si>
    <t>HearstLab (www.hearstlab.com), Mentors Fund (www.mentors.fund), WXR Venture Fund (www.wxrfund.com)</t>
  </si>
  <si>
    <t>Pillsbury Winthrop Shaw Pittman(Legal Advisor)</t>
  </si>
  <si>
    <t>37100-71P</t>
  </si>
  <si>
    <t>Amra Tareen</t>
  </si>
  <si>
    <t>amra@all3d.ai</t>
  </si>
  <si>
    <t>+1 (408) 663-6469</t>
  </si>
  <si>
    <t>220 Halleck Street</t>
  </si>
  <si>
    <t>Suite 125</t>
  </si>
  <si>
    <t>94129</t>
  </si>
  <si>
    <t>+1 (415) 713-0023</t>
  </si>
  <si>
    <t>433942-03</t>
  </si>
  <si>
    <t>Alloy Automation</t>
  </si>
  <si>
    <t>Leadgem</t>
  </si>
  <si>
    <t>Alloy</t>
  </si>
  <si>
    <t>Alloy Automation Inc.</t>
  </si>
  <si>
    <t>Tray.io, Automate.io, Zapier</t>
  </si>
  <si>
    <t>Developer of a no-code automation platform designed to help businesses reclaim time and focus on growth. The company's platform connects and integrates sales, marketing, customer support, and messaging applications and then creates automated workflows without code to execute complex workflows quickly, enabling companies to save money and time used in manual work and also increase efficiency.</t>
  </si>
  <si>
    <t>Artificial Intelligence &amp; Machine Learning, E-Commerce, Marketing Tech, SaaS</t>
  </si>
  <si>
    <t>automation model, automation platform, automation tools, computer software, integration data, integration model, no-code automation, software development</t>
  </si>
  <si>
    <t>www.runalloy.com</t>
  </si>
  <si>
    <t>http://www.linkedin.com/company/alloy-automation</t>
  </si>
  <si>
    <t>2020: 10, 2021: 16, 2022: 26, 2023: 34, 2024: 41</t>
  </si>
  <si>
    <t>The company raised $20.66 million of Series A venture funding in a deal led by Andreessen Horowitz on February 22, 2022, putting the company's pre-money valuation at $80 million. Kin Ventures and 11 other investors also participated in the round. The funds will be used to accelerate the company's vision to become the connection hub for all e-commerce tools and the control panel from which brands can automate work.</t>
  </si>
  <si>
    <t>Abstract Ventures, Aito Capital, Ambush Capital, Andreessen Horowitz, Bain Capital Ventures, Boon Fund, BoxGroup, Brian Long, Browder Capital, Bryant Chou, Color (Portland), Contrary (San Francisco), Cristina Cordova, Decent Capital, FirstMark Capital, Global Founders Capital, Gold House Ventures, Green Meadow Ventures, Hawke Ventures, Hummingbird Ventures, Index Ventures, Interlace Ventures, Kevin Liu, Kin Ventures, Laura Wu, Mu Ventures, Operator Partners, Red Swan Ventures, Soma Capital, Uncharted Ventures (San Francisco), Y Combinator</t>
  </si>
  <si>
    <t>Abstract Ventures (abstract.vc), Aito Capital (aito.my.canva.site), Ambush Capital (www.ambush.capital), Andreessen Horowitz (www.a16z.com), Bain Capital Ventures (www.baincapitalventures.com), Boon Fund (www.boon.fund), BoxGroup (www.boxgroup.com), Brian Long (brianlong.tv), Browder Capital (www.browdercapital.com), Color (Portland) (color.capital), Contrary (San Francisco) (www.contrary.com), Cristina Cordova (www.cristinajcordova.com), Decent Capital (www.decentcapital.com), FirstMark Capital (www.firstmark.com), Global Founders Capital (www.globalfounderscapital.com), Gold House Ventures (www.goldhouse.org), Green Meadow Ventures (www.greenmeadow.co), Hawke Ventures (www.hawkeventures.com), Hummingbird Ventures (www.hummingbird.vc), Index Ventures (www.indexventures.com), Interlace Ventures (www.interlacevc.com), Kin Ventures (www.kinvc.com), Mu Ventures (www.muventures.com), Operator Partners (www.operatorpartners.com), Red Swan Ventures (www.redswanventures.com), Soma Capital (somacap.com), Uncharted Ventures (San Francisco) (www.unchartedv.com), Y Combinator (www.ycombinator.com)</t>
  </si>
  <si>
    <t>Fenwick &amp; West(Legal Advisor), Gunderson Dettmer(Legal Advisor)</t>
  </si>
  <si>
    <t>293233-60P</t>
  </si>
  <si>
    <t>Sara Du</t>
  </si>
  <si>
    <t>sara@runalloy.com</t>
  </si>
  <si>
    <t>+1 (678) 315-7113</t>
  </si>
  <si>
    <t>35111 Newark Boulevard</t>
  </si>
  <si>
    <t>Suite F PMB 5079</t>
  </si>
  <si>
    <t>contact@runalloy.com</t>
  </si>
  <si>
    <t>442405-90</t>
  </si>
  <si>
    <t>AllSpice.io</t>
  </si>
  <si>
    <t>AllSpice</t>
  </si>
  <si>
    <t>AllSpice, Inc.</t>
  </si>
  <si>
    <t>Developer of a product design management platform designed to streamline hardware development. The company's platform integrates with native hardware engineering design tools to provide revision control, and a central platform for collaboration and design analytics, enabling hardware engineers to automate their development process and collaborate on designs.</t>
  </si>
  <si>
    <t>Business/Productivity Software*, Software Development Applications</t>
  </si>
  <si>
    <t>analytics and insights, api design, design process, hardware development platform, hardware integration, integration model, kms, knowledge management system, workflow analysis, workflow automation</t>
  </si>
  <si>
    <t>www.allspice.io</t>
  </si>
  <si>
    <t>http://www.linkedin.com/company/allspice-io</t>
  </si>
  <si>
    <t>2020: 3, 2021: 6, 2022: 9, 2023: 27, 2024: 29</t>
  </si>
  <si>
    <t>The company joined Greentown Labs on an undisclosed date.</t>
  </si>
  <si>
    <t>Benchstrength, Bowery Capital, Brightlane Ventures, Flybridge Capital Partners, Greentown Labs, Root Ventures, Scott Miller, The Graduate Syndicate, The MBA Fund, XFactor Ventures</t>
  </si>
  <si>
    <t>Bowery Capital (www.bowerycap.com), Brightlane Ventures (www.brightlane.co), Flybridge Capital Partners (www.flybridge.com), Greentown Labs (www.greentownlabs.com), Root Ventures (root.vc/welcome.htm), The Graduate Syndicate (www.thegraduatesyndicate.com), The MBA Fund (www.thembafund.com), XFactor Ventures (www.xfactor.ventures)</t>
  </si>
  <si>
    <t>242974-00P</t>
  </si>
  <si>
    <t>Kyle Dumont</t>
  </si>
  <si>
    <t>kyle@allspice.io</t>
  </si>
  <si>
    <t>+1 (617) 372-5410</t>
  </si>
  <si>
    <t>Somerville, MA</t>
  </si>
  <si>
    <t>444 Somerville Avenue</t>
  </si>
  <si>
    <t>Somerville</t>
  </si>
  <si>
    <t>02143</t>
  </si>
  <si>
    <t>info@allspice.io</t>
  </si>
  <si>
    <t>471221-74</t>
  </si>
  <si>
    <t>Allspring</t>
  </si>
  <si>
    <t>Allspring Co.</t>
  </si>
  <si>
    <t>Developer of a career coaching platform based on learning and practice intended to help employees move faster toward their goals. The company's platform utilizes real-time, bite-sized learning and practice-based coaching methods with accessible mentorship throughout job transition and a reliable way to the calendar every step of the journey turning career coaching into a tangible reality, enabling young professionals to conveniently connect with career coaches, financial advisors and mental health professionals for trusted guidance on their next career move.</t>
  </si>
  <si>
    <t>Education and Training Services (B2B)*, Educational Software, Media and Information Services (B2B)</t>
  </si>
  <si>
    <t>bite-sized learning, career coaching, career guide, mental health coaching, professional training, real time coaching</t>
  </si>
  <si>
    <t>www.tryallspring.com</t>
  </si>
  <si>
    <t>http://www.linkedin.com/company/tryallspring</t>
  </si>
  <si>
    <t>2021: 11, 2024: 7</t>
  </si>
  <si>
    <t>The company joined ACT House as a part of Cohort 5 of the ACT Accelerator on November 6, 2023 and received $70,000 in funding.</t>
  </si>
  <si>
    <t>ACT House, Antler, Google for Startups, Immoderata</t>
  </si>
  <si>
    <t>ACT House (www.act.house), Antler (www.antler.co), Google for Startups (startup.google.com), Immoderata (www.immoderata.com)</t>
  </si>
  <si>
    <t>229857-04P</t>
  </si>
  <si>
    <t>Erin Rowe</t>
  </si>
  <si>
    <t>erin@tryallspring.com</t>
  </si>
  <si>
    <t>497717-29</t>
  </si>
  <si>
    <t>Alluvial (Financial Software)</t>
  </si>
  <si>
    <t>Alluvial</t>
  </si>
  <si>
    <t>Alluvial Finance Inc.</t>
  </si>
  <si>
    <t>Developer of an enterprise-grade liquid staking platform designed to integrate digital assets into institutions' portfolios. The company's platform allows token holders to receive rewards from their staked digital assets while ensuring that their digital assets are freely tradeable and usable in other applications, enabling enterprises to address the need for compliance checks.</t>
  </si>
  <si>
    <t>blockchain products, cryptic tokens, decentralized finance, financial products, liquid stake, web 3 technology</t>
  </si>
  <si>
    <t>Decentralized Finance</t>
  </si>
  <si>
    <t>www.alluvial.finance</t>
  </si>
  <si>
    <t>http://www.linkedin.com/company/alluvialfinance</t>
  </si>
  <si>
    <t>2022: 3, 2023: 21, 2024: 33</t>
  </si>
  <si>
    <t>The company raised $4.3 million of venture funding in a deal led by Variant on November 12, 2024. TrueBridge Capital Partners and 6 other investors also participated in the round.</t>
  </si>
  <si>
    <t>A.Capital Ventures, Aglaé Ventures, Ambush Capital, Anagram (Cayman Islands), Arche Capital, Blockdaemon, Brevan Howard Asset Management, Brevan Howard Digital Nova Fund, Calvin Liu, Coinbase Ventures, Credibly Neutral, Derek Colla, Ethereal Ventures, Fabian Brian Crain, Fenbushi Capital, Figment Capital, F-Prime Capital, IOBC Capital, IOSG Ventures, Jim McDonald, Kiln (Financial Software), Kraken Ventures, Luke Hackett, Marc Boiron, Mirko Schmiedl, Nascent, Nascent Ventures, Notation Capital, Richard Malone, Road Capital Management, Robot Ventures, RR2 Capital, Ryan Selkis, Simon Baksys, Sreeram Kannan, TrueBridge Capital Partners, Variant (Brooklyn), Web3 Capital (Singapore), Zaki Manian</t>
  </si>
  <si>
    <t>A.Capital Ventures (www.acapital.com), Aglaé Ventures (www.aglaeventures.com), Ambush Capital (www.ambush.capital), Anagram (Cayman Islands) (www.anagram.xyz), Arche Capital (arche.capital), Blockdaemon (www.blockdaemon.com), Brevan Howard Asset Management (www.brevanhoward.com), Credibly Neutral (www.crediblyneutral.com), Ethereal Ventures (www.etherealventures.com), Fenbushi Capital (www.fenbushi.vc), Figment Capital (www.figmentcapital.io), F-Prime Capital (www.fprimecapital.com), IOBC Capital (www.iobc.capital), IOSG Ventures (iosg.vc), Kiln (Financial Software) (www.kiln.fi), Kraken Ventures (www.krakenventures.com), Nascent (www.nascent.xyz), Nascent Ventures (www.nascentventures.nl), Notation Capital (www.notation.vc), Road Capital Management (roadcapitalmgmt.com), Robot Ventures (robvc.com), RR2 Capital (rr2.capital), TrueBridge Capital Partners (www.truebridgecapital.com), Variant (Brooklyn) (variant.fund), Web3 Capital (Singapore) (www.web3.capital)</t>
  </si>
  <si>
    <t>303515-11P</t>
  </si>
  <si>
    <t>Matt Leisinger</t>
  </si>
  <si>
    <t>Co-Founder &amp; Chief Product Officer</t>
  </si>
  <si>
    <t>matt@alluvial.finance</t>
  </si>
  <si>
    <t>New Castle, DE</t>
  </si>
  <si>
    <t>New Castle</t>
  </si>
  <si>
    <t>info@alluvial.finance</t>
  </si>
  <si>
    <t>552667-15</t>
  </si>
  <si>
    <t>ALMA (Business/Productivity Software)</t>
  </si>
  <si>
    <t>ALMA</t>
  </si>
  <si>
    <t>ALMACA, INC.</t>
  </si>
  <si>
    <t>Developer of a document drafting platform designed for streamlining the immigration process. The company's platform allows users to select case types and upload relevant documents automates the legal document generation process, and offers confidentiality and security, critical thinking, and drafting assistance, enabling businesses to empower their attorneys to perform better in the profession.</t>
  </si>
  <si>
    <t>Legal Tech</t>
  </si>
  <si>
    <t>assistance care, attorney fee, critical thinking, document drafting, drafting service, legal document drafting, professional landscaping</t>
  </si>
  <si>
    <t>www.tryalma.ai</t>
  </si>
  <si>
    <t>http://www.linkedin.com/company/tryalma</t>
  </si>
  <si>
    <t>2024: 7</t>
  </si>
  <si>
    <t>The company raised $5.1 million of seed funding from Bling Capital, Forerunner Ventures and Village Global on July 2024. NFX, New Enterprise Associates, Conviction Partners, MVP Ventures and Silkroad Innovation Hub also participated in the round.</t>
  </si>
  <si>
    <t>AWS Startups, Bling Capital, Conviction Partners, Forerunner Ventures, MVP Ventures, New Enterprise Associates, NFX, Silkroad Innovation Hub, Village Global</t>
  </si>
  <si>
    <t>AWS Startups (aws-startup-lofts.com), Bling Capital (www.blingcap.com), Conviction Partners (conviction.com), Forerunner Ventures (www.forerunnerventures.com), MVP Ventures (www.mvp-vc.com), New Enterprise Associates (www.nea.com), NFX (www.nfx.com), Silkroad Innovation Hub (www.silkroadinnovationhub.com), Village Global (www.villageglobal.vc)</t>
  </si>
  <si>
    <t>404611-57P</t>
  </si>
  <si>
    <t>Aizada Marat</t>
  </si>
  <si>
    <t>320 High Street</t>
  </si>
  <si>
    <t>hello@tryalma.ai</t>
  </si>
  <si>
    <t>540964-72</t>
  </si>
  <si>
    <t>Alo Index</t>
  </si>
  <si>
    <t>Developer of an AI-powered hotel ESG data platform intended to connect ESG-focused travel buyers and sellers. The platform offers travel managers detailed ESG performance breakdowns, comparison tools, and customized procurement, while hotel managers can submit ESG data once and distribute it on demand, and gain insights into their performance in context, enabling buyers to make informed procurement decisions and sellers to showcase their ESG strengths.</t>
  </si>
  <si>
    <t>Business/Productivity Software, Information Services (B2C), Media and Information Services (B2B)*</t>
  </si>
  <si>
    <t>Climate Tech, LOHAS &amp; Wellness, SaaS</t>
  </si>
  <si>
    <t>business travel, corporate travel, esg data, hotel marketplace, sustainable travel, travel management</t>
  </si>
  <si>
    <t>www.aloindex.com</t>
  </si>
  <si>
    <t>http://www.linkedin.com/company/alō-index</t>
  </si>
  <si>
    <t>2023: 2, 2024: 9</t>
  </si>
  <si>
    <t>The company raised $1.9 million of pre-seed funding in the form of convertible debt in a deal led by Impellent Ventures on April 17, 2024. Techstars and other undisclosed investors also participated in the round. The funds will be used to advance the company's platform's reporting and verification features and expedite its hotel onboarding process.</t>
  </si>
  <si>
    <t>Impellent Ventures, Plug and Play Tech Center, Techstars</t>
  </si>
  <si>
    <t>Impellent Ventures (www.impellent.vc), Plug and Play Tech Center (www.plugandplaytechcenter.com), Techstars (www.techstars.com)</t>
  </si>
  <si>
    <t>375199-03P</t>
  </si>
  <si>
    <t>Anna Feinberg</t>
  </si>
  <si>
    <t>anna@aloindex.com</t>
  </si>
  <si>
    <t>hello@aloindex.com</t>
  </si>
  <si>
    <t>Bridge Loan - $1.90M (Convertible)</t>
  </si>
  <si>
    <t>537636-07</t>
  </si>
  <si>
    <t>Alosant</t>
  </si>
  <si>
    <t>Alosant Inc.</t>
  </si>
  <si>
    <t>Operator of a community engagement platform intended to foster connections and communication within residential and commercial developments. The company offers a comprehensive mobile application that integrates features such as resident directories, event calendars, service requests, and real-time notifications, enabling property managers and developers to enhance resident satisfaction, streamline operations, and build thriving communities that offer a superior living experience.</t>
  </si>
  <si>
    <t>Marketing Tech, Real Estate Technology, SaaS</t>
  </si>
  <si>
    <t>lifestyle tech, planned community, real estate marketplace, real estate software, residential community, residential platform</t>
  </si>
  <si>
    <t>www.alosant.com</t>
  </si>
  <si>
    <t>http://www.linkedin.com/company/alosant</t>
  </si>
  <si>
    <t>2024: 18</t>
  </si>
  <si>
    <t>The company raised an estimated $2.5 million through a Series A and Series A-1 venture funding in a deal led by Bangtail Partners on September 10, 2024, putting the company's pre-money valuation at $7.5 million. Other undisclosed investors also participated in the round. The funds will be used to drive innovation.</t>
  </si>
  <si>
    <t>Bangtail Partners, Montana Government</t>
  </si>
  <si>
    <t>Bangtail Partners (www.bangtailpartners.com)</t>
  </si>
  <si>
    <t>232527-61P</t>
  </si>
  <si>
    <t>April LaMon</t>
  </si>
  <si>
    <t>april@alosant.com</t>
  </si>
  <si>
    <t>+1 (406) 414-6840</t>
  </si>
  <si>
    <t>Bozeman, MT</t>
  </si>
  <si>
    <t>4150 Valley Commons Drive</t>
  </si>
  <si>
    <t>Suite C</t>
  </si>
  <si>
    <t>Bozeman</t>
  </si>
  <si>
    <t>Montana</t>
  </si>
  <si>
    <t>59718</t>
  </si>
  <si>
    <t>info@alosant.com</t>
  </si>
  <si>
    <t>Expected 08-Jul-2025</t>
  </si>
  <si>
    <t>472168-36</t>
  </si>
  <si>
    <t>Alphy</t>
  </si>
  <si>
    <t>Alpha Certification Inc.</t>
  </si>
  <si>
    <t>Developer of an Artificial intelligence (AI) communications compliance technology intended to reduce the risk of litigation and reputational damage from harmful and unlawful communication. The company's proprietary classifier, reflects AI, detects harmful, illegal and unethical language in digital communication in real-time to detect sensitive language in blackouts and restricted lists, significantly reducing false positives and increasing accuracy detection, enabling employees to reconsider and rephrase language that may land them in trouble.</t>
  </si>
  <si>
    <t>artificial intelligence system, communication compliance, embedded software, human communication, litigation services, talent management</t>
  </si>
  <si>
    <t>www.alphyco.com</t>
  </si>
  <si>
    <t>http://www.linkedin.com/company/alphyco</t>
  </si>
  <si>
    <t>2021: 21, 2022: 21, 2023: 22, 2024: 20</t>
  </si>
  <si>
    <t>The company raised $7.5 million of seed funding from Capital Eleven, True Equity and Gregory Green on June 14, 2022. MJ Elmore and 11 other investors also participated in the round.</t>
  </si>
  <si>
    <t>Bill Lanfri, Capital Eleven, Emerson Collective, Gregory Green, Jim Goetz, John Fisher, Kevin Scott, Mark Pincus, Meridee Moore, MJ Elmore, S-Cubed Capital, Sonja Perkins, Theresia Gouw, True Equity, William Hearst</t>
  </si>
  <si>
    <t>Capital Eleven (www.capitaleleven.com), Emerson Collective (www.emersoncollective.com), S-Cubed Capital (www.scubedcap.com), True Equity (www.trueequityinvestments.com)</t>
  </si>
  <si>
    <t>273660-49P</t>
  </si>
  <si>
    <t>Julian Guthrie</t>
  </si>
  <si>
    <t>julian@alphyco.com</t>
  </si>
  <si>
    <t>+1 (415) 728-3566</t>
  </si>
  <si>
    <t>Hayden, ID</t>
  </si>
  <si>
    <t>285 West</t>
  </si>
  <si>
    <t>Prairie Center</t>
  </si>
  <si>
    <t>Hayden</t>
  </si>
  <si>
    <t>Idaho</t>
  </si>
  <si>
    <t>83835</t>
  </si>
  <si>
    <t>info@alphyco.com</t>
  </si>
  <si>
    <t>539289-19</t>
  </si>
  <si>
    <t>Alt/Finance</t>
  </si>
  <si>
    <t>Oarbt, Inc.</t>
  </si>
  <si>
    <t>Developer of a financial data platform designed for alternative real assets. The company's platform delivers financial data feeds, integrations, and software services for real-time views of market performance, enabling clients to track investments in luxury collectibles with unified market data insights.</t>
  </si>
  <si>
    <t>alternative asset, data science tools, financial data, financial data software, market data information, wealth management</t>
  </si>
  <si>
    <t>www.altfndata.com</t>
  </si>
  <si>
    <t>http://www.linkedin.com/company/alt-fn</t>
  </si>
  <si>
    <t>2023: 5, 2024: 6</t>
  </si>
  <si>
    <t>The company joined FinTech Innovation Lab on March 28, 2024.</t>
  </si>
  <si>
    <t>DigitalUndivided, FinTech Innovation Lab, Techstars, Visible Hands</t>
  </si>
  <si>
    <t>DigitalUndivided (www.digitalundivided.com), FinTech Innovation Lab (www.fintechinnovationlab.com), Techstars (www.techstars.com), Visible Hands (www.visiblehands.vc)</t>
  </si>
  <si>
    <t>290782-63P</t>
  </si>
  <si>
    <t>Sharon Obuobi</t>
  </si>
  <si>
    <t>sobuobi@altfndata.com</t>
  </si>
  <si>
    <t>104 West 40th Street</t>
  </si>
  <si>
    <t>Suite 420</t>
  </si>
  <si>
    <t>10018</t>
  </si>
  <si>
    <t>info@altfndata.com</t>
  </si>
  <si>
    <t>517709-62</t>
  </si>
  <si>
    <t>Alta Revenue Platform</t>
  </si>
  <si>
    <t>Graphiti</t>
  </si>
  <si>
    <t>Alta</t>
  </si>
  <si>
    <t>Graphiti.AI Inc.</t>
  </si>
  <si>
    <t>Sightfull</t>
  </si>
  <si>
    <t>Operator of an AI-powered revenue intelligence platform designed to help companies optimize revenue and growth. The platform assists in identifying bottlenecks and detecting anomalies, enabling actionable insights and root cause analysis.</t>
  </si>
  <si>
    <t>ai automation platform, analytics &amp; business intelligence, analytics and business intelligence, analytics platform, analytics platform software, business analysis, customer success, data analysis platform, data analytics solution, data and analysis, revenue cycle management, revenue engine, revenue intelligence, sales optimization</t>
  </si>
  <si>
    <t>www.altahq.com</t>
  </si>
  <si>
    <t>http://www.linkedin.com/company/altahqdotcom</t>
  </si>
  <si>
    <t>2022: 3, 2023: 7, 2024: 50</t>
  </si>
  <si>
    <t>The company raised $7 million of pre-seed funding in a deal led by Entrée Capital and Target Global on April 3, 2023, putting the company's pre-money valuation at $17 million. Verissimo Ventures and other undisclosed investors also participated in the round.</t>
  </si>
  <si>
    <t>Entrée Capital, Target Global, Verissimo Ventures</t>
  </si>
  <si>
    <t>Entrée Capital (www.entreecap.com), Target Global (www.targetglobal.vc), Verissimo Ventures (verissimo.vc)</t>
  </si>
  <si>
    <t>EY(Auditor)</t>
  </si>
  <si>
    <t>330322-96P</t>
  </si>
  <si>
    <t>Stav Levi-Neumark</t>
  </si>
  <si>
    <t>stav@altahq.com</t>
  </si>
  <si>
    <t>30 West 63rd Street</t>
  </si>
  <si>
    <t>10023</t>
  </si>
  <si>
    <t>490989-79</t>
  </si>
  <si>
    <t>AltComm</t>
  </si>
  <si>
    <t>VIDATAK, Speak for Yourself</t>
  </si>
  <si>
    <t>Developer of an AI-powered point-of-care communication platform designed to reduce the cost of medical errors. The company's platform provides contextually relevant response options and recognizes emergent symptoms on time with accurate symptom exploration, enabling patients to access nurse call systems and accurately communicate with their doctors.</t>
  </si>
  <si>
    <t>Communication Software*, Other Healthcare Services, Other Healthcare Technology Systems</t>
  </si>
  <si>
    <t>Artificial Intelligence &amp; Machine Learning, Digital Health, HealthTech, SaaS, TMT</t>
  </si>
  <si>
    <t>alternative communication, augmentative communication, communication assistance, communication barriers, communication line, communication software, communication tool, patient-provider communication, point-of-care, symptoms analysis, symptoms tracker</t>
  </si>
  <si>
    <t>Clinical Trials - Phase 1</t>
  </si>
  <si>
    <t>www.altcomm.co</t>
  </si>
  <si>
    <t>http://www.linkedin.com/company/altcomm</t>
  </si>
  <si>
    <t>2022: 2, 2023: 2</t>
  </si>
  <si>
    <t>The company raised $1 million of seed funding from Red Tail Ventures and other undisclosed investors, putting the company's pre-money valuation at $6 million.</t>
  </si>
  <si>
    <t>Alchemist Accelerator, Red Tail Ventures</t>
  </si>
  <si>
    <t>Alchemist Accelerator (www.alchemistaccelerator.com), Red Tail Ventures (www.redtailventuresllc.com)</t>
  </si>
  <si>
    <t>289815-85P</t>
  </si>
  <si>
    <t>Alex Kapadia</t>
  </si>
  <si>
    <t>02142</t>
  </si>
  <si>
    <t>info@altcomm.co</t>
  </si>
  <si>
    <t>465227-29</t>
  </si>
  <si>
    <t>Ambrook</t>
  </si>
  <si>
    <t>Ambrook, Inc.</t>
  </si>
  <si>
    <t>Developer of an online lending platform designed to help farmers discover and apply for any kind of farm assistance. The company's platform provides a management tool for modern farms that can explore grants, loans, and financial assistance for clients' agricultural operations, enabling farmers to explore financial assistance options.</t>
  </si>
  <si>
    <t>ap automation, ar automation, cfo stack, expense management, farmers assistance services, financial assistance platform, financial tool, management software, online lending platform, sustainable profitability</t>
  </si>
  <si>
    <t>www.ambrook.com</t>
  </si>
  <si>
    <t>http://www.linkedin.com/company/ambrook</t>
  </si>
  <si>
    <t>2021: 9, 2022: 10, 2023: 19, 2024: 26</t>
  </si>
  <si>
    <t>The company raised an undisclosed amount of venture funding from Homebrew in approximately May 2022.</t>
  </si>
  <si>
    <t>BoxGroup, Designer Fund, Homebrew, Mischief</t>
  </si>
  <si>
    <t>BoxGroup (www.boxgroup.com), Designer Fund (www.designerfund.com), Homebrew (www.homebrew.co), Mischief (www.mischief.xyz)</t>
  </si>
  <si>
    <t>131303-98P</t>
  </si>
  <si>
    <t>Mackenzie Burnett</t>
  </si>
  <si>
    <t>mfburnett@gmail.com</t>
  </si>
  <si>
    <t>+1 (303) 554-6845</t>
  </si>
  <si>
    <t>hello@ambrook.com</t>
  </si>
  <si>
    <t>527422-87</t>
  </si>
  <si>
    <t>Amini</t>
  </si>
  <si>
    <t>Amini, Corp.</t>
  </si>
  <si>
    <t>GHGSat, ClimateAI, Jupiter Intelligence, Planet Labs, Tomorrow.io</t>
  </si>
  <si>
    <t>Developer of a climate tech business technology intended to offer artificial intelligence and a satellite system to access Africa's environmental data and promote economic inclusivity for farmers. The company offers data collection and intelligence infrastructure, to manage environmental damages, by empowering the ecosystem through data and fostering opportunities, providing clients with a single source for environmental data platform in Africa.</t>
  </si>
  <si>
    <t>Business/Productivity Software, Database Software*, Media and Information Services (B2B)</t>
  </si>
  <si>
    <t>Artificial Intelligence &amp; Machine Learning, Big Data, CleanTech, Climate Tech</t>
  </si>
  <si>
    <t>ai based, climate data, data collection, earthing data, environmental data, industrial data analytics, land use, space technology, supply chain, sustainability practices, vertical application</t>
  </si>
  <si>
    <t>www.amini.ai</t>
  </si>
  <si>
    <t>http://www.linkedin.com/company/amini-technologies</t>
  </si>
  <si>
    <t>2023: 16, 2024: 45</t>
  </si>
  <si>
    <t>The company raised $4 million of seed funding in a deal led by Salesforce Ventures and Female Founders Fund on November 30, 2023. Pale blue dot, Superorganism, and Satgana also participated in the round. Previously, the company raised $2 million of pre-seed funding in a deal led by Pale blue dot on May 17, 2023. EMURGO Ventures, Superorganism, W3i, RaliCap, and Satgana also participated in the round. Prior to that, the company joined Seraphim Space on May 4, 2023.</t>
  </si>
  <si>
    <t>EMURGO Kepple Ventures, Female Founders Fund, Pale blue dot, Rally Cap VC, Salesforce Ventures, Satgana, Seraphim Space, Superorganism, The World Economic Forum, W3i</t>
  </si>
  <si>
    <t>EMURGO Kepple Ventures (ekv.emurgo.africa), Female Founders Fund (www.femalefoundersfund.com), Pale blue dot (www.paleblue.vc), Rally Cap VC (www.rallycap.vc), Salesforce Ventures (www.salesforceventures.com), Satgana (www.satgana.com), Seraphim Space (www.seraphim.vc), Superorganism (superorganism.com), The World Economic Forum (widgets.weforum.org), W3i (www.W3i.com)</t>
  </si>
  <si>
    <t>348031-00P</t>
  </si>
  <si>
    <t>Kate Kallot</t>
  </si>
  <si>
    <t>kate@amini.ai</t>
  </si>
  <si>
    <t>+1 (646) 595-6796</t>
  </si>
  <si>
    <t>651 North Broad Street, Middletown</t>
  </si>
  <si>
    <t>info@amini.ai</t>
  </si>
  <si>
    <t>399046-33</t>
  </si>
  <si>
    <t>Amplio (Business/Productivity Software)</t>
  </si>
  <si>
    <t>Amplio</t>
  </si>
  <si>
    <t>Amplio.ai Inc</t>
  </si>
  <si>
    <t>Ginger (Clinics/Outpatient Services), Wysa, Calm, Moodfit</t>
  </si>
  <si>
    <t>Developer of an analytics platform designed to help employers retain and get the most out of their employees. The company's ecosystem has pioneered technology that incorporates biofeedback and psychometric measures to help employees understand when they are under stress, what is stressing them out, and how to respond to that stressor so that it loses its hold, enabling organizations to reduce employee burnout and help them maintain their mental health.</t>
  </si>
  <si>
    <t>Artificial Intelligence &amp; Machine Learning, LOHAS &amp; Wellness, SaaS</t>
  </si>
  <si>
    <t>cognitive learning skills, corporate wellness, employee development platform, employee wellness, hr technology, human resources, workforce management app</t>
  </si>
  <si>
    <t>www.amplio.ai</t>
  </si>
  <si>
    <t>2018: 4, 2019: 6, 2020: 9, 2021: 13, 2022: 9, 2023: 5</t>
  </si>
  <si>
    <t>The company was in talks to receive an undisclosed amount of seed funding on September 14, 2022. Subsequently, the deal was cancelled. Previously, the company raised $100,000 of venture funding in the form of SAFE notes from Pax Momentum and other undisclosed investors on August 4, 2022.</t>
  </si>
  <si>
    <t>Brad Spiers, New Dominion Angels, Pax Momentum</t>
  </si>
  <si>
    <t>New Dominion Angels (www.newdominionangels.com), Pax Momentum (www.paxmv.vc)</t>
  </si>
  <si>
    <t>Chase Bank(General Business Banking), Foley &amp; Lardner(Legal Advisor), Navy Federal Credit Union(General Business Banking)</t>
  </si>
  <si>
    <t>307500-22P</t>
  </si>
  <si>
    <t>Noel Ford</t>
  </si>
  <si>
    <t>+1 (408) 464-0984</t>
  </si>
  <si>
    <t>Chantilly, VA</t>
  </si>
  <si>
    <t>43877 Paramount Place</t>
  </si>
  <si>
    <t>Chantilly</t>
  </si>
  <si>
    <t>20152</t>
  </si>
  <si>
    <t>contact@amplio.ai</t>
  </si>
  <si>
    <t>493375-51</t>
  </si>
  <si>
    <t>Andi (Internet Software)</t>
  </si>
  <si>
    <t>Andi</t>
  </si>
  <si>
    <t>LazyWeb Inc.</t>
  </si>
  <si>
    <t>Developer of an online search engine platform designed for advertisement-free results. The company's platform offers a new type of conversational search app that is free and anonymous, fights spam, and provides users only the most relevant results, enabling users to find what they need and read it safely without ads or tracking.</t>
  </si>
  <si>
    <t>Information Services (B2C), Internet Software*</t>
  </si>
  <si>
    <t>ai chatbot, ai engine, analytics platform, anonymous search engine, generative ai, machine learning, natural language technology, online search engine, unstructured data analytics</t>
  </si>
  <si>
    <t>www.andi.co</t>
  </si>
  <si>
    <t>http://www.linkedin.com/company/andisearch</t>
  </si>
  <si>
    <t>2022: 8</t>
  </si>
  <si>
    <t>The company raised $2.5 million of seed funding from Y Combinator, Gaingels, and Goodwater Capital on April 20, 2022. K20 Fund, and other undisclosed angel investors also participated in the round. Previously, the company joined Y Combinator as part of the Winter Batch 2022 in approximately March 2022 and received $500,000 in funding. The funding was initially raised in the form of SAFE notes which subsequently got converted to equity.</t>
  </si>
  <si>
    <t>Acacia Venture Capital Partners, BBQ Capital, Fepo Capital, Gaingels, Goodwater Capital, K20 Fund, Realm Capital Ventures, Y Combinator</t>
  </si>
  <si>
    <t>Acacia Venture Capital Partners (www.acaciainvest.com), BBQ Capital (www.bbq.capital), Gaingels (www.gaingels.com), Goodwater Capital (www.goodwatercap.com), K20 Fund (www.k20fund.com), Realm Capital Ventures (www.realmcapitalventures.com), Y Combinator (www.ycombinator.com)</t>
  </si>
  <si>
    <t>294507-28P</t>
  </si>
  <si>
    <t>Angela Hoover</t>
  </si>
  <si>
    <t>angela@andisearch.com</t>
  </si>
  <si>
    <t>627 Lyon Street</t>
  </si>
  <si>
    <t>467633-44</t>
  </si>
  <si>
    <t>Anrok</t>
  </si>
  <si>
    <t>Anrok, Inc.</t>
  </si>
  <si>
    <t>LumaTax, 1099 Pro, Taxfyle, TaxJar, PowerPlan, Sovos Compliance, Keeper (San Francisco), Taxamo, Exactor, Avalara, Vertex (Software Company), Neo.Tax, TaxCloud</t>
  </si>
  <si>
    <t>Developer of a sales tax software designed to easily monitor, calculate, and remit tax across any financial stack. The company's software offers configurations, filing frequency alerts, enhanced visibility, and automated filing and remittance, enabling clients to automate the manual work and reduce unnecessary expenses around sales tax and value-added tax.</t>
  </si>
  <si>
    <t>Automation/Workflow Software, Business/Productivity Software, Financial Software*, Media and Information Services (B2B)</t>
  </si>
  <si>
    <t>cfo stack, enterprise resource planning, erp, financial management system, financial platform, payment system, sales tax, sales tax filing, sales tax nexus, sales tax return, tax filing</t>
  </si>
  <si>
    <t>www.anrok.com</t>
  </si>
  <si>
    <t>http://www.linkedin.com/company/anrok</t>
  </si>
  <si>
    <t>2022: 15, 2023: 40, 2024: 71</t>
  </si>
  <si>
    <t>The company raised $47.56 million through a combination of Series B1 and Series B2 venture funding in a deal led by Sequoia Capital, Index Ventures and Khosla Ventures on April 11, 2024, putting the company's pre-money valuation at $195 million. LDV Partners and 7 other investors also participated in the round. Out of the total funding $20 million was originally raised in the form of convertible debt which subsequently got converted into equity. The funds will be used to continue its investment in research and development, as well as product innovation, to solidify its position as the quintessential global tax compliance platform for contemporary finance teams.</t>
  </si>
  <si>
    <t>Alex Estevez, Avra, Cristina Cordova, David Faugno, Elad Gil, Index Ventures, Intuit Ventures, Karen Peacock, Khosla Ventures, LDV Partners, MKT1, Position Ventures, Sequoia Capital</t>
  </si>
  <si>
    <t>Avra (www.avracap.com), Cristina Cordova (www.cristinajcordova.com), Elad Gil (www.eladgil.com), Index Ventures (www.indexventures.com), Khosla Ventures (www.khoslaventures.com), LDV Partners (www.ldvp.com), MKT1 (www.mkt1.co), Position Ventures (www.positionventures.com), Sequoia Capital (www.sequoiacap.com)</t>
  </si>
  <si>
    <t>265262-59P</t>
  </si>
  <si>
    <t>Michelle Valentine</t>
  </si>
  <si>
    <t>michelle@anrok.com</t>
  </si>
  <si>
    <t>+1 (804) 752-3434</t>
  </si>
  <si>
    <t>PMB 66708</t>
  </si>
  <si>
    <t>94104</t>
  </si>
  <si>
    <t>+1 (918) 551-7007</t>
  </si>
  <si>
    <t>hello@anrok.com</t>
  </si>
  <si>
    <t>493530-49</t>
  </si>
  <si>
    <t>Ansa</t>
  </si>
  <si>
    <t>Get Ansa, Inc.</t>
  </si>
  <si>
    <t>Tango Card, Mambu, Airwallex, Sphere For Good, VoPay, Southern Payment Systems, Sopra Banking Software, PayQuicker, Flywire, Tradeshift, XTRM, Ifeelgoods, Coupa, Tipalti, Bill.com</t>
  </si>
  <si>
    <t>Developer of a closed-loop payment platform designed to help brands create customer balance, load funds and retain and reward loyal customers. The company's platform helps to drive customer loyalty by funding their balances and providing insights on their spending behavior, enabling clients to lower payment costs, increase transaction value, and drive repeat purchases.</t>
  </si>
  <si>
    <t>Business/Productivity Software, Financial Software*, Media and Information Services (B2B), Other Financial Services</t>
  </si>
  <si>
    <t>FinTech, TMT</t>
  </si>
  <si>
    <t>crm, customer loyalty data, customer loyalty management, customer loyalty system, customer relationship management, digital commerce, ecommerce payment, payment platform, payment platform provider, payment platform service</t>
  </si>
  <si>
    <t>www.ansa.dev</t>
  </si>
  <si>
    <t>http://www.linkedin.com/company/getansa</t>
  </si>
  <si>
    <t>2023: 9, 2024: 12</t>
  </si>
  <si>
    <t>The company raised $14 million of Series A venture funding in a deal led by Renegade Partners on April 30, 2024. Bain Capital Ventures and 8 other investors also participated in the round. The funds will be used for product development and engineering.</t>
  </si>
  <si>
    <t>B37 Ventures, Bain Capital Ventures, BoxGroup, Cambrian Fintech, Christina Melas-Kyriazi, Gokul Rajaram, Nichole Wischoff, Nimi Katragadda, Renata Quintini, Renegade Partners, Reshape Ventures, Silvija Martincevic, Susa Ventures, The Fintech Fund, Wischoff Ventures, Zachary Perret</t>
  </si>
  <si>
    <t>B37 Ventures (www.b37.vc), Bain Capital Ventures (www.baincapitalventures.com), BoxGroup (www.boxgroup.com), Cambrian Fintech (www.cambrianhq.com), Renegade Partners (www.renegadepartners.com), Reshape Ventures (www.reshape.co), Susa Ventures (www.susaventures.com), The Fintech Fund (www.thefintechfund.com), Wischoff Ventures (www.wischoff.com)</t>
  </si>
  <si>
    <t>315211-69P</t>
  </si>
  <si>
    <t>Sophia Goldberg</t>
  </si>
  <si>
    <t>sophia@getansa.com</t>
  </si>
  <si>
    <t>3130 20th Street</t>
  </si>
  <si>
    <t>226087-93</t>
  </si>
  <si>
    <t>Anthill (Business/Productivity Software)</t>
  </si>
  <si>
    <t>Anthill AI, Inc.</t>
  </si>
  <si>
    <t>JazzHR, Eightfold.ai, Breezy HR</t>
  </si>
  <si>
    <t>Developer of a talent management software designed to serve both employers and employees. The company's platform allows businesses to seamlessly drive engagement and retention, reskilling and development, and internal mobility and allows employees to share insights and get help for their development, enabling employers to address critical needs while personalizing the employee development experience for the individual.</t>
  </si>
  <si>
    <t>Artificial Intelligence &amp; Machine Learning, HR Tech, SaaS, TMT</t>
  </si>
  <si>
    <t>deskless workforce, hr saas, management planning, skills learning, workforce platform, workforce product, workplace management system</t>
  </si>
  <si>
    <t>www.anthill.co</t>
  </si>
  <si>
    <t>http://www.linkedin.com/company/anthill-ai</t>
  </si>
  <si>
    <t>2020: 5, 2021: 10, 2022: 26, 2023: 25, 2024: 28</t>
  </si>
  <si>
    <t>The company raised $3 million of seed funding in a deal led by Rethink Capital Partners on July 9, 2021, putting the company's pre-money valuation at $7 million. Origin Ventures and 8 other investors also participated in the round. Previously, the company raised $1.95 million through a combination of debt and Seed funding in a deal led by Origin Ventures on February 2, 2021, putting the company's pre-money valuation at $2 million. Chicago Early Growth Ventures, Reach Capital and Lofty Ventures also participated in the round. The funds will be used by the company for continued product development and expanded talent recruitment.</t>
  </si>
  <si>
    <t>BBG Ventures (North America), Chicago Early Growth Ventures, Everywhere Ventures, JFFVentures, Lofty Ventures, Origin Ventures, Perfect Balance Investments, Plug and Play Tech Center, Reach Capital, Rethink Capital Partners, Singularity (Consulting Services (B2B)), Techstars, XFactor Ventures</t>
  </si>
  <si>
    <t>SAP.iO</t>
  </si>
  <si>
    <t>BBG Ventures (North America) (www.bbgventures.com), Chicago Early Growth Ventures (www.chicagoearly.com), Everywhere Ventures (everywhere.vc), JFFVentures (www.jff.org/what-we-do), Lofty Ventures (www.loftyventures.com), Origin Ventures (www.originventures.com), Perfect Balance Investments (www.perfectbalanceinvestments.com), Plug and Play Tech Center (www.plugandplaytechcenter.com), Reach Capital (www.reachcapital.com), Rethink Capital Partners (www.rethink-capital.com), Singularity (Consulting Services (B2B)) (www.su.org), Techstars (www.techstars.com), XFactor Ventures (www.xfactor.ventures)</t>
  </si>
  <si>
    <t>SAP.iO (www.sap.io)</t>
  </si>
  <si>
    <t>180248-50P</t>
  </si>
  <si>
    <t>Muriel Closs</t>
  </si>
  <si>
    <t>muriel@anthillai.com</t>
  </si>
  <si>
    <t>111 West Illinois Street</t>
  </si>
  <si>
    <t>Suite 500, 522</t>
  </si>
  <si>
    <t>info@anthill.co</t>
  </si>
  <si>
    <t>437325-58</t>
  </si>
  <si>
    <t>ApertureData</t>
  </si>
  <si>
    <t>ApertureData Inc.</t>
  </si>
  <si>
    <t>Zilliz, Pinecone, Coactive, Neo4j</t>
  </si>
  <si>
    <t>Developer of database management platform designed to handle large data objects without multiple disconnected systems. The company's platform disrupts the traditional ways of storing and accessing large-scale visual data and improves performance and accessibility for AI applications, it unifies multimodal data management, knowledge graphs, and vector search, enabling faster AI application delivery at scale, and enabling clients to access data seamlessly.</t>
  </si>
  <si>
    <t>data infrastructure, data management company, database management system, database software, graph database, metadata management, multimodal, vector database</t>
  </si>
  <si>
    <t>www.aperturedata.io</t>
  </si>
  <si>
    <t>http://www.linkedin.com/company/aperturedata</t>
  </si>
  <si>
    <t>2020: 2, 2021: 8, 2022: 5, 2023: 8, 2024: 10</t>
  </si>
  <si>
    <t>The company raised $8.25 million of seed funding in a deal led by TQ Ventures on October 10, 2024. WestWave Capital, Interwoven Ventures, and other undisclosed investors also participated in the round. The fund will be used for a purpose-built database for multimodal AI.</t>
  </si>
  <si>
    <t>2048 Ventures, Alumni Ventures, Andrew Schulert, Ashwin Kolhe, Balamurali Meduri, Borja Burgos-Galindo, Brian Truong, Calm Ventures, Carnegie Mellon University Silicon Valley, Charles Ferguson, Gaingels, Graph Ventures, Heidi Braunstein, Hustle Fund, Interwoven Ventures, Jui Deshpande, Magic Fund, Mike Maccombie, Minda Brusse, National Science Foundation, Palvi Mehta, Plug and Play Tech Center, Preston-Werner Ventures, Rahul Thathoo, Rohini Pandhi, Root Ventures, Small Business Innovation Research and Small Business Technology Transfer Programs, Tom Preston-Werner, TQ Ventures, VentureBridge Silicon Valley, Vivek Tripathi, WestWave Capital, Work-Bench</t>
  </si>
  <si>
    <t>2048 Ventures (www.2048.vc), Alumni Ventures (www.av.vc), Calm Ventures (www.calmvc.com), Carnegie Mellon University Silicon Valley (www.sv.cmu.edu), Gaingels (www.gaingels.com), Graph Ventures (www.graphventures.com), Hustle Fund (www.hustlefund.vc), Interwoven Ventures (www.interwoven.vc), Magic Fund (www.magic.fund), National Science Foundation (nsf.gov), Plug and Play Tech Center (www.plugandplaytechcenter.com), Preston-Werner Ventures (www.pwv.com), Root Ventures (root.vc/welcome.htm), Small Business Innovation Research and Small Business Technology Transfer Programs (www.sbir.gov), TQ Ventures (www.tqventures.com), WestWave Capital (www.westwavecapital.com), Work-Bench (www.work-bench.com)</t>
  </si>
  <si>
    <t>235985-14P</t>
  </si>
  <si>
    <t>Vishakha Gupta</t>
  </si>
  <si>
    <t>vishakha@aperturedata.io</t>
  </si>
  <si>
    <t>1484 Pollard Road</t>
  </si>
  <si>
    <t>Suite 3005</t>
  </si>
  <si>
    <t>team@aperturedata.io</t>
  </si>
  <si>
    <t>484338-16</t>
  </si>
  <si>
    <t>Appex Group</t>
  </si>
  <si>
    <t>Appex</t>
  </si>
  <si>
    <t>Appex Group, Inc.</t>
  </si>
  <si>
    <t>Operator of an investment firm intended to buy and grow mobile apps. The company offers seasoned and dynamic expertise in product management, growth marketing, data engineering, and operations to partnerships to accelerate the journey of sustainable businesses' high growth, enabling businesses to propel and expand further.</t>
  </si>
  <si>
    <t>Business/Productivity Software, Other Commercial Services, Software Development Applications*</t>
  </si>
  <si>
    <t>app aquisition, digital tools, holding company, investment firm operator, mobile application tool, mobile applications, mobile apps, mobile ecosystem</t>
  </si>
  <si>
    <t>www.joinappex.com</t>
  </si>
  <si>
    <t>http://www.linkedin.com/company/joinappex</t>
  </si>
  <si>
    <t>2023: 49, 2024: 49</t>
  </si>
  <si>
    <t>The company raised $29.70 million through the combination of Seed-1, Seed-2 and Seed-3 funding from Tectonic Ventures, Asymmetric Capital Partners, Phoenix Investment Club and other undisclosed investors on March 12, 2024, putting the company's pre-money valuation at $51.00 million.</t>
  </si>
  <si>
    <t>Accomplice VC, Asymmetric Capital Partners, Phoenix Investment Club (San Francisco), Tectonic Ventures, TriplePoint Capital</t>
  </si>
  <si>
    <t>Accomplice VC (www.accomplice.co), Asymmetric Capital Partners (acp.vc), Phoenix Investment Club (San Francisco) (www.phoenixclub.vc), Tectonic Ventures (www.tectonicventures.com), TriplePoint Capital (www.triplepointcapital.com)</t>
  </si>
  <si>
    <t>i80 Group(Debt Financing), Orrick(Legal Advisor), TriplePoint Capital(Debt Financing)</t>
  </si>
  <si>
    <t>345193-57P</t>
  </si>
  <si>
    <t>Fraser Simpson</t>
  </si>
  <si>
    <t>Founder, Co-Chief Executive Officer &amp; Board Member</t>
  </si>
  <si>
    <t>fsimpson@joinappex.com</t>
  </si>
  <si>
    <t>+1 (202) 617-0951</t>
  </si>
  <si>
    <t>320 Summer Street</t>
  </si>
  <si>
    <t>02110</t>
  </si>
  <si>
    <t>info@joinappex.com</t>
  </si>
  <si>
    <t>Mezzanine</t>
  </si>
  <si>
    <t>Revolving Credit - $8.00M (Mezzanine)</t>
  </si>
  <si>
    <t>223380-64</t>
  </si>
  <si>
    <t>AppMap</t>
  </si>
  <si>
    <t>AppLand, Inc.</t>
  </si>
  <si>
    <t>Digma, Raygun, Code Climate, MasterControl, DeepCode, Qodo, SonarSource, TabNine (acquired), TestCraft, DeepSource, Codiscope, PullRequest, Dynatrace, Veracode, Coverity, Sourcegraph, Semgrep, Parasoft, Sysdig, Code Dx, Codacy, Cobalt (Network Management Software), Bliss (Business/Productivity Software), Contrast Security, Sentry, Codium</t>
  </si>
  <si>
    <t>Developer of dynamic, runtime code analysis and visualization software designed to avoid performance, security, and stability defects. The company's software works across developer code editors, providing insights with an architecture that runs entirely in the customer's environment, enabling developers to keep their software aligned, clear, and secure through developer-centric observability and runtime code analysis.</t>
  </si>
  <si>
    <t>Business/Productivity Software, Media and Information Services (B2B), Software Development Applications*</t>
  </si>
  <si>
    <t>artificial intelligence agent, coding analysis, coding assistant, coding editor, observability platform, open source api, reverse engineering, security model</t>
  </si>
  <si>
    <t>www.appmap.io</t>
  </si>
  <si>
    <t>http://www.linkedin.com/company/appmap</t>
  </si>
  <si>
    <t>2022: 17, 2023: 17, 2024: 11</t>
  </si>
  <si>
    <t>The company raised $10 million of venture funding from Dell Technologies Capital, Secure Octane, and Venture Guides on November 14, 2023. Unusual Ventures and 4 other investors also participated in the round. Out of the total funding, $4.2 million was raised in the form of convertible debt. The funds will be used to accelerate the development of its platform, grow the team, and expand its go-to-market strategy.</t>
  </si>
  <si>
    <t>Alumni Ventures, Andrew Palmer, Argon Ventures, Dell Technologies Capital, Forgepoint Capital, Koa Labs, Secure Octane, Uncorrelated Ventures, Unusual Ventures, Venture Guides, Work-Bench</t>
  </si>
  <si>
    <t>Alumni Ventures (www.av.vc), Argon Ventures (www.argon.vc), Dell Technologies Capital (www.delltechnologiescapital.com), Forgepoint Capital (www.forgepointcap.com), Koa Labs (www.koalabs.com), Secure Octane (www.secureoctane.com), Uncorrelated Ventures (uncorrelated.com), Unusual Ventures (www.unusual.vc), Venture Guides (www.ventureguides.com), Work-Bench (www.work-bench.com)</t>
  </si>
  <si>
    <t>57915-64P</t>
  </si>
  <si>
    <t>Elizabeth Lawler</t>
  </si>
  <si>
    <t>elizabeth@appmap.io</t>
  </si>
  <si>
    <t>+1 (617)6421410</t>
  </si>
  <si>
    <t>68 Harrison Avenue</t>
  </si>
  <si>
    <t>Suite 605, PMB 22032</t>
  </si>
  <si>
    <t>+1 (617) 237-0671</t>
  </si>
  <si>
    <t>info@appmap.io</t>
  </si>
  <si>
    <t>Bridge Loan - $4.20M (Convertible)</t>
  </si>
  <si>
    <t>432657-46</t>
  </si>
  <si>
    <t>Aquifer</t>
  </si>
  <si>
    <t>Aquifer Motion, Inc.</t>
  </si>
  <si>
    <t>Operator of an instant animation technology company intended to make professional animation accessible for all creators. The company's platform provides a database of artist-crafted character and story templates to create shots, facial expressions and character movements and features the ability to export the project to 4k and other video resolutions, enabling clients to develop three-dimensional content simply and collaboratively.</t>
  </si>
  <si>
    <t>3d content, animated video production, animation app, content collaboration, content creation platform, content creation tools, video creation</t>
  </si>
  <si>
    <t>www.aquifermotion.com</t>
  </si>
  <si>
    <t>http://www.linkedin.com/company/aquifer-motion</t>
  </si>
  <si>
    <t>2020: 8, 2021: 16, 2022: 23, 2023: 24, 2024: 19</t>
  </si>
  <si>
    <t>The company raised $3.89 million through a combination of Seed, Seed-1 and Seed-2 funding in a deal led by LDV Capital on January 19, 2024, putting the company's pre-money valuation at $7.11 million. Spin Master Ventures, Wedbush Ventures, Geekdom Fund, First Row Partners, Boost VC, Nomad Fund Ventures, Capital Factory, WXR Venture Fund, Techstars, Justin Siegel, Joshua Gutman, Chris Palmisano and Andrew Busey also participated in the round.</t>
  </si>
  <si>
    <t>Andrew Busey, Boost VC, Capital Factory, Christopher Palmisano, First Row Partners, Geekdom Fund, Joshua Gutman, Justin Siegel, LDV Capital, Nomad Fund Ventures, Spin Master Ventures, Techstars, Wedbush Ventures, WXR Venture Fund</t>
  </si>
  <si>
    <t>Boost VC (www.boost.vc), Capital Factory (www.capitalfactory.com), First Row Partners (www.firstrowpartners.vc), Geekdom Fund (www.geekdomfund.com), LDV Capital (www.ldv.co), Nomad Fund Ventures (www.nomadfund.vc), Spin Master Ventures (www.spinmasterventures.com), Techstars (www.techstars.com), Wedbush Ventures (www.wedbushventures.com), WXR Venture Fund (www.wxrfund.com)</t>
  </si>
  <si>
    <t>223637-05P</t>
  </si>
  <si>
    <t>Chen Zhang</t>
  </si>
  <si>
    <t>chen@aquifermotion.com</t>
  </si>
  <si>
    <t>+1 (737) 471-3501</t>
  </si>
  <si>
    <t>+1 (512) 983-7748</t>
  </si>
  <si>
    <t>hello@aquifermotion.com</t>
  </si>
  <si>
    <t>528710-68</t>
  </si>
  <si>
    <t>Arbit (Information Services)</t>
  </si>
  <si>
    <t>Arbit</t>
  </si>
  <si>
    <t>Arbit Inc.</t>
  </si>
  <si>
    <t>Developer of a pricing algorithm platform designed to empower both buyers and sellers in the sneaker resell market. The company's platform aggregates real-time pricing information from all major resellers, enabling buyers and sellers to get informed purchase decisions and get a possible price for their sneakers.</t>
  </si>
  <si>
    <t>Application Software, Financial Software, Information Services (B2C)*, Media and Information Services (B2B)</t>
  </si>
  <si>
    <t>online shop, price transparency, pricing algorithm, pricing tools, resale market, shopping platform</t>
  </si>
  <si>
    <t>www.getarbit.com</t>
  </si>
  <si>
    <t>http://www.linkedin.com/company/getarbit</t>
  </si>
  <si>
    <t>2023: 4, 2024: 6</t>
  </si>
  <si>
    <t>The company raised $1.5 million of venture funding in the form of convertible debt from Lightship Capital, Atento Capital and other undisclosed investors on September 12, 2023, putting the company's pre-money valuation at $6.5 million.</t>
  </si>
  <si>
    <t>ACT House, Atento Capital, Lightship Capital (Ohio)</t>
  </si>
  <si>
    <t>ACT House (www.act.house), Atento Capital (www.atentocapital.com), Lightship Capital (Ohio) (www.lightship.capital)</t>
  </si>
  <si>
    <t>350216-02P</t>
  </si>
  <si>
    <t>Venita Cooper</t>
  </si>
  <si>
    <t>Tulsa, OK</t>
  </si>
  <si>
    <t>10 North Greenwood Avenue S303</t>
  </si>
  <si>
    <t>Tulsa</t>
  </si>
  <si>
    <t>Oklahoma</t>
  </si>
  <si>
    <t>74120</t>
  </si>
  <si>
    <t>info@getarbit.com</t>
  </si>
  <si>
    <t>Term Loan - (Convertible)</t>
  </si>
  <si>
    <t>470727-28</t>
  </si>
  <si>
    <t>Arcade</t>
  </si>
  <si>
    <t>Alchemist Technologies</t>
  </si>
  <si>
    <t>Arcade Software</t>
  </si>
  <si>
    <t>Arcade Software, Inc.</t>
  </si>
  <si>
    <t>Developer of an interactive demo platform designed to market brands. The company's platform provides a web development page for its users to build and design websites with personalizations to showcase their products, enabling companies to boost customer engagement and increase their brand value.</t>
  </si>
  <si>
    <t>Multimedia and Design Software*, Software Development Applications</t>
  </si>
  <si>
    <t>Advanced Manufacturing, SaaS</t>
  </si>
  <si>
    <t>computer software development, demo platform, product demonstrations, product design platform, software development company, software development tool</t>
  </si>
  <si>
    <t>www.arcade.software</t>
  </si>
  <si>
    <t>http://www.linkedin.com/company/arcadehq</t>
  </si>
  <si>
    <t>2021: 5, 2022: 10, 2023: 32, 2024: 43</t>
  </si>
  <si>
    <t>Promotion (New) Caroline Clark, Co-Founder, Chief Executive Officer &amp; Board Member</t>
  </si>
  <si>
    <t>The company raised $14 million of venture funding from undisclosed investors on November 19, 2024.</t>
  </si>
  <si>
    <t>Foundation Capital, Joanne Chen, Kleiner Perkins, Sequoia Capital, Upfront Ventures</t>
  </si>
  <si>
    <t>Foundation Capital (www.foundationcapital.com), Kleiner Perkins (www.kleinerperkins.com), Sequoia Capital (www.sequoiacap.com), Upfront Ventures (www.upfront.com)</t>
  </si>
  <si>
    <t>270203-77P</t>
  </si>
  <si>
    <t>Caroline Clark</t>
  </si>
  <si>
    <t>caroline@arcade.software</t>
  </si>
  <si>
    <t>+1 (415) 701-1110</t>
  </si>
  <si>
    <t>595 Market Street</t>
  </si>
  <si>
    <t>FL 10</t>
  </si>
  <si>
    <t>94105</t>
  </si>
  <si>
    <t>+1 (650) 676-0208</t>
  </si>
  <si>
    <t>info@arcade.software</t>
  </si>
  <si>
    <t>439508-26</t>
  </si>
  <si>
    <t>Arketa</t>
  </si>
  <si>
    <t>Sutra</t>
  </si>
  <si>
    <t>Sutra Fitness, Inc.</t>
  </si>
  <si>
    <t>Developer of a wellness platform designed to help fitness instructors grow their online businesses. The company's platform allows instructors to host life fitness classes and sell monthly memberships, enabling customers to purchase or subscribe to videos to maintain their physical and mental health.</t>
  </si>
  <si>
    <t>Business/Productivity Software*, Information Services (B2C), Media and Information Services (B2B)</t>
  </si>
  <si>
    <t>LOHAS &amp; Wellness</t>
  </si>
  <si>
    <t>crm, customer relationship management, digital commerce, fitness advice, fitness guidance, fitness instructor, fitness product, fitness therapy, wellness platform</t>
  </si>
  <si>
    <t>www.arketa.com</t>
  </si>
  <si>
    <t>http://www.linkedin.com/company/arketa</t>
  </si>
  <si>
    <t>2021: 10, 2022: 22, 2023: 32, 2024: 45</t>
  </si>
  <si>
    <t>The company raised an undisclosed amount of venture funding from Recall Capital in approximately March 2024.</t>
  </si>
  <si>
    <t>Amity Ventures, First Round Capital, Fitt, Recall Capital, Velvet Sea Ventures, Y Combinator</t>
  </si>
  <si>
    <t>Amity Ventures (www.amity.vc), First Round Capital (www.firstround.com), Fitt (www.fitt.co), Recall Capital (www.recall.capital), Velvet Sea Ventures (velvetseavc.com), Y Combinator (www.ycombinator.com)</t>
  </si>
  <si>
    <t>241971-58P</t>
  </si>
  <si>
    <t>Rachel Lea Fishman</t>
  </si>
  <si>
    <t>rleafishman@arketa.co</t>
  </si>
  <si>
    <t>+1 (617) 447-5835</t>
  </si>
  <si>
    <t>90049</t>
  </si>
  <si>
    <t>hello@arketa.co</t>
  </si>
  <si>
    <t>471663-19</t>
  </si>
  <si>
    <t>Arrange (Application Software)</t>
  </si>
  <si>
    <t>Arrange</t>
  </si>
  <si>
    <t>Arrange, Inc.</t>
  </si>
  <si>
    <t>Developer of a reminder management platform intended to revolutionize the way people use their calendars. The company's platform converts inspiration into action by offering a catalog of to-dos and reminders that users can browse, subscribe to, and add to their calendars and provides an automated reminder for completing the listed task in the calendar, enabling users to seamlessly manage and schedule their tasks.</t>
  </si>
  <si>
    <t>Application Software*, Business/Productivity Software, Information Services (B2C)</t>
  </si>
  <si>
    <t>Mobile, TMT</t>
  </si>
  <si>
    <t>activity management, activity management platform, ai planner, calendar app, calendar management, calendering software, personal activities platform, reminder management, reminder platform, routine management, to-do list, to-do management</t>
  </si>
  <si>
    <t>www.joinarrange.com</t>
  </si>
  <si>
    <t>http://www.linkedin.com/company/joinarrange</t>
  </si>
  <si>
    <t>2021: 4, 2022: 7, 2023: 4, 2024: 4</t>
  </si>
  <si>
    <t>The company raised $900,000 of pre-seed funding from XFactor Ventures, Unusual Ventures, and Flybridge Capital Partners on August 9, 2021.</t>
  </si>
  <si>
    <t>Flybridge Capital Partners, Unusual Ventures, XFactor Ventures</t>
  </si>
  <si>
    <t>Flybridge Capital Partners (www.flybridge.com), Unusual Ventures (www.unusual.vc), XFactor Ventures (www.xfactor.ventures)</t>
  </si>
  <si>
    <t>106822-90P</t>
  </si>
  <si>
    <t>Bridgette Muir</t>
  </si>
  <si>
    <t>bridgette@joinarrange.com</t>
  </si>
  <si>
    <t>6810 Wildlife Road</t>
  </si>
  <si>
    <t>hello@joinarrange.com</t>
  </si>
  <si>
    <t>267030-55</t>
  </si>
  <si>
    <t>Arrive Recommerce</t>
  </si>
  <si>
    <t>Coozie Outdoors, Arrive Outdoors</t>
  </si>
  <si>
    <t>Arrive</t>
  </si>
  <si>
    <t>Arrive Recommerce, Inc.</t>
  </si>
  <si>
    <t>Archive, Trove, Recurate</t>
  </si>
  <si>
    <t>Operator of technology and reverse logistics company intended to power circular commerce for innovative brands and retailers. The company's offering makes it possible for any company to launch a circular channel that improves consumer reach, increases revenue, and promotes a sustainable system, enabling brands and retailers in any industry to integrate circular commerce including rental and resale directly into an existing e-commerce experience.</t>
  </si>
  <si>
    <t>circular economy, circular economy model, crm, cross-crm, customer relationship management, ecommerce analytics, ecommerce-as-a-service, recommerce platform, resale goods, resale platform</t>
  </si>
  <si>
    <t>www.thearriveplatform.com</t>
  </si>
  <si>
    <t>http://www.linkedin.com/company/thearriveplatform</t>
  </si>
  <si>
    <t>2020: 12, 2021: 28, 2022: 30, 2023: 26, 2024: 36</t>
  </si>
  <si>
    <t>The company raised $16.4 million of Series A venture funding in a deal led by Javelin Venture Partners and Climactic on July 12, 2023. Maersk Growth, Sidekick Partners, Cosmic Venture Partners, Freestyle Capital, Alpaca VC, ANIMO Ventures, Banana Capital, Wedbush Ventures, Gaingels, 10X Capital, Regeneration VC and 444 Capital also participated in the round. The funds will be used to expand the platform to more brands and operators as the company continues to grow in the booming e-commerce industry.</t>
  </si>
  <si>
    <t>10X Capital, 444 Capital, Alpaca VC, Alumni Ventures, ANIMO Ventures, Banana Capital, Basecamp Fund, Climactic, Cosmic Venture Partners, Freestyle Capital, Gaingels, Greenpoint Capital, James Reinhart, Javelin Venture Partners, John Voris, Maersk Growth, Narrative Capital, Regeneration VC, Science, Sidekick Partners, Wedbush Ventures</t>
  </si>
  <si>
    <t>Narrative Fund</t>
  </si>
  <si>
    <t>10X Capital (www.10xcapital.com), 444 Capital (www.444cap.com), Alpaca VC (www.alpaca.vc), Alumni Ventures (www.av.vc), ANIMO Ventures (www.animo.vc), Banana Capital (www.bananacapital.vc), Basecamp Fund (www.basecampfund.com), Climactic (www.climactic.vc), Cosmic Venture Partners (www.cosmicvp.com), Freestyle Capital (www.freestyle.vc), Gaingels (www.gaingels.com), Greenpoint Capital (greenpointvc.com), Javelin Venture Partners (www.javelinvp.com), John Voris (johnvoris.com), Narrative Capital (www.narrativelp.com), Regeneration VC (www.regeneration.vc), Science (www.science-inc.com), Sidekick Partners (www.sidekickpartners.com), Wedbush Ventures (www.wedbushventures.com)</t>
  </si>
  <si>
    <t>Narrative Fund (www.narrative.fund)</t>
  </si>
  <si>
    <t>206512-48P</t>
  </si>
  <si>
    <t>Rachelle Snyder</t>
  </si>
  <si>
    <t>rachelle@thearriveplatform.com</t>
  </si>
  <si>
    <t>+1 (213) 534-8852</t>
  </si>
  <si>
    <t>1447 2nd Street</t>
  </si>
  <si>
    <t>hello@thearriveplatform.com</t>
  </si>
  <si>
    <t>528677-20</t>
  </si>
  <si>
    <t>Artie (Database software)</t>
  </si>
  <si>
    <t>Artie</t>
  </si>
  <si>
    <t>Artie Technologies Inc.</t>
  </si>
  <si>
    <t>Qlik Technologies, Striim, Syniti, Lyftrondata</t>
  </si>
  <si>
    <t>Developer of data integration platform designed to eliminate latency and reduce computational overhead. The company's open-source data platform provides real-time data replication from transactional databases to data warehouses, enabling organizations to unlock real-time insights for better decision-making.</t>
  </si>
  <si>
    <t>Database Software*, Media and Information Services (B2B)</t>
  </si>
  <si>
    <t>ai automation platform, data engineering software, data pipeline, database firm, database integration platform, database integration services, saas-based platform</t>
  </si>
  <si>
    <t>www.artie.so</t>
  </si>
  <si>
    <t>http://www.linkedin.com/company/artie-technologies</t>
  </si>
  <si>
    <t>The company raised $3.3 million of seed funding in a deal led by Exponent Founders Capital on February 14, 2024. IA Seed Ventures, Arash Ferdowsi, Lenny Rachitsky, Benn Stancil, Sancus Ventures, General Catalyst, Y Combinator, and other undisclosed investors also participated in the round.</t>
  </si>
  <si>
    <t>Arash Ferdowsi, Benn Stancil, Exponent Founders Capital, General Catalyst, IA Seed Ventures, Lenny Rachitsky, Sancus Ventures, Y Combinator</t>
  </si>
  <si>
    <t>Exponent Founders Capital (www.pathlight.vc), General Catalyst (www.generalcatalyst.com), IA Seed Ventures (www.iasv.co), Sancus Ventures (www.sancus.vc), Y Combinator (www.ycombinator.com)</t>
  </si>
  <si>
    <t>350252-47P</t>
  </si>
  <si>
    <t>Jacqueline Cheong</t>
  </si>
  <si>
    <t>900 Folsom Street</t>
  </si>
  <si>
    <t>Apartment 28</t>
  </si>
  <si>
    <t>hi@artie.so</t>
  </si>
  <si>
    <t>541446-76</t>
  </si>
  <si>
    <t>Asato</t>
  </si>
  <si>
    <t>Asato Corporation</t>
  </si>
  <si>
    <t>DataRobot, Sumo Logic, Alfresco Software, BigPanda, M-Files, Aisera, APImetrics, Asapp, Arago, Udesk, Fiddler, Celonis, Appnomic, Datascience.com, Skan, Corcentric, Dataiku, Skytree (Business/Productivity Software), Kryon, Arthur (Business/Productivity Software), Quest Software, ConnectWise, Avathon, Moveworks, Alteryx, BMC Software, Automated Intelligence, WorkFusion, Tricentis, BigML, Square 9 Softworks, Anodot, Blameless, Automation Anywhere, Algorithmia, Redwood Software, Ivanti, Appian, Worksoft, Signavio, SunView Software, Rage Frameworks, Resolve Systems, FortressIQ, PagerDuty, Advanced Systems Concepts (Automation Software), Salesforce, PickNik, Thoughtonomy, Aporia, Intrinsic (Business/Productivity Software), Siemplify, Onspring, Dynatrace, NICE (Business/Productivity Software), SolarWinds, Uniphore, Runn, Certero, Hyperscience, Agiloft, Samanage, SevOne, TOPdesk, ThreatConnect, Issuetrak, UiPath, Serviceaide, Voxta, WinAutomation, Softomotive, VictorOps, OpsGenie, AlertOps, Postman, Splashtop, Espressive, Pegasystems, DocStar, ServiceNow, Micro Focus International, Compulink Management Center, Electric, Autotask, Gainsight, Observe.AI, SysAid Technologies, SS&amp;C Blue Prism, Swimlane, Axios Systems, Cherwell Software, Splunk, Moogsoft, Easit (Norway), SAP, Atlassian, Verint Systems, Rulex, FogHorn, Kyndi, Datameer, UserVoice, PatternEx, CognitiveScale, Infrrd, Help Scout, Clinc, SalesKen, Yellow.ai, Cvision Technologies, BHyve, Cyberbit, Synoptek, Zendesk, LogRhythm, HubSpot</t>
  </si>
  <si>
    <t>Developer of an enterprise copilot platform designed to deliver measurable business outcomes. The company's platform is into the tech stack and uses artificial intelligence (AI) and knowledge graphs to automate the searching, linking, contextualizing, and analyzing of IT assets and to orchestrate decisions and track results, providing companies with insights to make informed decisions about resource allocation, identify alternative explanations, and optimize investments.</t>
  </si>
  <si>
    <t>ai automation platform, artificial intelligence engine, enterprise asset management, enterprise management tool, enterprise tools, intelligence analysis, observability tools</t>
  </si>
  <si>
    <t>www.asato.ai</t>
  </si>
  <si>
    <t>http://www.linkedin.com/company/asatoai</t>
  </si>
  <si>
    <t>2024: 25</t>
  </si>
  <si>
    <t>Competitor (New) BHyve, Competitor (New) Clinc, Competitor (New) CognitiveScale, Competitor (New) Cvision Technologies, Competitor (New) Cyberbit, Competitor (New) Datameer, Competitor (New) Help Scout, Competitor (New) HubSpot, Competitor (New) Infrrd, Competitor (New) Kyndi, Competitor (New) LogRhythm, Competitor (New) Rulex, Competitor (New) SalesKen, Competitor (New) Synoptek, Competitor (New) UserVoice, Competitor (New) Yellow.ai, Competitor (New) Zendesk</t>
  </si>
  <si>
    <t>Promotion (New) Anush Mohandass, Co-Founder, Chief Operating Officer &amp; Chief Product Officer, Competitor (New) BHyve, Competitor (New) Clinc, Competitor (New) CognitiveScale, Competitor (New) Cvision Technologies, Competitor (New) Cyberbit, Competitor (New) Datameer, Competitor (New) Help Scout, Competitor (New) HubSpot, Competitor (New) Infrrd, Competitor (New) Kyndi, Competitor (New) LogRhythm, Competitor (New) Rulex, Competitor (New) SalesKen, Competitor (New) Synoptek, Competitor (New) UserVoice, Competitor (New) Yellow.ai, Competitor (New) Zendesk</t>
  </si>
  <si>
    <t>The company raised $7.18 million of seed funding in a deal led by Intel Capital, Walden Catalyst, and Lip-Bu Tan on December 5, 2023, putting the company's pre-money valuation at $25 million. Shah Capital Partners and 4 other investors also participated in the round. The funds will be used to accelerate the development of the company's Copilot platform.</t>
  </si>
  <si>
    <t>Amarjit Gill, Ashish Bhardwaj, Charles Giancarlo, Intel Capital, Lip-Bu Tan, Sanjay Mehrotra, Shah Capital Partners, Walden Catalyst</t>
  </si>
  <si>
    <t>Intel Capital (www.intelcapital.com), Shah Capital Partners (www.shahcap.com), Walden Catalyst (waldencatalyst.com)</t>
  </si>
  <si>
    <t>376437-43P</t>
  </si>
  <si>
    <t>Sundari Mitra</t>
  </si>
  <si>
    <t>Saratoga, CA</t>
  </si>
  <si>
    <t>19863 Douglass Lane</t>
  </si>
  <si>
    <t>Saratoga</t>
  </si>
  <si>
    <t>95070</t>
  </si>
  <si>
    <t>info@asato.ai</t>
  </si>
  <si>
    <t>467043-49</t>
  </si>
  <si>
    <t>Asidero</t>
  </si>
  <si>
    <t>Asidero Software Inc.</t>
  </si>
  <si>
    <t>Developer of a lobbying compliance platform intended to capture lobbying activity. The company's platform offers centralized monitoring of lobbying activities so that all teams are aware of all time off the job across the organization to ensure compliance with regulatory requirements and generate custom activity reports, enabling lobbyists and managers to generate reports to simplify compliance filings.</t>
  </si>
  <si>
    <t>Automation/Workflow Software, Business/Productivity Software*, Human Capital Services</t>
  </si>
  <si>
    <t>HR Tech, Legal Tech, SaaS</t>
  </si>
  <si>
    <t>centralized monitoring system, compliance software service, lobbying service, reporting solution, spreadsheets tools, work monitoring</t>
  </si>
  <si>
    <t>www.asidero.com</t>
  </si>
  <si>
    <t>http://www.linkedin.com/company/asidero</t>
  </si>
  <si>
    <t>2023: 2, 2024: 4</t>
  </si>
  <si>
    <t>The company raised an estimated $150,000 of seed funding from Kernel Labs and other undisclosed investors on March 4, 2020, putting the company's pre-money valuation at $750,000.</t>
  </si>
  <si>
    <t>Kernel Labs</t>
  </si>
  <si>
    <t>Kernel Labs (www.kernellabs.io)</t>
  </si>
  <si>
    <t>331485-94P</t>
  </si>
  <si>
    <t>Aneet Makin</t>
  </si>
  <si>
    <t>amakin@asidero.com</t>
  </si>
  <si>
    <t>+1 (503) 936-3990</t>
  </si>
  <si>
    <t>118 South Mead Street</t>
  </si>
  <si>
    <t>98108-2436</t>
  </si>
  <si>
    <t>info@asidero.com</t>
  </si>
  <si>
    <t>463011-40</t>
  </si>
  <si>
    <t>Asteya</t>
  </si>
  <si>
    <t>Asteya, Inc.</t>
  </si>
  <si>
    <t>Provider of income insurance service intended to transform the disability insurance industry by democratizing access to income protection. The company specializes in offering transparent coverage tailored to customer requirements and provides service that supports people's financial, physical, and mental health, so they can focus on enjoying their lives, enabling clients with access to coverage of pre-existing conditions and maintaining a quality lifestyle.</t>
  </si>
  <si>
    <t>Insurance</t>
  </si>
  <si>
    <t>Life and Health Insurance</t>
  </si>
  <si>
    <t>Financial Software, Life and Health Insurance*, Other Financial Services</t>
  </si>
  <si>
    <t>InsurTech</t>
  </si>
  <si>
    <t>disability insurance, income insurance service, insurance platform service, insurance provider firm, insurance system, life insurance, life insurance technology</t>
  </si>
  <si>
    <t>www.asteya.world</t>
  </si>
  <si>
    <t>http://www.linkedin.com/company/asteyaworld</t>
  </si>
  <si>
    <t>2021: 39, 2022: 69, 2023: 65, 2024: 51</t>
  </si>
  <si>
    <t>The company raised an undisclosed amount of Series B venture funding in a deal led by Northstar.VC on March 10, 2022. Bhansali Equities and other undisclosed investors also participated in the round.</t>
  </si>
  <si>
    <t>Atrum Coal, Bhansali Equities, Capital Factory, Cap-Meridian Ventures, Geeta Sankappanavar, I2BF Global Ventures, Northstar.VC, Plug and Play Tech Center, Whitney Herd</t>
  </si>
  <si>
    <t>Atrum Coal (www.atrumcoal.com), Capital Factory (www.capitalfactory.com), Cap-Meridian Ventures (www.cap-meridian.com), I2BF Global Ventures (www.i2bf.com), Northstar.VC (www.northstar.vc), Plug and Play Tech Center (www.plugandplaytechcenter.com)</t>
  </si>
  <si>
    <t>256934-44P</t>
  </si>
  <si>
    <t>Hadi Radwan</t>
  </si>
  <si>
    <t>hadi.radwan@asteya.world</t>
  </si>
  <si>
    <t>+1 (954) 246-3509</t>
  </si>
  <si>
    <t>1110 Brickell Avenue</t>
  </si>
  <si>
    <t>Suite 515</t>
  </si>
  <si>
    <t>Expected 08-Jan-2029</t>
  </si>
  <si>
    <t>502833-16</t>
  </si>
  <si>
    <t>Astor</t>
  </si>
  <si>
    <t>Astor Finance, Inc.</t>
  </si>
  <si>
    <t>Ellevest, Empower</t>
  </si>
  <si>
    <t>Developer of a financial platform intended to help users consume and share investment ideas with more insight into their portfolios. The company has developed a platform that helps users connect with each other to share investment ideas as well as analyze and explore investors and industries with recommendations based on their investment style, enabling investors to proactively monitor their portfolio, track all of their positions across brokerages and asset classes in one place.</t>
  </si>
  <si>
    <t>financial community, financial platform, financial portfolio management, investment ideas, investment platform, investment tool, portfolio management, stock portfolio, wealthtech</t>
  </si>
  <si>
    <t>www.astor.money</t>
  </si>
  <si>
    <t>http://www.linkedin.com/company/astormoney</t>
  </si>
  <si>
    <t>The company raised $1.4 million of seed funding in a deal led by NFX and The MBA Fund on July 16, 2024. Phoenix Investment Club (San Francisco), TMV(Trail Mix Ventures) and Stellation Capital also participated in the round.</t>
  </si>
  <si>
    <t>NFX, Phoenix Investment Club (San Francisco), Stellation Capital, The MBA Fund, TMV(Trail Mix Ventures)</t>
  </si>
  <si>
    <t>NFX (www.nfx.com), Phoenix Investment Club (San Francisco) (www.phoenixclub.vc), Stellation Capital (www.stellation.vc), The MBA Fund (www.thembafund.com), TMV(Trail Mix Ventures) (tmv.vc)</t>
  </si>
  <si>
    <t>389418-76P</t>
  </si>
  <si>
    <t>Lindsay Dorf</t>
  </si>
  <si>
    <t>lindsay@astor.money</t>
  </si>
  <si>
    <t>+1 (508) 319-1560</t>
  </si>
  <si>
    <t>Brooklyn, NY</t>
  </si>
  <si>
    <t>97 North 10th Street</t>
  </si>
  <si>
    <t>+1 (347) 835-9814</t>
  </si>
  <si>
    <t>help@astor.money</t>
  </si>
  <si>
    <t>458361-01</t>
  </si>
  <si>
    <t>Atlas (Human Capital Services)</t>
  </si>
  <si>
    <t>Palabra.io, Palabraio, Palabra</t>
  </si>
  <si>
    <t>Provider of onboarding and tax compliance services intended to support businesses hiring international contractors. The company offers various services including background checks, health insurance, computer and supply delivery, and accounting services, it focuses on health and wellness, learning, lifestyle, and entertainment, enabling businesses to hire confidently and ensure that all of their employees comply with their local governments and centralize all team's benefits in one place.</t>
  </si>
  <si>
    <t>Accounting, Audit and Tax Services (B2B), Business/Productivity Software, Human Capital Services*</t>
  </si>
  <si>
    <t>benefits provider, benefits system, cfo stack, contractor management, contractor management platform, employee compliance services, employee onboarding services, global benefits provider, hiring firm, hr benefits platform, hr system, tax accounting</t>
  </si>
  <si>
    <t>www.heyatlas.com</t>
  </si>
  <si>
    <t>http://www.linkedin.com/company/atlasbeneficios</t>
  </si>
  <si>
    <t>2021: 10, 2022: 18, 2023: 41, 2024: 46</t>
  </si>
  <si>
    <t>The company raised $2.75 million of seed funding in a deal led by Hi Ventures on February 16, 2024. Calm Ventures, Daniel Gross, and Oskar Hjertonsson also participated in the round. The funds will be used to to accelerate growth, focusing on U.S.-based companies with international teams.</t>
  </si>
  <si>
    <t>2048 Ventures, Alex Iskold, Ben Tossell, Calm Ventures, Claire Johnson, Dan Teran, Daniel Gross, Drew Tunney, First Row Partners, Greg Arrese, Hi Ventures, Jason Calacanis, Justin Berka, LAUNCH Fund, Michael Manne, Minda Brusse, Oskar Hjertonsson, Ride Ventures, Yoko Okano</t>
  </si>
  <si>
    <t>2048 Ventures (www.2048.vc), Alex Iskold (www.startuphacks.vc), Calm Ventures (www.calmvc.com), First Row Partners (www.firstrowpartners.vc), Hi Ventures (www.hi.vc), LAUNCH Fund (www.launch.co)</t>
  </si>
  <si>
    <t>249616-54P</t>
  </si>
  <si>
    <t>Karen Serfaty</t>
  </si>
  <si>
    <t>karen@heyatlas.com</t>
  </si>
  <si>
    <t>+54 1 628 208 4916</t>
  </si>
  <si>
    <t>2844 Lyon Street</t>
  </si>
  <si>
    <t>588825-55</t>
  </si>
  <si>
    <t>AtlasPro AI</t>
  </si>
  <si>
    <t>AtlasPro AI, Inc.</t>
  </si>
  <si>
    <t>Developer of an artificial intelligence-native platform intended to provide geospatial analytics for various industries. The company uses satellite imagery and AI to identify patterns and trends in real estate investments, risk monitoring, ESG, infrastructure planning, and international defense, enabling clients to make better decisions about their finances, operations, and strategies.</t>
  </si>
  <si>
    <t>Business/Productivity Software*, Other Commercial Services, Other Financial Services</t>
  </si>
  <si>
    <t>Artificial Intelligence &amp; Machine Learning, Real Estate Technology, SaaS</t>
  </si>
  <si>
    <t>defense unit, esg data, geospatial analytics, infrastructure planning, risk monitoring, tasks automation</t>
  </si>
  <si>
    <t>www.atlaspro.ai</t>
  </si>
  <si>
    <t>http://www.linkedin.com/company/atlasproai</t>
  </si>
  <si>
    <t>2023: 2, 2024: 6</t>
  </si>
  <si>
    <t>The company raised $3.3 million of seed funding from Focused Capital, Apex Spectrum Capital, and Spero Ventures on an undisclosed date, putting the company's pre-money valuation at $16.7 million. Plug and Play Tech Center and 4 other invsetors also participated in the round. Previously, the company joined Plug and Play Tech Center and Z Fellows on an undisclosed date.</t>
  </si>
  <si>
    <t>Apex Spectrum Capital, Austin Lavin, Carollbryant, Focused Capital, Inception Sound Studios, Mark Metcalf, Plug and Play Tech Center, Spero Ventures, Stanford University, Z Fellows</t>
  </si>
  <si>
    <t>Apex Spectrum Capital (www.apexscapital.com), Carollbryant (carollbryant.com), Focused Capital (www.focused-capital.com), Inception Sound Studios (www.inceptionsound.com), Plug and Play Tech Center (www.plugandplaytechcenter.com), Spero Ventures (www.spero.vc), Stanford University (www.stanford.edu), Z Fellows (www.zfellows.com)</t>
  </si>
  <si>
    <t>Carta(Arranger), Venturous Counsel(Legal Advisor)</t>
  </si>
  <si>
    <t>356483-17P</t>
  </si>
  <si>
    <t>Gloria Felicia</t>
  </si>
  <si>
    <t>glo@atlaspro.ai</t>
  </si>
  <si>
    <t>+1 (650) 262-6621</t>
  </si>
  <si>
    <t>contact@atlaspro.ai</t>
  </si>
  <si>
    <t>596866-33</t>
  </si>
  <si>
    <t>Atomic Vaults</t>
  </si>
  <si>
    <t>Atomic Vaults Securities LLC</t>
  </si>
  <si>
    <t>Operator of a broker-dealer company intended for fractional trading. The company offers a streamlined integration process for dollar-based trading, copy trading, flexible asset allocation, inventory risk, and setup, with automated testing, redundancy controls, and real-time monitoring, enabling brokerage and wealth management clients to improve yields, protect portfolios, and optimize tax strategies.</t>
  </si>
  <si>
    <t>Brokerage, Financial Software*</t>
  </si>
  <si>
    <t>asset allocation, automated testing, clearing firm, integration model, inventory risk, load balancing, wealth management</t>
  </si>
  <si>
    <t>www.atomicvaults.com</t>
  </si>
  <si>
    <t>The company raised an undisclosed amount of venture funding from ARK Venture Fund in January 2024.</t>
  </si>
  <si>
    <t>ARK Investment Management, ARK Venture Fund, Founders Fund</t>
  </si>
  <si>
    <t>Alameda Research</t>
  </si>
  <si>
    <t>ARK Investment Management (www.ark-invest.com), ARK Venture Fund (www.ark-ventures.com), Founders Fund (www.foundersfund.com)</t>
  </si>
  <si>
    <t>Alameda Research (www.alameda-research.com)</t>
  </si>
  <si>
    <t>395771-41P</t>
  </si>
  <si>
    <t>Ming Zhao</t>
  </si>
  <si>
    <t>Co-Founder, Co-Chief Executive Officer &amp; Director</t>
  </si>
  <si>
    <t>mzhao@atomicvaults.com</t>
  </si>
  <si>
    <t>+1 (203) 535-2052</t>
  </si>
  <si>
    <t>575 Market Street</t>
  </si>
  <si>
    <t>512</t>
  </si>
  <si>
    <t>529194-25</t>
  </si>
  <si>
    <t>Atypical (Educational Software)</t>
  </si>
  <si>
    <t>Atypical AI Corp</t>
  </si>
  <si>
    <t>Developer of a generative AI education platform designed to learn science through AI. The company's platform allows personalized tutoring, teaching and measuring student success, enabling users to learn and study courses easily by focusing foremost on creating a safe, equitable, and accessible experience.</t>
  </si>
  <si>
    <t>Educational and Training Services (B2C), Educational Software*, Media and Information Services (B2B)</t>
  </si>
  <si>
    <t>Artificial Intelligence &amp; Machine Learning, EdTech</t>
  </si>
  <si>
    <t>education platform developer, education platform operator, education platform provider, generative ai, personalized tutoring platform, teaching platform, tutoring platform</t>
  </si>
  <si>
    <t>www.atypicalai.com</t>
  </si>
  <si>
    <t>http://www.linkedin.com/company/atypical-ai</t>
  </si>
  <si>
    <t>2023: 9</t>
  </si>
  <si>
    <t>The company raised $4 million of pre-seed funding from Bloomberg Beta, SNR and Ascend Venture Capital on August 22, 2023. Mindful Venture Capital, Quiet Capital, and 8 other investors also participated in the round. The funds will be used to further advance the development of AI-enabled teaching, tutoring, and assessment solutions.</t>
  </si>
  <si>
    <t>468 Capital, Accelerator Ventures, Anthony Lee, Ascend Venture Capital (Seattle), Bloomberg Beta, Craig Sherman, Dan Carroll, Daniel Sturman, Erik Blachford, Frederic Laluyaux, Mindful Venture Capital, Quiet Capital, SNR</t>
  </si>
  <si>
    <t>468 Capital (www.468cap.com), Accelerator Ventures (www.acceleratorventures.com), Ascend Venture Capital (Seattle) (www.ascend.vc), Bloomberg Beta (www.bloombergbeta.com), Mindful Venture Capital (www.mindfulvc.com), Quiet Capital (www.quiet.com), SNR (www.snr.vc)</t>
  </si>
  <si>
    <t>351769-15P</t>
  </si>
  <si>
    <t>Bethanie Drake-Maples</t>
  </si>
  <si>
    <t>534736-45</t>
  </si>
  <si>
    <t>Auba</t>
  </si>
  <si>
    <t>Auba Inc.</t>
  </si>
  <si>
    <t>Developer of an artificial intelligence supply chain platform designed to mitigate supply chain disruption and enhance cost savings. The company's platform offers supply chain managers insights from conversations and network mapping, enabling businesses to manage supply chain networks and evolve their operations with AI co-piloting capabilities.</t>
  </si>
  <si>
    <t>Business/Productivity Software*, Logistics</t>
  </si>
  <si>
    <t>saas product, supply chain business, supply chain experience, supply chain platform, supply chain saas platform, supply chain tool</t>
  </si>
  <si>
    <t>auba.ai</t>
  </si>
  <si>
    <t>http://www.linkedin.com/company/auba-ai</t>
  </si>
  <si>
    <t>2023: 8, 2024: 21</t>
  </si>
  <si>
    <t>The company joined Plug and Play Tech Center's Silicon Valley Summit Batch 14 on April 4, 2024.</t>
  </si>
  <si>
    <t>0BS (Mexico), Autotech Ventures, Bridge Latam, Bridge Partners, Foundamental, Nazca, Nido Ventures, Plug and Play Tech Center, Village Global</t>
  </si>
  <si>
    <t>0BS (Mexico) (www.0bs.mx), Autotech Ventures (www.autotechvc.com), Bridge Latam (www.bridgelat.com), Bridge Partners (www.bridge.partners), Foundamental (www.foundamental.com), Nazca (www.nazca.vc), Nido Ventures (www.nido.ventures), Plug and Play Tech Center (www.plugandplaytechcenter.com), Village Global (www.villageglobal.vc)</t>
  </si>
  <si>
    <t>Presidio Legal(Legal Advisor)</t>
  </si>
  <si>
    <t>363555-10P</t>
  </si>
  <si>
    <t>Françoise Stevens</t>
  </si>
  <si>
    <t>+1 (650) 447-6631</t>
  </si>
  <si>
    <t>447 Sutter Street</t>
  </si>
  <si>
    <t>Suite 405, number 66</t>
  </si>
  <si>
    <t>hello@auba.ai</t>
  </si>
  <si>
    <t>483749-65</t>
  </si>
  <si>
    <t>AuditMate</t>
  </si>
  <si>
    <t>AuditMate, Inc.</t>
  </si>
  <si>
    <t>Developer of elevator auditing software designed to offer elevator maintenance management services and make elevator contract decisions simple. The company offers auditing, maintenance management, equipment inspection, maintenance contracts, modernization contracts, contract analysis, maintenance completion reporting, callback and repairs management, compliance management, and more, enabling property managers to generate more revenue from their business.</t>
  </si>
  <si>
    <t>ai automation platform, auditing software, auditing system, elevators contract, escalators strategy, maintenance management, property management, vertical transportation</t>
  </si>
  <si>
    <t>www.auditmate.com</t>
  </si>
  <si>
    <t>http://www.linkedin.com/company/auditmate</t>
  </si>
  <si>
    <t>2021: 13, 2022: 13, 2023: 18, 2024: 21</t>
  </si>
  <si>
    <t>The company raised $3.5 million of Seed funding from MassMutual Ventures, Moderne Ventures, Alinea Ventures, and Blue Field Capital on May 1, 2023, putting the company's pre-money valuation at $10 million.</t>
  </si>
  <si>
    <t>Alinea Ventures, Blue Field Capital, MassMutual Ventures, Moderne Ventures, Morgan Stanley Inclusive Ventures Lab, Plug and Play Tech Center, SheScales, StartOut Growth Lab, Zain Ventures</t>
  </si>
  <si>
    <t>Alinea Ventures (alinea.vc), Blue Field Capital (www.bluefieldcap.com), MassMutual Ventures (www.massmutualventures.com), Moderne Ventures (www.moderneventures.com), Plug and Play Tech Center (www.plugandplaytechcenter.com), SheScales (www.shescales.com), StartOut Growth Lab (www.startout.org), Zain Ventures (www.zain-ventures.com)</t>
  </si>
  <si>
    <t>284009-05P</t>
  </si>
  <si>
    <t>Ashleigh Wilson</t>
  </si>
  <si>
    <t>ashley.wilson@auditmate.com</t>
  </si>
  <si>
    <t>+1 (415) 404-0030</t>
  </si>
  <si>
    <t>P. O. Box 14314</t>
  </si>
  <si>
    <t>94114-0314</t>
  </si>
  <si>
    <t>538143-58</t>
  </si>
  <si>
    <t>Auggie (Information Services (B2C))</t>
  </si>
  <si>
    <t>Auggie</t>
  </si>
  <si>
    <t>Modern Village, Inc.</t>
  </si>
  <si>
    <t>Developer of a parenting app designed to connect parents and provide a trusted community for sharing advice and recommendations. The company offers a community forum where parents can share recommendations and advice, enabling customers to feel like they are not alone and have a trusted community of parents to turn to.</t>
  </si>
  <si>
    <t>parenting app, parenting application, parenting application software, parenting care, parenting guide, parenting site</t>
  </si>
  <si>
    <t>www.auggie.com</t>
  </si>
  <si>
    <t>http://www.linkedin.com/company/joinauggie</t>
  </si>
  <si>
    <t>The company raised $1.7 million of seed funding from NFX, Accel and XFactor Ventures on October 10, 2023. Mother Ventures and other undisclosed investors also participated in the round.</t>
  </si>
  <si>
    <t>Accel, Mother Ventures, NFX, XFactor Ventures</t>
  </si>
  <si>
    <t>Accel (www.accel.com), Mother Ventures (www.mother-ventures.com), NFX (www.nfx.com), XFactor Ventures (www.xfactor.ventures)</t>
  </si>
  <si>
    <t>370560-52P</t>
  </si>
  <si>
    <t>Lily Walla</t>
  </si>
  <si>
    <t>+1 (917) 300-9311</t>
  </si>
  <si>
    <t>856 Washington Avenue</t>
  </si>
  <si>
    <t>11238</t>
  </si>
  <si>
    <t>info@auggie.com</t>
  </si>
  <si>
    <t>523281-88</t>
  </si>
  <si>
    <t>Aura Finance (Financial Software)</t>
  </si>
  <si>
    <t>Tardi</t>
  </si>
  <si>
    <t>Aura, Aura Finance</t>
  </si>
  <si>
    <t>Tardi Finance, Inc</t>
  </si>
  <si>
    <t>Developer of financial wellness software designed to offer a wide range of asset management, personalized portfolios, trading, and financial well-being. The company leverages behavioral psychology to curate a hyper-personal investment management tool that helps reduce stress and anxiety about money platforms by combining behavioral coaching, financial education, and hands-on financial management to provide mobile coaching programs for employees to handle their stress, health, and productivity insights, enabling customers and investors with access to financial advice and higher returns.</t>
  </si>
  <si>
    <t>Asset Management, Financial Software*, Other Financial Services</t>
  </si>
  <si>
    <t>asset management, asset management platform, finance application, financial services, financial wellness software, fintech firm, investment management, personalized portfolio, trading platform, wealth management</t>
  </si>
  <si>
    <t>Profitable</t>
  </si>
  <si>
    <t>www.aurafinance.io</t>
  </si>
  <si>
    <t>http://www.linkedin.com/company/aurafinance</t>
  </si>
  <si>
    <t>2023: 7, 2024: 6</t>
  </si>
  <si>
    <t>The company raised $1.3 million of venture funding on an undisclosed date.</t>
  </si>
  <si>
    <t>43 Ventures, Gurtin Ventures, Lakehouse Ventures, Techstars, Visible Hands</t>
  </si>
  <si>
    <t>43 Ventures (www.43ventures.com), Gurtin Ventures (www.gurtinventures.com), Lakehouse Ventures (lakehouse.vc), Techstars (www.techstars.com), Visible Hands (www.visiblehands.vc)</t>
  </si>
  <si>
    <t>344314-18P</t>
  </si>
  <si>
    <t>Courtney Cardin</t>
  </si>
  <si>
    <t>Co-Founder &amp; Chief Product/Business Officer</t>
  </si>
  <si>
    <t>courtney@aurafinance.io</t>
  </si>
  <si>
    <t>1595 Pacific Avenue</t>
  </si>
  <si>
    <t>Suite 507</t>
  </si>
  <si>
    <t>94109</t>
  </si>
  <si>
    <t>info@aurafinance.io</t>
  </si>
  <si>
    <t>433234-63</t>
  </si>
  <si>
    <t>Authenticx</t>
  </si>
  <si>
    <t>AuthentiCx, Inc.</t>
  </si>
  <si>
    <t>Clarabridge, Convin, Abstrakt</t>
  </si>
  <si>
    <t>Developer of a voice analysis platform designed to blend human and automated analysis of clients' customer interactions. The company's platform leverages its clients' existing customer interaction data to dive deeper into who their customers are, what they care about, and how effectively their needs are being met, enabling healthcare organizations to organize and structure conversational data through a customized dashboard to derive powerful insights that govern business decisions.</t>
  </si>
  <si>
    <t>Business/Productivity Software*, Media and Information Services (B2B), Other Healthcare Technology Systems</t>
  </si>
  <si>
    <t>actionable insights, conversational intelligence, crm, cross-crm, customer data capture, customer experience data, customer insights, customer relationship management, data analysis, data analytics system, market research, patient and member engagement</t>
  </si>
  <si>
    <t>www.authenticx.com</t>
  </si>
  <si>
    <t>http://www.linkedin.com/company/authenticx</t>
  </si>
  <si>
    <t>2020: 15, 2021: 52, 2022: 77, 2023: 100, 2024: 126</t>
  </si>
  <si>
    <t>The company raised $21.51 million of Series B venture funding in a deal led by Blue Heron Capital on January 3, 2023. High Alpha and 7 other investors also participated in the round. The funds will be used to further increase customer-centricity in healthcare by innovating in machine learning and product engineering, fueling sales and marketing efforts, and continuing to expand the business. Recently, the company raised $2 million of venture funding from Blue Heron Capital on January 23, 2024.</t>
  </si>
  <si>
    <t>50 South Capital Advisors, Allos Ventures, Beringea, Blue Heron Capital, Elevate Ventures, High Alpha, Innovatemap, M25, Miami Angels, Mutual Capital Partners, Signal Peak Ventures</t>
  </si>
  <si>
    <t>Sopris Venture Capital</t>
  </si>
  <si>
    <t>50 South Capital Advisors (www.50southcapital.com), Allos Ventures (www.allosventures.com), Beringea (www.beringea.com), Blue Heron Capital (www.blueheroncap.com), Elevate Ventures (www.elevateventures.com), High Alpha (www.highalpha.com), Innovatemap (www.innovatemap.com), M25 (www.m25vc.com), Miami Angels (www.miamiangels.vc), Mutual Capital Partners (www.mutualcapitalpartners.com), Signal Peak Ventures (www.spv.com)</t>
  </si>
  <si>
    <t>Sopris Venture Capital (sopriscapitalvc.com)</t>
  </si>
  <si>
    <t>Signature Bank(General Business Banking)</t>
  </si>
  <si>
    <t>Taft Stettinius &amp; Hollister(Legal Advisor)</t>
  </si>
  <si>
    <t>225226-63P</t>
  </si>
  <si>
    <t>Amy Brown</t>
  </si>
  <si>
    <t>Founder, Chief Executive Officer, President, &amp; Chairwoman</t>
  </si>
  <si>
    <t>amy.brown@authenticx.com</t>
  </si>
  <si>
    <t>+1 (317) 296-6238</t>
  </si>
  <si>
    <t>Indianapolis, IN</t>
  </si>
  <si>
    <t>9405 Delegates Row</t>
  </si>
  <si>
    <t>Indianapolis</t>
  </si>
  <si>
    <t>46240</t>
  </si>
  <si>
    <t>info@authenticx.com</t>
  </si>
  <si>
    <t>482339-53</t>
  </si>
  <si>
    <t>Authoritive</t>
  </si>
  <si>
    <t>Authoritive, Inc.</t>
  </si>
  <si>
    <t>Developer of creator-centric text messaging platform designed to share expertise directly with the audience. The company collaborates with content creators and experts to build repeatable and scalable programs delivered via audio messages and videos, enabling creators to reach new audiences and drive revenue.</t>
  </si>
  <si>
    <t>content services, creator community, creator platform software, creator-centric platform, kms, knowledge management system, learning design platform, messaging content development, messaging platform, microlearning platform, web development</t>
  </si>
  <si>
    <t>www.authoritive.com</t>
  </si>
  <si>
    <t>http://www.linkedin.com/company/authoritive</t>
  </si>
  <si>
    <t>2021: 10, 2022: 14, 2023: 17, 2024: 11</t>
  </si>
  <si>
    <t>The company raised $5 million of Series 1 seed funding in a deal led by Seraph Group and Owl Ventures on December 9, 2021. GMG Ventures and other undisclosed investors also participated in the round. The funds will be used to help meet customer demand and drive growth.</t>
  </si>
  <si>
    <t>Mercuri, Owl Ventures, Seraph</t>
  </si>
  <si>
    <t>Mercuri (www.mercuri.vc), Owl Ventures (www.owlvc.com), Seraph (www.seraphgroup.net)</t>
  </si>
  <si>
    <t>278122-24P</t>
  </si>
  <si>
    <t>Christy Fletcher</t>
  </si>
  <si>
    <t>christy@authoritive.co</t>
  </si>
  <si>
    <t>74 5th Avenue</t>
  </si>
  <si>
    <t>10th Floor</t>
  </si>
  <si>
    <t>10011</t>
  </si>
  <si>
    <t>470031-94</t>
  </si>
  <si>
    <t>Availyst</t>
  </si>
  <si>
    <t>Availyst, Inc.</t>
  </si>
  <si>
    <t>Developer of a delivery management platform designed to offer a personalized search engine for food and beverage carriage. The company's platform provides local distribution options and gives the tools to organize it all that help one compare across local grocery, takeout, and convenience, enabling customers to save time and money on delivery and on-demand services.</t>
  </si>
  <si>
    <t>FoodTech, Mobile, Restaurant Technology</t>
  </si>
  <si>
    <t>delivery management, food delivery, food discovery software, grocery buy, restaurant &amp; retail tech, restaurant and retail technology, sales &amp; operations tech, sales and operations technology, search engine platform, search engine system</t>
  </si>
  <si>
    <t>home.availyst.com</t>
  </si>
  <si>
    <t>http://www.linkedin.com/company/availyst</t>
  </si>
  <si>
    <t>2021: 3, 2022: 5, 2023: 6, 2024: 8</t>
  </si>
  <si>
    <t>The company joined StartOut Growth Lab as a part of its cohort 8 on an undisclosed date. No equity or funding was exchanged as a result of this program.</t>
  </si>
  <si>
    <t>Atland Ventures, gener8tor, Juno Capital (United States), StartOut Growth Lab, Techstars</t>
  </si>
  <si>
    <t>Atland Ventures (www.atlandventures.com), gener8tor (www.gener8tor.com), Juno Capital (United States) (www.juno.capital), StartOut Growth Lab (www.startout.org), Techstars (www.techstars.com)</t>
  </si>
  <si>
    <t>269222-32P</t>
  </si>
  <si>
    <t>Mandy Poston</t>
  </si>
  <si>
    <t>Founder, Chief Executive Officer, Managing Member &amp; Board Member</t>
  </si>
  <si>
    <t>mposton@home.availyst.com</t>
  </si>
  <si>
    <t>+1 (833) 988-3612</t>
  </si>
  <si>
    <t>2324 Pine Street</t>
  </si>
  <si>
    <t>19103</t>
  </si>
  <si>
    <t>info@availyst.com</t>
  </si>
  <si>
    <t>494012-53</t>
  </si>
  <si>
    <t>Azalio</t>
  </si>
  <si>
    <t>Azalio, Inc.</t>
  </si>
  <si>
    <t>Developer of workforce management software designed for the convenience of retailers. The company's software provides workforce operations, employee scheduling, time tracking, employee communication, and employee recognition through monthly subscription-based pricing plans, enabling store owners, managers, and employees to keep track of their time, tasks, schedule, and communication.</t>
  </si>
  <si>
    <t>easy-to-use dashboard, employee tracking, employee tracking tools, online employee engagement, workforce management app, workforce management services</t>
  </si>
  <si>
    <t>www.azal.io</t>
  </si>
  <si>
    <t>http://www.linkedin.com/company/azalioapp</t>
  </si>
  <si>
    <t>2022: 10, 2023: 10, 2024: 23</t>
  </si>
  <si>
    <t>The company raised $2 million of seed funding from Urban Innovation Fund, New Stack Ventures and Underdog Labs on February 17, 2022. Amber Illig, Dawn Dobras, Alex Chang and David Hehman also participated in the round. . Out of the total funding, an undisclosed amount was raised in the form of convertible debt and subsequently converted to equity.</t>
  </si>
  <si>
    <t>Alex Chang, Amber Illig, David Hehman, Dawn Dobras, New Stack Ventures, Underdog Labs, Urban Innovation Fund</t>
  </si>
  <si>
    <t>David Hehman (www.davidhehman.com), New Stack Ventures (www.newstack.com), Underdog Labs (www.underdoglabs.io), Urban Innovation Fund (www.urbaninnovationfund.com)</t>
  </si>
  <si>
    <t>295967-26P</t>
  </si>
  <si>
    <t>Quratul-Ann Malik</t>
  </si>
  <si>
    <t>qmalik@azal.io</t>
  </si>
  <si>
    <t>465927-04</t>
  </si>
  <si>
    <t>Back to Space</t>
  </si>
  <si>
    <t>BTS</t>
  </si>
  <si>
    <t>Back to Space LLC</t>
  </si>
  <si>
    <t>Operator of a space edutainment platform intended to educate about space exploration through entertainment. The company's platform offers immersive, entertaining, and dynamic space exploration encounters through media and technology, and interactive resources to connect people with a team of astronauts, enabling customers to gain knowledge about space and motivating them to become a member of the space exploration crew in the future.</t>
  </si>
  <si>
    <t>Educational and Training Services (B2C)*, Educational Software, Entertainment Software</t>
  </si>
  <si>
    <t>EdTech, Space Technology</t>
  </si>
  <si>
    <t>aerospace education program, aerospace study, space education, space education provider, space exploration learning, space mission</t>
  </si>
  <si>
    <t>www.backtospace.com</t>
  </si>
  <si>
    <t>http://www.linkedin.com/company/back-to-space-llc</t>
  </si>
  <si>
    <t>2021: 19, 2022: 19, 2023: 13, 2024: 11</t>
  </si>
  <si>
    <t>The company raised $1.6 million of Series A venture funding from DOV Management, 4D Capital and Kyle Hoedebecke on April 5, 2021.</t>
  </si>
  <si>
    <t>4D Capital, DOV Management, Kyle Hoedebecke</t>
  </si>
  <si>
    <t>4D Capital (www.4datx.com), DOV Management (www.dreamonevision.com)</t>
  </si>
  <si>
    <t>95269-60P</t>
  </si>
  <si>
    <t>Michael Gorton</t>
  </si>
  <si>
    <t>Co-Founder, Co-Chief Executive Officer, President &amp; Board Member</t>
  </si>
  <si>
    <t>michael@backtospace.com</t>
  </si>
  <si>
    <t>Richardson, TX</t>
  </si>
  <si>
    <t>2100 North Greenville Avenue</t>
  </si>
  <si>
    <t>Richardson</t>
  </si>
  <si>
    <t>75082</t>
  </si>
  <si>
    <t>info@backtospace.com</t>
  </si>
  <si>
    <t>464035-15</t>
  </si>
  <si>
    <t>Balanced</t>
  </si>
  <si>
    <t>Balanced Health Ventures, Inc.</t>
  </si>
  <si>
    <t>Freeletics, Obé</t>
  </si>
  <si>
    <t>Developer of a digital fitness platform designed for older adults to specialize in aging fitness. The company's platform offers physical therapy assessments, personalized workout schedules and live exercise and mindfulness classes designed for healthy aging delivered via video communication, enabling older adults to maintain a healthy lifestyle.</t>
  </si>
  <si>
    <t>Application Software, Educational and Training Services (B2C)*, Other Healthcare Services, Other Services (B2C Non-Financial)</t>
  </si>
  <si>
    <t>Digital Health, EdTech, TMT</t>
  </si>
  <si>
    <t>exercise classes, exercise guide, health exercise, healthcare classes, live classes, online training, online workout, wellness fitness</t>
  </si>
  <si>
    <t>www.hellobalanced.com</t>
  </si>
  <si>
    <t>http://www.linkedin.com/company/hellobalanced</t>
  </si>
  <si>
    <t>2021: 6, 2022: 37, 2023: 40, 2024: 12</t>
  </si>
  <si>
    <t>The company raised $6.5 million of seed funding in the form of SAFE notes in a deal led by Primary Venture Partners and Founders Fund on February 10, 2022. Stellation Capital, Lux Capital and other undisclosed investors also participated in the round. The funds will be used towards hiring more trainers and building out the trainer profiles to see what resonates most with members.</t>
  </si>
  <si>
    <t>Founders Fund, Lux Capital, Primary Venture Partners, Stellation Capital</t>
  </si>
  <si>
    <t>Founders Fund (www.foundersfund.com), Lux Capital (www.luxcapital.com), Primary Venture Partners (www.primary.vc), Stellation Capital (www.stellation.vc)</t>
  </si>
  <si>
    <t>258865-84P</t>
  </si>
  <si>
    <t>Catharine Corcos</t>
  </si>
  <si>
    <t>Co-Founder, Executive Officer &amp; Board Member</t>
  </si>
  <si>
    <t>+1 (646) 343-9050</t>
  </si>
  <si>
    <t>Albany, NY</t>
  </si>
  <si>
    <t>84 State Street</t>
  </si>
  <si>
    <t>Albany</t>
  </si>
  <si>
    <t>12207</t>
  </si>
  <si>
    <t>contact@hellobalanced.com</t>
  </si>
  <si>
    <t>471601-72</t>
  </si>
  <si>
    <t>Barometer</t>
  </si>
  <si>
    <t>Vericrypt</t>
  </si>
  <si>
    <t>Barometer, Inc.</t>
  </si>
  <si>
    <t>Developer of an AI measurement platform designed for brand suitability in podcast advertising. The company's platform analyzes content for bias and other key attributes and uses artificial intelligence to provide transparent ratings for podcasts, enabling advertisers to get informative metrics such as degrees of language formality, editorial bias, sensationalism, and more.</t>
  </si>
  <si>
    <t>AdTech, Artificial Intelligence &amp; Machine Learning, Big Data</t>
  </si>
  <si>
    <t>analysis software, analysis test, computer software, data driven insights, digital audio, fintech, podcast advertising, vertical application</t>
  </si>
  <si>
    <t>www.thebarometer.co</t>
  </si>
  <si>
    <t>http://www.linkedin.com/company/thebarometer</t>
  </si>
  <si>
    <t>2021: 7, 2022: 10, 2023: 8, 2024: 16</t>
  </si>
  <si>
    <t>The company raised an undisclosed amount of seed funding from HearstLab on June 24, 2024.</t>
  </si>
  <si>
    <t>Altari Ventures, BDMI, Brickyard, Growth Warrior Capital, HearstLab, Knoll Ventures, Reform Ventures, Reinforced Ventures, Vishal Rao</t>
  </si>
  <si>
    <t>Altari Ventures (altariventures.com), BDMI (www.bdmifund.com), Brickyard (www.justlaybrick.com), Growth Warrior Capital (www.gwc.vc), HearstLab (www.hearstlab.com), Knoll Ventures (www.knollventures.com), Reform Ventures (www.reformventures.com), Reinforced Ventures (www.reinforcedventures.com)</t>
  </si>
  <si>
    <t>272853-19P</t>
  </si>
  <si>
    <t>Tamara Zubatiy</t>
  </si>
  <si>
    <t>tamara@thebarometer.co</t>
  </si>
  <si>
    <t>+1 (858) 592-3192</t>
  </si>
  <si>
    <t>300 W 57th Street, Floor 33</t>
  </si>
  <si>
    <t>info@thebarometer.co</t>
  </si>
  <si>
    <t>439372-27</t>
  </si>
  <si>
    <t>Beable</t>
  </si>
  <si>
    <t>Mission with a Margin</t>
  </si>
  <si>
    <t>Beable Education, Inc.</t>
  </si>
  <si>
    <t>Developer of a literacy acceleration platform designed to provide digital learning and educational content. The company's platform accelerates literacy growth by combining it with grade-level content acquisition, and competitive exam preparations as well as provides an individualized path for every student based on their academic and career goals, enabling middle and high school students a tailored, multidimensional differentiated educational content.</t>
  </si>
  <si>
    <t>Educational and Training Services (B2C)*, Educational Software, Information Services (B2C)</t>
  </si>
  <si>
    <t>digital learning, e learning platform, educational platform, educational services, sat preparation, study guide</t>
  </si>
  <si>
    <t>www.beable.com</t>
  </si>
  <si>
    <t>http://www.linkedin.com/company/beableeducation</t>
  </si>
  <si>
    <t>2020: 61, 2021: 72, 2022: 70, 2023: 85, 2024: 71</t>
  </si>
  <si>
    <t>The company raised $8.8 million through a combination of convertible debt, Series A-1 and Series A-2 venture funding from RiverPark Ventures and other undisclosed investors on September 23, 2020, putting the company's pre-money valuation at $20 million. Out of the total funding $1.15 million was raised in the form of convertible debt and $7.65 million was raised in the form of equity.</t>
  </si>
  <si>
    <t>GHO Ventures, RiverPark Ventures</t>
  </si>
  <si>
    <t>GHO Ventures (www.ghoventures.com), RiverPark Ventures (www.riverparkvc.com)</t>
  </si>
  <si>
    <t>38375-56P</t>
  </si>
  <si>
    <t>Saki Dodelson</t>
  </si>
  <si>
    <t>saki.dodelson@beable.com</t>
  </si>
  <si>
    <t>+1 (833) 866-8066</t>
  </si>
  <si>
    <t>Lakewood, NJ</t>
  </si>
  <si>
    <t>36 Airport Road</t>
  </si>
  <si>
    <t>Lakewood</t>
  </si>
  <si>
    <t>08701</t>
  </si>
  <si>
    <t>info@beable.com</t>
  </si>
  <si>
    <t>Bridge Loan - $1.15M (Convertible)</t>
  </si>
  <si>
    <t>494787-43</t>
  </si>
  <si>
    <t>Beauty 911</t>
  </si>
  <si>
    <t>Beauty 911 App, Inc.</t>
  </si>
  <si>
    <t>Provider of home beauty services intended to offer beauty services like manicures, haircuts, makeup, and more services. The company provides home beauty services from certified professionals to the comfort of customers' homes or offices, enabling people to get salon services at their places.</t>
  </si>
  <si>
    <t>Application Software, Other Services (B2C Non-Financial)*, Personal Products</t>
  </si>
  <si>
    <t>Beauty</t>
  </si>
  <si>
    <t>beauty clinic, beauty platform, beauty services, haircut books, home beauty services, manicure service</t>
  </si>
  <si>
    <t>www.beauty911app.com</t>
  </si>
  <si>
    <t>http://www.linkedin.com/company/beauty911</t>
  </si>
  <si>
    <t>2022: 7, 2023: 5, 2024: 9</t>
  </si>
  <si>
    <t>The company joined Grupo Guayacán on July 3, 2023. No equity or funding was exchanged as a result of this program.</t>
  </si>
  <si>
    <t>305 Ventures, Bravo Family Foundation, Grupo Guayacán, Parallel18</t>
  </si>
  <si>
    <t>305 Ventures (www.305.ventures), Bravo Family Foundation (www.bravofamilyfoundation.org), Grupo Guayacán (www.guayacan.org), Parallel18 (www.parallel18.com)</t>
  </si>
  <si>
    <t>298198-27P</t>
  </si>
  <si>
    <t>Carmen Ayuso</t>
  </si>
  <si>
    <t>Co-Founder, Company Owner and Principal Chief Executive Officer</t>
  </si>
  <si>
    <t>cayuso@beauty911app.com</t>
  </si>
  <si>
    <t>+1 (939) 489-2029</t>
  </si>
  <si>
    <t>San Juan, PR</t>
  </si>
  <si>
    <t>Llegamos a Más De 7 Pueblos</t>
  </si>
  <si>
    <t>San Juan</t>
  </si>
  <si>
    <t>Puerto Rico</t>
  </si>
  <si>
    <t>beauty911@beauty911pr.com</t>
  </si>
  <si>
    <t>435595-15</t>
  </si>
  <si>
    <t>Because</t>
  </si>
  <si>
    <t>Because Intelligence</t>
  </si>
  <si>
    <t>Because Marketing Inc.</t>
  </si>
  <si>
    <t>Developer of an application intended to provide product page optimization for online sellers. The company's platform allows for site handlers to change the description of the product and manage various functionalities like customer testimonials, shipping info, and promotions without the need to code any of the changes, enabling small businesses to manage site efficiently and increase conversion with site visitors which in turn results in increased sales.</t>
  </si>
  <si>
    <t>conversion data, ecommerce data, ecommerce personalization, online seller, shopify application, small business website, web design software</t>
  </si>
  <si>
    <t>www.trybecause.com</t>
  </si>
  <si>
    <t>http://www.linkedin.com/company/trybecause</t>
  </si>
  <si>
    <t>2020: 19, 2021: 15, 2022: 9, 2023: 18</t>
  </si>
  <si>
    <t>The company raised $3 million of venture funding in a deal led by Harlem Capital on May 18, 2022. Studio VC and 5 other investors also participated in the round. The funds will be used to grow product and team; build out integrations with additional c-commerce platforms like Klaviyo, Smile.io, and ShipBob; and leverage artificial intelligence to predict the exact message site users need to purchase and to compare their results against other stores in similar industries and geographies.</t>
  </si>
  <si>
    <t>186 Ventures, Backbone Angels, Boston Syndicates, Debra Lally, Diana Yuan, Ethan Bernstein, Gaingels, Harlem Capital, Jillian Kando, Kyle Daniel, Launchpad Venture Group, MassChallenge, Matthew Marra, North Coast Ventures, Service Provider Capital, Sonciary Honnoll, Studio VC, Two Lanterns Venture Capital, Water Bear Ventures</t>
  </si>
  <si>
    <t>186 Ventures (186ventures.com), Backbone Angels (www.backboneangels.com), Boston Syndicates (www.bossbacked.com), Gaingels (www.gaingels.com), Harlem Capital (harlem.capital), Launchpad Venture Group (www.launchpadventuregroup.com), MassChallenge (www.masschallenge.org), North Coast Ventures (www.northcoast.vc), Service Provider Capital (www.serviceprovidercapital.com), Studio VC (www.studio.vc), Two Lanterns Venture Capital (www.2l.vc), Water Bear Ventures (www.waterbearventures.com)</t>
  </si>
  <si>
    <t>231281-74P</t>
  </si>
  <si>
    <t>Ashland Stansbury</t>
  </si>
  <si>
    <t>ashland@becauseintelligence.com</t>
  </si>
  <si>
    <t>+1 (781) 801-6276</t>
  </si>
  <si>
    <t>8 Callahan Place</t>
  </si>
  <si>
    <t>Hingham</t>
  </si>
  <si>
    <t>02043</t>
  </si>
  <si>
    <t>507100-24</t>
  </si>
  <si>
    <t>BeFake AI</t>
  </si>
  <si>
    <t>BeFake</t>
  </si>
  <si>
    <t>Alias Technologies Inc.</t>
  </si>
  <si>
    <t>Invideo, RealNetworks, Wochit, coAdJoint, Powtoon, Wideo, Wix.com, Animoto, Movavi, Canva, Kapwing, Yogurt Labs, Imgur, ShareChat</t>
  </si>
  <si>
    <t>Developer of an artificial intelligence platform intended to connect with audience. The company's multi-modal generative algorithmic intelligence platform provides with customizable, domain-specific visuals that can be seamlessly integrated into applications with a simple application programming interface call, helping developers with creating customizable visual and conversational bots.</t>
  </si>
  <si>
    <t>Multimedia and Design Software*, Other Software</t>
  </si>
  <si>
    <t>Artificial Intelligence &amp; Machine Learning, Big Data, TMT</t>
  </si>
  <si>
    <t>ai cores, analytics platform, api calling, artificial intelligence platform, conversational bot, generative ai model, social content creation, social network</t>
  </si>
  <si>
    <t>www.befakeai.com</t>
  </si>
  <si>
    <t>http://www.linkedin.com/company/alias-app</t>
  </si>
  <si>
    <t>2022: 4, 2023: 12</t>
  </si>
  <si>
    <t>The company raised $3 million of seed funding in a deal led by Khosla Ventures on September 1, 2023, putting the company's pre-money valuation at $12 million. WS Investments and 4 other investors also participated in the round. The funds will be used to expand operations and the company's development efforts.</t>
  </si>
  <si>
    <t>Joseph Lonsdale, Khosla Ventures, Maveron, Next Coast Ventures, Peter Thiel, WS Investments</t>
  </si>
  <si>
    <t>Khosla Ventures (www.khoslaventures.com), Maveron (www.maveron.com), Next Coast Ventures (www.nextcoastventures.com), WS Investments (www.wsinvestments.pl)</t>
  </si>
  <si>
    <t>210205-09P</t>
  </si>
  <si>
    <t>Tracy Lane</t>
  </si>
  <si>
    <t>tracy@alias-app.com</t>
  </si>
  <si>
    <t>+1 (650) 348-5555</t>
  </si>
  <si>
    <t>Burlingame, CA</t>
  </si>
  <si>
    <t>Burlingame</t>
  </si>
  <si>
    <t>info@alias-app.com</t>
  </si>
  <si>
    <t>106938-19</t>
  </si>
  <si>
    <t>BenefitBay</t>
  </si>
  <si>
    <t>Benefitbay Inc.</t>
  </si>
  <si>
    <t>Take Command, Venteur, First Dollar, PeopleKeep, Remodel Health, Zorro, W3LL, Gravie</t>
  </si>
  <si>
    <t>Developer of an administration platform designed to offer personalized benefits for the modern workforce. The company's platform leverages an all-new benefit option, which allows employers to reimburse employees for individual health plans while maintaining the tax advantages of a group insurance policy, enabling employees to access the tools and support to select and enroll in the right plan.</t>
  </si>
  <si>
    <t>Application Software, Business/Productivity Software*, Managed Care</t>
  </si>
  <si>
    <t>InsurTech, SaaS</t>
  </si>
  <si>
    <t>distribution and intermediation, employee benefit service, employee benefit software, health benefits platform, health benefits software, hr benefits administration, insurance portal software, premium payment platform</t>
  </si>
  <si>
    <t>www.benefitbay.com</t>
  </si>
  <si>
    <t>http://www.linkedin.com/company/benefitbay</t>
  </si>
  <si>
    <t>2015: 11, 2021: 32, 2022: 23, 2023: 19, 2024: 32</t>
  </si>
  <si>
    <t>The company raised $2.99 million of Series 2 seed funding from Allos Ventures on August 9, 2024. The funds will be used to accelerate the development of its platform, incorporating advanced features that enhance user experience and compliance and further streamline administrative processes, reduce costs, and improve the overall satisfaction of its clients.</t>
  </si>
  <si>
    <t>Allos Ventures, Atypical Ventures, Comeback Capital, G Ventures (VC), Invest Nebraska, Liquid 2 Ventures, Michael Derezin, Nebraska Angels, Nelnet, Nelnet Ventures, Oregon Venture Fund, Right Side Capital Management, Skypoint Ventures, Splash Capital, Treetop Ventures</t>
  </si>
  <si>
    <t>Allos Ventures (www.allosventures.com), Atypical Ventures (www.atypical.com), Comeback Capital (www.comeback.vc), G Ventures (VC) (www.gventures.fund), Invest Nebraska (www.investnebraska.com), Liquid 2 Ventures (www.liquid2.vc), Nebraska Angels (www.nebraskaangels.org), Nelnet (www.nelnet.com), Oregon Venture Fund (oregonventurefund.com), Right Side Capital Management (www.rightsidecapital.com), Skypoint Ventures (www.skypointventures.com), Splash Capital (www.splashcapital.com), Treetop Ventures (www.treetopventures.com)</t>
  </si>
  <si>
    <t>Foley &amp; Lardner(Legal Advisor), Moss Adams(Auditor)</t>
  </si>
  <si>
    <t>Thompson Hine(Legal Advisor)</t>
  </si>
  <si>
    <t>339047-65P</t>
  </si>
  <si>
    <t>Brandy Burch</t>
  </si>
  <si>
    <t>Co-Founder, Chief Executive Officer, Vice President of Operations &amp; Board Member</t>
  </si>
  <si>
    <t>+1 (402) 979-8499</t>
  </si>
  <si>
    <t>Kansas City, MO</t>
  </si>
  <si>
    <t>1475 Walnut Street</t>
  </si>
  <si>
    <t>Suite 12</t>
  </si>
  <si>
    <t>Kansas City</t>
  </si>
  <si>
    <t>64106</t>
  </si>
  <si>
    <t>info@benefitbay.com</t>
  </si>
  <si>
    <t>432866-80</t>
  </si>
  <si>
    <t>Benepass</t>
  </si>
  <si>
    <t>BenePass, Inc.</t>
  </si>
  <si>
    <t>KoOS, Caju, Cobee, Buzz Points, Forma (Human Capital Services), Compt, Swile, WageWorks, PayFlex, Edenred Group, Navia Benefit Solutions, TASC, Zestful</t>
  </si>
  <si>
    <t>Developer of a benefits card software designed to improve access to benefits, maximize flexibility, and increase ease of use. The company's platform lets employers set their wellness policy by distributing the funds via prepaid debit cards and also automates the onboarding and offboarding of employees through payroll integration, enabling employers to seamlessly connect with payroll and accounting departments for tax compliance and improve employee engagement.</t>
  </si>
  <si>
    <t>FinTech, HR Tech</t>
  </si>
  <si>
    <t>automated administration, benefits card, bnpl, credit &amp; bnpl, credit and banking, debit card, employee engagement app, employee wellness service, enterprise resource planning, erp, human capital management, payroll automation</t>
  </si>
  <si>
    <t>www.getbenepass.com</t>
  </si>
  <si>
    <t>http://www.linkedin.com/company/benepass</t>
  </si>
  <si>
    <t>2020: 6, 2021: 10, 2022: 35, 2023: 44, 2024: 45</t>
  </si>
  <si>
    <t>The company raised $20 million of Series A3 venture funding in a deal led by Portage and Clocktower Technology Ventures on January 31, 2024, putting the company's pre-money valuation at $69.25 million. Workday Ventures, Gradient Ventures, Sagard Holdings, and Threshold Ventures also participated in the round. The funds will be used to expand the customer base by scaling distribution as well as introduce innovative new features that meet the needs of both administrators and employees.</t>
  </si>
  <si>
    <t>Aaron Levie, AltaIR Capital, Alumni Ventures, Amino Capital, BergTop VC, Clocktower Ventures, Elysium Venture Capital, Global Founders Capital, Gradient Ventures, Jake Schwartz, MVP Ventures, Operator Partners, Polymath Capital Partners, Portage, Sagard Holdings, Soma Capital, The World Economic Forum, Threshold Ventures, Workday Ventures, Y Combinator</t>
  </si>
  <si>
    <t>AltaIR Capital (www.altair.vc), Alumni Ventures (www.av.vc), Amino Capital (www.aminocapital.com), BergTop VC (www.bergtop.vc), Clocktower Ventures (www.clocktowerventures.com), Elysium Venture Capital (ely.vc), Global Founders Capital (www.globalfounderscapital.com), Gradient Ventures (www.gradient.com), MVP Ventures (www.mvp-vc.com), Operator Partners (www.operatorpartners.com), Polymath Capital Partners (www.polymathcp.com), Portage (portageinvest.com), Sagard Holdings (www.sagard.com), Soma Capital (somacap.com), The World Economic Forum (widgets.weforum.org), Threshold Ventures (www.threshold.vc), Workday Ventures (ventures.workday.com), Y Combinator (www.ycombinator.com)</t>
  </si>
  <si>
    <t>224266-33P</t>
  </si>
  <si>
    <t>Jaclyn Chen</t>
  </si>
  <si>
    <t>jaclyn@getbenepass.com</t>
  </si>
  <si>
    <t>+1 (917) 540-2391</t>
  </si>
  <si>
    <t>101 West 24th Street</t>
  </si>
  <si>
    <t>Apartment 17C</t>
  </si>
  <si>
    <t>info@getbenepass.com</t>
  </si>
  <si>
    <t>Series A3</t>
  </si>
  <si>
    <t>483321-52</t>
  </si>
  <si>
    <t>Beni</t>
  </si>
  <si>
    <t>Benefact(or), Inc.</t>
  </si>
  <si>
    <t>Faircado, Gently(Internet Retail)</t>
  </si>
  <si>
    <t>Operator of an AI-powered re-commerce enablement platform intended to accelerate the circular economy by making resale the easy choice for shoppers. The platform includes a free browser extension that highlights resale alternatives from marketplaces, in real-time while shoppers are browsing mainline brand sites, it also includes a mobile extension and mobile app that allows shoppers to see deals on the go, save searches, and set alerts to see when new listings become available, enabling shoppers to easily get secondhand shopping items via mobile phone.</t>
  </si>
  <si>
    <t>advertising technology, ai-powered crm, artificial intelligence marketing software, browser extensions, circular economy, crm, customer relationship management, digital commerce, ecommerce personalization, fashion site, online secondhand market, recommerce platform, secondhand clothing, secondhand items, secondhand shopping, shopping platform</t>
  </si>
  <si>
    <t>www.joinbeni.com</t>
  </si>
  <si>
    <t>http://www.linkedin.com/company/joinbeni</t>
  </si>
  <si>
    <t>2021: 6, 2022: 44, 2023: 36, 2024: 6</t>
  </si>
  <si>
    <t>The company is reportedly seeking seed funding from undisclosed investors. Previously, the company joined Google for Startups Accelerator in approximately March 2023.</t>
  </si>
  <si>
    <t>Better Ventures, Buoyant Ventures, Chingona Ventures, Google for Startups, Starting Line, XYZ Venture Capital, Zell Fellows</t>
  </si>
  <si>
    <t>Better Ventures (www.better.vc), Buoyant Ventures (www.buoyant.vc), Chingona Ventures (chingona.ventures), Google for Startups (startup.google.com), Starting Line (www.startingline.vc), XYZ Venture Capital (www.xyz.vc)</t>
  </si>
  <si>
    <t>122847-58P</t>
  </si>
  <si>
    <t>Sarah Pinner</t>
  </si>
  <si>
    <t>Co-Founder &amp; Advisor</t>
  </si>
  <si>
    <t>sarah@joinbeni.com</t>
  </si>
  <si>
    <t>+1 (805) 729-5912</t>
  </si>
  <si>
    <t>Santa Barbara, CA</t>
  </si>
  <si>
    <t>825 Santa Barbara Street</t>
  </si>
  <si>
    <t>Santa Barbara</t>
  </si>
  <si>
    <t>93101</t>
  </si>
  <si>
    <t>team@joinbeni.com</t>
  </si>
  <si>
    <t>501275-35</t>
  </si>
  <si>
    <t>Bestever</t>
  </si>
  <si>
    <t>Bestever Inc.</t>
  </si>
  <si>
    <t>Operator of a video commerce platform intended to cater to online shoppers and brands. The company's platform offers an application to discover products through captivating video reviews for creative seasonal and timely creatives, enabling shoppers with a new experience to shop online, reviews and brands with data for improved conversion rate and reduced cart abandonment.</t>
  </si>
  <si>
    <t>AdTech, Artificial Intelligence &amp; Machine Learning, Marketing Tech, SaaS</t>
  </si>
  <si>
    <t>advertisement analysis, content creation platform, video ads creator, video commerce platform, video commerce software, video review platform</t>
  </si>
  <si>
    <t>www.bestever.ai</t>
  </si>
  <si>
    <t>http://www.linkedin.com/company/bestever-ai</t>
  </si>
  <si>
    <t>2023: 13, 2024: 13</t>
  </si>
  <si>
    <t>The company raised an estimated $5 million through the combination of Seed-5, Seed-6, and Seed-1 funding from MKT1, and other undisclosed inestors on April 6, 2023, putting the company's pre-money valuation at $12 million.</t>
  </si>
  <si>
    <t>F7 Ventures, MKT1, Pareto Holdings, SuperAngel.Fund, XRM Media</t>
  </si>
  <si>
    <t>F7 Ventures (www.f7ventures.com), MKT1 (www.mkt1.co), Pareto Holdings (www.pareto20.com), SuperAngel.Fund (www.superangel.vc), XRM Media (xrmmedia.com)</t>
  </si>
  <si>
    <t>308158-57P</t>
  </si>
  <si>
    <t>Apoorva Govind</t>
  </si>
  <si>
    <t>apoorva@bestever.io</t>
  </si>
  <si>
    <t>+1 (415) 702-0653</t>
  </si>
  <si>
    <t>188 King Street</t>
  </si>
  <si>
    <t>509478-40</t>
  </si>
  <si>
    <t>Betty's Co.</t>
  </si>
  <si>
    <t>Betty's</t>
  </si>
  <si>
    <t>Bettys Health Company, LLC</t>
  </si>
  <si>
    <t>Developer of a virtual care platform designed to help manage wellness and lifestyle. The company's platform connects women with gynecology issues, mental health, nutrition, weight management and overall health, enabling women to get gynecology treatment, mental healthcare and wellness healthcare.</t>
  </si>
  <si>
    <t>Healthcare Services</t>
  </si>
  <si>
    <t>Clinics/Outpatient Services</t>
  </si>
  <si>
    <t>Application Software, Clinics/Outpatient Services*, Other Healthcare Services</t>
  </si>
  <si>
    <t>Digital Health, E-Commerce, FemTech, Mobile</t>
  </si>
  <si>
    <t>community platform, community platform developer, community platform operator, gynecology service, mental healthcare, weight management</t>
  </si>
  <si>
    <t>www.bettysco.com</t>
  </si>
  <si>
    <t>http://www.linkedin.com/company/bettys</t>
  </si>
  <si>
    <t>2022: 12</t>
  </si>
  <si>
    <t>The company raised $500,000 of venture funding from Catalyst by Wellstar in February 2024.</t>
  </si>
  <si>
    <t>Capital Factory, Catalyst by Wellstar, Femovate, Geekdom, Ignite Healthcare Network, TechFuel</t>
  </si>
  <si>
    <t>Capital Factory (www.capitalfactory.com), Catalyst by Wellstar (catalyst.wellstar.org), Femovate (www.femtechux.com/femovate), Geekdom (geekdom.com), Ignite Healthcare Network (www.ignitehealthcare.org), TechFuel (www.satechbloc.com)</t>
  </si>
  <si>
    <t>317724-58P</t>
  </si>
  <si>
    <t>Jennifer Newell</t>
  </si>
  <si>
    <t>jnewell@awkwardshop.square.site</t>
  </si>
  <si>
    <t>+1 (210) 572-4931</t>
  </si>
  <si>
    <t>San Antonio, TX</t>
  </si>
  <si>
    <t>110 East Houston Street</t>
  </si>
  <si>
    <t>San Antonio</t>
  </si>
  <si>
    <t>78205</t>
  </si>
  <si>
    <t>hello@bettysco.com</t>
  </si>
  <si>
    <t>Expected 18-Jun-2026</t>
  </si>
  <si>
    <t>528262-30</t>
  </si>
  <si>
    <t>Between</t>
  </si>
  <si>
    <t>Between, Inc</t>
  </si>
  <si>
    <t>Provider of telehealth services intended to offer gynecology care. The company works with local clinicians to bring gynecology care through the booking of appointments via their website for online consultations or showing up in person, enabling individuals seeking gynecology care to enhance the overall healthcare experience.</t>
  </si>
  <si>
    <t>Application Software, Clinics/Outpatient Services*</t>
  </si>
  <si>
    <t>Digital Health, FemTech, HealthTech, LOHAS &amp; Wellness, TMT</t>
  </si>
  <si>
    <t>appointment booking, gynecology care, health consultation, online consultation, telehealth services, women's health</t>
  </si>
  <si>
    <t>www.hellobetween.com</t>
  </si>
  <si>
    <t>http://www.linkedin.com/company/between-health</t>
  </si>
  <si>
    <t>2023: 3, 2024: 7</t>
  </si>
  <si>
    <t>The company raised $350,000 of venture funding from Atento Capital on April 16, 2024.</t>
  </si>
  <si>
    <t>ACT House, Atento Capital, FemHealth Founders</t>
  </si>
  <si>
    <t>ACT House (www.act.house), Atento Capital (www.atentocapital.com), FemHealth Founders (www.femhealthfounders.com)</t>
  </si>
  <si>
    <t>348859-54P</t>
  </si>
  <si>
    <t>Sheereen Brown</t>
  </si>
  <si>
    <t>sheereen@between.health</t>
  </si>
  <si>
    <t>+1 (470) 815-8543</t>
  </si>
  <si>
    <t>1800 Peachtree Road Northeast</t>
  </si>
  <si>
    <t>hi@between.health</t>
  </si>
  <si>
    <t>461801-44</t>
  </si>
  <si>
    <t>BigSpring</t>
  </si>
  <si>
    <t>BigSpring.io</t>
  </si>
  <si>
    <t>BigSpring Services Private Limited</t>
  </si>
  <si>
    <t>Highspot, MindTickle</t>
  </si>
  <si>
    <t>Developer of an artificial intelligence-powered revenue acceleration platform designed to keep sellers up to speed with the latest innovations to accelerate productivity and revenue growth. The company offers an AI (artificial intelligence) engine that deploys personalized campaigns with continuous practice and scoring, enabling global companies to equip the ecosystem of teams and partners with the latest product innovations to accelerate business growth.</t>
  </si>
  <si>
    <t>Automation/Workflow Software, Business/Productivity Software*, Database Software, Educational Software, Media and Information Services (B2B), Software Development Applications</t>
  </si>
  <si>
    <t>ai products, ai work assistant, business efficiency, channel sales improvement, channel sales platform, crm, employee learning, enterprise search, generative ai, horizontal application, learning tool, learning tracker, online learning app, online learning portal, online skills learning, revenue acceleration platform, revenue acceleration software, revenue improvement, revenue intelligence platform, sales acceleration platform, sales acceleration software, sales analytics software, sales enablement, sales execution platform, work assistant</t>
  </si>
  <si>
    <t>www.bigspring.ai</t>
  </si>
  <si>
    <t>http://www.linkedin.com/company/bigspringio</t>
  </si>
  <si>
    <t>2021: 39, 2022: 43, 2023: 25, 2024: 29</t>
  </si>
  <si>
    <t>M Venture Partners sold a stake in the company to an undisclosed buyer. Previously, the company raised $6.5 million of venture funding from M Venture Partners, JC2 Ventures and Shailesh Rao on May 1, 2022. John Chambers, Stewart Butterfield, Adam Grant, Mark Templeton, Claire Johnson, Martin Nesbitt and Alto Partners (Singapore) also participated in the round.</t>
  </si>
  <si>
    <t>Adam Grant, Alto Partners (Singapore), Claire Johnson, JC2 Ventures, John Chambers, Mark Templeton, Shailesh Rao, Stewart Butterfield, The World Economic Forum</t>
  </si>
  <si>
    <t>M Venture Partners</t>
  </si>
  <si>
    <t>Adam Grant (adamgrant.net), Alto Partners (Singapore) (www.alto-partners.com), JC2 Ventures (www.jc2ventures.com), The World Economic Forum (widgets.weforum.org)</t>
  </si>
  <si>
    <t>M Venture Partners (www.m-venturepartners.com)</t>
  </si>
  <si>
    <t>254201-77P</t>
  </si>
  <si>
    <t>Bhakti Vithalani</t>
  </si>
  <si>
    <t>bhakti.vithalani@bigspring.ai</t>
  </si>
  <si>
    <t>188 Minna Street</t>
  </si>
  <si>
    <t>contact@bigspring.ai</t>
  </si>
  <si>
    <t>483546-97</t>
  </si>
  <si>
    <t>Bilin Academy</t>
  </si>
  <si>
    <t>Bilin Studio</t>
  </si>
  <si>
    <t>Bilin</t>
  </si>
  <si>
    <t>Bilin Academy, Inc.</t>
  </si>
  <si>
    <t>Developer of an e-learning platform designed for children to have access to multilingual learning. The company's platform offers online extracurricular, cultural, or academic classes in children's second language to reinforce second language acquisition, enabling children to understand and become respectful of cultural differences.</t>
  </si>
  <si>
    <t>Educational and Training Services (B2C), Educational Software*</t>
  </si>
  <si>
    <t>children learning, children learning app, e-learning portal, e-learning services, e-learning tools, multilingual content</t>
  </si>
  <si>
    <t>www.bilin.academy</t>
  </si>
  <si>
    <t>http://www.linkedin.com/company/bilin-academy</t>
  </si>
  <si>
    <t>2021: 3, 2022: 10, 2024: 19</t>
  </si>
  <si>
    <t>The company joined gBETA as part of its Spring Education Cohort on April 17, 2024.</t>
  </si>
  <si>
    <t>gBETA, Graham &amp; Walker, LongJump</t>
  </si>
  <si>
    <t>gBETA (gbetastartups.com), Graham &amp; Walker (www.grahamwalker.com), LongJump (www.longjump.vc)</t>
  </si>
  <si>
    <t>Indiegogo(Lead Manager or Arranger)</t>
  </si>
  <si>
    <t>280800-73P</t>
  </si>
  <si>
    <t>Huayi He</t>
  </si>
  <si>
    <t>+1 (312) 536-3177</t>
  </si>
  <si>
    <t>222 West Merchandise Mart Plaza</t>
  </si>
  <si>
    <t>Suite 1212</t>
  </si>
  <si>
    <t>529198-57</t>
  </si>
  <si>
    <t>Binkey</t>
  </si>
  <si>
    <t>Binkey, Inc.</t>
  </si>
  <si>
    <t>Developer of an API-enabled payment service platform intended to help merchants accept pre-tax, and health benefits. The company offers an application programming interface payment service for merchants to take flexible spending accounts and health savings accounts, as a form of payment at checkout, enabling customers to discover eligible health products and purchase them.</t>
  </si>
  <si>
    <t>api platform, digital wallet, financial services, health benefits service, online wallets, payment platform</t>
  </si>
  <si>
    <t>www.binkey.com</t>
  </si>
  <si>
    <t>http://www.linkedin.com/company/binkey</t>
  </si>
  <si>
    <t>2023: 10</t>
  </si>
  <si>
    <t>The company raised $4 million of Series 1 seed funding from 3CC | Third Culture Capital, SpringTide Ventures and Plug and Play Tech Center, Wellington Access Ventures on December 14, 2023, putting the company's pre-money valuation at $13 million. Wellington Management also participated in the round.</t>
  </si>
  <si>
    <t>3CC | Third Culture Capital, gBETA, Plug and Play Tech Center, SpringTide Ventures (US), Wellington Access Ventures, Wellington Management</t>
  </si>
  <si>
    <t>3CC | Third Culture Capital (www.thirdculturecapital.com), gBETA (gbetastartups.com), Plug and Play Tech Center (www.plugandplaytechcenter.com), SpringTide Ventures (US) (www.springtide.com), Wellington Management (www.wellington.com)</t>
  </si>
  <si>
    <t>355132-90P</t>
  </si>
  <si>
    <t>Obiaku Ohiaeri</t>
  </si>
  <si>
    <t>info@joinbinkey.com</t>
  </si>
  <si>
    <t>471509-29</t>
  </si>
  <si>
    <t>Bitewell</t>
  </si>
  <si>
    <t>Bitewell, Inc.</t>
  </si>
  <si>
    <t>Wellory, Season (Information Services), Foodsmart, Weight Watchers</t>
  </si>
  <si>
    <t>Developer of a transformative food-as-medicine platform designed to simplify and democratize healthy eating. The company's platform provides advice on food and nutrition, through a combination of benefits, rewards and a proprietary health navigation metric, food health score, enabling businesses and individuals to reduce healthcare costs by aligning food choices with long-term health outcomes.</t>
  </si>
  <si>
    <t>Business/Productivity Software, Other Commercial Services*, Other Restaurants, Hotels and Leisure, Other Services (B2C Non-Financial)</t>
  </si>
  <si>
    <t>Artificial Intelligence &amp; Machine Learning, Big Data, FoodTech, LOHAS &amp; Wellness, SaaS</t>
  </si>
  <si>
    <t>diet meals, discovery &amp; review, discovery and review, employer benefits planning, foodtech platform, healthcare data analytics, healthy eating guidance, last mile delivery, nutrition app, nutrition information, personalized nutrition, vertical application, wellness engagement platform</t>
  </si>
  <si>
    <t>www.bitewell.com</t>
  </si>
  <si>
    <t>http://www.linkedin.com/company/bitewell</t>
  </si>
  <si>
    <t>2020: 2, 2021: 7, 2022: 10, 2023: 29, 2024: 36</t>
  </si>
  <si>
    <t>The company raised $1.68 million of venture funding in the form of convertible debt from PeakBridge and undisclosed investors on March 4, 2024.</t>
  </si>
  <si>
    <t>Access Capital (Dallas), Antler, BDMI, Bolster Ventures, Bridge Ventures (Chicago), Harvest Ridge Capital, Lake Nona Fund, LEAD (Venture Capital), MGV Capital Group, Muditā Venture Partners, PeakBridge, Plug and Play Tech Center, Refinery Ventures, Service Provider Capital, Supply Change Capital, TAWANI Ventures, Trybe Ventures, Venture Forward Capital</t>
  </si>
  <si>
    <t>Access Capital (Dallas) (www.access.capital), Antler (www.antler.co), BDMI (www.bdmifund.com), Bolster Ventures (bolsterventures.com), Bridge Ventures (Chicago) (www.bridgeventures.com), Harvest Ridge Capital (www.harvestridgecapital.com), Lake Nona Fund (www.lakenonafund.com), LEAD (Venture Capital) (www.lead.vc), MGV Capital Group (www.mgvcapital.com), Muditā Venture Partners (www.muditavp.com), PeakBridge (www.peakbridge.vc), Plug and Play Tech Center (www.plugandplaytechcenter.com), Refinery Ventures (www.refinery.com), Service Provider Capital (www.serviceprovidercapital.com), Supply Change Capital (supplychange.fund), TAWANI Ventures (www.tawaniventures.com), Trybe Ventures (www.trybevc.com), Venture Forward Capital (www.ventureforwardcapital.com)</t>
  </si>
  <si>
    <t>111350-26P</t>
  </si>
  <si>
    <t>Chris Fanucchi</t>
  </si>
  <si>
    <t>Co-Founder, Chief Growth Officer &amp; Board Member</t>
  </si>
  <si>
    <t>chris@bitewell.com</t>
  </si>
  <si>
    <t>+1 (404) 312-1566</t>
  </si>
  <si>
    <t>3660 Blake Street</t>
  </si>
  <si>
    <t>info@bitewell.com</t>
  </si>
  <si>
    <t>Bridge Loan - $1.68M (Convertible)</t>
  </si>
  <si>
    <t>471494-17</t>
  </si>
  <si>
    <t>Bitmama</t>
  </si>
  <si>
    <t>Bitmama Inc.</t>
  </si>
  <si>
    <t>CoinSwitch, Coinhako, Zebpay, WazirX, Lykke, Blockchain.com, ShapeShift, Crypto Facilities, Safello Group, ZenGo, Bithumb, Wirex, Coinify, CoinDCX, Vauld, SFOX, Bitstamp, Binance.US, BitMEX, BitPay, MakerDAO, Tech Bureau, Bittrex, Avantis, Digital Assets Data, TaoTao, OKCoin, Liquid (Japan), Neufund, Poloniex, KuCoin, Coinbase Global, 0x, Chain, Crypto.com, Bitfinex, Bybit, Unocoin, Tagomi, BitFlyer, Altcoin.io, Deribit, Cobinhood, FTX</t>
  </si>
  <si>
    <t>Developer of a crypto-trading software designed to trade and manage cryptocurrencies and digital assets conveniently. The company's software is a crypto-fiat exchange that allows traders to buy and sell Bitcoin, Ethereum, Celo, and other digital assets, enabling users to buy and sell cryptocurrencies through an encrypted network.</t>
  </si>
  <si>
    <t>Application Software, Financial Software*, Other Financial Services</t>
  </si>
  <si>
    <t>blockchain technology, crypto card, cryptocurrencies trading, digital asset, digital currency exchange, financial services, virtual card</t>
  </si>
  <si>
    <t>www.bitmama.io</t>
  </si>
  <si>
    <t>http://www.linkedin.com/company/bitmamaexchange</t>
  </si>
  <si>
    <t>2021: 8, 2022: 46, 2023: 48, 2024: 49</t>
  </si>
  <si>
    <t>The company raised $1.65 million of pre-seed funding in a deal led by Unicorn Growth Capital and Launch Africa Ventures on September 11, 2022. Enrich and 12 other investors also participated in the round. The funds will be used to help increase the use cases for cryptocurrencies across the African continent.</t>
  </si>
  <si>
    <t>Adaverse, Aidi Ventures, Chrysalis Capital, Emergence (Financial Services), Enrich (IT Consulting and Outsourcing), Fedha Capital, FIVE35 Ventures, Flori Ventures, Greenhouse Capital Partners, Honey Ogundeyi, Launch Africa Ventures, Marek Olszewski, ODBA, Rene Reinsberg, Tekedia Capital, Thrive Africa Fund, Unicorn Growth Capital, Zen Launchpad</t>
  </si>
  <si>
    <t>Adaverse (www.adaverse.co), Aidi Ventures (www.aidiventures.com), Chrysalis Capital (www.chrysalis-capital.co.uk), Emergence (Financial Services) (www.emcap.com), Enrich (IT Consulting and Outsourcing) (www.enrich.com), Fedha Capital (www.fedhacapital.com), FIVE35 Ventures (www.five35.ventures), Flori Ventures (www.floriventures.com), Greenhouse Capital Partners (www.greenhousecap.com), Launch Africa Ventures (www.launchafrica.vc), ODBA (odba.vc), Tekedia Capital (www.tekedia.com), Thrive Africa Fund (www.thriveafricafunds.com), Unicorn Growth Capital (www.unicorngrowthcap.com), Zen Launchpad (zenlaunchpad.com)</t>
  </si>
  <si>
    <t>277341-67P</t>
  </si>
  <si>
    <t>Ruth Iselema</t>
  </si>
  <si>
    <t>ruth@bitmama.io</t>
  </si>
  <si>
    <t>Claymont, DE</t>
  </si>
  <si>
    <t>2093 Philadelphia Pike</t>
  </si>
  <si>
    <t>Suite 7093</t>
  </si>
  <si>
    <t>Claymont</t>
  </si>
  <si>
    <t>19703</t>
  </si>
  <si>
    <t>493367-68</t>
  </si>
  <si>
    <t>Blaze</t>
  </si>
  <si>
    <t>Retrera, Inc</t>
  </si>
  <si>
    <t>Developer of a social customer relationship management and analytics tool intended to grow and engage users. The company's platform automatically tags and categorizes customer support issues so teams can more easily identify bugs and prioritize features provides a centralized dashboard that joins together support, sales, and user data and offers intuitive templates to make independent data exploration easy for non-technical teams, enabling companies to uncover trends and flag anomalies to ensure no urgent issue is missed and ensure product teams make better decisions.</t>
  </si>
  <si>
    <t>community management, data exploration software, data software developer, marketing analytics, online activity, online signal</t>
  </si>
  <si>
    <t>www.withblaze.app</t>
  </si>
  <si>
    <t>http://www.linkedin.com/company/withblazeapp</t>
  </si>
  <si>
    <t>2022: 8, 2023: 9</t>
  </si>
  <si>
    <t>The company raised an undisclosed amount of venture funding from Collab+Currency on April 5, 2023. Faction Ventures also participated in this round.</t>
  </si>
  <si>
    <t>Bling Capital, Collab+Currency, DCG Expeditions, Faction Ventures, Gaingels, Inception Capital (British Virgin Islands), Kraken Ventures, MaC Venture Capital, Soma Capital, Trac (San Francisco), Y Combinator</t>
  </si>
  <si>
    <t>Bling Capital (www.blingcap.com), Collab+Currency (www.collabcurrency.com), DCG Expeditions (expeditions.dcg.co), Faction Ventures (www.faction.vc), Gaingels (www.gaingels.com), Inception Capital (British Virgin Islands) (www.inception.capital), Kraken Ventures (www.krakenventures.com), MaC Venture Capital (macventurecapital.com), Soma Capital (somacap.com), Trac (San Francisco) (www.trac.vc), Y Combinator (www.ycombinator.com)</t>
  </si>
  <si>
    <t>281252-08P</t>
  </si>
  <si>
    <t>Chirag Mahapatra</t>
  </si>
  <si>
    <t>chirag@withblaze.app</t>
  </si>
  <si>
    <t>Suite 2377</t>
  </si>
  <si>
    <t>491536-54</t>
  </si>
  <si>
    <t>Blaze Technology</t>
  </si>
  <si>
    <t>Blaze Technology, Inc.</t>
  </si>
  <si>
    <t>Developer of no-code tool platform designed to assist teams in building internal tools to automate business operations. The company specializes in the application development tool with sales lookup tools, and automated reports, and creates interactive digital and complex workflows, enabling clients to develop applications without coding.</t>
  </si>
  <si>
    <t>automated reporting tool, business assistant tools, business operations, complex workflow management, internal tools, internal tools developer, no-code automation, no-coding platform</t>
  </si>
  <si>
    <t>www.blaze.tech</t>
  </si>
  <si>
    <t>http://www.linkedin.com/company/blaze-technology</t>
  </si>
  <si>
    <t>2022: 12, 2023: 17, 2024: 18</t>
  </si>
  <si>
    <t>The company was in talks to receive venture funding in the form of SAFE notes on an undisclosed date. Subsequently, the deal was canceled. Previously, the company raised $5 million of seed funding in a deal led by MaC Venture Capital and Flybridge Capital Partners on October 17, 2023, putting the company's pre-money valuation at $30 million. The K Funds, Sangha Capital, Root and Shoot Ventures, Black Opal Ventures, K8 Capital, ACTAI Ventures, Vlad Magdalin, Mada Seghete, Friedom Partners, and William Tai also participated in the round. The funds will be used to support the strong demand from the healthcare sector using the platform to build HIPAA-compliant, mission-critical software that enhances patient care and drives operational efficiencies.</t>
  </si>
  <si>
    <t>ACTAI Ventures, Black Opal Ventures, Flybridge Capital Partners, Friedom Partners, K8 Capital, MaC Venture Capital, Mada Seghete, Root and Shoot Ventures, Sangha Capital, The K Funds, Vlad Magdalin, William Tai</t>
  </si>
  <si>
    <t>ACTAI Ventures (www.actaiventures.com), Black Opal Ventures (www.blackopalventures.com), Flybridge Capital Partners (www.flybridge.com), Friedom Partners (www.friedompartners.com), K8 Capital (www.k8cap.com), MaC Venture Capital (macventurecapital.com), Root and Shoot Ventures (www.rs.ventures), Sangha Capital (www.sanghacapital.co), The K Funds (www.thekfund.com)</t>
  </si>
  <si>
    <t>Prospera Law(Legal Advisor)</t>
  </si>
  <si>
    <t>42448-69P</t>
  </si>
  <si>
    <t>Nanxi Liu</t>
  </si>
  <si>
    <t>nliu@blaze.tech</t>
  </si>
  <si>
    <t>+1 (855) 536-7584</t>
  </si>
  <si>
    <t>5777 West Century Boulevard</t>
  </si>
  <si>
    <t>Suite 1110 Unit Number 197</t>
  </si>
  <si>
    <t>90045</t>
  </si>
  <si>
    <t>+1 (424) 371-8039</t>
  </si>
  <si>
    <t>hello@blaze.tech</t>
  </si>
  <si>
    <t>556953-04</t>
  </si>
  <si>
    <t>BLNG</t>
  </si>
  <si>
    <t>BLNG Corporation</t>
  </si>
  <si>
    <t>Operator of AI design software intended for the jewelry industry. The company offers AI-powered tools to creators for personalized jewelry design and provides a transformative experience that allows everyone to explore creativity and create meaningful connections with jewelry, enabling businesses to unlock the potential of AI-driven design and shape the future of personalized jewelry.</t>
  </si>
  <si>
    <t>Business/Productivity Software, Multimedia and Design Software*</t>
  </si>
  <si>
    <t>ai design, ai tools, design software, design tool, jewelry design, personalized jewelry</t>
  </si>
  <si>
    <t>www.blng.ai</t>
  </si>
  <si>
    <t>http://www.linkedin.com/company/blng-ai</t>
  </si>
  <si>
    <t>2021: 2, 2022: 2, 2023: 10, 2024: 11</t>
  </si>
  <si>
    <t>The company is in the process of raising an undisclosed amount of seed funding on an undisclosed date. Previously, the company joined La Maison des startups on May 23, 2024 and received $2 million in funding, putting post-money valuation at $15 million.</t>
  </si>
  <si>
    <t>La Maison des startups, Strange Ventures</t>
  </si>
  <si>
    <t>La Maison des startups (lamaisondesstartups.lvmh.com), Strange Ventures (www.strangevc.com)</t>
  </si>
  <si>
    <t>394848-19P</t>
  </si>
  <si>
    <t>Valerie Leblond</t>
  </si>
  <si>
    <t>valerie.leblond@blng.ai</t>
  </si>
  <si>
    <t>1411 North Detroit Avenue</t>
  </si>
  <si>
    <t>Unit 101</t>
  </si>
  <si>
    <t>90046</t>
  </si>
  <si>
    <t>info@blng.ai</t>
  </si>
  <si>
    <t>231859-90</t>
  </si>
  <si>
    <t>BlockSpaces</t>
  </si>
  <si>
    <t>Blockspaces Inc.</t>
  </si>
  <si>
    <t>Blockdaemon, Moralis, InfStones</t>
  </si>
  <si>
    <t>Developer of blockchain integration software intended to connect applications and data. The company's software includes blockchain technology education, training, and services within a supportive live and virtual collaborative community, enabling small businesses to become par with rapidly emerging blockchain technology industries.</t>
  </si>
  <si>
    <t>Business/Productivity Software*, Education and Training Services (B2B)</t>
  </si>
  <si>
    <t>Cryptocurrency/Blockchain, EdTech, FinTech</t>
  </si>
  <si>
    <t>blockchain business strategy, blockchain data, blockchain integration, crypto corporation management and finance, digital asset, enterprise blockchain, enterprise blockchain development, web3 tools</t>
  </si>
  <si>
    <t>www.blockspaces.com</t>
  </si>
  <si>
    <t>http://www.linkedin.com/company/blockspaces</t>
  </si>
  <si>
    <t>2021: 20, 2022: 29, 2023: 21, 2024: 14</t>
  </si>
  <si>
    <t>The company was in talks to receive an undisclosed amount of Series A venture funding from Locus Ventures on January 3, 2022. Subsequently, the deal was cancelled. Previously, the company raised $5.75 million of seed funding in a deal led by Leadout Capital on March 18, 2022, putting the company's pre-money valuation at $60.00 million. Brighter Capital and 8 other investors also participated in the round. The funds will be used to expand operational capacity, hire top talent, increase infrastructure support, and expand the availability of new blockchains.</t>
  </si>
  <si>
    <t>BlockFund Ventures, Brighter Capital, Druid Ventures, Florida Funders, Greg Pierce, GTMFund, James Olson, John Rasmussen, Leadout Capital, Locus Ventures, Mark Pincus, QED Investors, Ryan Dorrell, Tampa Bay Innovation Center, Tony DiBenedetto, WorkPlay Ventures</t>
  </si>
  <si>
    <t>Brighter Capital (www.brightercapital.com), Druid Ventures (www.druidventures.com), Florida Funders (www.floridafunders.com), GTMFund (www.gtmfund.com), Leadout Capital (www.leadoutcapital.com), Locus Ventures (www.locus.vc), QED Investors (www.qedinvestors.com), Tampa Bay Innovation Center (www.tbinnovates.com), WorkPlay Ventures (www.workplay.ventures)</t>
  </si>
  <si>
    <t>Cogent Bank(General Business Banking), Trenam Kempker(Legal Advisor)</t>
  </si>
  <si>
    <t>191328-22P</t>
  </si>
  <si>
    <t>Rosa Shores</t>
  </si>
  <si>
    <t>rosa@blockspaces.io</t>
  </si>
  <si>
    <t>+1 (813) 500-8585</t>
  </si>
  <si>
    <t>Tampa, FL</t>
  </si>
  <si>
    <t>802 East Whiting Street</t>
  </si>
  <si>
    <t>Embarc Collective</t>
  </si>
  <si>
    <t>Tampa</t>
  </si>
  <si>
    <t>33602</t>
  </si>
  <si>
    <t>info@blockspaces.com</t>
  </si>
  <si>
    <t>521575-21</t>
  </si>
  <si>
    <t>Blockus</t>
  </si>
  <si>
    <t>Mapleblock, Inc.</t>
  </si>
  <si>
    <t>Crossmint</t>
  </si>
  <si>
    <t>Developer of a web economy platform designed to enable game studios to build fast, reduce costs and laser focus on gameplay. The company specializes in providing integrated fiat, staking, account, crypto payments, NFT storefronts and wallet management, enabling users to build web games fast and securely including all purchase methods with a wallet or a credit card.</t>
  </si>
  <si>
    <t>Business/Productivity Software, Financial Software, Other Financial Services*</t>
  </si>
  <si>
    <t>Cryptocurrency/Blockchain, FinTech, Gaming, SaaS</t>
  </si>
  <si>
    <t>gameplay design, gaming platform company, wallets management, wallets payment, web games, web3 gaming network, web3 gaming platform, web3 gaming software</t>
  </si>
  <si>
    <t>www.blockus.gg</t>
  </si>
  <si>
    <t>http://www.linkedin.com/company/helloblockus</t>
  </si>
  <si>
    <t>2023: 3, 2024: 10</t>
  </si>
  <si>
    <t>The company raised $4 million of seed funding in a deal led by Maple VC and Altos Ventures on March 11, 2024. MH Ventures and 13 other investors also participated in the round. The funds will be used to accelerate growth, expand the team, strengthen sales operations, and invest in product development. Earlier, the company joined Andreessen Horowitz on February 15, 2023 and received $500,000 in funding, putting the company's pre-money valuation at $6.64 million.</t>
  </si>
  <si>
    <t>2Moon Capital, Altos Ventures, Andreessen Horowitz, ArkStream Capital, Bryan Pelligrino, Comfy Capital, Eterna Capital, GFR Fund, Maple VC, MH Ventures, Michael Ma, Newtribe Capital, Orange DAO, Press Start Capital, WAGMI Ventures (New York), Zephyrus Capital, Zhuoxun Yin</t>
  </si>
  <si>
    <t>2Moon Capital (www.tomooncapital.com), Altos Ventures (www.altos.vc), Andreessen Horowitz (www.a16z.com), ArkStream Capital (arkstream.capital), Comfy Capital (www.comfy.capital), Eterna Capital (www.eternacapital.com), GFR Fund (www.gfrfund.com), Maple VC (www.maplevc.com), MH Ventures (www.mhventures.io), Newtribe Capital (www.newtribe.capital), Orange DAO (orangedao.xyz), Press Start Capital (www.pressstart.capital), WAGMI Ventures (New York) (www.wagmiventures.io), Zephyrus Capital (www.zephyruscapital.com)</t>
  </si>
  <si>
    <t>356202-10P</t>
  </si>
  <si>
    <t>Michael Wei</t>
  </si>
  <si>
    <t>Co-Founder &amp; Chief Product &amp; Technology Officer</t>
  </si>
  <si>
    <t>+1 (018) 662-6402</t>
  </si>
  <si>
    <t>360 Northwest 27th Street</t>
  </si>
  <si>
    <t>33127</t>
  </si>
  <si>
    <t>hello@blockus.gg</t>
  </si>
  <si>
    <t>268293-97</t>
  </si>
  <si>
    <t>Blue Studios</t>
  </si>
  <si>
    <t>Blue Studios.io Inc.</t>
  </si>
  <si>
    <t>Developer of a Web3 family crypto wallet designed to create opportunities for families to come together to plan, invest, learn, and play. The company's platform provides families with tools and software to reimagine what families can do together with money and assets, enabling families to get empowered to be the custodians of their data and wealth.</t>
  </si>
  <si>
    <t>crypto wallets, edutainment platform, family finances, finance managing platform, metaverse platform, web3 platform</t>
  </si>
  <si>
    <t>www.bluestudios.io</t>
  </si>
  <si>
    <t>http://www.linkedin.com/company/blue-studios-io</t>
  </si>
  <si>
    <t>2020: 5, 2021: 4, 2022: 3, 2023: 18, 2024: 17</t>
  </si>
  <si>
    <t>The company raised an undisclosed amount of venture funding from Restive Ventures on March 23, 2023.</t>
  </si>
  <si>
    <t>500 Global, Avesta Fund, Brendan Weitz, Global Millennial Capital, Google for Startups, Gross Labs, K50 Ventures, Restive Ventures, Speedwagon Capital Partners, Techstars</t>
  </si>
  <si>
    <t>640 Oxford Ventures</t>
  </si>
  <si>
    <t>500 Global (500.co), Avesta Fund (www.avesta.fund), Global Millennial Capital (www.globalmillennialcapital.com), Google for Startups (startup.google.com), Gross Labs (www.grosslabs.com), K50 Ventures (www.k50ventures.com), Restive Ventures (www.restive.com), Speedwagon Capital Partners (www.speedwagoncapital.com), Techstars (www.techstars.com)</t>
  </si>
  <si>
    <t>640 Oxford Ventures (www.640oxfordventures.com)</t>
  </si>
  <si>
    <t>206586-55P</t>
  </si>
  <si>
    <t>Kelley Cambry</t>
  </si>
  <si>
    <t>kelley@bluestudios.io</t>
  </si>
  <si>
    <t>+1 (415) 966-2546</t>
  </si>
  <si>
    <t>41 Flatbush Avenue, Floors 1 and 2, Brooklyn</t>
  </si>
  <si>
    <t>Suite 525, Brooklyn</t>
  </si>
  <si>
    <t>11217</t>
  </si>
  <si>
    <t>494248-60</t>
  </si>
  <si>
    <t>Bods</t>
  </si>
  <si>
    <t>Bods, Inc.</t>
  </si>
  <si>
    <t>Developer of an online shopping software intended to reduce the amount of clothes disposed of due to improper fit. The company's software utilizes artificial intelligence (AI) to create a three-dimensional representation of the customer to see how clothes of various sizes fit on their body, enabling customers to style complete looks in an engaging digital experience that is personalized, inclusive, and fun.</t>
  </si>
  <si>
    <t>3d digital image, ai images software, customer relationship management, designing company, ecommerce search, online shopping software</t>
  </si>
  <si>
    <t>www.bods.me</t>
  </si>
  <si>
    <t>http://www.linkedin.com/company/bods</t>
  </si>
  <si>
    <t>2022: 18</t>
  </si>
  <si>
    <t>The company joined Google for Startups as a part of its Women Founders program on March 7, 2024. No equity or funding was exchanged as a result of this program.</t>
  </si>
  <si>
    <t>Alsara Investment Group, Cyan Banister, Fourth Realm, Gaingels, Google for Startups, Jennifer Fleiss, Karlie Kloss, Long Journey Ventures, Stellation Capital, Third Kind Venture Capital, WXR Venture Fund</t>
  </si>
  <si>
    <t>Alsara Investment Group (www.alsara.com), Fourth Realm (fourthrealm.vc), Gaingels (www.gaingels.com), Google for Startups (startup.google.com), Karlie Kloss (karliekloss.com), Long Journey Ventures (www.longjourney.vc), Stellation Capital (www.stellation.vc), Third Kind Venture Capital (www.3kvc.com), WXR Venture Fund (www.wxrfund.com)</t>
  </si>
  <si>
    <t>206112-43P</t>
  </si>
  <si>
    <t>Christine Marzano</t>
  </si>
  <si>
    <t>christine@bods.me</t>
  </si>
  <si>
    <t>15 Hurricane Street</t>
  </si>
  <si>
    <t>Apartment 3 Marina Del Rey</t>
  </si>
  <si>
    <t>info@bods.me</t>
  </si>
  <si>
    <t>438354-19</t>
  </si>
  <si>
    <t>Bold (Educational and Training Services)</t>
  </si>
  <si>
    <t>Bold</t>
  </si>
  <si>
    <t>Age Bold Inc.</t>
  </si>
  <si>
    <t>GetSetUp</t>
  </si>
  <si>
    <t>Operator of a personalized digital fitness platform intended to improve and promote wellness and health. The company's platform focuses on disease prevention and healthy aging and includes energizing fitness classes featuring expert trainers and personalized programs to improve strength, balance, vibrancy, and mobility, enabling adults and other individuals to get stronger and healthier so that they can chase the life they want at any age.</t>
  </si>
  <si>
    <t>Digital Health, HealthTech, LOHAS &amp; Wellness</t>
  </si>
  <si>
    <t>custom fitness program, custom fitness training, custom training, custom training program, custom workout, disease prevention program, fitness assessment and training, strength training</t>
  </si>
  <si>
    <t>www.agebold.com</t>
  </si>
  <si>
    <t>http://www.linkedin.com/company/agebold</t>
  </si>
  <si>
    <t>2021: 51, 2022: 49, 2023: 23, 2024: 38</t>
  </si>
  <si>
    <t>The company raised $17 million of Series A venture funding in a deal led by Rethink Impact on July 28, 2023, putting the company's pre-money valuation at $63 million. Primetime Partners, Andreessen Horowitz, Khosla Ventures, Samsung NEXT Ventures, HDS Capital, and GingerBread Capital also participated in the round. The funds will be used to Further Accelerate Growth with Medicare Plans and Providers and Support the Healthy Aging Goals of Older Adults Everywhere.</t>
  </si>
  <si>
    <t>Andreessen Horowitz, GingerBread Capital, HDS Capital, Khosla Ventures, Maveron, Primetime Partners, Rethink Impact, Samsung NEXT Ventures</t>
  </si>
  <si>
    <t>Andreessen Horowitz (www.a16z.com), GingerBread Capital (www.gingerbreadcap.com), HDS Capital (www.hdscapital.com), Khosla Ventures (www.khoslaventures.com), Maveron (www.maveron.com), Primetime Partners (www.primetimepartners.com), Rethink Impact (rethinkimpact.com), Samsung NEXT Ventures (www.samsungnext.com)</t>
  </si>
  <si>
    <t>106762-51P</t>
  </si>
  <si>
    <t>Hari Arul</t>
  </si>
  <si>
    <t>hari@agebold.com</t>
  </si>
  <si>
    <t>+1 (833) 701-1545</t>
  </si>
  <si>
    <t>Beverly Hills, CA</t>
  </si>
  <si>
    <t>8549 Wilshire Boulevard</t>
  </si>
  <si>
    <t>Suite 5080</t>
  </si>
  <si>
    <t>Beverly Hills</t>
  </si>
  <si>
    <t>90211</t>
  </si>
  <si>
    <t>hello@agebold.com</t>
  </si>
  <si>
    <t>466166-26</t>
  </si>
  <si>
    <t>BoldVoice</t>
  </si>
  <si>
    <t>Wellocution Inc.</t>
  </si>
  <si>
    <t>Developer of a training software designed for non-native English speakers. The company's software helps improve English language pronunciation and confidence, via personalized content from Hollywood's accent coaches and real-time precise feedback from speech AI, enabling foreign-born professionals and students in the US to improve their English accents via hyper-personalized content.</t>
  </si>
  <si>
    <t>EdTech, Mobile</t>
  </si>
  <si>
    <t>accent training, e-learning app, english vocal, pronunciation courses, pronunciation learning, speak english, video lessons</t>
  </si>
  <si>
    <t>www.boldvoice.com</t>
  </si>
  <si>
    <t>http://www.linkedin.com/company/boldvoice</t>
  </si>
  <si>
    <t>2021: 4, 2022: 7, 2023: 9</t>
  </si>
  <si>
    <t>The company raised $2.5 million of venture funding in the form of SAFE Notes from Corazon Capital, The Graduate Syndicate and Leonis Investissement on August 18, 2023. Other undisclosed investors also participated in the round.</t>
  </si>
  <si>
    <t>Corazon Group, Flybridge Capital Partners, Leonis Investissement, Liquid 2 Ventures, Phoenix Investment Club (San Francisco), Richmond View Ventures, The Graduate Syndicate, The MBA Fund, Xfund, Y Combinator</t>
  </si>
  <si>
    <t>Corazon Group (www.corazon.com), Flybridge Capital Partners (www.flybridge.com), Leonis Investissement (www.leonis.vc), Liquid 2 Ventures (www.liquid2.vc), Phoenix Investment Club (San Francisco) (www.phoenixclub.vc), Richmond View Ventures (www.rvv.tv), The Graduate Syndicate (www.thegraduatesyndicate.com), The MBA Fund (www.thembafund.com), Xfund (www.xfund.com), Y Combinator (www.ycombinator.com)</t>
  </si>
  <si>
    <t>155579-32P</t>
  </si>
  <si>
    <t>Anada Lakra</t>
  </si>
  <si>
    <t>anada@wellocution.com</t>
  </si>
  <si>
    <t>+1 (212) 810-0924</t>
  </si>
  <si>
    <t>Suite 2070</t>
  </si>
  <si>
    <t>hello@boldvoice.com</t>
  </si>
  <si>
    <t>439025-23</t>
  </si>
  <si>
    <t>Bolster</t>
  </si>
  <si>
    <t>Bolster Networks, Inc.</t>
  </si>
  <si>
    <t>Developer of a talent marketplace designed to connect companies with executives, mentors and board members. The company helps accelerate companies' growth by connecting them with experienced, highly vetted executives for interim, fractional, advisory, project-based, or board roles as well as provides on-demand executives to help them manage their careers as independent consultants, enabling clients to build inclusive, scalable and people first businesses.</t>
  </si>
  <si>
    <t>Business/Productivity Software, Human Capital Services*, Media and Information Services (B2B)</t>
  </si>
  <si>
    <t>HR Tech</t>
  </si>
  <si>
    <t>board member staffing, board members search, employment platform, enterprise resource planning, erp, human capital management, human resource advisory, talent marketplace, talent sourcing platform, workforce data</t>
  </si>
  <si>
    <t>www.bolster.com</t>
  </si>
  <si>
    <t>http://www.linkedin.com/company/bolstertalent</t>
  </si>
  <si>
    <t>2020: 30, 2021: 32, 2022: 50</t>
  </si>
  <si>
    <t>The company raised $8.15 million of Series AA venture funding from Upstage Ventures and Alumni Ventures on July 30, 2024, putting the company's pre-money valuation at $13.5 million.</t>
  </si>
  <si>
    <t>Alumni Ventures, Capital Factory, Costanoa Ventures, Foundry Group, High Alpha, S12F, SVB Financial Group, Union Square Ventures, Upstage Ventures</t>
  </si>
  <si>
    <t>Alumni Ventures (www.av.vc), Capital Factory (www.capitalfactory.com), Costanoa Ventures (costanoa.vc), Foundry Group (www.foundry.vc), High Alpha (www.highalpha.com), S12F (www.s12f.co), Union Square Ventures (www.usv.com), Upstage Ventures (www.upstageventures.com)</t>
  </si>
  <si>
    <t>38498-50P</t>
  </si>
  <si>
    <t>Matthew Blumberg</t>
  </si>
  <si>
    <t>+1 (317) 777-6762</t>
  </si>
  <si>
    <t>PMB 74841</t>
  </si>
  <si>
    <t>399267-73</t>
  </si>
  <si>
    <t>Bookclubs</t>
  </si>
  <si>
    <t>Bookclubz, Inc.</t>
  </si>
  <si>
    <t>Devloper of an online book management tool designed to invite members, poll for book selections, and schedule meetings. The company builds a community for reading, discussing, and connecting, enabling users to manage memberships, track books, and get reading recommendations.</t>
  </si>
  <si>
    <t>books, books house, books reading platform, club management software, online books club, reading site, social club management</t>
  </si>
  <si>
    <t>www.bookclubs.com</t>
  </si>
  <si>
    <t>http://www.linkedin.com/company/bookclubs</t>
  </si>
  <si>
    <t>2021: 9, 2022: 10, 2023: 9, 2024: 10</t>
  </si>
  <si>
    <t>The company raised $2 million of seed funding from Sincere Corp and other undisclosed investors on February 6, 2023. The funds will be used to add a paid subscription model to the company's platform, which is used for creating and managing book clubs.</t>
  </si>
  <si>
    <t>Blue Collective, David Risher, K Street Capital, Lighthouse Labs (Richmond), Maine Venture Fund, Sincere Corp</t>
  </si>
  <si>
    <t>Blue Collective (www.bluecollective.com), K Street Capital (www.kstreet.vc), Lighthouse Labs (Richmond) (www.lighthouselabsrva.org), Maine Venture Fund (www.maineventurefund.com)</t>
  </si>
  <si>
    <t>Kickstarter(Lead Manager or Arranger)</t>
  </si>
  <si>
    <t>219892-33P</t>
  </si>
  <si>
    <t>Anna Ford</t>
  </si>
  <si>
    <t>anna@jetsetoffset.com</t>
  </si>
  <si>
    <t>Camden, ME</t>
  </si>
  <si>
    <t>21 Elm Street</t>
  </si>
  <si>
    <t>Camden</t>
  </si>
  <si>
    <t>Maine</t>
  </si>
  <si>
    <t>04843</t>
  </si>
  <si>
    <t>+1 (610) 952-2123</t>
  </si>
  <si>
    <t>info@bookclubs.com</t>
  </si>
  <si>
    <t>459136-54</t>
  </si>
  <si>
    <t>Bookelicious</t>
  </si>
  <si>
    <t>Bookelicious, LLC</t>
  </si>
  <si>
    <t>Operator of an online reading platform intended to help kids choose books by age, interest, and reading level. The company's platform utilizes artificial intelligence and blends research on reading motivation and expert curation by teachers and librarians to match readers with books they want to read, enabling children to find a curated collection of topic-specific, high-quality, and age-appropriate books at the right level of difficulty.</t>
  </si>
  <si>
    <t>Educational Software*, Entertainment Software, Information Services (B2C)</t>
  </si>
  <si>
    <t>books library, online reading, online reading platform, personalized books, reading skills, social-emotional learning, story books</t>
  </si>
  <si>
    <t>www.bookelicious.com</t>
  </si>
  <si>
    <t>http://www.linkedin.com/company/bookelicious</t>
  </si>
  <si>
    <t>2021: 14, 2022: 20, 2023: 22</t>
  </si>
  <si>
    <t>The company raised an undisclosed amount of venture funding from Gulf South Angels on May 14, 2024.</t>
  </si>
  <si>
    <t>37 Angels, 757 Angels, Blue Leaf Ventures, Capital Innovators, Charlottesville Angel Network, Gulf South Angels, Trolley Venture Partners</t>
  </si>
  <si>
    <t>37 Angels (www.37angels.com), 757 Angels (757angelsgroup.com), Blue Leaf Ventures (www.blueleafventures.net), Capital Innovators (www.capitalinnovators.com), Charlottesville Angel Network (www.cvilleangelnetwork.net), Gulf South Angels (gulfsouthangels.com), Trolley Venture Partners (www.trolleyventures.com)</t>
  </si>
  <si>
    <t>251030-62P</t>
  </si>
  <si>
    <t>Lea Borders</t>
  </si>
  <si>
    <t>leaanneb@bookelicious.com</t>
  </si>
  <si>
    <t>+1 (650) 419-5515</t>
  </si>
  <si>
    <t>555 Bryant Street</t>
  </si>
  <si>
    <t>Suite 353</t>
  </si>
  <si>
    <t>info@bookelicious.com</t>
  </si>
  <si>
    <t>495516-43</t>
  </si>
  <si>
    <t>Boss Beauties</t>
  </si>
  <si>
    <t>Boss Beauties, Inc.</t>
  </si>
  <si>
    <t>Provider of media and entertainment services intended to inspire and elevate the next generation of women and girls. The company's platform is focuses on women's empowerment through impact programs, content, and consumer products, enabling females to shape their careers through the NFT collection.</t>
  </si>
  <si>
    <t>Social Content*, Social/Platform Software</t>
  </si>
  <si>
    <t>blockchain community, nft platform and collectibles, nfts launches, non-fungible tokens, non-fungible tokens platform, web4, women empowerment platform, women empowerment program</t>
  </si>
  <si>
    <t>www.bossbeauties.com</t>
  </si>
  <si>
    <t>http://www.linkedin.com/company/boss-beauties-nft</t>
  </si>
  <si>
    <t>2022: 8, 2024: 10</t>
  </si>
  <si>
    <t>The company raised $4.40 million through the combination of Seed and Seed-1 funding in a deal led by Offline Ventures and Brit Morin on April 18, 2022, putting the company's pre-money valuation at $25.6 million. Wieden + Kennedy, Female Founders Fund, Serena Ventures, Randi Zuckerberg, and other undisclosed investors also participated in the round. The funds will be used to convert the collection into media intellectual property.</t>
  </si>
  <si>
    <t>Brittany Morin, Female Founders Fund, Offline Ventures, Randi Zuckerberg, Serena Ventures, Wieden + Kennedy</t>
  </si>
  <si>
    <t>Female Founders Fund (www.femalefoundersfund.com), Offline Ventures (www.offline.vc), Serena Ventures (www.serenaventures.com), Wieden + Kennedy (www.wk.com)</t>
  </si>
  <si>
    <t>298885-69P</t>
  </si>
  <si>
    <t>Lisa Mayer</t>
  </si>
  <si>
    <t>lisa@bossbeauties.com</t>
  </si>
  <si>
    <t>+1 (917) 924-0300</t>
  </si>
  <si>
    <t>Fairfield, CT</t>
  </si>
  <si>
    <t>95 Old Oaks Road</t>
  </si>
  <si>
    <t>Fairfield</t>
  </si>
  <si>
    <t>Connecticut</t>
  </si>
  <si>
    <t>06825</t>
  </si>
  <si>
    <t>info@bossbeauties.com</t>
  </si>
  <si>
    <t>496064-98</t>
  </si>
  <si>
    <t>BossTax</t>
  </si>
  <si>
    <t>mLogg Inc</t>
  </si>
  <si>
    <t>Developer of a financial software intended to organize receipts categorize expenses and automatically prepare a summary of all business expenses. The company's software offers the categorization of receipts, calculation of deductions without added expenses and business records organized and ready to file, enabling entrepreneurs and independent contractors to organize income tax filings.</t>
  </si>
  <si>
    <t>Artificial Intelligence &amp; Machine Learning, FinTech, Mobile, SaaS</t>
  </si>
  <si>
    <t>business banking, expense management platform, expense tracking, financial software, income tax filing, personal financial management, tax payment software, wealthtech</t>
  </si>
  <si>
    <t>bosstaxapp.com</t>
  </si>
  <si>
    <t>http://www.linkedin.com/company/mlogg</t>
  </si>
  <si>
    <t>2022: 2, 2023: 2, 2024: 7</t>
  </si>
  <si>
    <t>The company raised $1.5 million of seed funding in the form of SAFE notes from Boyd Street Ventures and Bloomberg Beta on May 3, 2022.</t>
  </si>
  <si>
    <t>Bloomberg Beta, Boyd Street Ventures</t>
  </si>
  <si>
    <t>Bloomberg Beta (www.bloombergbeta.com), Boyd Street Ventures (www.boydstreetventures.com)</t>
  </si>
  <si>
    <t>276603-85P</t>
  </si>
  <si>
    <t>Hannah Granade</t>
  </si>
  <si>
    <t>hgranade@bosstaxapp.com</t>
  </si>
  <si>
    <t>+1 (954) 414-1644</t>
  </si>
  <si>
    <t>Stamford, CT</t>
  </si>
  <si>
    <t>680 East Main Street</t>
  </si>
  <si>
    <t>Suite 766</t>
  </si>
  <si>
    <t>Stamford</t>
  </si>
  <si>
    <t>06901</t>
  </si>
  <si>
    <t>+1 (203) 539-1238</t>
  </si>
  <si>
    <t>435845-71</t>
  </si>
  <si>
    <t>Botco.ai</t>
  </si>
  <si>
    <t>Botco</t>
  </si>
  <si>
    <t>Botco.ai, Inc.</t>
  </si>
  <si>
    <t>Aivo, DigitalGenius, Avaamo, Rasa (Business/Productivity Software), Morph (Business/Productivity Software), Amplify.ai, Landbot, Manychat, Drift (Boston), Dante (Media and Information Services (B2B)), Next IT, Yellow.ai, Motion AI, Automat Technologies, Chatfuel, Craft chat, Octane AI, Cognigy, Level AI, Zbooni, Interactions, Botstar, ChatBot, Jargon (Communication Software), nVoq, The Bot Platform, Kore.ai, ActiveChat, Quiq, Hyro, Inbenta, Webio, Sierra, Voiceflow, AlphaChat, Botpress, Fixie, Howdy, Chatlayer</t>
  </si>
  <si>
    <t>Operator of an artificial intelligence-based chat cloud intended to have natural language conversations and handle real-time chats with customers using natural language processing. The company's platform facilitates automatic on-demand chat access and intelligent chat nurturing which guides customers through the marketing process quickly and efficiently without the need for human intervention, enabling businesses to eliminate the need to hire a team of data scientists and programmers to train and implement automated chat and increasing customer engagement and conversion.</t>
  </si>
  <si>
    <t>Automation/Workflow Software, Business/Productivity Software, Media and Information Services (B2B)*</t>
  </si>
  <si>
    <t>Artificial Intelligence &amp; Machine Learning, Big Data, Marketing Tech, Mobile</t>
  </si>
  <si>
    <t>analytics platform, conversational marketing platform, conversational platform, customer interaction management, customer interaction platform, customer interaction service, generative ai, marketing platform, natural language technology, real time software, unstructured data analytics</t>
  </si>
  <si>
    <t>www.botco.ai</t>
  </si>
  <si>
    <t>http://www.linkedin.com/company/botco.ai</t>
  </si>
  <si>
    <t>2020: 10, 2021: 23, 2022: 28, 2023: 24, 2024: 27</t>
  </si>
  <si>
    <t>The company graduated gener8tor as part of its Bronze Valley Investment Accelerator Spring 2024 on April 26, 2024, and received $100,000 in funding. Previously, the company raised an undisclosed amount of venture funding from NM Vintage Fund, Bronze Valley, and OSEA Angel Investors in approximately January 2024.</t>
  </si>
  <si>
    <t>500 Global, Alchemist Accelerator, Arizona Commerce Authority, Arizona Tech Investors, Bronze Valley, DCA Asset Management, Desert Angels, gener8tor, Google for Startups, Illuminated Funds Group, InvestU, NM Vintage Fund, OSEA Angel Investors, PHX Ventures, State48 Ventures, Sterling Road, Stout Street Capital, The Giant Ventures, VamosVentures</t>
  </si>
  <si>
    <t>500 Global (500.co), Alchemist Accelerator (www.alchemistaccelerator.com), Arizona Commerce Authority (www.azcommerce.com), Arizona Tech Investors (arizonatechinvestors.com), Bronze Valley (www.bronzevalley.com), DCA Asset Management (www.dcaassetmanagementinc.com), Desert Angels (desertangels.org), gener8tor (www.gener8tor.com), Google for Startups (startup.google.com), Illuminated Funds Group (illuminatedfunds.com), InvestU (www.investu.org), NM Vintage Fund (www.nmvintagefund.com), OSEA Angel Investors (www.oseaangelinvestors.com), PHX Ventures (www.phxventures.com), State48 Ventures (www.state48vc.com), Sterling Road (www.sterlingroad.com), Stout Street Capital (www.stoutstreetcapital.com), The Giant Ventures (www.giantventures.us), VamosVentures (www.vamosventures.com)</t>
  </si>
  <si>
    <t>231869-89P</t>
  </si>
  <si>
    <t>Rebecca Clyde</t>
  </si>
  <si>
    <t>rebecca@botco.ai</t>
  </si>
  <si>
    <t>+1 (650) 544-6122</t>
  </si>
  <si>
    <t>Scottsdale, AZ</t>
  </si>
  <si>
    <t>6125 East Indian School Road</t>
  </si>
  <si>
    <t>Suite 1001</t>
  </si>
  <si>
    <t>Scottsdale</t>
  </si>
  <si>
    <t>85251</t>
  </si>
  <si>
    <t>454882-69</t>
  </si>
  <si>
    <t>Boulo Solutions</t>
  </si>
  <si>
    <t>Boulo</t>
  </si>
  <si>
    <t>DCG Group, LLC</t>
  </si>
  <si>
    <t>The Mom Project, PowerToFly, Jobcase, Après (New York), ZipRecruiter, Landit, InHerSight</t>
  </si>
  <si>
    <t>Developer of a digital staffing platform intended to connect people with flexible full-time and part-time job opportunities. The company specializes in job seeking, career pathing, recruitment, talent management, and career development, enabling professional women to find flexible work opportunities based on skills, experience, and availability.</t>
  </si>
  <si>
    <t>Application Software, Human Capital Services*</t>
  </si>
  <si>
    <t>HR Tech, Mobile</t>
  </si>
  <si>
    <t>digital staffing, online job portal, online jobs, recruiting app, recruiting experts, recruiting process, recruitment firm, staffing company, staffing needs</t>
  </si>
  <si>
    <t>www.boulosolutions.com</t>
  </si>
  <si>
    <t>http://www.linkedin.com/company/boulo-solutions</t>
  </si>
  <si>
    <t>2021: 11, 2022: 21, 2023: 21, 2024: 25</t>
  </si>
  <si>
    <t>The company raised $2.11 million of seed funding from undisclosed investors on June 9, 2023. Previously, the company raised $1.5 million of venture funding in the form of convertible debt in a deal led by Naples Technology Ventures on May 26, 2023. Other undisclosed investors also participated in the round. The funds will be used to accelerate the company's product evolution to better serve both employers and working mothers. Subsequently, it was converted into equity.</t>
  </si>
  <si>
    <t>Bill Acker, Cameron Hogan, Carol Patterson, Dave Gray, Jemison Investment Company, John Acker, John Minor, Kirk Forrester, Lee Edwards, Matt Lyons, Naples Technology Ventures, Pronce Acker, Randall Platt, Tate Forrester, Tom Patterson</t>
  </si>
  <si>
    <t>Naples Technology Ventures (www.naplestechnologyventures.com)</t>
  </si>
  <si>
    <t>Baker Donelson(Legal Advisor), Butler Snow(Legal Advisor), Luca Accounting(Auditor), Oakworth Capital Bank(General Business Banking)</t>
  </si>
  <si>
    <t>Baker Donelson(Legal Advisor), Vicinity Capital(Lead Manager or Arranger)</t>
  </si>
  <si>
    <t>248026-69P</t>
  </si>
  <si>
    <t>Delphine Carter</t>
  </si>
  <si>
    <t>delphine@boulosolutions.com</t>
  </si>
  <si>
    <t>+1 (205) 566-6441</t>
  </si>
  <si>
    <t>Birmingham, AL</t>
  </si>
  <si>
    <t>732 Montgomery Highway</t>
  </si>
  <si>
    <t>Suite 231</t>
  </si>
  <si>
    <t>Birmingham</t>
  </si>
  <si>
    <t>Alabama</t>
  </si>
  <si>
    <t>35216</t>
  </si>
  <si>
    <t>+1 (800) 428-6473</t>
  </si>
  <si>
    <t>info@boulosolutions.com</t>
  </si>
  <si>
    <t>522757-18</t>
  </si>
  <si>
    <t>Bounceback</t>
  </si>
  <si>
    <t>Mindful Solutions</t>
  </si>
  <si>
    <t>Bounceback LLC</t>
  </si>
  <si>
    <t>Provider of stress management and professional development services intended for educators, administrators, and support employees. The company provides affordable, convenient, and job-embedded resources, helping customers to reduce stress and improve health and well-being which benefits students.</t>
  </si>
  <si>
    <t>Educational and Training Services (B2C)*, Educational Software, Other Healthcare Services</t>
  </si>
  <si>
    <t>health monitoring, professional development, stress anxiety, stress manage, stress management, stress management platform</t>
  </si>
  <si>
    <t>www.mybounceback.com</t>
  </si>
  <si>
    <t>Primary Office (Update) Nashville, TN</t>
  </si>
  <si>
    <t>The company was acquired by 3LS Ventures through an LBO on November 20, 2023 for an undisclosed amount.</t>
  </si>
  <si>
    <t>3LS Ventures</t>
  </si>
  <si>
    <t>3LS Ventures (www.3lsventures.com)</t>
  </si>
  <si>
    <t>342469-99P</t>
  </si>
  <si>
    <t>Dorothy Morelli</t>
  </si>
  <si>
    <t>dmorelli@mybounceback.com</t>
  </si>
  <si>
    <t>+1 (615) 306-0017</t>
  </si>
  <si>
    <t>Nashville, TN</t>
  </si>
  <si>
    <t>301 South Perimeter Park Drive</t>
  </si>
  <si>
    <t>Nashville</t>
  </si>
  <si>
    <t>Tennessee</t>
  </si>
  <si>
    <t>37211</t>
  </si>
  <si>
    <t>info@mybounceback.com</t>
  </si>
  <si>
    <t>Buyout/LBO</t>
  </si>
  <si>
    <t>467150-86</t>
  </si>
  <si>
    <t>Braintrust Tutors</t>
  </si>
  <si>
    <t>Braintrust Tutors Inc.</t>
  </si>
  <si>
    <t>Developer of a high-impact, curriculum-aligned academic intervention platform designed to build foundational literacy and math skills among the most vulnerable student populations. The company offers services to K12 students of all backgrounds and abilities, including those who are severely behind in grade level, and Its ESSA-certified programs are the gold standard for accelerating learning outcomes with the hardest-to-reach low-performing students, enabling them to achieve documented triple-digit literacy and math gains across many of the largest districts in the country.</t>
  </si>
  <si>
    <t>edtech platform, educational platform, educational platform software, intervention services, learning differences, learning disabilities, private tutoring marketplace, special education, tutoring</t>
  </si>
  <si>
    <t>www.braintrusttutors.com</t>
  </si>
  <si>
    <t>http://www.linkedin.com/company/braintrusttutors</t>
  </si>
  <si>
    <t>2021: 6, 2023: 25</t>
  </si>
  <si>
    <t>The company raised $2.5 million of seed funding in a deal led by Scott Sandell, John Chambers, and LAUNCH Fund on July 19, 2023. 5150 Capital and other undisclosed investors also participated in the round. The funds will be used for rapid growth, enabling it to enhance its state-of-the-art platform, expand its nationwide network of certified teachers and learning specialists, and reach more students.</t>
  </si>
  <si>
    <t>5150 Capital, John Chambers, LAUNCH Fund, Scott Sandell</t>
  </si>
  <si>
    <t>5150 Capital (www.5150capital.com), LAUNCH Fund (www.launch.co)</t>
  </si>
  <si>
    <t>Citi Private Bank(General Business Banking), Greenberg Traurig(Legal Advisor), Steirman CPAS(Auditor)</t>
  </si>
  <si>
    <t>264604-51P</t>
  </si>
  <si>
    <t>Mara Koffmann</t>
  </si>
  <si>
    <t>Co-Founder, Chief Strategy Officer &amp; Board Member</t>
  </si>
  <si>
    <t>mara@braintrusttutors.com</t>
  </si>
  <si>
    <t>+1 (773) 477-0106</t>
  </si>
  <si>
    <t>104 Wooster Street</t>
  </si>
  <si>
    <t>Suite 4S</t>
  </si>
  <si>
    <t>+1 (646) 397-3696</t>
  </si>
  <si>
    <t>hello@braintrusttutors.com</t>
  </si>
  <si>
    <t>113774-41</t>
  </si>
  <si>
    <t>Brandwood Global</t>
  </si>
  <si>
    <t>Brandwood Global, Inc.</t>
  </si>
  <si>
    <t>Developer of an entertainment tech company intended for seamless deal-making and opportunities for ideal brand placement. The company specializes in integrating into the company's application to deliver direct access to audiences and fans. Its technology will silently bring advertisements to the user's phone without any interruption to their content, helping independent content producers find brands looking for targeted content.</t>
  </si>
  <si>
    <t>Artificial Intelligence &amp; Machine Learning, Cryptocurrency/Blockchain, SaaS, TMT</t>
  </si>
  <si>
    <t>blockchain model, brand management firm, branding integration, cloud-based platform, consumer products, product placement</t>
  </si>
  <si>
    <t>www.brandwoodglobal.com</t>
  </si>
  <si>
    <t>http://www.linkedin.com/company/brandwood-global</t>
  </si>
  <si>
    <t>2022: 8, 2023: 8, 2024: 6</t>
  </si>
  <si>
    <t>The company raised $655,000 of seed funding in the combination of equity and convertible debt in a deal led by Menlo Technologies on December 1, 2015, putting the company's pre-money valuation at $9.37 million. Waterview Management also participated in the round.</t>
  </si>
  <si>
    <t>Menlo Technologies, Waterview Management</t>
  </si>
  <si>
    <t>Menlo Technologies (www.menlo-technologies.com)</t>
  </si>
  <si>
    <t>Sapphire Capital Partners(Accounting)</t>
  </si>
  <si>
    <t>The OCMX (www.theocmx.com)(Advisor: Financial Due Diligence)</t>
  </si>
  <si>
    <t>101701-09P</t>
  </si>
  <si>
    <t>Stephanie Weier</t>
  </si>
  <si>
    <t>sweier@brandwoodglobal.com</t>
  </si>
  <si>
    <t>+1 (310) 428-1448</t>
  </si>
  <si>
    <t>Torrance, CA</t>
  </si>
  <si>
    <t>22025 Hawthorne Boulevard</t>
  </si>
  <si>
    <t>Suite 1002</t>
  </si>
  <si>
    <t>Torrance</t>
  </si>
  <si>
    <t>90503</t>
  </si>
  <si>
    <t>+1 (424) 205-1442</t>
  </si>
  <si>
    <t>info@brandwoodglobal.com</t>
  </si>
  <si>
    <t>462537-91</t>
  </si>
  <si>
    <t>Breaker Nation</t>
  </si>
  <si>
    <t>BREAKER NATION Inc.</t>
  </si>
  <si>
    <t>Operator of a social networking application intended to provide access to the music industry. The company's platform helps users discover future musicians, get connected with their favorite music artists, and share musical content, enabling users to share their opinions about different music artists and earn rewards by becoming verified music influencers.</t>
  </si>
  <si>
    <t>Application Software, Media and Information Services (B2B), Movies, Music and Entertainment, Social Content, Social/Platform Software*</t>
  </si>
  <si>
    <t>music career, music promotion, music sharing application, musicians community, musicians search, social networking application, social networking service</t>
  </si>
  <si>
    <t>www.breakernation.com</t>
  </si>
  <si>
    <t>http://www.linkedin.com/company/1breakernation</t>
  </si>
  <si>
    <t>2021: 7, 2024: 7</t>
  </si>
  <si>
    <t>The company raised $100,000 of seed funding from Black Star Fund and other undisclosed investors on March 9, 2021.</t>
  </si>
  <si>
    <t>Black Star Fund</t>
  </si>
  <si>
    <t>Black Star Fund (www.blackstar.fund)</t>
  </si>
  <si>
    <t>255891-34P</t>
  </si>
  <si>
    <t>Felisha Booker</t>
  </si>
  <si>
    <t>+1 (404) 951-1360</t>
  </si>
  <si>
    <t>5456 Peachtree Boulevard</t>
  </si>
  <si>
    <t>Suite 184</t>
  </si>
  <si>
    <t>30341</t>
  </si>
  <si>
    <t>+1 (678) 498-5088</t>
  </si>
  <si>
    <t>hello@breakernation.com</t>
  </si>
  <si>
    <t>507436-57</t>
  </si>
  <si>
    <t>Breeze (Financial Software)</t>
  </si>
  <si>
    <t>Beamo</t>
  </si>
  <si>
    <t>Breeze</t>
  </si>
  <si>
    <t>Beamo Inc.</t>
  </si>
  <si>
    <t>Developer of a payment platform intended to generate custom checkout pages at the click of a button. The company provides a one-step checkout platform that can be integrated with any credit card, cryptocurrency, wallet, and exchange, enabling customers to save time spent on payments.</t>
  </si>
  <si>
    <t>credit card payment platform, crypto payment, crypto payment platform, finance technology, payment software, web3 platform</t>
  </si>
  <si>
    <t>www.breeze.cash</t>
  </si>
  <si>
    <t>http://www.linkedin.com/company/breeze-cash</t>
  </si>
  <si>
    <t>The company raised an estimated $2.8 million of seed funding from Mantis VC, Caladan and Multicoin Capital on August 22, 2022, putting the company's pre-money valuation at $9.7 million. The Generalist, Sequoia Capital and The Chainsmokers also participated in the round.</t>
  </si>
  <si>
    <t>Caladan, Mantis VC, Multicoin Capital, Sequoia Arc, Sequoia Capital, The Chainsmokers, The Generalist</t>
  </si>
  <si>
    <t>Caladan (www.caladan.xyz), Mantis VC (www.mantisvc.com), Multicoin Capital (www.multicoin.capital), Sequoia Capital (www.sequoiacap.com), The Chainsmokers (thechainsmokers.com), The Generalist (www.generalist.com)</t>
  </si>
  <si>
    <t>345435-94P</t>
  </si>
  <si>
    <t>Millie Yang</t>
  </si>
  <si>
    <t>600127-03</t>
  </si>
  <si>
    <t>Brico</t>
  </si>
  <si>
    <t>Brico Inc.</t>
  </si>
  <si>
    <t>Operator of a stop licensing platform intended to help companies acquire new financial licenses and maintain their ongoing licensing requirements. The company aims to streamline the often complex and costly process of obtaining financial licenses by utilizing automation and potentially artificial intelligence, enabling customers to obtain financial licenses, which could foster innovation and competition within the financial sector.</t>
  </si>
  <si>
    <t>Artificial Intelligence &amp; Machine Learning, FinTech, SaaS</t>
  </si>
  <si>
    <t>ai-powered, financial license, financial technology, license renewal, licensing platform, money transmitter licenses</t>
  </si>
  <si>
    <t>www.brico.ai</t>
  </si>
  <si>
    <t>http://www.linkedin.com/company/bricoai</t>
  </si>
  <si>
    <t>The company raised $8.1 million of seed funding in a deal led by Pear (California) on September 11, 2024. Restive Ventures, Flourish Ventures and Cambrian Ventures also participated in the round.</t>
  </si>
  <si>
    <t>Cambrian Ventures, Flourish Ventures, Pear (California), Restive Ventures</t>
  </si>
  <si>
    <t>Cambrian Ventures (www.cambrianventures.com), Flourish Ventures (www.flourishventures.com), Pear (California) (www.pear.vc), Restive Ventures (www.restive.com)</t>
  </si>
  <si>
    <t>398590-12P</t>
  </si>
  <si>
    <t>Snigdha Kumar</t>
  </si>
  <si>
    <t>snigdha@brico.ai</t>
  </si>
  <si>
    <t>Beale Street</t>
  </si>
  <si>
    <t>contact@brico.ai</t>
  </si>
  <si>
    <t>437753-98</t>
  </si>
  <si>
    <t>Bridge to College</t>
  </si>
  <si>
    <t>BtC, Vielka</t>
  </si>
  <si>
    <t>Bridge to College, Inc.</t>
  </si>
  <si>
    <t>Naviance, Scoir, Overgrad</t>
  </si>
  <si>
    <t>Developer of a search platform designed to find the right college institution for academic needs. The company's platform offers a free survey based on academic, financial, and social factors that guide in finding the right school or college, enabling users to shortlist their choice of institution based on their preferences.</t>
  </si>
  <si>
    <t>Application Software, Education and Training Services (B2B)*, Educational and Training Services (B2C)</t>
  </si>
  <si>
    <t>academic portal, college guidance, college matching system, counselor assistance, enterprise saas platform, institution search portal, search platform</t>
  </si>
  <si>
    <t>www.bridgeto.college</t>
  </si>
  <si>
    <t>http://www.linkedin.com/company/bridge-to-college-inc</t>
  </si>
  <si>
    <t>2020: 11, 2022: 10, 2023: 10, 2024: 6</t>
  </si>
  <si>
    <t>The company raised $1 million of seed funding in a deal led by SoftBank Group on January 10, 2022. Inspiration Ventures, Emerge and other undisclosed investors also participated in the round.</t>
  </si>
  <si>
    <t>Emerge (Accelerator), Inspiration Ventures, Larry Rosenberger, Liberty Friedman, SoftBank Group</t>
  </si>
  <si>
    <t>Emerge (Accelerator) (www.emergeaccelerator.com), Inspiration Ventures (www.inspirationvc.com), Liberty Friedman (www.libertyfriedman.com), SoftBank Group (www.group.softbank)</t>
  </si>
  <si>
    <t>Chase Bank(General Business Banking), First Republic Bank(General Business Banking)</t>
  </si>
  <si>
    <t>Cooley(Legal Advisor), Fundable(Lead Manager or Arranger)</t>
  </si>
  <si>
    <t>237085-12P</t>
  </si>
  <si>
    <t>Vielka Hoy</t>
  </si>
  <si>
    <t>vielka@bridgeto.college</t>
  </si>
  <si>
    <t>300 Witherspoon Street</t>
  </si>
  <si>
    <t>08542</t>
  </si>
  <si>
    <t>hello@bridgeto.college</t>
  </si>
  <si>
    <t>494215-21</t>
  </si>
  <si>
    <t>BrightPay</t>
  </si>
  <si>
    <t>BrightPay Health Corp.</t>
  </si>
  <si>
    <t>Developer of payment platform intended for the health sector billings and payments. The company's platform offers easy accessibility for patients to pay and generate hospital bills, and do insurance verification and online payments through mobile applications, enabling healthcare providers to give an efficient way to offer transparent pricing while making it convenient for patients to view and pay.</t>
  </si>
  <si>
    <t>Financial Software*, Other Healthcare Technology Systems</t>
  </si>
  <si>
    <t>FinTech, HealthTech, Mobile</t>
  </si>
  <si>
    <t>billing support, enterprise payment, health sector, hospital bill, hospital billing services, online payments processing, payment platform, pos, transparent pricing</t>
  </si>
  <si>
    <t>www.brightpay.org</t>
  </si>
  <si>
    <t>http://www.linkedin.com/company/brightpay</t>
  </si>
  <si>
    <t>2022: 2, 2023: 2, 2024: 2</t>
  </si>
  <si>
    <t>The company joined gener8tor as a part of the Prosper HealthTech Accelerator program of Fall 2023 on an undisclosed date and received $60,000 in funding, putting the company's pre-money valuation at $940,000.</t>
  </si>
  <si>
    <t>Antler, Callapina Capital, gener8tor, Sputnik ATX, StartUp Health, TEN13</t>
  </si>
  <si>
    <t>Antler (www.antler.co), Callapina Capital (www.callapina.com), gener8tor (www.gener8tor.com), Sputnik ATX (www.sputnikatx.com), StartUp Health (www.startuphealth.com), TEN13 (www.ten13.vc)</t>
  </si>
  <si>
    <t>296876-44P</t>
  </si>
  <si>
    <t>Shielvonda Haith</t>
  </si>
  <si>
    <t>shaith@brightpay.org</t>
  </si>
  <si>
    <t>+1 (919) 667-8584</t>
  </si>
  <si>
    <t>Post Office Box 4282</t>
  </si>
  <si>
    <t>30023</t>
  </si>
  <si>
    <t>+1 (678) 681-1128</t>
  </si>
  <si>
    <t>info@brightpay.org</t>
  </si>
  <si>
    <t>458746-30</t>
  </si>
  <si>
    <t>Brij</t>
  </si>
  <si>
    <t>Found, FoundTags</t>
  </si>
  <si>
    <t>Brij Inc.</t>
  </si>
  <si>
    <t>Developer of a one-touch registration platform designed for enhanced digital experiences. The company powers re-order with the simple scan of a quick response code or near-field communication tag as well as improves the way brands engage with their consumers, enabling businesses to turn anonymous omnichannel shoppers into loyal customers.</t>
  </si>
  <si>
    <t>Artificial Intelligence &amp; Machine Learning, Internet of Things, Marketing Tech, SaaS, Supply Chain Tech</t>
  </si>
  <si>
    <t>customer relationship, customer relationship platform, customer relationship tool, customer satisfaction analysis, customer satisfaction tools, ecommerce-as-a-service, omni channel marketing, qr code management, registration platform</t>
  </si>
  <si>
    <t>www.brij.it</t>
  </si>
  <si>
    <t>http://www.linkedin.com/company/brij-it</t>
  </si>
  <si>
    <t>2021: 11, 2022: 17, 2023: 26, 2024: 31</t>
  </si>
  <si>
    <t>The company raised $1.35 million of venture funding from MJR Ventures and undisclosed investors on December 22, 2023.</t>
  </si>
  <si>
    <t>Forum Ventures, Good For Her, Lakehouse Ventures, Lorimer Ventures, MJR Ventures, Pareto Holdings, Phoenix Investment Club (San Francisco), Plug and Play Tech Center, Rationalwave Capital Partners, Red Bike Capital, SuperAngel.Fund</t>
  </si>
  <si>
    <t>Forum Ventures (www.forumvc.com), Good For Her (www.goodforher.co), Lakehouse Ventures (lakehouse.vc), Lorimer Ventures (www.lorimerventures.com), MJR Ventures (www.mjrventure.com), Pareto Holdings (www.pareto20.com), Phoenix Investment Club (San Francisco) (www.phoenixclub.vc), Plug and Play Tech Center (www.plugandplaytechcenter.com), Rationalwave Capital Partners (www.rationalwave.com), Red Bike Capital (www.redbikecapital.com), SuperAngel.Fund (www.superangel.vc)</t>
  </si>
  <si>
    <t>250549-84P</t>
  </si>
  <si>
    <t>Kaitlin Stephens</t>
  </si>
  <si>
    <t>Co-Founder, President, Chief Executive Officer &amp; Board Member</t>
  </si>
  <si>
    <t>kait@brij.it</t>
  </si>
  <si>
    <t>+1 (609) 668-1886</t>
  </si>
  <si>
    <t>60 East 9th Street</t>
  </si>
  <si>
    <t>Unit 626</t>
  </si>
  <si>
    <t>10003</t>
  </si>
  <si>
    <t>hello@brij.it</t>
  </si>
  <si>
    <t>439515-01</t>
  </si>
  <si>
    <t>Brij (Services)</t>
  </si>
  <si>
    <t>NAL, Brij</t>
  </si>
  <si>
    <t>NAL-NAYLILLY Inc.</t>
  </si>
  <si>
    <t>Creatively, Jammcard, Daisie</t>
  </si>
  <si>
    <t>Operator of an online networking platform designed to offer professional, creative, and mentorship opportunities for underrepresented artists in the media industry. The company's mentorship matching application uses swipe right and left technology, helping customers directly connect to mentors in the media industry.</t>
  </si>
  <si>
    <t>creative platform, creative professional network, creative professionals, entertainment platform, media industry, networking platform, online media</t>
  </si>
  <si>
    <t>www.nal-media.com</t>
  </si>
  <si>
    <t>http://www.linkedin.com/company/brijapp</t>
  </si>
  <si>
    <t>2019: 4, 2020: 3, 2021: 9, 2022: 7, 2023: 9, 2024: 10</t>
  </si>
  <si>
    <t>The company raised $205,000 of venture funding in a deal led by Concord Music, Warner Music Group, and Techstars on March 31, 2022. Target Incubator and Black Ambition also participated in the round. Previously, the company joined Techstars as a part of its Music Accelerator on February 4, 2022, and received $60,000 in funding.</t>
  </si>
  <si>
    <t>Black Ambition, Concord Music, Target Incubator, Techstars, Warner Music Group</t>
  </si>
  <si>
    <t>Black Ambition (www.blackambitionprize.com), Concord Music (www.concord.com), Target Incubator (incubator.target.com), Techstars (www.techstars.com), Warner Music Group (www.wmg.com)</t>
  </si>
  <si>
    <t>Shulman Rogers(Legal Advisor)</t>
  </si>
  <si>
    <t>241794-37P</t>
  </si>
  <si>
    <t>Naomi Lilly</t>
  </si>
  <si>
    <t>naomil@nal-media.com</t>
  </si>
  <si>
    <t>+1 (443) 813-0103</t>
  </si>
  <si>
    <t>1671 West 10th Street</t>
  </si>
  <si>
    <t>11223</t>
  </si>
  <si>
    <t>hello@nal-media.com</t>
  </si>
  <si>
    <t>432832-87</t>
  </si>
  <si>
    <t>Buddy.ai</t>
  </si>
  <si>
    <t>Buddy</t>
  </si>
  <si>
    <t>AI Buddy, Inc.</t>
  </si>
  <si>
    <t>Developer of a voice-based virtual English teaching platform intended to address learning challenges. The company's platform provides a virtual tutor-powered cartoon character on mobile with speech technology and adaptive learning, enabling users to give kids unlimited speaking practice for mastering the subject.</t>
  </si>
  <si>
    <t>education technology, e-learning content, english learning, english teaching platform, natural language technology, online tutor, virtual tutoring, voice based tool</t>
  </si>
  <si>
    <t>www.buddy.ai</t>
  </si>
  <si>
    <t>http://www.linkedin.com/company/buddy-ai</t>
  </si>
  <si>
    <t>2020: 12, 2021: 14, 2022: 25, 2023: 30, 2024: 30</t>
  </si>
  <si>
    <t>The company raised $11 million of venture funding in a deal led by BITKRAFT Ventures and EduCapital on October 31, 2024. One Way Ventures and other undisclosed investors also participated in the round. The funds will be used to lead the AI revolution in early learning by advancing the company's proprietary AI technology further, continuing to mature the gaming and world-building elements on the app, and expanding partnerships with schools and educational institutions.</t>
  </si>
  <si>
    <t>BergTop VC, BITKRAFT Ventures, Dmitry Stavisky, EduCapital, Evolution VC Partners, Goodwater Capital, GuruDev Capital, J Ventures, Joint Journey Intelligent Investments, Konstantin Senchenko, Leta Capital, Network VC, One Way Ventures, Point72 Ventures, Sand Hill Angels, VentureSouq, Yellow Rocks!, YellowRockets.vc</t>
  </si>
  <si>
    <t>Crosesell</t>
  </si>
  <si>
    <t>BergTop VC (www.bergtop.vc), BITKRAFT Ventures (www.bitkraft.vc), EduCapital (www.educapitalvc.com), Evolution VC Partners (www.evolutionvcp.com), Goodwater Capital (www.goodwatercap.com), GuruDev Capital (www.gurudev.capital), J Ventures (jventures.com), Joint Journey Intelligent Investments (jj.capital), Leta Capital (www.leta.vc), Network VC (www.network.vc), One Way Ventures (www.onewayvc.com), Point72 Ventures (www.p72.vc), Sand Hill Angels (www.sandhillangels.com), VentureSouq (www.venturesouq.com), Yellow Rocks! (www.yellowrocks.vc), YellowRockets.vc (www.yellowrockets.vc)</t>
  </si>
  <si>
    <t>Crosesell (www.crosesell.com)</t>
  </si>
  <si>
    <t>224167-06P</t>
  </si>
  <si>
    <t>Ivan Crewkov</t>
  </si>
  <si>
    <t>ivan@mybuddy.ai</t>
  </si>
  <si>
    <t>+1 (434) 436-2469</t>
  </si>
  <si>
    <t>Mountain view, CA</t>
  </si>
  <si>
    <t>707 Continental Circle</t>
  </si>
  <si>
    <t>Suite 1132</t>
  </si>
  <si>
    <t>Mountain view</t>
  </si>
  <si>
    <t>buddy@mybuddy.ai</t>
  </si>
  <si>
    <t>459733-51</t>
  </si>
  <si>
    <t>Builders Patch</t>
  </si>
  <si>
    <t>Builders Patch Inc.</t>
  </si>
  <si>
    <t>Developer of a data analytics and due diligence workflow tool designed for construction management. The company's tool streamlines construction lending for affordable housing by underwriting memos, document collection, task management, asset management and portfolio analytics, enabling clients to automate repetitive tasks and manage their deals.</t>
  </si>
  <si>
    <t>Construction Technology, Real Estate Technology, SaaS</t>
  </si>
  <si>
    <t>builder management system, construction management app, construction management platform, construction management tool, deals management, real estate technology, task management platform</t>
  </si>
  <si>
    <t>www.builderspatch.com</t>
  </si>
  <si>
    <t>http://www.linkedin.com/company/builders-patch</t>
  </si>
  <si>
    <t>2021: 8, 2022: 9, 2023: 19, 2024: 19</t>
  </si>
  <si>
    <t>The company raised an estimated $3.5 million through a combination of Seed-1 and Seed-3 funding in a deal led by The Artemis Fund on January 22, 2024, putting the company's pre-money valuation at $10 million. Third Sphere, Urban Innovation Fund, TenOneTen Ventures, Govtech Fund, and other undisclosed investors also participated in the round.</t>
  </si>
  <si>
    <t>Govtech Fund, Lucas Venture Group, TenOneTen Ventures, The Artemis Fund, Third Sphere, Urban Innovation Fund, Urban-X</t>
  </si>
  <si>
    <t>Govtech Fund (www.govtechfund.com), Lucas Venture Group (www.lucasvg.com), TenOneTen Ventures (www.tenoneten.com), The Artemis Fund (www.theartemisfund.com), Third Sphere (www.thirdsphere.com), Urban Innovation Fund (www.urbaninnovationfund.com), Urban-X (www.urban-x.com)</t>
  </si>
  <si>
    <t>Sidley(Legal Advisor)</t>
  </si>
  <si>
    <t>252593-92P</t>
  </si>
  <si>
    <t>Kanan Ajmera</t>
  </si>
  <si>
    <t>kanan@builderspatch.com</t>
  </si>
  <si>
    <t>+1 (425) 829-3778</t>
  </si>
  <si>
    <t>80 State Street</t>
  </si>
  <si>
    <t>490317-40</t>
  </si>
  <si>
    <t>BuildWithin</t>
  </si>
  <si>
    <t>BuildWithin Inc.</t>
  </si>
  <si>
    <t>Symba, Rubitek</t>
  </si>
  <si>
    <t>Developer of talent acquisition and training platform designed to identify, train, and manage technical apprentices. The company's platform offers employer matching, learn-while jobs, certifications, technical training, and much more, enabling organizations and employers to overcome workforce challenges.</t>
  </si>
  <si>
    <t>Education and Training Services (B2B)*, Educational Software, Human Capital Services, Media and Information Services (B2B)</t>
  </si>
  <si>
    <t>Artificial Intelligence &amp; Machine Learning, EdTech, HR Tech, SaaS</t>
  </si>
  <si>
    <t>employer matching, hr technology, online hiring, online training, talent acquisition, technical jobs, technical training, training platform, workforce management</t>
  </si>
  <si>
    <t>www.buildwithin.com</t>
  </si>
  <si>
    <t>http://www.linkedin.com/company/joinbuildwithin</t>
  </si>
  <si>
    <t>2022: 19, 2023: 53</t>
  </si>
  <si>
    <t>The company raised an undisclosed amount of venture funding from StageNext Fund in approximately November 2023.</t>
  </si>
  <si>
    <t>Atento Capital, Black Capital (VC), Dundee Venture Capital, StageNext Fund, U.S. Department of Labor</t>
  </si>
  <si>
    <t>Atento Capital (www.atentocapital.com), Black Capital (VC) (blackcap.vc), Dundee Venture Capital (www.dundeeventurecapital.com), StageNext Fund (www.stagenext.vc), U.S. Department of Labor (www.dol.gov)</t>
  </si>
  <si>
    <t>53897-23P</t>
  </si>
  <si>
    <t>Ximena Hartsock</t>
  </si>
  <si>
    <t>+1 (888) 598-8508</t>
  </si>
  <si>
    <t>900 19th Street</t>
  </si>
  <si>
    <t>20009</t>
  </si>
  <si>
    <t>info@buildwithin.com</t>
  </si>
  <si>
    <t>588704-05</t>
  </si>
  <si>
    <t>Bumblebee Networks</t>
  </si>
  <si>
    <t>Operator of SaaS platform and marketplace intended to securely connect to private applications. The company provides virtual private network (VPN) replacement that offers secure B2B networking service, B2B SaaS, branch connectivity, and IOT access without the hassle of border gateway protocol (BGP), IPsec (Internet Protocol Security), and network address translation (NAT), enabling users to build secure connectivity to private applications.</t>
  </si>
  <si>
    <t>Other Communications and Networking</t>
  </si>
  <si>
    <t>Business/Productivity Software, Other Communications and Networking*</t>
  </si>
  <si>
    <t>Internet of Things, SaaS</t>
  </si>
  <si>
    <t>b2b networking, gateway server, network administration, saas toolkit, secure connectivity, vpn system</t>
  </si>
  <si>
    <t>www.bumblebeenet.com</t>
  </si>
  <si>
    <t>http://www.linkedin.com/company/bumblebeenetworks</t>
  </si>
  <si>
    <t>2024: 2</t>
  </si>
  <si>
    <t>The company raised a estimated $3.43 million of Seed funding from Monta Vista Capital and other undisclosed investors on December 18, 2023, putting the company's pre-money valuation at $10 million.</t>
  </si>
  <si>
    <t>Monta Vista Capital</t>
  </si>
  <si>
    <t>Monta Vista Capital (www.montavc.com)</t>
  </si>
  <si>
    <t>97472-26P</t>
  </si>
  <si>
    <t>Xiaobo Wei</t>
  </si>
  <si>
    <t>+1 (650) 473-9888</t>
  </si>
  <si>
    <t>info@bumblebeenet.com</t>
  </si>
  <si>
    <t>481207-96</t>
  </si>
  <si>
    <t>Bundle (Business/Productivity Software)</t>
  </si>
  <si>
    <t>Bundle</t>
  </si>
  <si>
    <t>Bundle Solutions, Inc.</t>
  </si>
  <si>
    <t>Developer of a construction procurement platform designed to connect builders and suppliers. The company's platform connects builders and suppliers on one platform and eases procurement with technology to save stakeholders both time and money, enabling clients both in the traditional bidding process and the complex distribution networks that exist in construction procurement today.</t>
  </si>
  <si>
    <t>Business/Productivity Software*, Construction and Engineering, Media and Information Services (B2B)</t>
  </si>
  <si>
    <t>Construction Technology, Industrials, SaaS</t>
  </si>
  <si>
    <t>building materials, construction material, construction platform, construction space, material procurement, sales performance, tracking unit</t>
  </si>
  <si>
    <t>www.bundle.build</t>
  </si>
  <si>
    <t>http://www.linkedin.com/company/bundlesolutionsinc</t>
  </si>
  <si>
    <t>2021: 2, 2022: 8, 2023: 9, 2024: 19</t>
  </si>
  <si>
    <t>The company raised $4 million of Seed 2 funding in a deal led by Urban Innovation Fund on February 28, 2023, putting the company's pre-money valuation at $9.5 million. Contour Venture Partners and 14 other also participated in the round.</t>
  </si>
  <si>
    <t>43 Ventures, Accel, Alumni Ventures, BuildTech VC, Contour Venture Partners, Decent Capital, Graph Ventures, NFX, Slauson &amp; Co., StartX (US), The 21 Fund, The MBA Fund, Underdog Labs, Urban Innovation Fund</t>
  </si>
  <si>
    <t>43 Ventures (www.43ventures.com), Accel (www.accel.com), Alumni Ventures (www.av.vc), BuildTech VC (www.buildtech.vc), Contour Venture Partners (www.contourventures.com), Decent Capital (www.decentcapital.com), Graph Ventures (www.graphventures.com), NFX (www.nfx.com), Slauson &amp; Co. (www.slauson.co), StartX (US) (web.startx.com), The 21 Fund (www.gsb21fund.com), The MBA Fund (www.thembafund.com), Underdog Labs (www.underdoglabs.io), Urban Innovation Fund (www.urbaninnovationfund.com)</t>
  </si>
  <si>
    <t>275037-13P</t>
  </si>
  <si>
    <t>Janna Colucci</t>
  </si>
  <si>
    <t>janna@bundle.build</t>
  </si>
  <si>
    <t>Oakland, CA</t>
  </si>
  <si>
    <t>5110 Telegraph Avenue</t>
  </si>
  <si>
    <t>Oakland</t>
  </si>
  <si>
    <t>94609</t>
  </si>
  <si>
    <t>hello@bundle.build</t>
  </si>
  <si>
    <t>467587-00</t>
  </si>
  <si>
    <t>Bunny Studio</t>
  </si>
  <si>
    <t>VoiceBunny</t>
  </si>
  <si>
    <t>Bunny</t>
  </si>
  <si>
    <t>Bunny Studio Inc.</t>
  </si>
  <si>
    <t>Developer of a SaaS-based creative services platform designed for project fulfilment. The company's platform offers voice-overs, voice acting, dubbing, scriptwriting, content creation, and trans-creation to several languages with AI, enabling businesses to access creative technology efficiently and reliably.</t>
  </si>
  <si>
    <t>audio post production, audio production, creative services, flyers design, project managemenet, scaling system, video editing, video production tool</t>
  </si>
  <si>
    <t>www.bunnystudio.com</t>
  </si>
  <si>
    <t>http://www.linkedin.com/company/bunnystudio</t>
  </si>
  <si>
    <t>2021: 171, 2022: 198</t>
  </si>
  <si>
    <t>The company raised $750,000 of venture funding from Endeavor Global and Socialatom Group in June 2021.</t>
  </si>
  <si>
    <t>Endeavor Global, Socialatom Group</t>
  </si>
  <si>
    <t>Endeavor Global (www.endeavor.org), Socialatom Group (www.socialatomgroup.com)</t>
  </si>
  <si>
    <t>83568-70P</t>
  </si>
  <si>
    <t>Tania Zapata</t>
  </si>
  <si>
    <t>tania@bunnystudio.com</t>
  </si>
  <si>
    <t>+1 (415) 749-9221</t>
  </si>
  <si>
    <t>Wilmington, DE</t>
  </si>
  <si>
    <t>4023 Kennett Pike</t>
  </si>
  <si>
    <t>Suite 50735</t>
  </si>
  <si>
    <t>Wilmington</t>
  </si>
  <si>
    <t>19807</t>
  </si>
  <si>
    <t>184684-69</t>
  </si>
  <si>
    <t>Buzz Solutions</t>
  </si>
  <si>
    <t>Buzz Solutions, Inc.</t>
  </si>
  <si>
    <t>SensorUp, Aquatic Informatics, Tachyus, Arundo, Sigma.AI, Flutura, OnePredict, Greenstone+, Vortexa, Faradai, Jupiter Intelligence, Presenso, RedZone Software, Sharper Shape, Uptake, Teradata, Earth Networks, FogHorn, Tableau Software, Banyan Water, Alertus Technologies, FLYR, Volt Active Data, Attune (Electronic Equipment and Instruments), BrainBox AI, Safehub, Innowatts, KONUX, LabelFlow, One Concern, Metry, AlgoTrace, Climative, Kpler, Augury, Grid4C, AutoGrid, SEW, Conundrum, Kayrros, Emex (Ireland), eSmart Systems, WellAware, Invenia, MOVUS, BuildingIQ, Verdigris, Wattics, CA Technologies, NarrativeWave, Quentic, Thinkstep, Carbon Track AI, Avathon, Kinetica, Geli, Optima Energy Systems, Open Systems International, PassiveLogic, Argand Solutions, Axibase, Onzo (Business/Productivity Software), Enevaro, Predixion, Gridware, Alteryx, QOS Energy, Celona, Enmat, Altizon, PrecisionHawk, Exasol, Amperon, GridPoint, depsys, Syntelli, Parity (Business/Productivity Software), floLIVE, Bidgely, Particle, HEAVY.AI, SkyCentrics</t>
  </si>
  <si>
    <t>Developer of an artificial intelligence-based analytics platform designed to detect faults and anomalies on power line assets. The company's platform automates the process of inspection of power lines by analyzing visual data points captured by helicopters, drones, and linemen in the fieldwork, enabling utility companies to improve efficiency, reduce costs, enhance safety, and ensure regulatory compliance in managing critical infrastructure.</t>
  </si>
  <si>
    <t>Advanced Manufacturing, Artificial Intelligence &amp; Machine Learning, Industrials, Infrastructure, Internet of Things</t>
  </si>
  <si>
    <t>computer vision, drone inspection system, energy insights, enterprise asset management, enterprise resource planning, fault detection, grid infrastructure, industrial iot, power asset management, predictive analytics system</t>
  </si>
  <si>
    <t>www.buzzsolutions.co</t>
  </si>
  <si>
    <t>http://www.linkedin.com/company/buzzsolutionsinc.</t>
  </si>
  <si>
    <t>2017: 3, 2020: 6, 2021: 8, 2022: 16, 2023: 23, 2024: 38</t>
  </si>
  <si>
    <t>The company joined Joules Accelerator on an undisclosed date.</t>
  </si>
  <si>
    <t>Advisors.Fund, Apex Black, Azure Ventures Group, Blackhorn Ventures, Blue Leaf Ventures, Cardinal Ventures, GoodLight Capital, GoPoint Ventures, Joules Accelerator, Keiretsu Forum, Lorimer Ventures, MaC Venture Capital, NCT Ventures, Plug and Play Tech Center, SeedFolio, Singularity (Consulting Services (B2B)), Stanford Angels and Entrepreneurs, StartX (US), Ulu Ventures, Vodia Capital</t>
  </si>
  <si>
    <t>Advisors.Fund (www.advisors.fund), Apex Black (www.apex.black), Azure Ventures Group (www.azureventuresgroup.com), Blackhorn Ventures (www.blackhornvc.com), Blue Leaf Ventures (www.blueleafventures.net), Cardinal Ventures (www.cardinalventures.org), GoodLight Capital (www.goodlight.capital), GoPoint Ventures (www.gopointventures.com), Joules Accelerator (www.joulesaccelerator.com), Keiretsu Forum (www.keiretsuforum.com), Lorimer Ventures (www.lorimerventures.com), MaC Venture Capital (macventurecapital.com), NCT Ventures (www.nctventures.com), Plug and Play Tech Center (www.plugandplaytechcenter.com), SeedFolio (www.seedfolio.vc), Singularity (Consulting Services (B2B)) (www.su.org), Stanford Angels and Entrepreneurs (www.stanfordaande.com), StartX (US) (web.startx.com), Ulu Ventures (www.uluventures.com), Vodia Capital (www.vodiacapital.com)</t>
  </si>
  <si>
    <t>168828-94P</t>
  </si>
  <si>
    <t>Kaitlyn Albertoli</t>
  </si>
  <si>
    <t>kaitlyn@buzzsolutions.co</t>
  </si>
  <si>
    <t>+1 (650) 931-5918</t>
  </si>
  <si>
    <t>119 University Avenue</t>
  </si>
  <si>
    <t>info@buzzsolutions.co</t>
  </si>
  <si>
    <t>500747-32</t>
  </si>
  <si>
    <t>Byrdhouse</t>
  </si>
  <si>
    <t>Byrdhouse, Inc.</t>
  </si>
  <si>
    <t>Developer of a video chat application designed to cater to users to understand any language. The company's application provides artificial intelligence-powered real-time translation in voice and captions for multiple languages for meetings, calls, live streams, podcasts, and chats, enabling users to communicate and enjoy the experience.</t>
  </si>
  <si>
    <t>ai-powered, communication product, natural language technology, video chat application, video chat shopping, video chatting, video communication, video live stream</t>
  </si>
  <si>
    <t>www.byrdhouseapp.com</t>
  </si>
  <si>
    <t>http://www.linkedin.com/company/byrdhouse</t>
  </si>
  <si>
    <t>2022: 3, 2023: 8</t>
  </si>
  <si>
    <t>The company joined Lair East Labs in January 2023. Previously, the company raised an undisclosed amount of venture funding from VEST, Team Ignite Ventures, and Goodwater Capital on December 1, 2022.</t>
  </si>
  <si>
    <t>Goodwater Capital, Lair East Labs, Singularity Capital, Team Ignite Ventures, VEST Her Ventures</t>
  </si>
  <si>
    <t>Goodwater Capital (www.goodwatercap.com), Lair East Labs (www.laireastlabs.com), Singularity Capital (singularitycapital.us), Team Ignite Ventures (www.teamignite.ventures), VEST Her Ventures (www.vesther.co)</t>
  </si>
  <si>
    <t>309725-20P</t>
  </si>
  <si>
    <t>Snow Huo</t>
  </si>
  <si>
    <t>snow.huo@byrdhouseapp.com</t>
  </si>
  <si>
    <t>482167-63</t>
  </si>
  <si>
    <t>Byteboard</t>
  </si>
  <si>
    <t>Byteboard, Inc.</t>
  </si>
  <si>
    <t>Karat, HackerRank, CodeSignal</t>
  </si>
  <si>
    <t>Developer of a hiring software intended to assist companies in the technical interview process. The company's software utilizes a project-based interview system that is identity-blind and assesses for engineering skills that are used on the job while helping companies to reduce the time they spend in conducting interviews by increasing onsite-to-offer rates, enabling businesses to conduct technical interviews which are more effective, efficient, and equitable for all candidates.</t>
  </si>
  <si>
    <t>data engineering services, enterprise resource planning, erp, fair evaluation system, frontend engineering, human capital management, interview system, javascript testing, recruiting assistance, software coding analysis, technical interviewing system</t>
  </si>
  <si>
    <t>www.byteboard.dev</t>
  </si>
  <si>
    <t>http://www.linkedin.com/company/byteboard</t>
  </si>
  <si>
    <t>2021: 2, 2022: 23, 2023: 18, 2024: 16</t>
  </si>
  <si>
    <t>Authentic Ventures, BBG Ventures (North America), Cowboy Ventures, Five Two Five, GV, Operator Partners, PeopleTech Partners, Scribble Ventures</t>
  </si>
  <si>
    <t>Evening Fund</t>
  </si>
  <si>
    <t>Authentic Ventures (www.authentic-ventures.com), BBG Ventures (North America) (www.bbgventures.com), Cowboy Ventures (www.cowboy.vc), Five Two Five (www.525.vc), GV (www.gv.com), Operator Partners (www.operatorpartners.com), PeopleTech Partners (peopletechpartners.com), Scribble Ventures (www.scribble.vc)</t>
  </si>
  <si>
    <t>Evening Fund (www.evening.fund)</t>
  </si>
  <si>
    <t>277626-43P</t>
  </si>
  <si>
    <t>Sargun Kaur</t>
  </si>
  <si>
    <t>Co-Founder, Chief Executive Officer, General Manager &amp; Board Member</t>
  </si>
  <si>
    <t>sargun@byteboard.dev</t>
  </si>
  <si>
    <t>Fremont, CA</t>
  </si>
  <si>
    <t>35640 Fremont Boulevard</t>
  </si>
  <si>
    <t>Suite 131</t>
  </si>
  <si>
    <t>Fremont</t>
  </si>
  <si>
    <t>94536</t>
  </si>
  <si>
    <t>info@byteboard.dev</t>
  </si>
  <si>
    <t>516172-24</t>
  </si>
  <si>
    <t>Byterat</t>
  </si>
  <si>
    <t>Byterat, Inc.</t>
  </si>
  <si>
    <t>Developer of an artificial intelligence (AI) based data platform intended to unlock the full potential of battery testing data. The company's platform offers a cloud-based machine learning platform that forecasts battery performance from electrochemical data acquired during production or early testing, enabling users to get real-time performance forecasting of energy assets.</t>
  </si>
  <si>
    <t>battery data, battery failure testing, cloud platform software, data platform, industrial data analytics, intelligent data platform, machine learning platform, performance forecasting, vertical application</t>
  </si>
  <si>
    <t>www.byterat.io</t>
  </si>
  <si>
    <t>http://www.linkedin.com/company/byterat</t>
  </si>
  <si>
    <t>2022: 3, 2023: 5, 2024: 8</t>
  </si>
  <si>
    <t>The company raised $4 million of seed funding from Urban Innovation Fund, Climate Capital, and Street Global Venture Capital on October 27, 2023. Ripple Impact Investments and Giant Ventures also participated in the round. The funds will be used to collect and analyze data for battery labs.</t>
  </si>
  <si>
    <t>Alysia Silberg (Street Global), Climate Capital, Creative Destruction Lab, Giant Ventures, Ripple Impact Investments, Urban Innovation Fund, Y Combinator</t>
  </si>
  <si>
    <t>Alysia Silberg (Street Global) (www.alysiasilberg.com), Climate Capital (www.climatecapital.co), Creative Destruction Lab (www.creativedestructionlab.com), Giant Ventures (www.giant.vc), Ripple Impact Investments (www.rippleimpactinvestments.com), Urban Innovation Fund (www.urbaninnovationfund.com), Y Combinator (www.ycombinator.com)</t>
  </si>
  <si>
    <t>328045-51P</t>
  </si>
  <si>
    <t>Penelope Jones</t>
  </si>
  <si>
    <t>penelope.jones@byterat.io</t>
  </si>
  <si>
    <t>650 California Street</t>
  </si>
  <si>
    <t>Floor 05, Unit 102</t>
  </si>
  <si>
    <t>hello@byterat.io</t>
  </si>
  <si>
    <t>279606-70</t>
  </si>
  <si>
    <t>Cabinet</t>
  </si>
  <si>
    <t>JoinCabinet, Inc.</t>
  </si>
  <si>
    <t>Developer of software as a service-based calendar management platform designed to help executive assistants work and communicate better. The company's platform connects assistants around the world to exchange best practices, tips, advice, recommendations and smart scheduling, enabling clients to access, share and discover insider information they can't find anywhere else.</t>
  </si>
  <si>
    <t>administrative assistants communication, assistant platform, executive assistants platform, social networking application, social networking platform, workflow platform</t>
  </si>
  <si>
    <t>www.joincabinet.com</t>
  </si>
  <si>
    <t>http://www.linkedin.com/company/joincabinet</t>
  </si>
  <si>
    <t>2021: 97, 2022: 108</t>
  </si>
  <si>
    <t>The company raised $499,995 of venture funding from Knockout Capital and other undisclosed investors on December 1, 2022, putting the company's pre-money valuation at $8.63 million.</t>
  </si>
  <si>
    <t>Everywhere Ventures, Good For Her, Good Friends, Harlem Capital, Heroic Ventures, Knockout Capital, Parade Ventures, Service Provider Capital, Techstars</t>
  </si>
  <si>
    <t>Everywhere Ventures (everywhere.vc), Good For Her (www.goodforher.co), Good Friends (www.goodfriends.com), Harlem Capital (harlem.capital), Heroic Ventures (www.heroicvc.com), Knockout Capital (www.knockout.capital), Parade Ventures (www.parade.vc), Service Provider Capital (www.serviceprovidercapital.com), Techstars (www.techstars.com)</t>
  </si>
  <si>
    <t>73561-15P</t>
  </si>
  <si>
    <t>Julia Leibowitz</t>
  </si>
  <si>
    <t>julia@joincabinet.com</t>
  </si>
  <si>
    <t>+1 (720) 449-1057</t>
  </si>
  <si>
    <t>Lakewood, CO</t>
  </si>
  <si>
    <t>1990 Depew Street</t>
  </si>
  <si>
    <t>Suite 140976</t>
  </si>
  <si>
    <t>80214</t>
  </si>
  <si>
    <t>info@joincabinet.com</t>
  </si>
  <si>
    <t>471929-59</t>
  </si>
  <si>
    <t>Cable</t>
  </si>
  <si>
    <t>Cable Tech, Inc.</t>
  </si>
  <si>
    <t>Developer of a financial risk control platform designed to reduce the amount of financial crime in the world. The company's platform provides automated, independent effectiveness testing and assurance for control and also offers real-time alerts, enabling clients to manage, track and demonstrate complete oversight of the controls.</t>
  </si>
  <si>
    <t>aml compliance, analytics tool, financial crime analysis, financial risk analytics, fraud prevention, identity &amp; access management, identity and access management, risk control</t>
  </si>
  <si>
    <t>www.cable.tech</t>
  </si>
  <si>
    <t>http://www.linkedin.com/company/cable-technology-limited</t>
  </si>
  <si>
    <t>2021: 9, 2022: 41, 2023: 38, 2024: 10</t>
  </si>
  <si>
    <t>The company raised $11 million of Series A venture funding in a deal led by Jump Capital and Stage 2 Capital, Saga Ventures on April 14, 2023. CRV and Alloy Labs Institute also participated in the round.</t>
  </si>
  <si>
    <t>Alloy Labs, Anthemis, Charles Delingpole, CRV, Jump Capital, Laura Spiekerman, Phoenix Court, Stage 2 Capital</t>
  </si>
  <si>
    <t>Alloy Labs (www.alloylabs.com), Anthemis (www.anthemis.com), CRV (www.crv.com), Jump Capital (jumpcap.com), Phoenix Court (www.phoenixcourt.vc), Stage 2 Capital (www.stage2.capital)</t>
  </si>
  <si>
    <t>273283-21P</t>
  </si>
  <si>
    <t>Natasha Vernier</t>
  </si>
  <si>
    <t>natasha@cable.tech</t>
  </si>
  <si>
    <t>Suite 4472</t>
  </si>
  <si>
    <t>contact@cable.tech</t>
  </si>
  <si>
    <t>503323-66</t>
  </si>
  <si>
    <t>Cadence OneFive</t>
  </si>
  <si>
    <t>Cadence OneFive Inc.</t>
  </si>
  <si>
    <t>Developer of a building decarbonization planning platform designed to accelerate the retrofit and adaptation of existing multifamily buildings. The company's platform untangles the complications that delay projects, making it easier to make the right decisions about energy efficiency, renewable energy and resilience, enabling the multifamily housing market to decarbonize quickly and affordably to mitigate climate change and improve the health and safety of residents.</t>
  </si>
  <si>
    <t>climate change, cloud software, construction administration, decarbonization platform, decarbonization system, decarbonization tools</t>
  </si>
  <si>
    <t>hello.c15.io</t>
  </si>
  <si>
    <t>http://www.linkedin.com/company/cadenceonefive</t>
  </si>
  <si>
    <t>2023: 10, 2024: 15</t>
  </si>
  <si>
    <t>The company joined Urban Future Lab in February 2024. No equity or funding was exchanged as a result of this program.</t>
  </si>
  <si>
    <t>Great Wave Ventures, IMPEL Program, JLL Foundation, New York Ventures, The Urban Future Prize Competition, Urban Future Lab</t>
  </si>
  <si>
    <t>Great Wave Ventures (www.greatwave.vc), IMPEL Program (impel.lbl.gov), JLL Foundation (foundation.jll.com), The Urban Future Prize Competition (www.urbanfuturecompetition.com), Urban Future Lab (www.ufl.nyc)</t>
  </si>
  <si>
    <t>311933-17P</t>
  </si>
  <si>
    <t>Bomee Jung</t>
  </si>
  <si>
    <t>bjung@c15.io</t>
  </si>
  <si>
    <t>438839-56</t>
  </si>
  <si>
    <t>CAHill (Business/Productivity Software)</t>
  </si>
  <si>
    <t>CAHill</t>
  </si>
  <si>
    <t>CAHill Tech, Inc.</t>
  </si>
  <si>
    <t>Developer of a training and compliance tool designed to offer company-wide safety and training for the construction industry. The company's platform offers workforce readiness, tracking of strengths and progress, risk reduction, and general engagement, enabling organizations to avail optimal safety standards.</t>
  </si>
  <si>
    <t>Business/Productivity Software*, Consulting Services (B2B), Education and Training Services (B2B)</t>
  </si>
  <si>
    <t>Construction Technology</t>
  </si>
  <si>
    <t>construction education, construction workers software, construction workflow management, e-learning system, management consultation, workforce platform</t>
  </si>
  <si>
    <t>www.cahilltech.com</t>
  </si>
  <si>
    <t>http://www.linkedin.com/company/cahilltech</t>
  </si>
  <si>
    <t>2020: 3, 2021: 9, 2022: 12, 2023: 18, 2024: 16</t>
  </si>
  <si>
    <t>The company raised seed funding from New York Ventures on an undisclosed date.</t>
  </si>
  <si>
    <t>Launch NY, New York Ventures, Techstars, WNY Impact Investment Fund</t>
  </si>
  <si>
    <t>Launch NY (www.launchny.org), Techstars (www.techstars.com), WNY Impact Investment Fund (wnyimpact.com)</t>
  </si>
  <si>
    <t>Chemung Canal Trust Company(Debt Financing)</t>
  </si>
  <si>
    <t>240092-20P</t>
  </si>
  <si>
    <t>Carley Hill</t>
  </si>
  <si>
    <t>Co-Founder, Chief Executive Officer &amp; President</t>
  </si>
  <si>
    <t>chill@cahillresources.com</t>
  </si>
  <si>
    <t>+1 (716) 364-3022</t>
  </si>
  <si>
    <t>Clarence, NY</t>
  </si>
  <si>
    <t>11145 Main Street</t>
  </si>
  <si>
    <t>Suite 2</t>
  </si>
  <si>
    <t>Clarence</t>
  </si>
  <si>
    <t>14031</t>
  </si>
  <si>
    <t>info@cahillresources.com</t>
  </si>
  <si>
    <t>436439-53</t>
  </si>
  <si>
    <t>Calibrate</t>
  </si>
  <si>
    <t>Calibrate Health, Inc.</t>
  </si>
  <si>
    <t>Oviva, Blue Mesa Health, Changing Health, Liva Healthcare, Welldoc, Second Nature (Clinics/Outpatient Services), Hinge Health, Twine Health, Newtopia, Virta Health, TreVia, Noom, HealthifyMe, Vida Health, Found (Clinics/Outpatient Services), Lark, Health2Sync, GOQii, Omada, Form Health, Ayogo, Livongo</t>
  </si>
  <si>
    <t>Developer of a weight management platform designed to improve metabolic health to drive long-term and sustainable weight loss. The company's platform offers telemedicine metabolic medications with purpose-built behavior change to catalyze the physiological changes for vital sustained metabolic health care medication outcomes-based model in obesity treatment and offers value-based pricing to control GLP-1(glucagon-like peptide-1), one-on-one video doctor visits, and personal coaching, enabling patients to lose their body weight and stay fit and healthy.</t>
  </si>
  <si>
    <t>Clinics/Outpatient Services, Other Healthcare Technology Systems*, Vertical Market Software</t>
  </si>
  <si>
    <t>Digital Health, HealthTech, SaaS</t>
  </si>
  <si>
    <t>diabetes management, digital healthcare, health coaching, mental healthcare, metabolic health, nutrition, obesity care, sustainable weight loss, tele health services, telemedicine company, weight loss, wellness program</t>
  </si>
  <si>
    <t>Private Equity-Backed</t>
  </si>
  <si>
    <t>Debt Financed, Private Equity, Venture Capital</t>
  </si>
  <si>
    <t>www.joincalibrate.com</t>
  </si>
  <si>
    <t>http://www.linkedin.com/company/joincalibrate</t>
  </si>
  <si>
    <t>2020: 50, 2021: 160, 2022: 363, 2023: 500, 2024: 305</t>
  </si>
  <si>
    <t>The company joined SheScales on an undisclosed date. Previously, the company was acquired by Madryn Asset Management, Plus Capital, Mana Ventures, Forerunner Ventures, Threshold Ventures, Founders Fund, Big Loud Capital and What If Ventures through an LBO on October 24, 2023 for an undisclosed amount.</t>
  </si>
  <si>
    <t>Big Loud Capital, Forerunner Ventures, Founders Fund, Madryn Asset Management, Mana Ventures, Plus Capital, Redesign Health, SheScales, Threshold Ventures, TriplePoint Capital, What If Ventures</t>
  </si>
  <si>
    <t>Declaration Partners, Optum Ventures, Samsung NEXT Ventures, SM Ventures, Stephanie Korey Goodwin, The World Economic Forum, Tiger Global Management</t>
  </si>
  <si>
    <t>Big Loud Capital (www.bigloud.com), Forerunner Ventures (www.forerunnerventures.com), Founders Fund (www.foundersfund.com), Madryn Asset Management (www.madrynlp.com), Mana Ventures (www.manaventures.vc), Plus Capital (www.pluscapital.com), Redesign Health (www.redesignhealth.com), SheScales (www.shescales.com), Threshold Ventures (www.threshold.vc), TriplePoint Capital (www.triplepointcapital.com), What If Ventures (www.whatif.vc)</t>
  </si>
  <si>
    <t>Declaration Partners (www.declarationpartners.com), Optum Ventures (www.optumventures.com), Samsung NEXT Ventures (www.samsungnext.com), SM Ventures (www.smv.co), The World Economic Forum (widgets.weforum.org), Tiger Global Management (www.tigerglobal.com)</t>
  </si>
  <si>
    <t>EY(Auditor), SVB Financial Group(General Business Banking)</t>
  </si>
  <si>
    <t>Gunderson Dettmer(Legal Advisor), Jones Day(Legal Advisor), Madryn Asset Management(Debt Financing), TriplePoint Capital(Debt Financing)</t>
  </si>
  <si>
    <t>124435-27P</t>
  </si>
  <si>
    <t>David Fielding</t>
  </si>
  <si>
    <t>dfielding@joincalibrate.com</t>
  </si>
  <si>
    <t>105 West 86th Street</t>
  </si>
  <si>
    <t>10024</t>
  </si>
  <si>
    <t>info@joincalibrate.com</t>
  </si>
  <si>
    <t>Private Equity</t>
  </si>
  <si>
    <t>460338-67</t>
  </si>
  <si>
    <t>Canary (Financial Services)</t>
  </si>
  <si>
    <t>Canary</t>
  </si>
  <si>
    <t>Canary Benefits, Inc.</t>
  </si>
  <si>
    <t>Operator of an emergency relief fund platform designed to expand the availability of emergency funds in the workplace and beyond. The company's platform offers a social safety net to ensure that in times of financial need, individuals can access emergency funding, enabling organizations to improve the impact and efficiency of established emergency relief funds.</t>
  </si>
  <si>
    <t>LOHAS &amp; Wellness, TMT</t>
  </si>
  <si>
    <t>emergency fund management, emergency fund provider, emergency fundraiser, financial safety nets, impact funding, safety nets, social security</t>
  </si>
  <si>
    <t>www.workwithcanary.com</t>
  </si>
  <si>
    <t>http://www.linkedin.com/company/workwithcanary</t>
  </si>
  <si>
    <t>2021: 8, 2022: 10, 2023: 10, 2024: 16</t>
  </si>
  <si>
    <t>The company raised $1.25 million of seed funding in a deal led by Capital One Ventures on January 12, 2023. Other undisclosed investors also participated in the round. Previously, the company joined InsurTech NY as part of its third growth-stage InsurTech accelerator cohort on October 13, 2022.</t>
  </si>
  <si>
    <t>Capital One Ventures, Debra Fine, Financial Health Network, Financial Solutions Lab, InsurTech NY, Jens Molbak, Marguerite Casey Foundations, Marla Blow, Propel Capital Network, Restive Ventures, Sorenson Impact Foundation, Susan Ehrlich</t>
  </si>
  <si>
    <t>Capital One Ventures (growthventures.capitalone.com), Financial Health Network (finhealthnetwork.org), Financial Solutions Lab (finlab.finhealthnetwork.org), InsurTech NY (www.insurtechny.com), Propel Capital Network (www.propelcapital.org), Restive Ventures (www.restive.com), Sorenson Impact Foundation (www.sorensonimpactfoundation.org)</t>
  </si>
  <si>
    <t>128874-43P</t>
  </si>
  <si>
    <t>Rachel Schneider</t>
  </si>
  <si>
    <t>rachel@workwithcanary.com</t>
  </si>
  <si>
    <t>+1 (917) 596-9653</t>
  </si>
  <si>
    <t>5 Union Square West Number 1067</t>
  </si>
  <si>
    <t>10010-5806</t>
  </si>
  <si>
    <t>info@workwithcanary.com</t>
  </si>
  <si>
    <t>431284-33</t>
  </si>
  <si>
    <t>Candoo</t>
  </si>
  <si>
    <t>Candoo Tech</t>
  </si>
  <si>
    <t>Candoo PBC</t>
  </si>
  <si>
    <t>Provider of remote technical training services designed to help older adults. The company's services provide tech support and training for devices and software applications from phones, iPods and tablets, Alexa, and computers, enabling older adults to stay safe, secure, and engaged.</t>
  </si>
  <si>
    <t>EdTech, Mobile, SaaS</t>
  </si>
  <si>
    <t>education services, living community, remote tech support, social services, tech support, tech training services</t>
  </si>
  <si>
    <t>www.candootech.com</t>
  </si>
  <si>
    <t>http://www.linkedin.com/company/candoo-tech</t>
  </si>
  <si>
    <t>2020: 5, 2021: 9, 2022: 12, 2023: 12, 2024: 11</t>
  </si>
  <si>
    <t>The company joined Healthworx Accelerator as a part of its 1501 Health on May 10, 2023 and received $25,000 in funding in the form of SAFE notes.</t>
  </si>
  <si>
    <t>1501 Health, AAA Washington, AgeTech Collaborative, Brown Angel Group, Comcast NBCUniversal LIFT Labs, Healthworx Accelerator, Impact Assets, Pivotal Ventures, Silicon Valley Social Venture Fund, Spock Ventures Management, Techstars, Upstart Ventures, Vodia Capital</t>
  </si>
  <si>
    <t>1501 Health (www.1501health.com), AAA Washington (wa.aaa.com), AgeTech Collaborative (www.agetechcollaborative.org), Brown Angel Group (www.brownangelgroup.org), Comcast NBCUniversal LIFT Labs (lift.comcast.com), Healthworx Accelerator (www.healthworxaccelerator.com), Impact Assets (www.impactassets.org), Pivotal Ventures (www.pivotalventures.org), Silicon Valley Social Venture Fund (www.sv2.org), Spock Ventures Management (www.spock-ventures.com), Techstars (www.techstars.com), Upstart Ventures (www.upstartventures.com), Vodia Capital (www.vodiacapital.com)</t>
  </si>
  <si>
    <t>221856-40P</t>
  </si>
  <si>
    <t>Elizabeth Hamburg</t>
  </si>
  <si>
    <t>Founder, Chief Executive Officer, President, &amp; Board Member</t>
  </si>
  <si>
    <t>liz@candootech.com</t>
  </si>
  <si>
    <t>+1 (646) 758-6606</t>
  </si>
  <si>
    <t>221 West 82nd Street</t>
  </si>
  <si>
    <t>Apartment 10C</t>
  </si>
  <si>
    <t>482539-15</t>
  </si>
  <si>
    <t>Candor (Business/Productivity Software)</t>
  </si>
  <si>
    <t>Candor References, Inc.</t>
  </si>
  <si>
    <t>Developer of a professional platform intended to help teams work better together with culture-building tools. The company provides a platform for teams to create user manuals, do shoutouts, check-ins, peer-to-peer feedback, and run 1-on-1 meetings, collect and verify reviews on startup employees, about the strengths and growth areas of future teammates and managers, and provide thoughtful and actionable feedback to individuals, enabling employees to learn and improve on how they show up for their teammates.</t>
  </si>
  <si>
    <t>feedback system, poll, team building, team collaboration software, team management software, team performance</t>
  </si>
  <si>
    <t>www.joincandor.com</t>
  </si>
  <si>
    <t>http://www.linkedin.com/company/candorreviews</t>
  </si>
  <si>
    <t>2021: 2, 2022: 4, 2023: 9, 2024: 9</t>
  </si>
  <si>
    <t>The company raised $4.87 million of Seed-1, Seed-2, and Seed-3 funding from Contrary, Afore Capital and Work Life Ventures on May 17, 2022, putting the company's pre-money valuation at $20.13 million. Village Global and 10 other investors also participated in the round. The funds will be used to build a new kind of professional network that is focused on how people work, not just what they've worked on.</t>
  </si>
  <si>
    <t>Afore Capital, Alek Koenig, Andrew Farah, Banana Capital, Behind Genius Ventures, Contrary (San Francisco), Ellen DaSilva, Global Founders Capital, Joseph Quan, Riverside Ventures, Ryan Delk, SSC Venture Partners, Village Global, Work Life Ventures</t>
  </si>
  <si>
    <t>Afore Capital (www.afore.vc), Banana Capital (www.bananacapital.vc), Behind Genius Ventures (www.behindgeniusventures.com), Contrary (San Francisco) (www.contrary.com), Global Founders Capital (www.globalfounderscapital.com), Riverside Ventures (www.riversideventures.com), SSC Venture Partners (sscventurepartners.com), Village Global (www.villageglobal.vc), Work Life Ventures (www.worklife.vc)</t>
  </si>
  <si>
    <t>154408-87P</t>
  </si>
  <si>
    <t>Kelsey Bishop</t>
  </si>
  <si>
    <t>777 Brickell Avenue</t>
  </si>
  <si>
    <t>Suite 500-97851</t>
  </si>
  <si>
    <t>hello@joincandor.com</t>
  </si>
  <si>
    <t>343685-08</t>
  </si>
  <si>
    <t>Canela Media</t>
  </si>
  <si>
    <t>Canela</t>
  </si>
  <si>
    <t>Canela Media, Inc.</t>
  </si>
  <si>
    <t>Vix (Movies, Music and Entertainment), Pluto TV, Hulu, FuboTV, Netflix, Disney+Hotstar, YouTube, Spuul, Warner Bros. Entertainment, HBO, Sling TV, Channel 5 Broadcasting, Televisa Univision, Telemundo Communications Group, Tubi (Industrial Supplies and Parts)</t>
  </si>
  <si>
    <t>Provider of digital media services intended to represent the ad inventory of Spanish content in the USA. The company's services include a complete ecosystem to connect with multicultural audiences leading with its free streaming service, on-demand Latino-focused movies, and TV entertainment through multiple platforms, enabling customers to get in-depth knowledge and understanding of how to establish meaningful and culturally relevant connections with the new mainstream.</t>
  </si>
  <si>
    <t>Movies, Music and Entertainment</t>
  </si>
  <si>
    <t>Entertainment Software, Movies, Music and Entertainment*</t>
  </si>
  <si>
    <t>digital media jobs, influencer marketing, influencer network, media marketing, online marketing, streaming on demand, streaming service</t>
  </si>
  <si>
    <t>www.canelamedia.com</t>
  </si>
  <si>
    <t>http://www.linkedin.com/company/canela-media</t>
  </si>
  <si>
    <t>2020: 12, 2021: 42, 2022: 86, 2023: 161, 2024: 231</t>
  </si>
  <si>
    <t>TEGNA Ventures sold a stake in the company to an undisclosed buyer.</t>
  </si>
  <si>
    <t>Acrew Capital, Alumni Ventures, Angeles Investors, BBG Ventures (North America), BMO Bank, Cap Table Coalition, Cerity Partners Ventures, Commune Angels, Link Ventures, Mighty Capital, Portfolia, Powerhouse Capital (California), Publicis Media, Reinventure Capital, Samsung NEXT Ventures</t>
  </si>
  <si>
    <t>TEGNA Ventures</t>
  </si>
  <si>
    <t>Acrew Capital (www.acrewcapital.com), Alumni Ventures (www.av.vc), Angeles Investors (www.angelesinvestors.com), BBG Ventures (North America) (www.bbgventures.com), Cap Table Coalition (www.captablecoalition.com), Cerity Partners Ventures (www.touchdownvc.com), Commune Angels (www.communeangels.com), Link Ventures (www.linkventures.com), Mighty Capital (www.mighty.capital), Portfolia (www.portfolia.co), Powerhouse Capital (California) (www.powerhouse.vc), Reinventure Capital (www.reinventurecapital.com), Samsung NEXT Ventures (www.samsungnext.com)</t>
  </si>
  <si>
    <t>Lowenstein Sandler(Legal Advisor), NewtekOne(Debt Financing)</t>
  </si>
  <si>
    <t>218216-98P</t>
  </si>
  <si>
    <t>Isabel Rafferty Zavala</t>
  </si>
  <si>
    <t>isabel@canelamedia.com</t>
  </si>
  <si>
    <t>+1 (619) 356-0270</t>
  </si>
  <si>
    <t>347 5th Avenue</t>
  </si>
  <si>
    <t>info@canelamedia.com</t>
  </si>
  <si>
    <t>279545-05</t>
  </si>
  <si>
    <t>Canix</t>
  </si>
  <si>
    <t>Entrc</t>
  </si>
  <si>
    <t>Entrc, Inc</t>
  </si>
  <si>
    <t>365 Cannabis, Flowhub, Flourish Software</t>
  </si>
  <si>
    <t>Developer of a cannabis sale and ERP system designed to eliminate frustrating busywork and streamline operations. The company's software offers barcode scanning, on-site integration and training, a customizable interface, and round-the-clock phone support, enabling cannabis companies to optimally power operations and automate compliance.</t>
  </si>
  <si>
    <t>Advanced Manufacturing, Cannabis</t>
  </si>
  <si>
    <t>barcode scanning systems, cannabis platform, cannabis software, cannabis technology, compliance software, compliance software service, erp software system, industrial iot</t>
  </si>
  <si>
    <t>www.canix.com</t>
  </si>
  <si>
    <t>http://www.linkedin.com/company/getcanix</t>
  </si>
  <si>
    <t>2020: 15, 2021: 35, 2022: 39, 2023: 32, 2024: 26</t>
  </si>
  <si>
    <t>Yleana Venture Partners sold a stake in the company to an undisclosed buyer in July 2022. Previously, the company raised $10.00 million of Series A venture funding from Cathexis Ventures, Lago Innovation Fund and Gaingels on June 7, 2022, putting the company's pre-money valuation at $50 million. AG Collective Capital and other investors also participated in the round. The funds will be used to expand throughout the United States and Canada, allowing it to scale its cultivation forecasting and production planning ERP platform to meet market-specific regulations.</t>
  </si>
  <si>
    <t>AG Collective Capital, AltaIR Capital, Andrew Freedman, Cathexis Ventures, Converge Venture Partners, Emles Venture Partners, Floret Ventures, Gaingels, Lago Innovation Fund, MAVA Ventures, MicroVentures, Nano LLC, Phyto Partners, Startup Battlefield, Y Combinator</t>
  </si>
  <si>
    <t>Yleana Venture Partners</t>
  </si>
  <si>
    <t>AG Collective Capital (www.agcollectivecapital.com), AltaIR Capital (www.altair.vc), Cathexis Ventures (www.cathexisventures.com), Converge Venture Partners (converge.vc), Emles Venture Partners (emlesventure.com), Floret Ventures (www.floretventures.com), Gaingels (www.gaingels.com), Lago Innovation Fund (www.lagoinnovation.com), MAVA Ventures (www.mavavc.com), MicroVentures (www.microventures.com), Phyto Partners (www.phytopartners.com), Startup Battlefield (www.techcrunch50.com), Y Combinator (www.ycombinator.com)</t>
  </si>
  <si>
    <t>209581-03P</t>
  </si>
  <si>
    <t>Stacey Hronowski</t>
  </si>
  <si>
    <t>stacey@canix.com</t>
  </si>
  <si>
    <t>+1 (415) 894-9884</t>
  </si>
  <si>
    <t>Suite 5049</t>
  </si>
  <si>
    <t>hi@canix.com</t>
  </si>
  <si>
    <t>277684-03</t>
  </si>
  <si>
    <t>Canomiks</t>
  </si>
  <si>
    <t>Canomiks, Inc.</t>
  </si>
  <si>
    <t>Operator of genomics and artificial intelligence-based technology platform intended to test and certify the biological efficacy and safety of ingredients and formulations. The company's technology uses omics science, data analytics, machine learning, and bioinformatics to validate, test, and certify the biological efficacy and safety of ingredients and formulations for functional food, beverage, and dietary supplement systems, enabling clients to develop quality products and reduce the time and cost of development.</t>
  </si>
  <si>
    <t>Biotechnology, Business/Productivity Software*, Other Commercial Services</t>
  </si>
  <si>
    <t>Artificial Intelligence &amp; Machine Learning, FoodTech, Life Sciences, SaaS</t>
  </si>
  <si>
    <t>biotechnology research, food ingredients research, food safety data, formulation technology, genomics platform, genomics technologies, genomics testing, genomics testing optimization</t>
  </si>
  <si>
    <t>www.canomiks.com</t>
  </si>
  <si>
    <t>http://www.linkedin.com/company/canomiks</t>
  </si>
  <si>
    <t>2020: 5, 2021: 6, 2022: 4, 2024: 5</t>
  </si>
  <si>
    <t>The company received $998,064 of grant funding from the National Science Foundation on June 19, 2024. The funds will be used to develop its technology platform to benchmark and measure the biological effect of botanical ingredients and their impact on human health.</t>
  </si>
  <si>
    <t>Founders Factory, Groove Capital, MassChallenge, Mayo Clinic Business Accelerator, Minnesota Department of Employment and Economic Development, National Science Foundation, PepsiCo Greenhouse Collaborative Accelerator, Plug and Play Tech Center, Techstars, TiE-Boston</t>
  </si>
  <si>
    <t>Founders Factory (www.foundersfactory.com), Groove Capital (www.groovecap.com), MassChallenge (www.masschallenge.org), Mayo Clinic Business Accelerator (www.mcba.io), Minnesota Department of Employment and Economic Development (www.mn.gov/deed), National Science Foundation (nsf.gov), PepsiCo Greenhouse Collaborative Accelerator (www.greenhouseaccelerator.com), Plug and Play Tech Center (www.plugandplaytechcenter.com), Techstars (www.techstars.com), TiE-Boston (www.tieboston.org)</t>
  </si>
  <si>
    <t>209305-72P</t>
  </si>
  <si>
    <t>Leena Pradhan-Nabzdyk</t>
  </si>
  <si>
    <t>leena@canomiks.com</t>
  </si>
  <si>
    <t>+1 (888) 664-5701</t>
  </si>
  <si>
    <t>Rochester, MN</t>
  </si>
  <si>
    <t>221 1st Avenue South West</t>
  </si>
  <si>
    <t>Suite 202</t>
  </si>
  <si>
    <t>Minnesota</t>
  </si>
  <si>
    <t>55905</t>
  </si>
  <si>
    <t>info@canomiks.com</t>
  </si>
  <si>
    <t>494215-66</t>
  </si>
  <si>
    <t>Canopie</t>
  </si>
  <si>
    <t>Canopie Inc</t>
  </si>
  <si>
    <t>Developer of a mental health care platform designed to prevent and address symptoms of maternal depression and anxiety. The company's platform has adapted cognitive behavioral therapy and compassion-focused treatment from programs supported by randomized control trials, enabling pregnant women and new mothers to prevent and treat common mental health challenges.</t>
  </si>
  <si>
    <t>Digital Health, FemTech, HealthTech, Mobile, SaaS</t>
  </si>
  <si>
    <t>anxiety management, cognitive behavioral therapy, maternal care, maternal mental health, mental healthcare, pregnancy support</t>
  </si>
  <si>
    <t>www.canopie.health</t>
  </si>
  <si>
    <t>http://www.linkedin.com/company/canopie</t>
  </si>
  <si>
    <t>2022: 6, 2023: 10</t>
  </si>
  <si>
    <t>The company raised $3.7 million of Series 1 seed funding in a deal led by Aeroflow and Beta Boom on September 19, 2024. Luminary Impact Fund, Symphonic Capital, Techstars, and Sorenson Impact Foundation also participated in the round. The funds will be used to expand the company's personalized, virtual mental health services, which are covered by insurance, to support new mothers across the United States.</t>
  </si>
  <si>
    <t>Aeroflow, Beta Boom, Charity Entreprenuership, DigitalHealth.London Accelerator, Lighthouse Labs (Richmond), Luminary Impact Fund, MassChallenge, Opulentia, Point32Health Foundation, Sorenson Impact Foundation, StartUp Health, Symphonic Capital, Tampa Bay Wave, Techstars, Village Capital, Virginia Venture Partners</t>
  </si>
  <si>
    <t>Aeroflow (www.aeroflowhealth.com), Beta Boom (betaboom.com), DigitalHealth.London Accelerator (www.digitalhealth.london/accelerator), Lighthouse Labs (Richmond) (www.lighthouselabsrva.org), Luminary Impact Fund (www.luminaryimpact.org), MassChallenge (www.masschallenge.org), Opulentia (www.opulentia.vc), Sorenson Impact Foundation (www.sorensonimpactfoundation.org), StartUp Health (www.startuphealth.com), Symphonic Capital (www.symphoniccapital.com), Tampa Bay Wave (www.tampabaywave.org), Techstars (www.techstars.com), Village Capital (www.vilcap.com)</t>
  </si>
  <si>
    <t>296874-64P</t>
  </si>
  <si>
    <t>Ann Bosco</t>
  </si>
  <si>
    <t>adonbosco@canopie.app</t>
  </si>
  <si>
    <t>+1 (650) 209-0126</t>
  </si>
  <si>
    <t>Falls Church, VA</t>
  </si>
  <si>
    <t>Falls Church</t>
  </si>
  <si>
    <t>22046</t>
  </si>
  <si>
    <t>helllo@canopie.org</t>
  </si>
  <si>
    <t>539107-93</t>
  </si>
  <si>
    <t>Canopy (Social/Platform Software)</t>
  </si>
  <si>
    <t>Canopy</t>
  </si>
  <si>
    <t>Developer of social platform intended for content creators to connect, share advice, and learn from each other. The company's platform offers a subscription model that allows access to communicate openly about the behind-the-scenes process of content creation, rewarded with points for giving advice, brands can connect with creators for collaborations and sponsorships, enabling brands to connect with creators and content creators to learn from each other, troubleshoot problems, and get support from their peers.</t>
  </si>
  <si>
    <t>communication content, content creator, creators community, creators market, media creation, social discovery</t>
  </si>
  <si>
    <t>www.underthecanopy.io</t>
  </si>
  <si>
    <t>http://www.linkedin.com/company/underthecanopy</t>
  </si>
  <si>
    <t>The company raised $240,000 of venture funding from Hustle Fund, 1985 Capital and Techstars on October 17, 2023. Previously, the company joined Techstars as a part of its Seattle Accelerator on September 28, 2023 and received $120,000 in funding.</t>
  </si>
  <si>
    <t>1985 Capital, Hustle Fund, Techstars</t>
  </si>
  <si>
    <t>1985 Capital (www.1985capital.com), Hustle Fund (www.hustlefund.vc), Techstars (www.techstars.com)</t>
  </si>
  <si>
    <t>371821-33P</t>
  </si>
  <si>
    <t>Ayomi Samaraweera</t>
  </si>
  <si>
    <t>sayomi@underthecanopy.io</t>
  </si>
  <si>
    <t>608086-90</t>
  </si>
  <si>
    <t>CaptureNoire</t>
  </si>
  <si>
    <t>Pixus, Inc.</t>
  </si>
  <si>
    <t>Operator of a photography platform intended for image technology. The company's platform makes melanin-friendly photography tools, enabling customers to capture their true reflection and empower their creativity.</t>
  </si>
  <si>
    <t>application software, mobile application, mobile photography, photography platform, photography tool, skin tone</t>
  </si>
  <si>
    <t>www.capturenoire.com</t>
  </si>
  <si>
    <t>http://www.linkedin.com/company/pixus-inc</t>
  </si>
  <si>
    <t>The company joined BeNimble Foundation on an undisclosed date and received $5,000 in the form of grant funding.</t>
  </si>
  <si>
    <t>BeNimble Foundation, Elevate Ventures</t>
  </si>
  <si>
    <t>BeNimble Foundation (www.benimblefoundation.org), Elevate Ventures (www.elevateventures.com)</t>
  </si>
  <si>
    <t>403683-58P</t>
  </si>
  <si>
    <t>Martina Jackson</t>
  </si>
  <si>
    <t>530465-50</t>
  </si>
  <si>
    <t>CarbonBright</t>
  </si>
  <si>
    <t>CarbonBright Inc.</t>
  </si>
  <si>
    <t>Planet FWD, CarbonCloud, HowGood, Worldly</t>
  </si>
  <si>
    <t>Developer of product impact intelligence software designed to automatically and accurately measure a product's impact. The company's platform measures products' impact through the supply chain, making it faster and easier to identify emissions hotspots and transition to more sustainable products and ingredients, enabling businesses to measure, report, and reduce their environmental impact.</t>
  </si>
  <si>
    <t>CleanTech, SaaS</t>
  </si>
  <si>
    <t>ai, carbon emissions management, environmental impact, impact intelligence platform, product lifecycle, supply chain, sustainable products</t>
  </si>
  <si>
    <t>www.carbonbright.co</t>
  </si>
  <si>
    <t>http://www.linkedin.com/company/carbonbright</t>
  </si>
  <si>
    <t>2023: 6, 2024: 7</t>
  </si>
  <si>
    <t>The company raised $600,000 of pre-seed funding from Cascade Seed Fund and FortyTwo.VC on August 31, 2023, putting the company's pre-money valuation at $4.4 million.</t>
  </si>
  <si>
    <t>Cascade Seed Fund, Cleantech Open, FortyTwo.VC, Techstars</t>
  </si>
  <si>
    <t>Cascade Seed Fund (www.cascadeseedfund.com), Cleantech Open (www.cleantechopen.org), FortyTwo.VC (www.fortytwo.vc), Techstars (www.techstars.com)</t>
  </si>
  <si>
    <t>364715-56P</t>
  </si>
  <si>
    <t>Thejas Nair</t>
  </si>
  <si>
    <t>464446-36</t>
  </si>
  <si>
    <t>Casa Blanca Real Estate</t>
  </si>
  <si>
    <t>Casa Blanca</t>
  </si>
  <si>
    <t>H.E.S.C. Company, LLC</t>
  </si>
  <si>
    <t>Developer of a real estate application intended for matching home buyers and renters. The company's application offers personalized match-making machine learning technology powered by a simple swipe left or right and guides through the process, schedules showings, and sends listings to agents and chat, enabling users to find their dream home based on preferences and lifestyle priorities.</t>
  </si>
  <si>
    <t>Real Estate Services (B2C)</t>
  </si>
  <si>
    <t>Application Software, Information Services (B2C), Real Estate Services (B2C)*</t>
  </si>
  <si>
    <t>Artificial Intelligence &amp; Machine Learning, Mobile, Real Estate Technology</t>
  </si>
  <si>
    <t>home listing platform, home purchasing assistance, matchmaking technology, real estate, real estate marketplace, real estate platform</t>
  </si>
  <si>
    <t>www.casa-blanca.com</t>
  </si>
  <si>
    <t>http://www.linkedin.com/company/casablancaapp</t>
  </si>
  <si>
    <t>2021: 150, 2023: 176</t>
  </si>
  <si>
    <t>The company raised $2.6 million of seed funding in a deal led by Samuel Ben-Avraham on April 15, 2021. Other undisclosed investors also participated in the round. The funding will be used to continue expanding into new markets, nationally and globally as well as enhancing the company's technology and scaling.</t>
  </si>
  <si>
    <t>Sam Ben-Avraham</t>
  </si>
  <si>
    <t>259813-63P</t>
  </si>
  <si>
    <t>Hannah Bomze</t>
  </si>
  <si>
    <t>hannah@casa-blanca.com</t>
  </si>
  <si>
    <t>+1 (917) 371-3466</t>
  </si>
  <si>
    <t>628 Broadway</t>
  </si>
  <si>
    <t>hello@casa-blanca.com</t>
  </si>
  <si>
    <t>518957-74</t>
  </si>
  <si>
    <t>Casap (Financial Services)</t>
  </si>
  <si>
    <t>Casap</t>
  </si>
  <si>
    <t>Casap Technologies, Inc.</t>
  </si>
  <si>
    <t>Developer of a case management tool platform designed to streamline and automate back office operations for fintech and banks. The company's platform provides technology infrastructure and offers industry-leading insights into its operations and compliance programs, enabling businesses to have financial and operating leverage.</t>
  </si>
  <si>
    <t>Financial Software, Media and Information Services (B2B), Other Financial Services*</t>
  </si>
  <si>
    <t>digital payment, financial platform service, operating leverage, operations firm, technology infrastructure, technology infrastructure company</t>
  </si>
  <si>
    <t>www.casaphq.com</t>
  </si>
  <si>
    <t>http://www.linkedin.com/company/casaphq</t>
  </si>
  <si>
    <t>2023: 4, 2024: 9</t>
  </si>
  <si>
    <t>The company raised $8.5 million of venture funding in a deal led by Lightspeed Venture Partners on October 28, 2024. Primary Venture Partners, Curql Collective, Commerce Ventures, Alloy Labs and gener8tor also participated in the round. The funds will be used to continue to scale its AI decisioning, helping financial institutions reduce operational costs, curb fraud-related losses, and transform the consumer experience.</t>
  </si>
  <si>
    <t>Alloy Labs, Commerce Ventures, Curql Collective, gener8tor, Lightspeed Venture Partners, Primary Venture Partners</t>
  </si>
  <si>
    <t>Alloy Labs (www.alloylabs.com), Commerce Ventures (commerce.vc), gener8tor (www.gener8tor.com), Lightspeed Venture Partners (www.lsvp.com), Primary Venture Partners (www.primary.vc)</t>
  </si>
  <si>
    <t>332891-83P</t>
  </si>
  <si>
    <t>Saisi Peter</t>
  </si>
  <si>
    <t>peter@casaphq.com</t>
  </si>
  <si>
    <t>3 West 36th Street</t>
  </si>
  <si>
    <t>Apartment 10 A</t>
  </si>
  <si>
    <t>10018-7953</t>
  </si>
  <si>
    <t>info@casaphq.com</t>
  </si>
  <si>
    <t>517724-47</t>
  </si>
  <si>
    <t>Cascade (Human Capital Services)</t>
  </si>
  <si>
    <t>Cascade</t>
  </si>
  <si>
    <t>Cascade Health Innovations Inc.</t>
  </si>
  <si>
    <t>Developer of human resources and benefits intelligent platform designed for health price transparency. The company's platform engages in offering artificial intelligence-based personalized healthcare plans for employees, provides advanced health equity for employees by making care more affordable and accessible, and accurate data on pricing, coverage, and quality for any plan, enabling healthcare firms to choose the right healthcare plan for their organization.</t>
  </si>
  <si>
    <t>Business/Productivity Software, Enterprise Systems (Healthcare), Human Capital Services*</t>
  </si>
  <si>
    <t>Artificial Intelligence &amp; Machine Learning, HealthTech, HR Tech</t>
  </si>
  <si>
    <t>ai assistant, ai health assistant, benefits engagement, employee assistance, enterprise ai system, healthcare plan services, healthcare pricing, intelligence platform, personalized healthcare</t>
  </si>
  <si>
    <t>www.gocascade.ai</t>
  </si>
  <si>
    <t>http://www.linkedin.com/company/cascade-ai</t>
  </si>
  <si>
    <t>2023: 5</t>
  </si>
  <si>
    <t>The company raised $3.75 million of Seed funding in a deal led by Gradient Ventures on October 24, 2024. Myriad Venture Partners and Success Venture Partners also participated in the round. The funds will be used to continue to build out customer-requested features and expand the company's platform to support increased demand driven by early customer successes.</t>
  </si>
  <si>
    <t>AlleyCorp, Creative Destruction Lab, Gradient Ventures, MIT Sandbox, MIT Sandbox Innovation Fund Program, Myriad Venture Partners, SBXi, Success Venture Partners</t>
  </si>
  <si>
    <t>AlleyCorp (www.alleycorp.com), Creative Destruction Lab (www.creativedestructionlab.com), Gradient Ventures (www.gradient.com), MIT Sandbox (www.sandbox.mit.edu), Myriad Venture Partners (www.myriadventures.com), SBXi (www.sbxi.com), Success Venture Partners (www.successvp.com)</t>
  </si>
  <si>
    <t>330263-02P</t>
  </si>
  <si>
    <t>Pulak Goyal</t>
  </si>
  <si>
    <t>pgoyal@gocascade.ai</t>
  </si>
  <si>
    <t>10700 NorthEast 4th Street</t>
  </si>
  <si>
    <t>Unit 3208</t>
  </si>
  <si>
    <t>98004</t>
  </si>
  <si>
    <t>info@cascadehealth.ai</t>
  </si>
  <si>
    <t>460210-78</t>
  </si>
  <si>
    <t>CaseCTRL</t>
  </si>
  <si>
    <t>Medovate Technologies, Inc.</t>
  </si>
  <si>
    <t>Casetabs, Surgimate, DocSpera</t>
  </si>
  <si>
    <t>Developer of surgical management platform intended to coordinate and communicate surgical cases between staff and individual surgeons. The company offers an artificial intelligence-based platform that offers predictive analytics to automate surgery scheduling workflows, enabling hospitals and clinics to enhance efficiency and overall patient care.</t>
  </si>
  <si>
    <t>Enterprise Systems (Healthcare)</t>
  </si>
  <si>
    <t>Application Software, Automation/Workflow Software, Business/Productivity Software, Enterprise Systems (Healthcare)*</t>
  </si>
  <si>
    <t>Artificial Intelligence &amp; Machine Learning, Digital Health, SaaS</t>
  </si>
  <si>
    <t>artificial intelligence, digital health, healthcare, healthcare exchange platform, saas, surgery coordination application, surgery management, surgery planning, surgery planning software, surgical coordination, surgical management platform</t>
  </si>
  <si>
    <t>www.casectrl.com</t>
  </si>
  <si>
    <t>http://www.linkedin.com/company/casectrl</t>
  </si>
  <si>
    <t>2021: 7, 2023: 15, 2024: 11</t>
  </si>
  <si>
    <t>The company received $100,000 of grant funding from Wavemaker Three-Sixty Health on November 6, 2022.</t>
  </si>
  <si>
    <t>Amit Patel, Charanjiv Roye, Creative Destruction Lab, gBETA, HearstLab, Houston Angel Network, Ignite Healthcare Network, Lighthouse Labs (Richmond), Techstars, Wavemaker Three-Sixty Health</t>
  </si>
  <si>
    <t>Creative Destruction Lab (www.creativedestructionlab.com), gBETA (gbetastartups.com), HearstLab (www.hearstlab.com), Houston Angel Network (www.houstonangelnetwork.org), Ignite Healthcare Network (www.ignitehealthcare.org), Lighthouse Labs (Richmond) (www.lighthouselabsrva.org), Techstars (www.techstars.com), Wavemaker Three-Sixty Health (www.wavemaker360.com)</t>
  </si>
  <si>
    <t>253746-01P</t>
  </si>
  <si>
    <t>Ashvin Dewan</t>
  </si>
  <si>
    <t>Co-Founder &amp; Chief Medical Officer</t>
  </si>
  <si>
    <t>ashvin.dewan@casectrl.com</t>
  </si>
  <si>
    <t>+1 (281) 356-0595</t>
  </si>
  <si>
    <t>Sugar Land, TX</t>
  </si>
  <si>
    <t>1542 David Searles Boulevard</t>
  </si>
  <si>
    <t>Sugar Land</t>
  </si>
  <si>
    <t>77478</t>
  </si>
  <si>
    <t>info@casectrl.com</t>
  </si>
  <si>
    <t>490698-37</t>
  </si>
  <si>
    <t>CaseNetwork</t>
  </si>
  <si>
    <t>Casenetwork LLC</t>
  </si>
  <si>
    <t>Provider of digital healthcare training intended to serve healthcare professionals. The company's platform provides innovative healthcare education on technology platforms, enabling healthcare professionals to become capable, competent, and resilient in an ever-changing healthcare environment.</t>
  </si>
  <si>
    <t>EdTech, LOHAS &amp; Wellness</t>
  </si>
  <si>
    <t>clinical care, healthcare application, healthcare education, healthcare knowledge, healthcare training, healthcare training program, quality education, technology platform</t>
  </si>
  <si>
    <t>www.casenetwork.com</t>
  </si>
  <si>
    <t>http://www.linkedin.com/company/casenetwork2</t>
  </si>
  <si>
    <t>The company raised $2.85 million of venture funding from Martinson Ventures on January 18, 2022.</t>
  </si>
  <si>
    <t>Martinson Ventures</t>
  </si>
  <si>
    <t>Martinson Ventures (www.martinsonventures.com)</t>
  </si>
  <si>
    <t>7 Ashbrooke Road Newtown Square</t>
  </si>
  <si>
    <t>19073-1405</t>
  </si>
  <si>
    <t>+1 (800) 654-1745</t>
  </si>
  <si>
    <t>info@casenetwork.com</t>
  </si>
  <si>
    <t>Expected 09-Apr-2026</t>
  </si>
  <si>
    <t>399261-88</t>
  </si>
  <si>
    <t>Casted</t>
  </si>
  <si>
    <t>Caster Software</t>
  </si>
  <si>
    <t>Casted, Inc.</t>
  </si>
  <si>
    <t>Wistia, IFTTT</t>
  </si>
  <si>
    <t>Developer of a content marketing platform designed to empower marketers to access, amplify, and attribute their podcast content. The company's platform harnesses the power of conversation to create relevant and expert-driven content that serves a purpose and delivers results, enabling clients to amplify conversations as part of their marketing strategy.</t>
  </si>
  <si>
    <t>AdTech, Marketing Tech, SaaS</t>
  </si>
  <si>
    <t>b2b platform developer, b2b platform operator, customer relationship management, marketing analytics platform, marketing automation, podcast analytics, podcast based platform, podcast hosting, podcasting platform developer</t>
  </si>
  <si>
    <t>www.casted.us</t>
  </si>
  <si>
    <t>http://www.linkedin.com/company/gocasted</t>
  </si>
  <si>
    <t>2020: 20, 2021: 54, 2022: 64, 2023: 42, 2024: 30</t>
  </si>
  <si>
    <t>The company raised $1 million of venture funding from undisclosed investors on October 4, 2024.</t>
  </si>
  <si>
    <t>Elevate Ventures, High Alpha, Revolution Ventures, Tappan Hill Ventures</t>
  </si>
  <si>
    <t>Elevate Ventures (www.elevateventures.com), High Alpha (www.highalpha.com), Tappan Hill Ventures (www.tappanhillventures.com)</t>
  </si>
  <si>
    <t>219876-22P</t>
  </si>
  <si>
    <t>Adam Patarino</t>
  </si>
  <si>
    <t>adam@casted.us</t>
  </si>
  <si>
    <t>+1 (317) 283-9691</t>
  </si>
  <si>
    <t>830 Massachusetts Avenue</t>
  </si>
  <si>
    <t>Suite 1500, Floor 3</t>
  </si>
  <si>
    <t>46204</t>
  </si>
  <si>
    <t>info@casted.us</t>
  </si>
  <si>
    <t>502818-58</t>
  </si>
  <si>
    <t>Castle</t>
  </si>
  <si>
    <t>Waypoint International</t>
  </si>
  <si>
    <t>Castle Pay, Inc.</t>
  </si>
  <si>
    <t>Developer of a mobile application designed to make payments of household bills to automate and consolidate home expenses. The company offers tools for homeowners to simplify home finances and access all of the invoices and auto-pay setup in one clean, readable, and searchable ledger, enabling customers to optimize home financial plans to help them achieve their financial goals.</t>
  </si>
  <si>
    <t>application software, artificial intelligence, expense manager, invoice finance, mobile application, payment needs, payment platform, spend analysis</t>
  </si>
  <si>
    <t>www.getcastle.com</t>
  </si>
  <si>
    <t>http://www.linkedin.com/company/getcastle</t>
  </si>
  <si>
    <t>The company raised $4 million of Seed-6 funding from undisclosed investors on September 27, 2024, putting the company's pre-money valuation at $14.5 million.</t>
  </si>
  <si>
    <t>Andrew Bialecki, Founder Collective, Freestyle Capital, Neo (Consulting Services (B2B)), Scott Belsky</t>
  </si>
  <si>
    <t>Founder Collective (www.foundercollective.com), Freestyle Capital (www.freestyle.vc), Neo (Consulting Services (B2B)) (www.neo.com), Scott Belsky (www.scottbelsky.com)</t>
  </si>
  <si>
    <t>311221-45P</t>
  </si>
  <si>
    <t>Madeline Hung</t>
  </si>
  <si>
    <t>madeline@castlepay.co</t>
  </si>
  <si>
    <t>+1 (415) 964-4845</t>
  </si>
  <si>
    <t>Hudson, NY</t>
  </si>
  <si>
    <t>402 Union Street</t>
  </si>
  <si>
    <t>Unit 441</t>
  </si>
  <si>
    <t>Hudson</t>
  </si>
  <si>
    <t>12534</t>
  </si>
  <si>
    <t>hello@castlepay.co</t>
  </si>
  <si>
    <t>522911-44</t>
  </si>
  <si>
    <t>CAT Labs</t>
  </si>
  <si>
    <t>CAT</t>
  </si>
  <si>
    <t>CATLabs, Inc</t>
  </si>
  <si>
    <t>Xage Security, Hacken</t>
  </si>
  <si>
    <t>Developer of digital asset recovery tools intended to find, identify, and seize assets from various digital sources. The company offers a distinct toolset that specializes in finding, identifying and seizing cryptocurrency from smartphones, computers, servers, email, cloud accounts, documents and other digital data, enabling clients to optimize digital asset protection.</t>
  </si>
  <si>
    <t>Cryptocurrency/Blockchain, Cybersecurity, SaaS</t>
  </si>
  <si>
    <t>application security, crypto security, cybersecurity tool, digital asset protection, digital asset recovery, recovery system, security services, web3 security</t>
  </si>
  <si>
    <t>www.catlabs.io</t>
  </si>
  <si>
    <t>http://www.linkedin.com/company/cat-labs</t>
  </si>
  <si>
    <t>2023: 6, 2024: 10</t>
  </si>
  <si>
    <t>The company raised $9.70 million through a combination of Seed-1, Seed-2, and Seed-3 funding from CMT Digital, RW3 Ventures and Newark Venture Partners on June 6, 2024, putting the company's pre-money valuation at $25.30 million. Hash3, Borderless Capital, M13, Outshine Ventures, Cryptoverse Ventures, Castle Island Ventures, Brevan Howard Asset Management and Arca (Los Angeles) also participated in the round.</t>
  </si>
  <si>
    <t>Arca (Asset Management), Borderless Capital, Brevan Howard Asset Management, Castle Island Ventures, CMT Digital, Cryptoverse Ventures, Hash3, M13, nvp capital, Outshine Ventures, RW3 Ventures</t>
  </si>
  <si>
    <t>Arca (Asset Management) (www.ar.ca), Borderless Capital (www.borderlesscapital.io), Brevan Howard Asset Management (www.brevanhoward.com), Castle Island Ventures (www.castleislandventures.com), CMT Digital (cmt.digital), Hash3 (www.hash3.xyz), M13 (www.m13.co), nvp capital (www.nvpcap.com), RW3 Ventures (www.rw3ventures.com)</t>
  </si>
  <si>
    <t>342812-44P</t>
  </si>
  <si>
    <t>Lilita Infante</t>
  </si>
  <si>
    <t>linfante@catlabs.io</t>
  </si>
  <si>
    <t>contact@catlabs.io</t>
  </si>
  <si>
    <t>517043-71</t>
  </si>
  <si>
    <t>CataPalloVR</t>
  </si>
  <si>
    <t>CatapalloVR, Inc.</t>
  </si>
  <si>
    <t>Operator of an educational platform intended for a smoother transition into adulthood. The company's platform offers virtual reality modules focused on core skills essential to reduce the service need and its web-based learning module program helps to address service gaps for young adults with autism, enabling students to learn independent living and life skills.</t>
  </si>
  <si>
    <t>EdTech, Mobile, Virtual Reality</t>
  </si>
  <si>
    <t>cores skills essential modules, educational platform operator, educational platform provider, learning platform, virtual reality modules, web based learning modules</t>
  </si>
  <si>
    <t>www.catapallovr.com</t>
  </si>
  <si>
    <t>http://www.linkedin.com/company/catapallovr</t>
  </si>
  <si>
    <t>The company raised $100,000 of venture funding from Ben Franklin Technology Partners of Northeastern Pennsylvania on May 24, 2023. Previously, the company joined Berks LaunchBox as a part of its Testlab Accelerator Final Pitch Competition on December 20, 2022 and received $500,000 in funding in the form of grant.</t>
  </si>
  <si>
    <t>Ben Franklin Technology Partners of Northeastern Pennsylvania, Berks LaunchBox</t>
  </si>
  <si>
    <t>Ben Franklin Technology Partners of Northeastern Pennsylvania (www.nep.benfranklin.org), Berks LaunchBox (berkslaunchbox.psu.edu)</t>
  </si>
  <si>
    <t>328442-05P</t>
  </si>
  <si>
    <t>Krynn McClain</t>
  </si>
  <si>
    <t>Reading, PA</t>
  </si>
  <si>
    <t>Reading</t>
  </si>
  <si>
    <t>177267-97</t>
  </si>
  <si>
    <t>CentSai</t>
  </si>
  <si>
    <t>CentSai Inc.</t>
  </si>
  <si>
    <t>Developer of a personal finance platform designed to make financial education fun and easy to absorb. The company's platform publishes story-based content enriched with videos, articles, blogs, games, and quizzes to provide educational lessons through storytelling and interactive content, enabling financial service businesses to connect with millennials and Gen X through education and storytelling.</t>
  </si>
  <si>
    <t>debt management, e-learning platform, financial advisor, financial education, financial literacy, financial wellness</t>
  </si>
  <si>
    <t>www.centsai.com</t>
  </si>
  <si>
    <t>http://www.linkedin.com/company/centsai</t>
  </si>
  <si>
    <t>2017: 27, 2020: 77, 2022: 18, 2024: 47</t>
  </si>
  <si>
    <t>FY 2016</t>
  </si>
  <si>
    <t>The company raised an undisclosed amount of venture funding from SUM Ventures in 2022.</t>
  </si>
  <si>
    <t>SUM Ventures, Suresh Madhuvarsu</t>
  </si>
  <si>
    <t>SUM Ventures (www.sum.vc)</t>
  </si>
  <si>
    <t>SeedInvest(Lead Manager or Arranger)</t>
  </si>
  <si>
    <t>170391-34P</t>
  </si>
  <si>
    <t>Arindam Nag</t>
  </si>
  <si>
    <t>arindam@centsai.com</t>
  </si>
  <si>
    <t>+1 (646) 491-2254</t>
  </si>
  <si>
    <t>455 7th Street</t>
  </si>
  <si>
    <t>11215</t>
  </si>
  <si>
    <t>info@centsai.com</t>
  </si>
  <si>
    <t>Bridge Loan - $0.01M</t>
  </si>
  <si>
    <t>315666-64</t>
  </si>
  <si>
    <t>Ceresa</t>
  </si>
  <si>
    <t>Ceresa, Inc.</t>
  </si>
  <si>
    <t>CrossKnowledge, Fullbridge, Strive Talent, Linkage, Sandler Systems</t>
  </si>
  <si>
    <t>Developer of a leadership development platform designed to address the specific needs of diverse aspiring leaders. The company's platform offers programs with virtual executive coaching, structured curriculum, mentoring, and support, enabling professionals to have access to affordable leadership development.</t>
  </si>
  <si>
    <t>Education and Training Services (B2B), Educational Software*</t>
  </si>
  <si>
    <t>leadership courses, leadership program, mentorship program, mentorship services, professional training course, professional training provider</t>
  </si>
  <si>
    <t>www.ceresa.com</t>
  </si>
  <si>
    <t>http://www.linkedin.com/company/ceresawomen</t>
  </si>
  <si>
    <t>2020: 11, 2021: 24, 2022: 43, 2023: 47, 2024: 49</t>
  </si>
  <si>
    <t>The company raised $8.89 million of venture funding from undisclosed investors on January 3, 2024. As a part of transaction an undisclosed amount was raised in the form of safe notes and convertible debt, and subsequently converted to equity.</t>
  </si>
  <si>
    <t>EduLab Capital Partners, Gaingels, Goodwater Capital, LiveOak Ventures, Next Coast Ventures, Sandusky Ventures, The Cambria Group, TTCER Partners, TXV Partners</t>
  </si>
  <si>
    <t>Beam Angel Network</t>
  </si>
  <si>
    <t>EduLab Capital Partners (www.edulabcapital.com), Gaingels (www.gaingels.com), Goodwater Capital (www.goodwatercap.com), LiveOak Ventures (www.liveoak.vc), Next Coast Ventures (www.nextcoastventures.com), Sandusky Ventures (www.sanduskyventures.com), The Cambria Group (www.cambriagroup.com), TTCER Partners (ttcerpartners.com), TXV Partners (www.txv.partners)</t>
  </si>
  <si>
    <t>Beam Angel Network (www.beamfounders.org)</t>
  </si>
  <si>
    <t>237411-01P</t>
  </si>
  <si>
    <t>Anna Robinson</t>
  </si>
  <si>
    <t>anna@ceresa.com</t>
  </si>
  <si>
    <t>+1 (650) 796-9145</t>
  </si>
  <si>
    <t>1702 West 6th Street</t>
  </si>
  <si>
    <t>78703</t>
  </si>
  <si>
    <t>info@ceresa.com</t>
  </si>
  <si>
    <t>519581-71</t>
  </si>
  <si>
    <t>CFEX</t>
  </si>
  <si>
    <t>CFEX, Inc.</t>
  </si>
  <si>
    <t>Developer of cloud-based decarbonization platform designed to streamline and optimizes clean energy transactions. The company's platform specializes in substantially reducing the costs of back-office operations of PPA contracts between buyers and sellers by increasing financial transparency and minimizing billing errors, enabling businesses to track, plan, and reduce scope 2 GHG emissions.</t>
  </si>
  <si>
    <t>Business/Productivity Software*, Environmental Services (B2B), Other Energy Services</t>
  </si>
  <si>
    <t>carbon free energy, carbon free environment, clean energy firm, decarbonization platform, decarbonization services, decarbonization technology, intermittent renewable energy, solar photovoltaic</t>
  </si>
  <si>
    <t>www.cfexcloud.com</t>
  </si>
  <si>
    <t>http://www.linkedin.com/company/cfexcloud</t>
  </si>
  <si>
    <t>2023: 18, 2024: 16</t>
  </si>
  <si>
    <t>The company joined AWS Clean Energy Accelerator 4.0 on March 6, 2023. No equity or funding was exchanged as a result of this program.</t>
  </si>
  <si>
    <t>Accurant International, AWS Clean Energy Accelerator 4.0</t>
  </si>
  <si>
    <t>Accurant International (www.accurantllc.com)</t>
  </si>
  <si>
    <t>46408-51P</t>
  </si>
  <si>
    <t>Jian Zhang</t>
  </si>
  <si>
    <t>jian.zhang@cfexcloud.com</t>
  </si>
  <si>
    <t>info@cfexcloud.com</t>
  </si>
  <si>
    <t>494839-54</t>
  </si>
  <si>
    <t>Chaos Genius</t>
  </si>
  <si>
    <t>GoodHealth Technologies, Inc.</t>
  </si>
  <si>
    <t>Developer of a transformative DataOps observability platform designed for enhancing data infrastructure efficiency. The company's product focuses on optimizing the cloud data warehouse platform and offering automated recommendations to streamline workloads, identify inefficiencies, and enhance query performance to get alerted on important changes in their key performance indicators along with an instant root cause analysis, providing intelligent recommendations, delivering significant performance improvements and cost savings to organizations.</t>
  </si>
  <si>
    <t>application security, cloud cost optimization, cloud workload protection platform, cost monitoring, data efficiency, data infrastructure, data optimization tool, data quality tools, data warehouse, databricks services, observability platform, snowflake solution provider</t>
  </si>
  <si>
    <t>Cloud Workload Protection, FinOps</t>
  </si>
  <si>
    <t>www.chaosgenius.io</t>
  </si>
  <si>
    <t>http://www.linkedin.com/company/chaosgenius</t>
  </si>
  <si>
    <t>2022: 10, 2023: 14, 2024: 17</t>
  </si>
  <si>
    <t>The company joined NetApp Excellerator as a part of flagship accelerator program on April 5, 2024.</t>
  </si>
  <si>
    <t>Charles Zedlewski, Elevation Capital (India), Google for Startups, Holly Liu, NetApp Excellerator, Sumon Sadhu, Y Combinator</t>
  </si>
  <si>
    <t>Elevation Capital (India) (www.elevationcapital.com), Google for Startups (startup.google.com), NetApp Excellerator (startup.netapp.in), Y Combinator (www.ycombinator.com)</t>
  </si>
  <si>
    <t>251381-71P</t>
  </si>
  <si>
    <t>Preeti Shrimal</t>
  </si>
  <si>
    <t>preeti@chaosgenius.io</t>
  </si>
  <si>
    <t>+1 (650) 567-4441</t>
  </si>
  <si>
    <t>3260 Hillview Avenue</t>
  </si>
  <si>
    <t>94304</t>
  </si>
  <si>
    <t>465628-60</t>
  </si>
  <si>
    <t>ChargeNet</t>
  </si>
  <si>
    <t>ChargeNet Holdings Inc.</t>
  </si>
  <si>
    <t>Volta Charging, ChargeLab, EV Connect, ChargePoint, EVCS (Utilities), Driivz, Greenlots, EVmatch, Tesla, EVgo, Flo Health, Blink (Application Software)</t>
  </si>
  <si>
    <t>Developer of renewable energy infrastructure technology designed to create a seamless electric vehicle (EV) charging experience using EV charging. The company's platform makes it easier for quick-serve restaurants (QSR) to offer customers an opportunity to eat food and charge their EVs at the same time, enabling QSR businesses to accelerate the energy transition with EV fast charging and renewable energy infrastructure.</t>
  </si>
  <si>
    <t>Utilities</t>
  </si>
  <si>
    <t>Other Utilities</t>
  </si>
  <si>
    <t>Business/Productivity Software, Other Hardware, Other Utilities*</t>
  </si>
  <si>
    <t>CleanTech, Climate Tech, LOHAS &amp; Wellness, Mobility Tech, SaaS</t>
  </si>
  <si>
    <t>battery storage, charging infrastructure, charging services, charging station, electric vehicle, ev charging, fast charging, renewable energy, software platform</t>
  </si>
  <si>
    <t>www.chargenetstations.com</t>
  </si>
  <si>
    <t>http://www.linkedin.com/company/chargenet-stations</t>
  </si>
  <si>
    <t>2020: 2, 2021: 13, 2022: 40, 2023: 24, 2024: 18</t>
  </si>
  <si>
    <t>The company was in talks to receive an undisclosed amount of Series A venture funding on July 5, 2022. Subsequently, the deal was cancelled. Previously, the company joined Google for Startups Accelerator as a part of its Climate Change Cohort Program on June 7, 2022.</t>
  </si>
  <si>
    <t>10X Tech Ventures, 49ers Enterprises, Aligned Climate Capital, CONNECT (Accelerator), Google for Startups, Los Angeles Cleantech Incubator, NuFund Venture Group, Plug and Play Tech Center, San Diego Angel Conference, San Diego Angels, Startup San Diego, Wayfare Ventures</t>
  </si>
  <si>
    <t>Aligned Climate Capital (www.alignedclimatecapital.com), CONNECT (Accelerator) (www.connect.org), Google for Startups (startup.google.com), Los Angeles Cleantech Incubator (www.laincubator.org), NuFund Venture Group (www.nufund.com), Plug and Play Tech Center (www.plugandplaytechcenter.com), San Diego Angel Conference (www.thesdangels.com), Startup San Diego (startupsd.org), Wayfare Ventures (www.wayfarevc.com)</t>
  </si>
  <si>
    <t>Carter Credit Union(Debt Financing), Grellas Shah(Legal Advisor), Wilson Sonsini Goodrich &amp; Rosati(Legal Advisor)</t>
  </si>
  <si>
    <t>261276-76P</t>
  </si>
  <si>
    <t>Ashutosh Dutt</t>
  </si>
  <si>
    <t>+1 (808) 397-3248</t>
  </si>
  <si>
    <t>Long Beach, CA</t>
  </si>
  <si>
    <t>4605 East</t>
  </si>
  <si>
    <t>Anaheim Street</t>
  </si>
  <si>
    <t>Long Beach</t>
  </si>
  <si>
    <t>90804</t>
  </si>
  <si>
    <t>+1 (424) 408-1064</t>
  </si>
  <si>
    <t>info@chargenetstations.com</t>
  </si>
  <si>
    <t>Expected 28-Feb-2027</t>
  </si>
  <si>
    <t>145527-13</t>
  </si>
  <si>
    <t>Charlee.ai</t>
  </si>
  <si>
    <t>Infinilytics</t>
  </si>
  <si>
    <t>Charlee</t>
  </si>
  <si>
    <t>Charlee.AI, Inc.</t>
  </si>
  <si>
    <t>KloudFuse, Allgress, Crossbeam, Databricks, Metabase, DataRobot, Vortexa, Qlik Technologies, Streamlio, GoodData, 1010data, Birst</t>
  </si>
  <si>
    <t>Developer of an insurance insights platform designed to detect cost and litigation propensity patterns in insurance claims. The company's platform offers a set of sophisticated claims optimization tools, including an artificial intelligence (AI) enabled chatbot providing recommendations and suggested actions, an alert system that identifies red flags and suspicious patterns by leveraging cognitive analysis, and a pre-litigation prediction tool that utilizes emotion and sentiment analysis, enabling clients to receive an unprecedented level of oversight, resulting in an improved loss ratio.</t>
  </si>
  <si>
    <t>Business/Productivity Software, Financial Software*, Media and Information Services (B2B), Other Insurance</t>
  </si>
  <si>
    <t>Artificial Intelligence &amp; Machine Learning, InsurTech</t>
  </si>
  <si>
    <t>analytics platform, business intelligence platform, insurance analytics, insurance insights, litigation support, sentiment analysis, sentiment analysis system, text analysis</t>
  </si>
  <si>
    <t>www.charlee.ai</t>
  </si>
  <si>
    <t>http://www.linkedin.com/company/charlee-ai</t>
  </si>
  <si>
    <t>2021: 19, 2023: 31, 2024: 42</t>
  </si>
  <si>
    <t>The company raised $10 million of seed funding in a deal led by Markd on April 18, 2023. Other undisclosed investors also participated in the round. Recently, the company raised seed funding from Markd and other undisclosed investors on March 25, 2024.</t>
  </si>
  <si>
    <t>Markd, TiE Silicon Valley</t>
  </si>
  <si>
    <t>Markd (markd.vc), TiE Silicon Valley (sv.tie.org)</t>
  </si>
  <si>
    <t>224635-15P</t>
  </si>
  <si>
    <t>Sri Ramaswamy</t>
  </si>
  <si>
    <t>sramaswamy@charlee.ai</t>
  </si>
  <si>
    <t>+1 (844) 826-6906</t>
  </si>
  <si>
    <t>Pleasanton, CA</t>
  </si>
  <si>
    <t>4900 Hopyard Road</t>
  </si>
  <si>
    <t>Pleasanton</t>
  </si>
  <si>
    <t>94588</t>
  </si>
  <si>
    <t>info@charlee.ai</t>
  </si>
  <si>
    <t>Term Loan - $0.15M</t>
  </si>
  <si>
    <t>Expected 06-Aug-2029</t>
  </si>
  <si>
    <t>491478-22</t>
  </si>
  <si>
    <t>Chiefy</t>
  </si>
  <si>
    <t>Briefology</t>
  </si>
  <si>
    <t>Chiefy, Inc.</t>
  </si>
  <si>
    <t>Developer of perioperative team collaboration platform intended to prove patient care. The company's platform captures lessons, notes, and feedback after procedures and drives continuous improvement, enabling surgeons, anesthesiologists, nurses, and other surgical stakeholders to efficiently coordinate and collaborate from pre-op to post-op, while automating administrative tasks.</t>
  </si>
  <si>
    <t>Communication Software, Other Healthcare Technology Systems*</t>
  </si>
  <si>
    <t>Artificial Intelligence &amp; Machine Learning, HealthTech, SaaS, Space Technology</t>
  </si>
  <si>
    <t>ai power data, collaboration platform, communication software, continuous improvement, patient caregiver, surgical workflow</t>
  </si>
  <si>
    <t>www.chiefyteam.com</t>
  </si>
  <si>
    <t>http://www.linkedin.com/company/chiefyteam</t>
  </si>
  <si>
    <t>2022: 4, 2023: 7, 2024: 7</t>
  </si>
  <si>
    <t>The company raised $4.2 million of seed funding in a deal led by LionBird on March 20, 2023, putting the company's pre-money valuation at $7 million. Nina Capital, NYU Entrepreneurial Institute, and Emerge also participated in the round. The funds will be used to accelerate and expand product development and customer acquisition.</t>
  </si>
  <si>
    <t>Emerge Ventures (Tel Aviv), LionBird, Nina Capital, NYU Entrepreneurial Institute, Westchester County Biosciences Accelerator</t>
  </si>
  <si>
    <t>Emerge Ventures (Tel Aviv) (emerge.ventures), LionBird (www.lionbird.com), Nina Capital (www.nina.capital), NYU Entrepreneurial Institute (entrepreneur.nyu.edu/resource/innovation-venture-fund), Westchester County Biosciences Accelerator (www.wcbaccelerator.com)</t>
  </si>
  <si>
    <t>244431-46P</t>
  </si>
  <si>
    <t>Maya Ber Lerner</t>
  </si>
  <si>
    <t>maya@chiefyteam.com</t>
  </si>
  <si>
    <t>+1 (347) 325-0616</t>
  </si>
  <si>
    <t>370 First Avenue</t>
  </si>
  <si>
    <t>Apartment 11 Floor</t>
  </si>
  <si>
    <t>hello@chiefyteam.com</t>
  </si>
  <si>
    <t>438485-23</t>
  </si>
  <si>
    <t>ChipBrain</t>
  </si>
  <si>
    <t>ChipBrain, Inc.</t>
  </si>
  <si>
    <t>Developer of an emotionally intelligent AI assistant designed to read the emotional and conversational cues of the client. The company's product provides real-time emotional analysis by reading conversational cues based on the words spoken, tone of voice, and facial expression, identifies key turning points in the conversations, improves communications training, and provides personalized feedback as per the communicator's conversations, enabling communicators to navigate conversations effectively, close more deals, and increase revenue.</t>
  </si>
  <si>
    <t>Business/Productivity Software*, Other Hardware</t>
  </si>
  <si>
    <t>ai product, ai research, artificial intelligence technology, customer analysis, customer analysis tool, data labeling, machine learning lab, sales productivity, sales productivity analysis, sales productivity tool</t>
  </si>
  <si>
    <t>www.chipbrain.com</t>
  </si>
  <si>
    <t>http://www.linkedin.com/company/chipbrain</t>
  </si>
  <si>
    <t>2020: 8, 2021: 10, 2022: 17, 2023: 7</t>
  </si>
  <si>
    <t>The company raised $716,664 of equity crowdfunding via Netcapital as of May 3, 2023, putting the company's pre-mopney valuation at $2.15 million.</t>
  </si>
  <si>
    <t>Brightlane Ventures, Glasswing Ventures, Lane VC, NFX, The MBA Fund</t>
  </si>
  <si>
    <t>Brightlane Ventures (www.brightlane.co), Glasswing Ventures (www.glasswing.vc), Lane VC (www.lanevc.com), NFX (www.nfx.com), The MBA Fund (www.thembafund.com)</t>
  </si>
  <si>
    <t>Carnation Capital(Consulting), Code Law(Legal Advisor)</t>
  </si>
  <si>
    <t>Code Law(Legal Advisor), Netcapital(Lead Manager or Arranger)</t>
  </si>
  <si>
    <t>239390-20P</t>
  </si>
  <si>
    <t>Lisa Vo</t>
  </si>
  <si>
    <t>Co-Founder, Chief Executive Officer, Board Member and Principal Executive Officer</t>
  </si>
  <si>
    <t>lisa@chipbrain.com</t>
  </si>
  <si>
    <t>Lewes, DE</t>
  </si>
  <si>
    <t>16192 Coastal Highway</t>
  </si>
  <si>
    <t>Lewes</t>
  </si>
  <si>
    <t>19958</t>
  </si>
  <si>
    <t>557424-55</t>
  </si>
  <si>
    <t>Cignal</t>
  </si>
  <si>
    <t>Cignal LLC</t>
  </si>
  <si>
    <t>Developer of artificial intelligence software designed to exercise and test vision models for homeland security applications safely. The company's software offers a suite of simulation and data lifecycle tools for machine vision intended for national security applications, enabling clients to accelerate time-to-market, optimize performance, and reduce uncertainty throughout the development lifecycle.</t>
  </si>
  <si>
    <t>artificial intelligence, automated threat recognition, computer vision, machine learning, synthetic data platform, synthetic database</t>
  </si>
  <si>
    <t>Synthetic Data</t>
  </si>
  <si>
    <t>cignal.co</t>
  </si>
  <si>
    <t>http://www.linkedin.com/company/cignalco</t>
  </si>
  <si>
    <t>2023: 3, 2024: 4</t>
  </si>
  <si>
    <t>The company raised $115,000 of pre-seed funding in the form of convertible notes in a deal led by Ben Franklin Technology Partners of Central and Northern Pennsylvania on March 25, 2024.</t>
  </si>
  <si>
    <t>393832-45P</t>
  </si>
  <si>
    <t>Jaclyn Fiterman</t>
  </si>
  <si>
    <t>jaclyn.fiterman@cignal.co</t>
  </si>
  <si>
    <t>Mifflin County, PA</t>
  </si>
  <si>
    <t>7991 East Back Mountain Road</t>
  </si>
  <si>
    <t>Reedsville</t>
  </si>
  <si>
    <t>Mifflin County</t>
  </si>
  <si>
    <t>17084</t>
  </si>
  <si>
    <t>innovation@cignal.co</t>
  </si>
  <si>
    <t>Bridge Loan - $0.12M (Convertible)</t>
  </si>
  <si>
    <t>453376-54</t>
  </si>
  <si>
    <t>Claira</t>
  </si>
  <si>
    <t>Claira Technologies, Inc.</t>
  </si>
  <si>
    <t>Talegent, hiQ (Business/Productivity Software), Lever (San Francisco), SmartRecruiters, TalentSky, Thalento, AssessFirst, Cloverleaf, Sigmoid, Thomas International Italia, The Predictive Index, RChilli, talegent philippines, Saville Assessment, Greenhouse Software, Grafton Recruitment (Ireland), Softfactors</t>
  </si>
  <si>
    <t>Developer of a competency analytics platform designed for companies to understand their talent and hire better. The company's dataset of thousands of competencies provides atomic intelligence on the current workforce, gaps, trends, and future needs, enabling businesses to match resources dynamically.</t>
  </si>
  <si>
    <t>competency management system, competency model, enterprise resource planning, erp, human capital, human capital management, marketplace operations, marketplace search, marketplace technology, talent agent, workforce analytics software</t>
  </si>
  <si>
    <t>www.claira.ai</t>
  </si>
  <si>
    <t>http://www.linkedin.com/company/claira-ai</t>
  </si>
  <si>
    <t>2021: 3, 2022: 12, 2023: 22, 2024: 11</t>
  </si>
  <si>
    <t>The company raised an undisclosed amount of venture funding from Michigan Rise on January 31, 2024.</t>
  </si>
  <si>
    <t>Connetic Ventures, Global Forward Capital Management, Google for Startups, Heartland Ventures, Invest Detroit Ventures, MassChallenge, Michigan Rise, Northern Michigan Angels</t>
  </si>
  <si>
    <t>Connetic Ventures (www.conneticventures.com), Global Forward Capital Management (www.globalforward.com), Google for Startups (startup.google.com), Heartland Ventures (www.heartlandvc.com), Invest Detroit Ventures (www.idventures.com), MassChallenge (www.masschallenge.org), Michigan Rise (www.michiganrise.com), Northern Michigan Angels (www.northernmichiganangels.com)</t>
  </si>
  <si>
    <t>Varnum(Legal Advisor)</t>
  </si>
  <si>
    <t>246106-36P</t>
  </si>
  <si>
    <t>Katherine Hall</t>
  </si>
  <si>
    <t>katie@claira.ai</t>
  </si>
  <si>
    <t>+1 (616) 402-6151</t>
  </si>
  <si>
    <t>Grand Rapids, MI</t>
  </si>
  <si>
    <t>1971 East Beltline Avenue</t>
  </si>
  <si>
    <t>Suite 106 Unit 570</t>
  </si>
  <si>
    <t>Grand Rapids</t>
  </si>
  <si>
    <t>49525</t>
  </si>
  <si>
    <t>530667-19</t>
  </si>
  <si>
    <t>Class Companion</t>
  </si>
  <si>
    <t>Class Companion, Inc.</t>
  </si>
  <si>
    <t>Developer of an AI-enabled assistant designed to help social studies teachers assess written assignments. The company offers features such as immediate personalized feedback, generates instant progress reports, focuses on lesson planning, and more, enabling teachers to manage their pending assignments and improve their teaching experience.</t>
  </si>
  <si>
    <t>Artificial Intelligence &amp; Machine Learning, EdTech, SaaS</t>
  </si>
  <si>
    <t>ai platform, artificial intelligence, assignment management platform, educational network, educational portal, teaching app</t>
  </si>
  <si>
    <t>www.classcompanion.com</t>
  </si>
  <si>
    <t>http://www.linkedin.com/company/classcompanion</t>
  </si>
  <si>
    <t>The company raised $4 million of seed funding in a deal led by Index Ventures on October 5, 2023. Brainstorm Ventures, OpenAI Startup Fund, Gokul Rajaram, Terrence Rohan and Andrej Karpathy also participated in the round. The funds will be used to improve the teacher experience and expand the team as teachers use their expertise to shape the AI to help students learn in new and exciting ways.</t>
  </si>
  <si>
    <t>Andrej Karpathy, Brainstorm Ventures, Gokul Rajaram, Index Ventures, OpenAI Startup Fund, Terrence Rohan</t>
  </si>
  <si>
    <t>Brainstorm Ventures (www.brainstorm.vc), Index Ventures (www.indexventures.com), OpenAI Startup Fund (www.openai.fund)</t>
  </si>
  <si>
    <t>Cooley(Legal Advisor), Goodwin Procter(Legal Advisor)</t>
  </si>
  <si>
    <t>368869-42P</t>
  </si>
  <si>
    <t>Avery Pan</t>
  </si>
  <si>
    <t>apan@classcompanion.com</t>
  </si>
  <si>
    <t>58 West Portal Avenue</t>
  </si>
  <si>
    <t>Suite 529</t>
  </si>
  <si>
    <t>94127</t>
  </si>
  <si>
    <t>512271-64</t>
  </si>
  <si>
    <t>ClassBank</t>
  </si>
  <si>
    <t>Class Equity</t>
  </si>
  <si>
    <t>ClassEconomy LLC</t>
  </si>
  <si>
    <t>Developer of an education technology platform intended for classroom management and financial literacy. The company's platform equips students with financial literacy and character development, preparing them for real-world responsibilities while fostering a supportive and collaborative school culture, enabling teachers to save time and drive student engagement and students to play an active role in their learning environment.</t>
  </si>
  <si>
    <t>classroom management, edtech platform, education administration program, financial literacy, learning experience, school culture, student success</t>
  </si>
  <si>
    <t>www.classbank.com</t>
  </si>
  <si>
    <t>http://www.linkedin.com/company/myclassbank</t>
  </si>
  <si>
    <t>2022: 2, 2024: 5</t>
  </si>
  <si>
    <t>The company raised $1 million of pre-seed funding from Brass Ring Ventures, Ruthless for Good Fund, and The Yass Prize on September 17, 2024. The funds will be used to accelerate the company's efforts to integrate real-world financial skills into K-12 classrooms nationwide.</t>
  </si>
  <si>
    <t>Brass Ring Ventures, Johns Hopkins Technology Ventures, Ruthless for Good Fund, The Yass Prize</t>
  </si>
  <si>
    <t>Brass Ring Ventures (www.brassring.vc), Johns Hopkins Technology Ventures (www.ventures.jhu.edu), Ruthless for Good Fund (www.ruthlessforgood.com), The Yass Prize (www.yassprize.org)</t>
  </si>
  <si>
    <t>321342-13P</t>
  </si>
  <si>
    <t>Abby Coyle</t>
  </si>
  <si>
    <t>abby@classequity.com</t>
  </si>
  <si>
    <t>Tucson, AZ</t>
  </si>
  <si>
    <t>2200 East River Road</t>
  </si>
  <si>
    <t>Suite 123</t>
  </si>
  <si>
    <t>Tucson</t>
  </si>
  <si>
    <t>85718</t>
  </si>
  <si>
    <t>hello@classequity.com</t>
  </si>
  <si>
    <t>534702-88</t>
  </si>
  <si>
    <t>Cleva</t>
  </si>
  <si>
    <t>Cleva Technologies, Inc.</t>
  </si>
  <si>
    <t>Developer of a banking platform designed for Nigerian businesses and freelancers. The company's platform makes receiving or managing USD payments at an affordable and convenient option by offering competitive exchange rates and low fees, enabling businesses and individuals to manage their accounts around the world.</t>
  </si>
  <si>
    <t>account creation, commercial finance, digital banking, global banking platform, global banking service, payment facilitation, payments processing portal, payments processing services</t>
  </si>
  <si>
    <t>PayFac Enablers</t>
  </si>
  <si>
    <t>www.getcleva.com</t>
  </si>
  <si>
    <t>http://www.linkedin.com/company/cleva-banking</t>
  </si>
  <si>
    <t>2023: 2, 2024: 24</t>
  </si>
  <si>
    <t>The company joined Visa Africa Fintech as a part of second cohort on May 20, 2024. No equity or funding was exchanged as a result of this program.</t>
  </si>
  <si>
    <t>1984 Ventures, BYLD Ventures, Decacorn Capital, FirstCheck Africa, Kairos Angels, Kara Ventures, Negma Group, Newfund Management, Rainfall Ventures, The Raba Partnership, Visa Africa Fintech Accelerator, Y Combinator</t>
  </si>
  <si>
    <t>1984 Ventures (www.1984.vc), BYLD Ventures (www.byldventures.com), Decacorn Capital (decacorn.vc), FirstCheck Africa (www.firstcheck.africa), Kairos Angels (www.kairosangels.com), Kara Ventures (www.kara.ventures), Negma Group (www.negmagroup.com), Newfund Management (www.newfundcap.com), Rainfall Ventures (www.rainfall.com), The Raba Partnership (www.rabacap.com), Visa Africa Fintech Accelerator (africa.visa.com/visa-everywhere/innovation/visa-accelerator.html), Y Combinator (www.ycombinator.com)</t>
  </si>
  <si>
    <t>362314-99P</t>
  </si>
  <si>
    <t>Tolu Alabi</t>
  </si>
  <si>
    <t>contact@getcleva.com</t>
  </si>
  <si>
    <t>494238-34</t>
  </si>
  <si>
    <t>Clockout</t>
  </si>
  <si>
    <t>Vybe Group</t>
  </si>
  <si>
    <t>Clockout Inc</t>
  </si>
  <si>
    <t>Developer of a social platform designed to make friends and build networks naturally. The company's platform provides a tailor-made ecosystem for post-grads and young professionals with features such as buddies, group chats, events, and meetups, enabling users to form social connections and build their personal networks.</t>
  </si>
  <si>
    <t>authentic connection building, group chat, social connectivity platform, social interactive, social media connection, social networking, social platform app</t>
  </si>
  <si>
    <t>www.clockoutapp.com</t>
  </si>
  <si>
    <t>http://www.linkedin.com/company/clockoutapp</t>
  </si>
  <si>
    <t>2022: 10</t>
  </si>
  <si>
    <t>The company raised $756,000 of seed funding in the form of SAFE notes from undisclosed investors on June 30, 2023. Gaingels also invested in this round.</t>
  </si>
  <si>
    <t>296937-73P</t>
  </si>
  <si>
    <t>Krishna Dosapati</t>
  </si>
  <si>
    <t>krishna@clockoutapp.com</t>
  </si>
  <si>
    <t>+1 (908) 698-3981</t>
  </si>
  <si>
    <t>Bridgewater, NJ</t>
  </si>
  <si>
    <t>8 Caruso Court</t>
  </si>
  <si>
    <t>Bridgewater</t>
  </si>
  <si>
    <t>08807</t>
  </si>
  <si>
    <t>+1 (732) 403-7461</t>
  </si>
  <si>
    <t>hello@clockoutapp.com</t>
  </si>
  <si>
    <t>463552-57</t>
  </si>
  <si>
    <t>CloseFactor</t>
  </si>
  <si>
    <t>Ogmagod</t>
  </si>
  <si>
    <t>Ogmagod, Inc.</t>
  </si>
  <si>
    <t>Convin, Relevvo, Seismic (San Diego), Veloxy</t>
  </si>
  <si>
    <t>Developer of enterprise software and machine learning applications designed to offer automated sales research and contextual insights. The company specializes in actionable and relevant information about companies from various disparate sources using natural language processing and information extraction techniques, enabling businesses to reduce the time spent by the account executives on research and maximize time engaging with customers and prospects.</t>
  </si>
  <si>
    <t>Artificial Intelligence &amp; Machine Learning, Big Data, Marketing Tech, SaaS</t>
  </si>
  <si>
    <t>analyzing software, crm, customer relationship management, enterprise software application, enterprise software system, extraction techniques, sales productivity software, technology software solutions, vertical application</t>
  </si>
  <si>
    <t>www.closefactor.com</t>
  </si>
  <si>
    <t>http://www.linkedin.com/company/closefactor</t>
  </si>
  <si>
    <t>2021: 14, 2022: 17, 2023: 39, 2024: 41</t>
  </si>
  <si>
    <t>The company joined FintechNext Ventures on an undisclosed date. Earlier, the company raised $15 million of Series A venture funding in a deal led by Sequoia Capital and Vertex Ventures US on January 17, 2023. GTMFund, Neythri Futures Fund, Overtime.vc, C3 Ventures (VC), Gaingels and Milkbox Partners also participated in the round.</t>
  </si>
  <si>
    <t>Albert Ko, Aspenwood Ventures, Bossa Invest, C3 Ventures (VC), FintechNext Ventures, Gaingels, GTMFund, K5 Global, Mana Ventures, Milkbox Partners, Morado Ventures, Neythri Futures Fund, Overtime.vc, Sequoia Capital, Vertex Ventures US</t>
  </si>
  <si>
    <t>Aspenwood Ventures (www.aspenwoodvc.com), Bossa Invest (www.bossainvest.com), C3 Ventures (VC) (www.c3.ventures), FintechNext Ventures (www.fintechnextventures.com), Gaingels (www.gaingels.com), GTMFund (www.gtmfund.com), K5 Global (www.k5global.com), Mana Ventures (www.manaventures.vc), Milkbox Partners (www.milkboxpartners.com), Morado Ventures (www.moradoventures.com), Neythri Futures Fund (www.neythrifuturesfund.com), Overtime.vc (www.overtime.vc), Sequoia Capital (www.sequoiacap.com), Vertex Ventures US (www.vvus.com)</t>
  </si>
  <si>
    <t>140724-82P</t>
  </si>
  <si>
    <t>Leena Joshi</t>
  </si>
  <si>
    <t>leena@ogmagod.com</t>
  </si>
  <si>
    <t>+1 (925) 462-0432</t>
  </si>
  <si>
    <t>1000 Elwell Court</t>
  </si>
  <si>
    <t>Suite 214</t>
  </si>
  <si>
    <t>94303</t>
  </si>
  <si>
    <t>+1 (408) 391-5616</t>
  </si>
  <si>
    <t>info@closefactor.com</t>
  </si>
  <si>
    <t>437501-26</t>
  </si>
  <si>
    <t>Cloud Range</t>
  </si>
  <si>
    <t>Cloud Range Cyber, LLC</t>
  </si>
  <si>
    <t>Silensec, RangeForce, EC-Council, Immersive Labs, Cybrary</t>
  </si>
  <si>
    <t>Operator of a cybersecurity firm intended to offer cybersecurity training as a service. The company offers SOC analyst and DFIR Simulation Training, security team training, candidate assessment, SOC readiness assessment, OT training, and other related services, enabling employees to defend against inevitable cyber-attacks.</t>
  </si>
  <si>
    <t>Education and Training Services (B2B)*, Network Management Software</t>
  </si>
  <si>
    <t>cyber range training, cyber risk reduction, cyber security learning, cyber training and education, cybersecurity firm operator, cybersecurity safety, managed security services, security operations</t>
  </si>
  <si>
    <t>www.cloudrangecyber.com</t>
  </si>
  <si>
    <t>http://www.linkedin.com/company/cloud-range</t>
  </si>
  <si>
    <t>2022: 11, 2023: 23, 2024: 22</t>
  </si>
  <si>
    <t>The company received an undisclosed amount of development capital from The Riverside Company on March 1, 2024.</t>
  </si>
  <si>
    <t>Circadian Ventures, Connetic Ventures, Tech Square Ventures, TechFarms Capital, The Riverside Company</t>
  </si>
  <si>
    <t>Circadian Ventures (www.circadian.vc), Connetic Ventures (www.conneticventures.com), Tech Square Ventures (www.techsquareventures.com), TechFarms Capital (www.techfarmscapital.com), The Riverside Company (www.riversidecompany.com)</t>
  </si>
  <si>
    <t>Baker Donelson(Legal Advisor)</t>
  </si>
  <si>
    <t>236325-79P</t>
  </si>
  <si>
    <t>Debbie Gordon</t>
  </si>
  <si>
    <t>dgordon@cloudrangecyber.com</t>
  </si>
  <si>
    <t>+1 (615) 400-3175</t>
  </si>
  <si>
    <t>2601 Belmont Boulevard</t>
  </si>
  <si>
    <t>37212</t>
  </si>
  <si>
    <t>+1 (615) 249-8570</t>
  </si>
  <si>
    <t>info@cloudrangecyber.com</t>
  </si>
  <si>
    <t>PE Growth/Expansion</t>
  </si>
  <si>
    <t>437150-62</t>
  </si>
  <si>
    <t>CloudEagle</t>
  </si>
  <si>
    <t>Cloudeagle, Inc.</t>
  </si>
  <si>
    <t>Zluri, Spendflo, Productiv, Zylo, Zip, Vendr</t>
  </si>
  <si>
    <t>Developer of AI (artificial intelligence) platform designed for drag-and-drop slack-enabled procurement workflows. The company's platform automatically categorizes the vendors and provides a complete view of vendors including compliance, and competitors, and automatically discovers and tracks every application being used in the organization, enabling information technology (IT), security and procurement teams to manage, govern and renew all their service-as-a-service (SaaS) apps from one single platform.</t>
  </si>
  <si>
    <t>cloud spend management, cost management software, saas management platform, software spend management, vendor management platform, vendor management tool</t>
  </si>
  <si>
    <t>www.cloudeagle.ai</t>
  </si>
  <si>
    <t>http://www.linkedin.com/company/cloudeagle</t>
  </si>
  <si>
    <t>2021: 4, 2022: 35, 2023: 61, 2024: 76</t>
  </si>
  <si>
    <t>The company raised an undisclosed amount of venture funding from Dragon Capital, Exceptional Capital, OneValley Ventures, and TSVC in January 2023. Simon Chan, Manik Gupta and Daniel Rossignol also participated in the round.</t>
  </si>
  <si>
    <t>Bronco Venture Accelerator, Daniel Rossignol, Dragon Capital (California), Exceptional Capital, F7 Ventures, Manik Gupta, OneValley Ventures, Pareto Holdings, RingCentral, Simon Chan, TiE Silicon Valley, TSVC, VITALIZE Venture Capital, Y Combinator</t>
  </si>
  <si>
    <t>Dragon Capital (California) (www.dragoncapital.vc), Exceptional Capital (www.exceptionalcap.com), F7 Ventures (www.f7ventures.com), OneValley Ventures (onevalleyventures.com), Pareto Holdings (www.pareto20.com), RingCentral (www.ringcentral.com), TiE Silicon Valley (sv.tie.org), TSVC (www.tsvcap.com), VITALIZE Venture Capital (vitalize.vc), Y Combinator (www.ycombinator.com)</t>
  </si>
  <si>
    <t>257862-25P</t>
  </si>
  <si>
    <t>Nidhi Jain</t>
  </si>
  <si>
    <t>nidhi@cloudeagle.ai</t>
  </si>
  <si>
    <t>+1 (510) 299-5432</t>
  </si>
  <si>
    <t>2490 Middlefield Road</t>
  </si>
  <si>
    <t>info@cloudeagle.ai</t>
  </si>
  <si>
    <t>436797-55</t>
  </si>
  <si>
    <t>CloudSphere</t>
  </si>
  <si>
    <t>CloudSphere Limited</t>
  </si>
  <si>
    <t>Netskope, CyberArk Software</t>
  </si>
  <si>
    <t>Developer of cloud governance platform designed for enterprises and cloud service providers. The company's platform offers governance across migration planning, security posture, identity, compliance, and cost management in the cloud, enabling companies in industry segments including telecommunications, software, finance, insurance, healthcare, construction, and education to simplify and optimize cloud migration, management, and governance.</t>
  </si>
  <si>
    <t>Business/Productivity Software*, Network Management Software, Systems and Information Management</t>
  </si>
  <si>
    <t>cloud cost management, cloud migration, cloud platform, cloud security, cloud solutions, network problems</t>
  </si>
  <si>
    <t>FinOps</t>
  </si>
  <si>
    <t>www.cloudsphere.com</t>
  </si>
  <si>
    <t>http://www.linkedin.com/company/cloudsphere</t>
  </si>
  <si>
    <t>2021: 82, 2022: 76, 2023: 71</t>
  </si>
  <si>
    <t>The company raised $12 million of Series B venture funding in a deal led by Atlantic Bridge Capital on September 5, 2024. ST Engineering Ventures and other undisclosed investors also participated in the round. The funds will be used to fuel CloudSphere's growth strategies, including expanding its comprehensive IT visibility platform into the security operations space.</t>
  </si>
  <si>
    <t>Atlantic Bridge Capital, Enterprise Ireland, HighBar Partners, HyperGrid, iQuate, ST Engineering Ventures</t>
  </si>
  <si>
    <t>Atlantic Bridge Capital (www.abven.com), Enterprise Ireland (www.enterprise-ireland.com), HighBar Partners (www.highbarpartners.com), HyperGrid (www.hypergrid.com), iQuate (www.iquate.com)</t>
  </si>
  <si>
    <t>129085-57P</t>
  </si>
  <si>
    <t>Ciaran McNally</t>
  </si>
  <si>
    <t>ciaran.mcnally@cloudsphere.com</t>
  </si>
  <si>
    <t>425 Tasso Street</t>
  </si>
  <si>
    <t>+1 (866) 297-2339</t>
  </si>
  <si>
    <t>info@cloudsphere.com</t>
  </si>
  <si>
    <t>Joint Venture</t>
  </si>
  <si>
    <t>462021-76</t>
  </si>
  <si>
    <t>Clutch (Services (B2C Non-Financial))</t>
  </si>
  <si>
    <t>Campus Concierge</t>
  </si>
  <si>
    <t>Clutch</t>
  </si>
  <si>
    <t>VISeat Concierge, Inc.</t>
  </si>
  <si>
    <t>Pangea.app, Fiverr International, Upwork Global</t>
  </si>
  <si>
    <t>Provider of two-sided freelance services intended to help emerging brands elevate their digital marketing presence by connecting them to next-gen creators. The company's application helps to ease collaborations between creators looking to manage their rates, payments, and portfolios easily, and clients looking for services including social media management, short-form video content creation, and graphic design, enabling students to get financially independent and companies to hit their target audience, hire their target audience.</t>
  </si>
  <si>
    <t>Application Software, Other Restaurants, Hotels and Leisure, Other Services (B2C Non-Financial)*</t>
  </si>
  <si>
    <t>creator economy, freelance-marketers, freelancers marketplace, gig economy platform, hiring freelancers, human capital resource, marketing services, social media influence</t>
  </si>
  <si>
    <t>www.thatsclutch.com</t>
  </si>
  <si>
    <t>http://www.linkedin.com/company/thatsclutch</t>
  </si>
  <si>
    <t>2021: 6, 2022: 18, 2023: 8</t>
  </si>
  <si>
    <t>The company was acquired by Plaiced for an undisclosed amount on July 26, 2024.</t>
  </si>
  <si>
    <t>Precursor Ventures</t>
  </si>
  <si>
    <t>Plaiced</t>
  </si>
  <si>
    <t>Capital Factory, DivInc, Google for Startups, HearstLab, Mark Long, Purdue Ventures, Stone Mountain Ventures (Texas), Techstars, Urban Capital Network, Verizon Communications</t>
  </si>
  <si>
    <t>Precursor Ventures (precursorvc.com)</t>
  </si>
  <si>
    <t>Capital Factory (www.capitalfactory.com), DivInc (www.divinc.org), Google for Startups (startup.google.com), HearstLab (www.hearstlab.com), Stone Mountain Ventures (Texas) (www.stonemountainventures.com), Techstars (www.techstars.com), Urban Capital Network (www.urbancapitalnetwork.com), Verizon Communications (www.verizon.com)</t>
  </si>
  <si>
    <t>Brex(General Business Banking), Croke Fairchild Duarte &amp; Beres(Legal Advisor), Gunderson Dettmer(Legal Advisor), SVB Financial Group(General Business Banking)</t>
  </si>
  <si>
    <t>254786-50P</t>
  </si>
  <si>
    <t>Madison Long</t>
  </si>
  <si>
    <t>madison@thatsclutch.com</t>
  </si>
  <si>
    <t>+1 (281) 606-5864</t>
  </si>
  <si>
    <t>5535 Memorial Drive</t>
  </si>
  <si>
    <t>Suite F 911</t>
  </si>
  <si>
    <t>77007</t>
  </si>
  <si>
    <t>info@thatsclutch.com</t>
  </si>
  <si>
    <t>Merger/Acquisition</t>
  </si>
  <si>
    <t>493272-82</t>
  </si>
  <si>
    <t>Clutch Wallet</t>
  </si>
  <si>
    <t>Clutch Wallet, Inc.</t>
  </si>
  <si>
    <t>Fireblocks, ConsenSys</t>
  </si>
  <si>
    <t>Developer of a digital financial platform designed to invest in digital currencies. The company offers web and mobile applications that connect to Web3 wallets, explore Web3, and seamlessly transact NFTs, and cryptocurrencies, allowing users to hold, invest in, and trade digital assets on the Ethereum blockchain.</t>
  </si>
  <si>
    <t>Cryptocurrency/Blockchain, FinTech, Mobile</t>
  </si>
  <si>
    <t>application software, crypto platform developer, digital currency, digital currency platform, digital currency trading, financial platform, financial software</t>
  </si>
  <si>
    <t>www.joinclutch.xyz</t>
  </si>
  <si>
    <t>http://www.linkedin.com/company/clutchwallet</t>
  </si>
  <si>
    <t>2022: 6, 2023: 7</t>
  </si>
  <si>
    <t>The company raised $800,000 of pre-seed funding in a deal led by Anthemis on February 1, 2022. Everywhere Ventures, Rogue Women and Emmeline Ventures also participated in the round.</t>
  </si>
  <si>
    <t>Anthemis, Emmeline Ventures, Everywhere Ventures, Rogue Women</t>
  </si>
  <si>
    <t>Anthemis (www.anthemis.com), Emmeline Ventures (www.emmelineventures.vc), Everywhere Ventures (everywhere.vc), Rogue Women (www.roguewmn.com)</t>
  </si>
  <si>
    <t>294465-34P</t>
  </si>
  <si>
    <t>Rebecca Jones</t>
  </si>
  <si>
    <t>bec@clutchwallet.xyz</t>
  </si>
  <si>
    <t>543 North Gardner Street</t>
  </si>
  <si>
    <t>90036</t>
  </si>
  <si>
    <t>472510-45</t>
  </si>
  <si>
    <t>Clymb</t>
  </si>
  <si>
    <t>Infinite Focus, Inc.</t>
  </si>
  <si>
    <t>Developer of an educational platform designed to reduce the impact of mental, emotional and behavioral disorders in youth. The company's platform helps to develop emotional intelligence in children by combining mindfulness and socio-emotional learning and their cognitive functions, enabling users to have a personalized plan based on the state of their emotional health.</t>
  </si>
  <si>
    <t>child education, cognitive function development, edtech platform, educational application, mental strength, stress management</t>
  </si>
  <si>
    <t>www.clymbup.io</t>
  </si>
  <si>
    <t>http://www.linkedin.com/company/clymb</t>
  </si>
  <si>
    <t>2021: 2, 2022: 8, 2023: 6, 2024: 6</t>
  </si>
  <si>
    <t>The company raised $375,000 of venture funding from TEDCO and Conscious Venture Partners, Ignite Capital on October 11, 2023.</t>
  </si>
  <si>
    <t>Conscious Venture Partners, Ignite Capital (VC), Loyola University Maryland, Social Innovation Lab (SIL), Techstars, TEDCO</t>
  </si>
  <si>
    <t>Conscious Venture Partners (www.cvpartners.vc), Ignite Capital (VC) (www.ignitecapital.org), Loyola University Maryland (www.loyola.edu), Social Innovation Lab (SIL) (www.socinnlab.org), Techstars (www.techstars.com), TEDCO (www.tedcomd.com)</t>
  </si>
  <si>
    <t>274590-73P</t>
  </si>
  <si>
    <t>Ashley Williams</t>
  </si>
  <si>
    <t>awilliams@clymbup.io</t>
  </si>
  <si>
    <t>Unit 400</t>
  </si>
  <si>
    <t>info@clymbup.io</t>
  </si>
  <si>
    <t>519783-94</t>
  </si>
  <si>
    <t>CModel</t>
  </si>
  <si>
    <t>CModel Data Inc.</t>
  </si>
  <si>
    <t>Operator of a self-service decision intelligence platform intended to help growth-focused leaders make the right decisions at the right time. The company develops advanced decision-intelligence technology that gives businesses insight into their operations, enabling leadership teams to keep their team, strategy and resources in sync while they grow.
.</t>
  </si>
  <si>
    <t>decision intelligence, decision intelligence platform, decision intelligence technology, decision making, decision support, software development</t>
  </si>
  <si>
    <t>www.cmodel.io</t>
  </si>
  <si>
    <t>http://www.linkedin.com/company/cmodel</t>
  </si>
  <si>
    <t>2023: 10, 2024: 16</t>
  </si>
  <si>
    <t>The company raised $1 million of venture funding in the form of convertible debt from Alabama Futures Fund, Rogue Women and Techstars on February 15, 2024.</t>
  </si>
  <si>
    <t>Alabama Futures Fund, AWS Startups, Rogue Women, Techstars</t>
  </si>
  <si>
    <t>Alabama Futures Fund (www.alabamafuturesfund.com), AWS Startups (aws-startup-lofts.com), Rogue Women (www.roguewmn.com), Techstars (www.techstars.com)</t>
  </si>
  <si>
    <t>335077-03P</t>
  </si>
  <si>
    <t>Teasha Cable</t>
  </si>
  <si>
    <t>teasha@c-model.com</t>
  </si>
  <si>
    <t>+1 (510) 205-2020</t>
  </si>
  <si>
    <t>Vallejo, CA</t>
  </si>
  <si>
    <t>535 Whitecliff Drive</t>
  </si>
  <si>
    <t>Vallejo</t>
  </si>
  <si>
    <t>94589</t>
  </si>
  <si>
    <t>+1 (707) 656-7702</t>
  </si>
  <si>
    <t>info@c-model.com</t>
  </si>
  <si>
    <t>Bridge Loan</t>
  </si>
  <si>
    <t>496348-03</t>
  </si>
  <si>
    <t>Co:Create</t>
  </si>
  <si>
    <t>Gesso Labs, Inc.</t>
  </si>
  <si>
    <t>Operator of a curated platform intended to connect tattoo collectors and artists. The company's platform offers exclusive access, white-glove service, and priority booking times for those who purchase directly from partnered artists and provides detailed scheduling, customization, placement discussions, and aftercare, enabling customers to request custom work or purchase pre-drawn designs from top tattoo artists.</t>
  </si>
  <si>
    <t>Business/Productivity Software, Information Services (B2C)*, Media and Information Services (B2B)</t>
  </si>
  <si>
    <t>api-first, application infrastructure, booking platform, crm, crypto corporation management and finance, curated platform, custom tattoos, customer relationship management, tattoos artists, tattoos booking, white-glove service</t>
  </si>
  <si>
    <t>cocreate.ink</t>
  </si>
  <si>
    <t>http://www.linkedin.com/company/co-create-protocol</t>
  </si>
  <si>
    <t>2022: 10, 2023: 17, 2024: 16</t>
  </si>
  <si>
    <t>The company raised $25 million of seed funding in a deal led by Andreessen Horowitz on May 10, 2022. Autograph and 12 other investors also participated in the round. The funds will be used to double the current team of 10 people and sign partnerships with brands and creators for the protocol.</t>
  </si>
  <si>
    <t>Amy Wu, Andreessen Horowitz, Autograph, Flori Ventures, Gary Vaynerchuk, Muse Capital, Not Boring, Quiet Capital, RareBreed Ventures, Rogue Women, RTFKT, Tessera (Financial Software), Vaynerfund, VC3 (New York)</t>
  </si>
  <si>
    <t>Andreessen Horowitz (www.a16z.com), Autograph (www.autograph.io), Flori Ventures (www.floriventures.com), Gary Vaynerchuk (www.garyvaynerchuk.com), Muse Capital (www.musecapital.vc), Not Boring (www.notboring.co), Quiet Capital (www.quiet.com), RareBreed Ventures (rarebreed.vc), Rogue Women (www.roguewmn.com), RTFKT (www.rtfkt.com), Tessera (Financial Software) (www.tessera.co), Vaynerfund (vaynerfund.com), VC3 (New York) (vc3labs.com)</t>
  </si>
  <si>
    <t>231609-34P</t>
  </si>
  <si>
    <t>Tara Fung</t>
  </si>
  <si>
    <t>tara.fung@usecocreate.io</t>
  </si>
  <si>
    <t>+1 (704) 425-5935</t>
  </si>
  <si>
    <t>connect@usecocreate.io</t>
  </si>
  <si>
    <t>509508-55</t>
  </si>
  <si>
    <t>Cobbler (Financial Software)</t>
  </si>
  <si>
    <t>Cobbler</t>
  </si>
  <si>
    <t>Cobbler, Inc.</t>
  </si>
  <si>
    <t>Developer of financial budgeting software intended to help finance teams scale. The company specializes in automated tracking, headcount planning, detecting miscoded data, real-time financial data, real-time rolling headcount forecasts, and budget variance reports, enabling clients to grow by managing communication around budget changes and delivering real-time financial data to every employee.</t>
  </si>
  <si>
    <t>automated tracking, budget software, finance workflow software, financial budgeting, financial budgeting service, financial budgeting software, financial data, headcount planning</t>
  </si>
  <si>
    <t>www.cobbler.io</t>
  </si>
  <si>
    <t>http://www.linkedin.com/company/cobbler-inc</t>
  </si>
  <si>
    <t>2022: 15, 2023: 16, 2024: 13</t>
  </si>
  <si>
    <t>The company raised an estimated $4 million of Seed funding from 10X Capital and other undisclosed investors on October 3, 2022, putting the company's pre-money valuation at $10 million. Gaingels also invested in this round.</t>
  </si>
  <si>
    <t>10X Capital, Gaingels</t>
  </si>
  <si>
    <t>10X Capital (www.10xcapital.com), Gaingels (www.gaingels.com)</t>
  </si>
  <si>
    <t>330979-87P</t>
  </si>
  <si>
    <t>Nate Barbettini</t>
  </si>
  <si>
    <t>204 East 2nd Avenue</t>
  </si>
  <si>
    <t>Suite 310</t>
  </si>
  <si>
    <t>hello@cobbler.io</t>
  </si>
  <si>
    <t>459104-41</t>
  </si>
  <si>
    <t>Cocoon (Business/Productivity Software)</t>
  </si>
  <si>
    <t>Cocoon</t>
  </si>
  <si>
    <t>Cocoon Financial Services, Inc.</t>
  </si>
  <si>
    <t>Developer of a leave management platform designed to address different types of employee leave. The company's platform assists with the complexities of every aspect of leaves, from compliance to payroll to claims and automates the recovery of state and insurance income, enabling companies to offer quality support to their team members through life's pivotal moments and providing employees with an empathetic leave experience.</t>
  </si>
  <si>
    <t>employee leave software, employee management platform, employee management tool, enterprise resource planning, erp, human capital management, insurance claims software, leave management software, payroll processing, payroll software</t>
  </si>
  <si>
    <t>www.cocoon.com</t>
  </si>
  <si>
    <t>http://www.linkedin.com/company/meetcocoon</t>
  </si>
  <si>
    <t>2021: 17, 2022: 46, 2023: 76, 2024: 157</t>
  </si>
  <si>
    <t>The company raised an undisclosed amount of venture funding from ADP Ventures on October 3, 2023.</t>
  </si>
  <si>
    <t>ADP Ventures, Brown Angel Group, Dash Fund, First Round Capital, Index Ventures, Magnify VC, Magnify Ventures, Reform Ventures, SemperVirens Venture Capital, Springbank Collective, XYZ Venture Capital</t>
  </si>
  <si>
    <t>Brown Angel Group (www.brownangelgroup.org), Dash Fund (www.dashfund.co), First Round Capital (www.firstround.com), Index Ventures (www.indexventures.com), Magnify VC (www.magnify.vc), Magnify Ventures (www.magnifyventures.com), Reform Ventures (www.reformventures.com), SemperVirens Venture Capital (www.sempervirensvc.com), Springbank Collective (www.springbank.vc), XYZ Venture Capital (www.xyz.vc)</t>
  </si>
  <si>
    <t>251154-82P</t>
  </si>
  <si>
    <t>Mahima Chawla</t>
  </si>
  <si>
    <t>mahima@meetcocoon.com</t>
  </si>
  <si>
    <t>+1 (213) 973-3380</t>
  </si>
  <si>
    <t>170 Columbus Avenue</t>
  </si>
  <si>
    <t>Suite 280</t>
  </si>
  <si>
    <t>94133</t>
  </si>
  <si>
    <t>contact@cocoon.com</t>
  </si>
  <si>
    <t>278849-44</t>
  </si>
  <si>
    <t>Code Galaxy</t>
  </si>
  <si>
    <t>Launch Code After School</t>
  </si>
  <si>
    <t>Launch After School, LLC</t>
  </si>
  <si>
    <t>BYJU'S, CodeWizardsHQ</t>
  </si>
  <si>
    <t>Provider of online coding classes intended to assist students to grow and improve their computer programming skills. The company's coding classes are collaborative and creative with a project-based curriculum that empowers kids to develop new creative skills and learn to build their applications and games, enabling students to have access to structure and guidance in a fun and challenging environment.</t>
  </si>
  <si>
    <t>coding classes, coding education, computer science education, edtech platform, interactive learning, k-12 education, online coding education, technology skills improvement, virtual learning</t>
  </si>
  <si>
    <t>www.thecodegalaxy.com</t>
  </si>
  <si>
    <t>http://www.linkedin.com/company/thecodegalaxy</t>
  </si>
  <si>
    <t>2020: 10, 2021: 9, 2022: 15, 2023: 21</t>
  </si>
  <si>
    <t>FY 2018</t>
  </si>
  <si>
    <t>The company joined Texas Venture Labs as a part of spring program in 2023.</t>
  </si>
  <si>
    <t>Astralabs, Capital Factory, Houston Angel Network, Texas Venture Labs</t>
  </si>
  <si>
    <t>Astralabs (www.astralabs.com), Capital Factory (www.capitalfactory.com), Houston Angel Network (www.houstonangelnetwork.org), Texas Venture Labs (blogs.mccombs.utexas.edu/texasventurelabs)</t>
  </si>
  <si>
    <t>287570-08P</t>
  </si>
  <si>
    <t>Marliis Reinkort</t>
  </si>
  <si>
    <t>marliis@thecodegalaxy.com</t>
  </si>
  <si>
    <t>+1 (404) 614-0006</t>
  </si>
  <si>
    <t>2028 East Ben White Boulevard</t>
  </si>
  <si>
    <t>Suite 240-4852</t>
  </si>
  <si>
    <t>78741</t>
  </si>
  <si>
    <t>+1 (210) 934-7447</t>
  </si>
  <si>
    <t>471935-26</t>
  </si>
  <si>
    <t>Cofactr</t>
  </si>
  <si>
    <t>Cofactr Inc</t>
  </si>
  <si>
    <t>GAINSystems, AIMMS, Logility</t>
  </si>
  <si>
    <t>Developer of automated electronics purchasing assistant designed to help the hardware team get all the parts they need. The company provides automated sourcing from global suppliers, powerful supply chain intelligence, and intuitive forecasting with transparent search, automated quoting, and instant purchasing, enabling clients to proactively source parts and mitigate supply issues.</t>
  </si>
  <si>
    <t>Business/Productivity Software*, Logistics, Media and Information Services (B2B)</t>
  </si>
  <si>
    <t>SaaS, Supply Chain Tech</t>
  </si>
  <si>
    <t>automated tracking, electronics goods, electronics market, inventory management, procurement and sourcing, supply chain management, supply chain system</t>
  </si>
  <si>
    <t>www.cofactr.com</t>
  </si>
  <si>
    <t>http://www.linkedin.com/company/cofactr</t>
  </si>
  <si>
    <t>2022: 8, 2023: 15, 2024: 21</t>
  </si>
  <si>
    <t>The company raised $17.21 million through a combination of Series A and Series A-1 venture funding from Skeptical Investments, Shah Capital Ventures and other undisclosed investors on October 14, 2024, putting the company's pre-money valuation at $63.79 million.</t>
  </si>
  <si>
    <t>AG Collective Capital, Bain Capital Ventures, Broom Ventures, Cathexis Ventures, Correlation Ventures, Floating Point, Litani Ventures, Pioneer Fund, REMUS Capital, Seed River, Shah Capital Ventures, Skeptical Investments, Sweetspot Capital Holdings, Y Combinator</t>
  </si>
  <si>
    <t>AG Collective Capital (www.agcollectivecapital.com), Bain Capital Ventures (www.baincapitalventures.com), Broom Ventures (www.broom.ventures), Cathexis Ventures (www.cathexisventures.com), Correlation Ventures (www.correlationvc.com), Floating Point (www.floating.vc), Litani Ventures (www.litani.com), Pioneer Fund (www.pioneerfund.vc), REMUS Capital (www.remuscap.com), Seed River (www.seedriver.com), Shah Capital Ventures (www.shahcapitalventures.com), Skeptical Investments (www.skepticalinvestments.biz), Sweetspot Capital Holdings (www.sweetspotcap.com), Y Combinator (www.ycombinator.com)</t>
  </si>
  <si>
    <t>Fox Rothschild(Legal Advisor)</t>
  </si>
  <si>
    <t>273282-13P</t>
  </si>
  <si>
    <t>Matthew Haber</t>
  </si>
  <si>
    <t>matthew@cofactr.com</t>
  </si>
  <si>
    <t>+1 (332) 373-2227</t>
  </si>
  <si>
    <t>Suite 2515</t>
  </si>
  <si>
    <t>hello@cofactr.com</t>
  </si>
  <si>
    <t>452781-64</t>
  </si>
  <si>
    <t>Coherent (Business/Productivity Software)</t>
  </si>
  <si>
    <t>Coherent</t>
  </si>
  <si>
    <t>Coherent Global, Inc.</t>
  </si>
  <si>
    <t>Developer of a software-as-a-service platform designed for business and IT collaboration. The company's platform transforms spreadsheets into APIs, unifies developers and non-developers, and automates processes, enabling businesses to streamline operations, enhance productivity, and reduce risks through efficient and scalable software.</t>
  </si>
  <si>
    <t>api connectivity, api development, enterprise platform, insurance pricing, process automation, process automation system</t>
  </si>
  <si>
    <t>www.coherent.global</t>
  </si>
  <si>
    <t>http://www.linkedin.com/company/coherent-group</t>
  </si>
  <si>
    <t>2020: 120, 2024: 180</t>
  </si>
  <si>
    <t>The company raised $75 million of Series B venture funding in a deal led by Maverick Ventures on April 21, 2022. American Family Ventures and 5 other investors also participated in the round.</t>
  </si>
  <si>
    <t>American Family Ventures, Blue Owl Capital, Cathay Capital Private Equity, Cathay Innovation, Franklin Templeton, Franklin Templeton Investments United Kingdom, GreatPoint Ventures, Maverick Ventures</t>
  </si>
  <si>
    <t>American Family Ventures (www.amfamventures.com), Blue Owl Capital (www.blueowl.com), Cathay Capital Private Equity (www.cathaycapital.com), Cathay Innovation (www.cathayinnovation.com), Franklin Templeton (www.franklinresources.com), Franklin Templeton Investments United Kingdom (www.franklintempleton.co.uk), GreatPoint Ventures (www.gpv.com), Maverick Ventures (www.maverickventures.com)</t>
  </si>
  <si>
    <t>Cooley(Legal Advisor), TTB Partners(Advisor: General)</t>
  </si>
  <si>
    <t>245606-59P</t>
  </si>
  <si>
    <t>John Brisco</t>
  </si>
  <si>
    <t>john.brisco@coherent.com.hk</t>
  </si>
  <si>
    <t>+852 3905 2999</t>
  </si>
  <si>
    <t>1450 Broadway, New York</t>
  </si>
  <si>
    <t>team@coherent.global</t>
  </si>
  <si>
    <t>227780-56</t>
  </si>
  <si>
    <t>COI Energy</t>
  </si>
  <si>
    <t>COI</t>
  </si>
  <si>
    <t>COI Energy Services, Inc.</t>
  </si>
  <si>
    <t>Developer of an energy optimization platform designed to eliminate waste, save on energy costs, and protect the environment through artificial intelligence. The company's platform allows it to buy and sell capacity and eliminate energy waste by optimizing energy behaviors with the ability to monetize energy assets for use with demand response, energy efficiency, and renewable energy markets, enabling businesses to become energy efficient by getting custom alerts on energy wastage.</t>
  </si>
  <si>
    <t>Business/Productivity Software*, Media and Information Services (B2B), Other Energy Services</t>
  </si>
  <si>
    <t>Artificial Intelligence &amp; Machine Learning, CleanTech, Climate Tech, LOHAS &amp; Wellness, SaaS</t>
  </si>
  <si>
    <t>analytics and grid management, carbon management, energy management, energy monitoring, energy technology systems, grid infrastructure, grid optimization, renewable energy, savings management, system integration</t>
  </si>
  <si>
    <t>www.coienergy.com</t>
  </si>
  <si>
    <t>http://www.linkedin.com/company/coi-energy</t>
  </si>
  <si>
    <t>2020: 14, 2021: 12, 2022: 22, 2023: 18, 2024: 15</t>
  </si>
  <si>
    <t>The company raised $215,000 of venture funding from undisclosed investors on August 30, 2024. As a part of transaction $100,000 was raised in the form of convertible debt.</t>
  </si>
  <si>
    <t>Apple Impact Accelerator, Aria Emiko (Investment), Attach Capital, Chloe Capital, Comcast NBCUniversal LIFT Labs, DeltaClimeVT, Google for Startups, Governor Cuomo, Greentown Labs, IMPEL Program, MassChallenge, Morgan Stanley Inclusive Ventures Lab, Tampa Bay Technology Incubator, Village Capital</t>
  </si>
  <si>
    <t>Aria Emiko (Investment) (www.ariaemiko.com), Attach Capital (www.attachcapital.com), Chloe Capital (www.chloecapital.com), Comcast NBCUniversal LIFT Labs (lift.comcast.com), DeltaClimeVT (deltaclimevt.com), Google for Startups (startup.google.com), Governor Cuomo (governor.ny.gov), Greentown Labs (www.greentownlabs.com), IMPEL Program (impel.lbl.gov), MassChallenge (www.masschallenge.org), Tampa Bay Technology Incubator (www.research.usf.edu/rf/tbti.asp), Village Capital (www.vilcap.com)</t>
  </si>
  <si>
    <t>Reitler Kailas &amp; Rosenblatt(Legal Advisor), Republic(Lead Manager or Arranger)</t>
  </si>
  <si>
    <t>183851-38P</t>
  </si>
  <si>
    <t>Salisa Berrien</t>
  </si>
  <si>
    <t>Founder, Board Member &amp; Chief Executive Officer</t>
  </si>
  <si>
    <t>salisa@coienergy.com</t>
  </si>
  <si>
    <t>+1 (855) 983-4667</t>
  </si>
  <si>
    <t>hello@coienergy.com</t>
  </si>
  <si>
    <t>489049-03</t>
  </si>
  <si>
    <t>Coinfeeds.AI</t>
  </si>
  <si>
    <t>Coinfeeds</t>
  </si>
  <si>
    <t>Docsi18n Inc.</t>
  </si>
  <si>
    <t>Developer of an application programming interface software designed to provide news and social sentiment on cryptocurrency. The company's software uses standard HTTP response codes, authentication, and verbs to easily add or remove coins on the fly, enabling customers to customize their news feed and get access to podcasts, videos, and tweets about their portfolio coins.</t>
  </si>
  <si>
    <t>Financial Software, Information Services (B2C), Other Financial Services*</t>
  </si>
  <si>
    <t>Artificial Intelligence &amp; Machine Learning, Cryptocurrency/Blockchain, FinTech</t>
  </si>
  <si>
    <t>blockchain model, crypto coins, cryptocurrency tools, cryptocurrency trading, cryptographic services, programming coding, programming interface</t>
  </si>
  <si>
    <t>www.coinfeeds.ai</t>
  </si>
  <si>
    <t>http://www.linkedin.com/company/coinfeeds</t>
  </si>
  <si>
    <t>FTX Ventures sold a stake in the company to an undisclosed buyer.</t>
  </si>
  <si>
    <t>Coinbase Ventures, HTX Ventures, Orange DAO, Protocol Labs, Third Kind Venture Capital, Y Combinator</t>
  </si>
  <si>
    <t>FTX Ventures</t>
  </si>
  <si>
    <t>Orange DAO (orangedao.xyz), Protocol Labs (protocol.ai), Third Kind Venture Capital (www.3kvc.com), Y Combinator (www.ycombinator.com)</t>
  </si>
  <si>
    <t>285389-47P</t>
  </si>
  <si>
    <t>Moyi Dang</t>
  </si>
  <si>
    <t>moyi@coinfeeds.io</t>
  </si>
  <si>
    <t>1540 Market Street</t>
  </si>
  <si>
    <t>94102</t>
  </si>
  <si>
    <t>help@coinfeeds.io</t>
  </si>
  <si>
    <t>494832-79</t>
  </si>
  <si>
    <t>Collagia</t>
  </si>
  <si>
    <t>Lilac Analytics</t>
  </si>
  <si>
    <t>Collagia, Inc.</t>
  </si>
  <si>
    <t>Coactive</t>
  </si>
  <si>
    <t>Developer of a Software-as-a-Service (SaaS) platform designed to connect businesses and their data to the observable world of images. The company's platform offers a second-generation artificial intelligence (AI) and machine learning (ML) application that combines business and image data together, enabling non-technical business users to quickly and intuitively explore business insights that emerge when these two diverse data types are combined.</t>
  </si>
  <si>
    <t>business software, complex data analysis, data modeling platform, data visualization software, image analytics platform, machine learning, machine learning tech, saas analytics</t>
  </si>
  <si>
    <t>www.collagia.com</t>
  </si>
  <si>
    <t>http://www.linkedin.com/company/collagia</t>
  </si>
  <si>
    <t>2021: 3, 2022: 9, 2023: 10</t>
  </si>
  <si>
    <t>The company raised $1.2 million of venture funding in the form of convertible debt from Palm Drive Capital, Jean Paoli and Sanjeev Kumar in 2022. Bob Muglia, Sumina Verma and Sand Hill Angels also participated in the round.</t>
  </si>
  <si>
    <t>Jean Paoli, Palm Drive Capital, Robert Muglia, Sand Hill Angels, Sanjeev Kumar, Sumina Verma</t>
  </si>
  <si>
    <t>Palm Drive Capital (www.palmdrive.vc), Sand Hill Angels (www.sandhillangels.com)</t>
  </si>
  <si>
    <t>297718-84P</t>
  </si>
  <si>
    <t>Rooney Armande</t>
  </si>
  <si>
    <t>joan@collagia.com</t>
  </si>
  <si>
    <t>Fairfield, CA</t>
  </si>
  <si>
    <t>855 Bransford Court</t>
  </si>
  <si>
    <t>94533</t>
  </si>
  <si>
    <t>Bridge Loan - $1.20M (Convertible)</t>
  </si>
  <si>
    <t>437780-35</t>
  </si>
  <si>
    <t>Common Room</t>
  </si>
  <si>
    <t>Common Room, Inc.</t>
  </si>
  <si>
    <t>Commsor, Mobilize Networks, Extole, Ambassador Software, Open Social, Influitive, Jahia Solutions, EveryoneSocial, Optimizely, Censhare, Bloomreach, Medallia, Vanilla., Ground Signal, Conversocial, Friendbuy, Folloze, Zuberance, Kentico, Gravyty, Crowdly, Mighty Networks, GrowSurf, SocialToaster, Tagboard, Splash, ReferralCandy, Simpplr, MutualMind, Bettermode, Happeo, Igloo Software, Introhive, AlmaConnect, LiveWorld, Samdesk, Cloverpop, Sitecore, OneSpace, Alumnifire, Zendesk, Ion Interactive, Acquia, Jostle, Amplifinity, Unily, Hivebrite, Mzinga, Tableau Software, Shiftgig, eXo (Business/Productivity Software), Olapic, Talkable, Jive Software, Tribe AI, Axero Holdings, Simply Measured, Weavy, Ning, Thinkific</t>
  </si>
  <si>
    <t>Developer of a community marketing software designed to connect with the people in their communities. The company's software creates a new type of relationship between organizations and the people in their communities based on authenticity, collaboration, and communication, enabling users to build thriving and engaged digital communities.</t>
  </si>
  <si>
    <t>Marketing Tech</t>
  </si>
  <si>
    <t>community engagement, community management system, community marketing, community marketing platform, community marketing solutions, crm, customer journey platform, customer relationship management</t>
  </si>
  <si>
    <t>www.commonroom.io</t>
  </si>
  <si>
    <t>http://www.linkedin.com/company/common-room-hq</t>
  </si>
  <si>
    <t>2021: 44, 2022: 58, 2024: 93</t>
  </si>
  <si>
    <t>The company raised $32.3 million of Series B venture funding in a deal led by Greylock Partners on April 1, 2021, putting the company's pre-money valuation at $290 million. Index Ventures and 7 other investors also participated in the round. The company intends to use the funding to deepen relationships with its users and customers.</t>
  </si>
  <si>
    <t>01 Advisors, Greylock, Index Ventures, Madrona Venture Group, Next Play Ventures, Operator Collective, Richard Costolo</t>
  </si>
  <si>
    <t>01 Advisors (www.01a.com), Greylock (www.greylock.com), Index Ventures (www.indexventures.com), Madrona Venture Group (www.madrona.com), Next Play Ventures (www.nextplayventures.com), Operator Collective (www.operatorcollective.com)</t>
  </si>
  <si>
    <t>258472-81P</t>
  </si>
  <si>
    <t>Linda Lian</t>
  </si>
  <si>
    <t>linda@commonroom.io</t>
  </si>
  <si>
    <t>hello@commonroom.io</t>
  </si>
  <si>
    <t>Other - $2.90M</t>
  </si>
  <si>
    <t>531014-23</t>
  </si>
  <si>
    <t>Common Sense Privacy</t>
  </si>
  <si>
    <t>Common Sense Privacy, PBC</t>
  </si>
  <si>
    <t>Provider of privacy assessment technology intended to have online privacy ratings for companies. The company's artificial intelligence-based subscription software helps companies to evaluate and manage privacy risk and enables performers to differentiate their offerings with a seal and also the company provide benchmarking and actionable insights sourced from an unsurpassed wealth of practice examples, enabling companies to assess and manage privacy regulatory risks.</t>
  </si>
  <si>
    <t>Business/Productivity Software, Network Management Software, Other Commercial Services*</t>
  </si>
  <si>
    <t>online privacy, online privacy protection, privacy assessment, privacy technology, privacy technology platform, privacy technology solutions</t>
  </si>
  <si>
    <t>www.commonsenseprivacy.net</t>
  </si>
  <si>
    <t>http://www.linkedin.com/company/common-sense-privacy</t>
  </si>
  <si>
    <t>2024: 9</t>
  </si>
  <si>
    <t>The company raised an undisclosed amount of venture funding from Bain &amp; Company on April 16, 2024. Gaingels also invested in this round.</t>
  </si>
  <si>
    <t>AI Fund, Bain &amp; Company, Calm Ventures, Gaingels, Magnify VC, Morgan Stanley</t>
  </si>
  <si>
    <t>AI Fund (www.aifund.ai), Bain &amp; Company (www.bain.com), Calm Ventures (www.calmvc.com), Gaingels (www.gaingels.com), Magnify VC (www.magnify.vc), Morgan Stanley (www.morganstanley.com)</t>
  </si>
  <si>
    <t>100319-14P</t>
  </si>
  <si>
    <t>Daphne Li</t>
  </si>
  <si>
    <t>dli@commonsenseprivacy.net</t>
  </si>
  <si>
    <t>+1 (415) 562-6232</t>
  </si>
  <si>
    <t>699 8th Street</t>
  </si>
  <si>
    <t>Suite C150</t>
  </si>
  <si>
    <t>438738-49</t>
  </si>
  <si>
    <t>Communityx (Social/Platform Software)</t>
  </si>
  <si>
    <t>Cx, Communityx</t>
  </si>
  <si>
    <t>Communityx, Inc.</t>
  </si>
  <si>
    <t>Tribe Networks, Telligent Systems, Bang the Table</t>
  </si>
  <si>
    <t>Developer of a mobile social networking application designed to connect activists, organizations, and changemakers. The company's application unites like-minded changemakers around causes and calls to action such as petitions, events, donations, and more, enabling users to build a global social impact community based on shared causes.</t>
  </si>
  <si>
    <t>Social/Platform Software*</t>
  </si>
  <si>
    <t>activist community, global community, mobile social networking application, social impact application, social impact service, social impact technology</t>
  </si>
  <si>
    <t>www.communityx.com</t>
  </si>
  <si>
    <t>http://www.linkedin.com/company/communityx</t>
  </si>
  <si>
    <t>2020: 2, 2021: 8, 2023: 9, 2024: 5</t>
  </si>
  <si>
    <t>The company raised $2 million of seed funding in a deal led by Fearless Fund on February 16, 2023, putting the company's pre-money valuation at $4 million. Goodwater Capital and 6 other investors also participated in the round. The funds will be used to democratize the social media landscape and accelerates growth plans.</t>
  </si>
  <si>
    <t>Baron Davis, Ben Crump, Black Ambition, Courtney Hood, Cox Enterprises, Fearless Fund, Goizueta Business School, Goodwater Capital, Matt Barnes, Techstars</t>
  </si>
  <si>
    <t>Black Ambition (www.blackambitionprize.com), Cox Enterprises (www.coxenterprises.com), Fearless Fund (www.fearless.fund), Goizueta Business School (goizueta.emory.edu), Goodwater Capital (www.goodwatercap.com), Techstars (www.techstars.com)</t>
  </si>
  <si>
    <t>239883-49P</t>
  </si>
  <si>
    <t>Chloë Cheyenne</t>
  </si>
  <si>
    <t>+1 (213) 479-7748</t>
  </si>
  <si>
    <t>6677 Santa Monica Boulevard</t>
  </si>
  <si>
    <t>Apartment Number 14114</t>
  </si>
  <si>
    <t>90038</t>
  </si>
  <si>
    <t>together@communityx.tech</t>
  </si>
  <si>
    <t>503898-31</t>
  </si>
  <si>
    <t>Complete</t>
  </si>
  <si>
    <t>Complete Applications, Inc.</t>
  </si>
  <si>
    <t>Comparably, Advanced-HR, OpenComp, Xactly, HRSoft (Business/Productivity Software), Halogen Software, beqom, PeopleFluent, Aptology, Decusoft, Callidus Software, Salary.com, WorkForce Software, Iconixx, PayScale, Kinixsys</t>
  </si>
  <si>
    <t>Developer of a compensation platform designed for compensation practices. The company's platform allows the creation of compensation philosophies that align with business goals and are then implemented company-wide, enabling companies to create a culture of transparency and proactivity and employees to understand their long-term earning potential.</t>
  </si>
  <si>
    <t>Business/Productivity Software*, Financial Software, Human Capital Services</t>
  </si>
  <si>
    <t>applicant tracking system, automated reminder, compensation platform, employee compensation, hr tech, human resources, team sharing</t>
  </si>
  <si>
    <t>www.trycomplete.com</t>
  </si>
  <si>
    <t>http://www.linkedin.com/company/withcomplete</t>
  </si>
  <si>
    <t>2022: 3, 2023: 10, 2024: 11</t>
  </si>
  <si>
    <t>The company raised $4 million of seed funding in a deal led by Accel on August 22, 2022. Y Combinator, Cristina Cordova, Plug and Play Tech Center, and other undisclosed investors also participated in the round. The funds will be used to continue to make key strategic hires across product and design and expand its onboarding platform. Prior, the company joined Y Combinator on February 11, 2022, and received $500,000 in the form of SAFE funding. Subsequently, it was converted to equity.</t>
  </si>
  <si>
    <t>Accel, Cristina Cordova, Plug and Play Tech Center, Y Combinator</t>
  </si>
  <si>
    <t>Accel (www.accel.com), Cristina Cordova (www.cristinajcordova.com), Plug and Play Tech Center (www.plugandplaytechcenter.com), Y Combinator (www.ycombinator.com)</t>
  </si>
  <si>
    <t>313512-49P</t>
  </si>
  <si>
    <t>Rani Mavram</t>
  </si>
  <si>
    <t>rani@complete.so</t>
  </si>
  <si>
    <t>482418-37</t>
  </si>
  <si>
    <t>ComplYant</t>
  </si>
  <si>
    <t>ComplYant App, Inc.</t>
  </si>
  <si>
    <t>Developer of tax assistance and management software designed to manage business tax for small businesses and finance professionals. The company's platform helps with tax deadlines, budgeting, deciphers notices, and payment reminders through a dashboard, enabling clients to manage their business efficiently.</t>
  </si>
  <si>
    <t>budget management, budgeting platform, email and authoring, filing assistance, knowledge management system, multi business management, payment reminder, tax assistance platform, tax compliance service, tax management, tax software</t>
  </si>
  <si>
    <t>www.complyant.co</t>
  </si>
  <si>
    <t>http://www.linkedin.com/company/complyantapp</t>
  </si>
  <si>
    <t>2021: 11, 2022: 24, 2023: 50</t>
  </si>
  <si>
    <t>The company raised an undisclosed amount of venture funding from Operator Collective in 2023.</t>
  </si>
  <si>
    <t>Craft Ventures, Fika Ventures, Grid110, Mucker Capital, Operator Collective, PledgeLA, Slauson &amp; Co., Tale Venture Partners, Techstars</t>
  </si>
  <si>
    <t>Craft Ventures (www.craftventures.com), Fika Ventures (www.fika.vc), Grid110 (www.grid110.org), Mucker Capital (www.mucker.com), Operator Collective (www.operatorcollective.com), PledgeLA (www.pledgela.org), Slauson &amp; Co. (www.slauson.co), Tale Venture Partners (www.talevp.com), Techstars (www.techstars.com)</t>
  </si>
  <si>
    <t>278597-35P</t>
  </si>
  <si>
    <t>Shiloh Johnson</t>
  </si>
  <si>
    <t>sjohnson@complyantapp.com</t>
  </si>
  <si>
    <t>+1 (805) 590-9656</t>
  </si>
  <si>
    <t>6060 Center Drive</t>
  </si>
  <si>
    <t>Floor 10</t>
  </si>
  <si>
    <t>hello@complyant.co</t>
  </si>
  <si>
    <t>235211-95</t>
  </si>
  <si>
    <t>Compt</t>
  </si>
  <si>
    <t>Compt Inc.</t>
  </si>
  <si>
    <t>Operator of an employee lifestyle benefit software platform intended to create, manage, and scale lifestyle benefits so employees can get exactly what they need, without increasing the budget. The company's platform provides tax-compliant perks that are flexible and customizable for employees, easy to manage, and cost-effective, enabling companies to manage their stipend process efficiently.</t>
  </si>
  <si>
    <t>HR Tech, SaaS, TMT</t>
  </si>
  <si>
    <t>employee experience, employee perks, enterprise resource planning, erp, futures of work, human capital management, perks and benefits, perks management platform, perks services, perks stipends, remote employee management, tax compliant perks</t>
  </si>
  <si>
    <t>www.compt.io</t>
  </si>
  <si>
    <t>http://www.linkedin.com/company/compt</t>
  </si>
  <si>
    <t>2020: 4, 2021: 30, 2022: 43, 2023: 48, 2024: 40</t>
  </si>
  <si>
    <t>The company raised an estimated $13 million of Series A venture funding in a deal led by Battery Ventures on April 1, 2022, putting the company's pre-money valuation at an estimated $47 million. Slack Fund, Salesforce Ventures and ETF@JFFLabs (Jobs for the Future) also participated in the round.</t>
  </si>
  <si>
    <t>Battery Ventures, Gaingels, GingerBread Capital, Grant Deken, Harlem Capital, Impellent Ventures, Jessica Meher, JFFVentures, PeopleTech Partners, Salesforce Ventures</t>
  </si>
  <si>
    <t>Slack Fund</t>
  </si>
  <si>
    <t>Battery Ventures (www.battery.com), Gaingels (www.gaingels.com), GingerBread Capital (www.gingerbreadcap.com), Harlem Capital (harlem.capital), Impellent Ventures (www.impellent.vc), JFFVentures (www.jff.org/what-we-do), PeopleTech Partners (peopletechpartners.com), Salesforce Ventures (www.salesforceventures.com)</t>
  </si>
  <si>
    <t>36590-14P</t>
  </si>
  <si>
    <t>Amy Spurling</t>
  </si>
  <si>
    <t>amy@compt.io</t>
  </si>
  <si>
    <t>+1 (617) 678-9233</t>
  </si>
  <si>
    <t>8 Museum Way</t>
  </si>
  <si>
    <t>Unit 2404</t>
  </si>
  <si>
    <t>02141</t>
  </si>
  <si>
    <t>442470-25</t>
  </si>
  <si>
    <t>Computis</t>
  </si>
  <si>
    <t>Computis Inc</t>
  </si>
  <si>
    <t>Developer of premium tax and accounting software designed to offer report generation for investment platforms through a white-labeled API. The company's software generates a wide assortment of tax and accounting reports enabling investors to increase return on investments by implementing tax-saving costing methods while remaining compliant with the latest tax regulations, enabling clients to meet all their tax needs.</t>
  </si>
  <si>
    <t>accounting platform, cryptocurrency unit, financial accounting software, tax assistance platform, tax engine, tax software</t>
  </si>
  <si>
    <t>computis.io</t>
  </si>
  <si>
    <t>http://www.linkedin.com/company/computis-inc</t>
  </si>
  <si>
    <t>2019: 4, 2020: 6, 2021: 4, 2023: 6, 2024: 6</t>
  </si>
  <si>
    <t>The company was in talks to receive seed funding on an undisclosed date. Subsequently, the deal was cancelled. Previously, the company raised $150,000 of pre-seed funding from BlockScience and other undisclosed investors on August 5, 2020.</t>
  </si>
  <si>
    <t>BlockScience</t>
  </si>
  <si>
    <t>BlockScience (www.block.science)</t>
  </si>
  <si>
    <t>243169-93P</t>
  </si>
  <si>
    <t>Elizabeth Dodge</t>
  </si>
  <si>
    <t>elizabeth@computis.io</t>
  </si>
  <si>
    <t>Acworth, GA</t>
  </si>
  <si>
    <t>1720 Mars Hill Road North West</t>
  </si>
  <si>
    <t>Suite 124-354</t>
  </si>
  <si>
    <t>Acworth</t>
  </si>
  <si>
    <t>30101</t>
  </si>
  <si>
    <t>contact@computis.io</t>
  </si>
  <si>
    <t>468049-78</t>
  </si>
  <si>
    <t>Condor Software</t>
  </si>
  <si>
    <t>Condor</t>
  </si>
  <si>
    <t>Condor Software, Inc.</t>
  </si>
  <si>
    <t>Developer of clinical finance software intended to harness real-time clinical trial data and third-party vendor collaboration for faster and more precise accounting. The company's software integrates real data to drive clinical accruals and strategically navigate forecasts and financial plans for clinical programs with ease, flexibility, and transparency, enabling companies to streamline operations reduce time spent in managing cash flow make key business decisions, and extend the runway.</t>
  </si>
  <si>
    <t>Financial Software*, Other Financial Services, Other Pharmaceuticals and Biotechnology</t>
  </si>
  <si>
    <t>accounting platform, budgeting &amp; forecasting, budgeting and forecasting, business process, cfo stack, financial insights, financial management, financial management tool, integrated software</t>
  </si>
  <si>
    <t>www.condorsoftware.com</t>
  </si>
  <si>
    <t>http://www.linkedin.com/company/condor-software-inc</t>
  </si>
  <si>
    <t>2021: 5, 2022: 4, 2023: 23, 2024: 43</t>
  </si>
  <si>
    <t>The company raised $175,000 of Series 1 seed funding in a deal led by Felicis on March 17, 2022, putting the company's pre-money valuation at $5.83 million. Brightlane Ventures,and 8 other investors also participated in the round.</t>
  </si>
  <si>
    <t>645 Ventures, Brightlane Ventures, CONNECT (Accelerator), Felicis, Labor Capital, Olima Ventures, Pareto Holdings, Phoenix Investment Club (San Francisco), Plug and Play Tech Center, Switch Ventures, The MBA Fund</t>
  </si>
  <si>
    <t>645 Ventures (www.645ventures.com), Brightlane Ventures (www.brightlane.co), CONNECT (Accelerator) (www.connect.org), Felicis (www.felicis.com), Labor Capital (www.laborcapital.co), Olima Ventures (www.olimaventures.com), Pareto Holdings (www.pareto20.com), Phoenix Investment Club (San Francisco) (www.phoenixclub.vc), Plug and Play Tech Center (www.plugandplaytechcenter.com), Switch Ventures (www.switch.vc), The MBA Fund (www.thembafund.com)</t>
  </si>
  <si>
    <t>184098-07P</t>
  </si>
  <si>
    <t>Jennifer Kyle</t>
  </si>
  <si>
    <t>jennifer@condorsoftware.co</t>
  </si>
  <si>
    <t>+1 (619) 985-2945</t>
  </si>
  <si>
    <t>401 West A Street</t>
  </si>
  <si>
    <t>92101</t>
  </si>
  <si>
    <t>info@condorsoftware.com</t>
  </si>
  <si>
    <t>630582-85</t>
  </si>
  <si>
    <t>Connecty AI</t>
  </si>
  <si>
    <t>Connecty AI Corporation</t>
  </si>
  <si>
    <t>Developer of contextual intelligence tools designed for data analysis. The company's platform enables users to extract, interpret, and enrich data context, connecting complex datasets and decoding context through automated preparation and optimization and provides enterprise-specific contextual intelligence for data schema, model, and metric evaluation and preparation, enabling clients to get a no-code deployment to connect with a variety of data sources, ensuring data governance and security.</t>
  </si>
  <si>
    <t>data analysis, data enrichment, data interpretation, data optimization, data privacy, data storage, extraction tools, informed decision</t>
  </si>
  <si>
    <t>www.connectyai.com</t>
  </si>
  <si>
    <t>http://www.linkedin.com/company/connectyai</t>
  </si>
  <si>
    <t>The company raised $1.75 million of pre-seed funding in a deal led by Market One Capital on October 8, 2024, putting the company's pre-money valuation at $7 million. Notion Capital, Marcin Zukowski and Maciej Zawadzinski also participated in the round. The funds will be used to expand the company's context engine's capabilities across additional data sources and offer it as a service via API.</t>
  </si>
  <si>
    <t>Maciej Zawadziński, Marcin Zukowski, Market One Capital, Notion Capital</t>
  </si>
  <si>
    <t>Market One Capital (moc.vc), Notion Capital (www.notion.vc)</t>
  </si>
  <si>
    <t>416592-37P</t>
  </si>
  <si>
    <t>Aishvarya Agarwal</t>
  </si>
  <si>
    <t>aagarwal@connectyai.com</t>
  </si>
  <si>
    <t>166 Geary Street 15th Floor</t>
  </si>
  <si>
    <t>Suite 1141</t>
  </si>
  <si>
    <t>info@connectyai.com</t>
  </si>
  <si>
    <t>458101-54</t>
  </si>
  <si>
    <t>CookinGenie</t>
  </si>
  <si>
    <t>CookinGenie LLC</t>
  </si>
  <si>
    <t>Operator of a food technology company intended to put fresh healthy meals on the dinner table. The company's chefs shop in neighborhood groceries and prepare food, right from scratch in the consumer's kitchen, enabling consumers to enjoy delicious food in their homes only.</t>
  </si>
  <si>
    <t>Restaurants, Hotels and Leisure</t>
  </si>
  <si>
    <t>Other Restaurants, Hotels and Leisure</t>
  </si>
  <si>
    <t>Application Software, Other Restaurants, Hotels and Leisure*</t>
  </si>
  <si>
    <t>FoodTech</t>
  </si>
  <si>
    <t>digital restaurant, food app, food ecommerce, food technology, healthy food, mobile restaurant, restaurant marketplace, restaurant unit</t>
  </si>
  <si>
    <t>www.cookingenie.com</t>
  </si>
  <si>
    <t>http://www.linkedin.com/company/cookingenie</t>
  </si>
  <si>
    <t>2022: 4, 2023: 7, 2024: 8</t>
  </si>
  <si>
    <t>The company raised $2 million of seed funding from Allison Wood Ventures and other undisclosed investors on June 29, 2022. The funds will be used to expand company to new markets nationwide, allowing clients to connect easily with personal chefs who can cook fresh, healthy meals in their homes.</t>
  </si>
  <si>
    <t>Allison Wood Ventures</t>
  </si>
  <si>
    <t>Allison Wood Ventures (www.allisonwoodventures.com)</t>
  </si>
  <si>
    <t>249098-23P</t>
  </si>
  <si>
    <t>Sabah Drabu</t>
  </si>
  <si>
    <t>Co-Founder, Chief Executive Officer &amp; Co-Chief Marketing Officer</t>
  </si>
  <si>
    <t>sabah.drabu@cookingenie.com</t>
  </si>
  <si>
    <t>+1 (833) 436-4387</t>
  </si>
  <si>
    <t>Hudson, OH</t>
  </si>
  <si>
    <t>1780 Stoney Hill Drive</t>
  </si>
  <si>
    <t>44236</t>
  </si>
  <si>
    <t>515174-14</t>
  </si>
  <si>
    <t>Cooper Parenting</t>
  </si>
  <si>
    <t>Cooper</t>
  </si>
  <si>
    <t>Cooper Parenting, Inc.</t>
  </si>
  <si>
    <t>Provider of parenting advisory services designed for parents and expecting parents who are seeking reliable information about parenting. The company's services are guided by research-backed expertise covering everything parents need from birth to age ten, helping parents to get matched parent groups, expert-guided sessions, and research on various topics.</t>
  </si>
  <si>
    <t>advisory services, guidance system, parenting advice, parenting care, parenting help, parenting site</t>
  </si>
  <si>
    <t>www.yourcooper.com</t>
  </si>
  <si>
    <t>http://www.linkedin.com/company/cooper-parenting</t>
  </si>
  <si>
    <t>2022: 7, 2023: 8, 2024: 9</t>
  </si>
  <si>
    <t>The company raised an estimated $2 million of pre-seed funding from XFactor Ventures, Kli Capital and other undisclosed investors on November 1, 2022, putting the company's pre-money valuation at $6 million.</t>
  </si>
  <si>
    <t>Kli Capital, XFactor Ventures</t>
  </si>
  <si>
    <t>Kli Capital (www.klicapital.vc), XFactor Ventures (www.xfactor.ventures)</t>
  </si>
  <si>
    <t>147064-78P</t>
  </si>
  <si>
    <t>Gabby Slome</t>
  </si>
  <si>
    <t>gslome@myollie.com</t>
  </si>
  <si>
    <t>+1 (844) 886-5543</t>
  </si>
  <si>
    <t>490983-31</t>
  </si>
  <si>
    <t>Cooperation.org</t>
  </si>
  <si>
    <t>WhatsCookin</t>
  </si>
  <si>
    <t>What's Cookin' Inc</t>
  </si>
  <si>
    <t>Meetup, Eventbrite, Lomads</t>
  </si>
  <si>
    <t>Operator of a social event platform intended to support healthy cooperation between people everywhere. The company's platform creates a friendly space where users can be part of a community and connect through conversation and events around music, food, languages, and activism, enabling users to share their interests and create personalized events.</t>
  </si>
  <si>
    <t>community discussion, community forum, community place, events engagement, team building, team building services, wellness health</t>
  </si>
  <si>
    <t>www.linkedtrust.us</t>
  </si>
  <si>
    <t>http://www.linkedin.com/company/cooperationorg</t>
  </si>
  <si>
    <t>2021: 5, 2022: 40, 2023: 28, 2024: 47</t>
  </si>
  <si>
    <t>The company raised $50,000 of pre-seed funding in a deal led by Bloomberg Beta on July 26, 2021, putting the company's pre-money valuation at $2.65 million. Ben Werdmuller and Robert Schwentker also participated in the round.</t>
  </si>
  <si>
    <t>Ben Werdmuller, Bloomberg Beta, Robert Schwentker</t>
  </si>
  <si>
    <t>Bloomberg Beta (www.bloombergbeta.com)</t>
  </si>
  <si>
    <t>290130-49P</t>
  </si>
  <si>
    <t>Golda Velez</t>
  </si>
  <si>
    <t>Co-Founder, Advisor &amp; Board Member</t>
  </si>
  <si>
    <t>golda@whatscookin.us</t>
  </si>
  <si>
    <t>+1 (520) 440-1420</t>
  </si>
  <si>
    <t>3852 North Tucson Boulevard</t>
  </si>
  <si>
    <t>85716</t>
  </si>
  <si>
    <t>info@whatscookin.us</t>
  </si>
  <si>
    <t>482054-95</t>
  </si>
  <si>
    <t>Copper (Social/Platform Software)</t>
  </si>
  <si>
    <t>Meet Copper, Inc.</t>
  </si>
  <si>
    <t>Operator of an online book platform intended to provide a place for authors and readers to gather in a meaningful community around books. The company's platform allows authors to interact with their audiences and for audiences to build community together around content that interests them and host virtual book clubs, enabling customers to connect with authors and readers of books that inspire, challenge, and bring joy.</t>
  </si>
  <si>
    <t>Application Software, Social Content, Social/Platform Software*</t>
  </si>
  <si>
    <t>author platform, content creator, creative industry, ebooks, mobile application, reading platform, social media platform</t>
  </si>
  <si>
    <t>www.copperbooks.com</t>
  </si>
  <si>
    <t>http://www.linkedin.com/company/copper-books</t>
  </si>
  <si>
    <t>2021: 10, 2022: 11, 2023: 10</t>
  </si>
  <si>
    <t>The company raised $100,000 of venture funding from Exit Quotient Ventures on September 13, 2022.</t>
  </si>
  <si>
    <t>Exit Quotient Ventures, Fran Hauser, Oxonian Ventures, Praxis (New York), The Community Fund, Wave Capital</t>
  </si>
  <si>
    <t>Exit Quotient Ventures (www.exitquotient.com), Fran Hauser (franhauser.com), Oxonian Ventures (www.oxonianventures.com), Praxis (New York) (www.praxislabs.org), The Community Fund (www.thecommunity.vc), Wave Capital (www.wave.capital)</t>
  </si>
  <si>
    <t>277306-21P</t>
  </si>
  <si>
    <t>Allison Trowbridge</t>
  </si>
  <si>
    <t>allison@copperbooks.com</t>
  </si>
  <si>
    <t>+1 (415) 422-6660</t>
  </si>
  <si>
    <t>West Hollywood, CA</t>
  </si>
  <si>
    <t>9000 Sunset Boulevard</t>
  </si>
  <si>
    <t>West Hollywood</t>
  </si>
  <si>
    <t>+1 (331) 267-7371</t>
  </si>
  <si>
    <t>499908-61</t>
  </si>
  <si>
    <t>Copybara</t>
  </si>
  <si>
    <t>Causal Labs, Inc.</t>
  </si>
  <si>
    <t>Developer of an artificial intelligence-powered copywriting platform designed to improve the effectiveness of marketing campaigns. The company's tool generates and tests diverse page copy variants to pinpoint what truly captivates the audience as well as automate the copy testing process, providing continuous, insightful adjustments without the need for manual intervention, enabling marketing teams to work on targeted, relevant, and engaging content for different types of visitors.</t>
  </si>
  <si>
    <t>AdTech, Artificial Intelligence &amp; Machine Learning, Big Data, Marketing Tech, SaaS</t>
  </si>
  <si>
    <t>ai tools, audience engagement, conversion marketing, conversion optimization, marketing toolset, targeted content, vertical application</t>
  </si>
  <si>
    <t>www.copybara.com</t>
  </si>
  <si>
    <t>http://www.linkedin.com/company/copybara-conversion</t>
  </si>
  <si>
    <t>2022: 6, 2023: 8, 2024: 6</t>
  </si>
  <si>
    <t>The company joined Good For Her as part of its 6th Cohort in 2023. No equity or funding was exchanged as a result of this program.</t>
  </si>
  <si>
    <t>186 Ventures, Bantam Group, Founder Collective, Good For Her, Pear (California)</t>
  </si>
  <si>
    <t>186 Ventures (186ventures.com), Bantam Group (www.bantamgroup.com), Founder Collective (www.foundercollective.com), Good For Her (www.goodforher.co), Pear (California) (www.pear.vc)</t>
  </si>
  <si>
    <t>221951-80P</t>
  </si>
  <si>
    <t>Christina Pawlikowski</t>
  </si>
  <si>
    <t>christina@causallabs.io</t>
  </si>
  <si>
    <t>+1 (617) 752-1553</t>
  </si>
  <si>
    <t>30R Jamaica Street</t>
  </si>
  <si>
    <t>02130</t>
  </si>
  <si>
    <t>hello@copybara.com</t>
  </si>
  <si>
    <t>459862-21</t>
  </si>
  <si>
    <t>Corellium</t>
  </si>
  <si>
    <t>Corellium, Inc.</t>
  </si>
  <si>
    <t>Developer of security research software designed for arm device virtualization for mobile security research, mobile app testing, and IoT device modeling. The company's software offers native performance, cloud convenience, and advanced development tools for phones and devices, enabling developers to be scalable, efficient, and innovative in the development of an ecosystem of arm-based devices.</t>
  </si>
  <si>
    <t>Business/Productivity Software*, Multimedia and Design Software</t>
  </si>
  <si>
    <t>Cybersecurity, Internet of Things, Mobile</t>
  </si>
  <si>
    <t>app streaming, design software, device modeling, endpoint security, iot security, iot software, iot/ot security, mobile security, ot security, security device, security research</t>
  </si>
  <si>
    <t>www.corellium.com</t>
  </si>
  <si>
    <t>http://www.linkedin.com/company/corellium</t>
  </si>
  <si>
    <t>2020: 8, 2021: 17, 2022: 34, 2023: 60</t>
  </si>
  <si>
    <t>The company raised $25 million of Series A venture funding in a deal led by Paladin Capital Group on December 16, 2021, putting the company's pre-money valuation at $55 million. Cisco Investments, Phoenix International Investments, and other undisclosed investors also participated in the round. The funds will be used to accelerate R&amp;D to support customer demand and expand the company's go-to-market and partner ecosystem initiatives.</t>
  </si>
  <si>
    <t>Cisco Investments, Paladin Capital Group, Phoenix International Investments</t>
  </si>
  <si>
    <t>Cisco Investments (www.ciscoinvestments.com), Paladin Capital Group (www.paladincapgroup.com), Phoenix International Investments (www.phnxintl.com)</t>
  </si>
  <si>
    <t>79215-85P</t>
  </si>
  <si>
    <t>Amanda Gorton</t>
  </si>
  <si>
    <t>amanda@corellium.com</t>
  </si>
  <si>
    <t>+1 (561) 877-2357</t>
  </si>
  <si>
    <t>Delray Beach, FL</t>
  </si>
  <si>
    <t>10 SouthEast 1st Avenue</t>
  </si>
  <si>
    <t>Delray Beach</t>
  </si>
  <si>
    <t>33444</t>
  </si>
  <si>
    <t>info@corellium.com</t>
  </si>
  <si>
    <t>490036-60</t>
  </si>
  <si>
    <t>Coursemojo</t>
  </si>
  <si>
    <t>Stepmojo</t>
  </si>
  <si>
    <t>Coursemojo, Inc.</t>
  </si>
  <si>
    <t>Provider of online educational services intended to make quality courses accessible to all students. The company provides online courses that combine the flexibility of asynchronous learning that can happen at any time with the interactivity of synchronous, small-group learning that happens live at a scheduled time via videoconference, self-paced courses, and dual-enrollment courses, enabling students to earn college credit while still in high school.</t>
  </si>
  <si>
    <t>Application Software, Educational and Training Services (B2C)*, Educational Software</t>
  </si>
  <si>
    <t>education courses, education platform, learning platform, learning services, online courses, online education, online education platform, online education service</t>
  </si>
  <si>
    <t>www.coursemojo.com</t>
  </si>
  <si>
    <t>http://www.linkedin.com/company/coursello</t>
  </si>
  <si>
    <t>2022: 30, 2023: 72, 2024: 33</t>
  </si>
  <si>
    <t>The company raised venture funding on August 7, 2024.</t>
  </si>
  <si>
    <t>A-Street, Impact Assets, Ulu Ventures</t>
  </si>
  <si>
    <t>Interlaken Capital</t>
  </si>
  <si>
    <t>A-Street (www.astreet.com), Impact Assets (www.impactassets.org), Ulu Ventures (www.uluventures.com)</t>
  </si>
  <si>
    <t>Interlaken Capital (www.interlakencapital.com)</t>
  </si>
  <si>
    <t>287916-85P</t>
  </si>
  <si>
    <t>Eric Westendorf</t>
  </si>
  <si>
    <t>ewestendorf@coursello.webflow.io</t>
  </si>
  <si>
    <t>20016</t>
  </si>
  <si>
    <t>info@coursello.com</t>
  </si>
  <si>
    <t>340748-38</t>
  </si>
  <si>
    <t>Couture Technologies</t>
  </si>
  <si>
    <t>CTFit</t>
  </si>
  <si>
    <t>Couture Technologies, LLC</t>
  </si>
  <si>
    <t>Developer of a virtual fitting and try-on tool intended for e-commerce businesses to show their customers how apparel items will look and fit on their body. The company's tool provides virtual try on technology that shows customers how items will look and fit on their body, enabling the retailers to give their customers a virtual experience of the products.</t>
  </si>
  <si>
    <t>Artificial Intelligence &amp; Machine Learning, SaaS, Virtual Reality</t>
  </si>
  <si>
    <t>3d product visualization, 3d simulation, fashion technology, virtual fittings, virtual fittings technology, virtual measurement, visualization technology</t>
  </si>
  <si>
    <t>www.couturetechnologies.com</t>
  </si>
  <si>
    <t>http://www.linkedin.com/company/couture-technologies</t>
  </si>
  <si>
    <t>The company raised $100,000 of venture funding in the form of SAFE notes in a deal led by Quantum Technology &amp; Financial Investments on September 30, 2024. Launch Tennessee also participated in the round.</t>
  </si>
  <si>
    <t>InvestTN, Launch Tennessee, National Science Foundation, Quantum Technology &amp; Financial Investments</t>
  </si>
  <si>
    <t>InvestTN (www.investtn.org), Launch Tennessee (launchtn.org), National Science Foundation (nsf.gov)</t>
  </si>
  <si>
    <t>InteliSpark(Advisor: General)</t>
  </si>
  <si>
    <t>194176-27P</t>
  </si>
  <si>
    <t>Deanna Meador</t>
  </si>
  <si>
    <t>deanna@couturetech.fashion</t>
  </si>
  <si>
    <t>+1 (615) 936-1782</t>
  </si>
  <si>
    <t>301 South Perimeter Drive</t>
  </si>
  <si>
    <t>contact@couturetech.fashion</t>
  </si>
  <si>
    <t>399185-20</t>
  </si>
  <si>
    <t>Create&amp;Learn</t>
  </si>
  <si>
    <t>Create &amp; Learn</t>
  </si>
  <si>
    <t>Create &amp; Learn Inc.</t>
  </si>
  <si>
    <t>Developer of an educational platform designed to grow creativity and critical thinking skills in kids. The company's platform offers experiences with advanced technologies on various topics such as scratch, artificial intelligence, data science, python, and other topics, enabling students to effectively learn coding using project and inquiry-based learning.</t>
  </si>
  <si>
    <t>Artificial Intelligence &amp; Machine Learning, Big Data, EdTech, SaaS</t>
  </si>
  <si>
    <t>ai classes, consumer data analytics, creative classes, critical thinking, critical thinking skills, data science, live courses, online kids classes, vertical application</t>
  </si>
  <si>
    <t>www.create-learn.us</t>
  </si>
  <si>
    <t>http://www.linkedin.com/company/create-learn</t>
  </si>
  <si>
    <t>2020: 40, 2021: 54, 2022: 46, 2023: 44</t>
  </si>
  <si>
    <t>The company raised an undisclosed amount of venture funding from StartX approximately in May 2022.</t>
  </si>
  <si>
    <t>Core Ventures Group, GSV Ventures, StartX (US)</t>
  </si>
  <si>
    <t>Core Ventures Group (www.coreventuresgroup.com), GSV Ventures (www.gsv.ventures), StartX (US) (web.startx.com)</t>
  </si>
  <si>
    <t>219663-64P</t>
  </si>
  <si>
    <t>Zhimei Jiang</t>
  </si>
  <si>
    <t>jjiang@createandlearn.us</t>
  </si>
  <si>
    <t>+1 (650) 670-8867</t>
  </si>
  <si>
    <t>info@createandlearn.us</t>
  </si>
  <si>
    <t>518874-85</t>
  </si>
  <si>
    <t>Creatively Focused</t>
  </si>
  <si>
    <t>Creatively Focused LLC</t>
  </si>
  <si>
    <t>Schoology, Nearpod, Schoolrunner, Pear Deck, Hāpara, Discovery Education, Writable, Edumate, Istation, ClassDojo, Toddle, MetaMetrics, LanSchool Technologies, Edmodo, Dyknow, GoGuardian, Blackboard, Kickboard, LearnPlatform, LiveSchool, Clever(Educational Software), ClassLink, Branching Minds, Abre</t>
  </si>
  <si>
    <t>Developer of an educational technology platform designed to equip teachers with deliberate tactics and abilities to enhance student results. The company offers assistance to enable special education teachers, paraprofessionals, and administrators to feel connected and supported in the world of special education through its web-based platform and social-emotional learning services, enabling educators to access resources that improve student outcomes.</t>
  </si>
  <si>
    <t>educational support, special education, special education management, special education process, special education service, special education software</t>
  </si>
  <si>
    <t>www.creativelyfocused.net</t>
  </si>
  <si>
    <t>http://www.linkedin.com/company/creatively-focused</t>
  </si>
  <si>
    <t>2023: 16, 2024: 17</t>
  </si>
  <si>
    <t>The company raised $3 million of seed funding in a deal led by York IE on April 1, 2023. Mairs &amp; Power Venture Capital, Groove Capital, and Gopher Angels also participated in the round. The funds will be used to expand the company's impact on the national extraordinary education shortage crisis by focusing on teachers' and paraprofessionals' learning and development needs.</t>
  </si>
  <si>
    <t>Gopher Angels, Groove Capital, Mairs &amp; Power Venture Capital, York IE</t>
  </si>
  <si>
    <t>Gopher Angels (www.gopherangels.com), Groove Capital (www.groovecap.com), Mairs &amp; Power Venture Capital (www.mairsandpower.vc), York IE (www.york.ie)</t>
  </si>
  <si>
    <t>332677-81P</t>
  </si>
  <si>
    <t>Elizabeth Orme</t>
  </si>
  <si>
    <t>elizabeth@creativelyfocused.net</t>
  </si>
  <si>
    <t>+1 (651) 207-4534</t>
  </si>
  <si>
    <t>Mendota Heights, MN</t>
  </si>
  <si>
    <t>1155 Centre Pointe Drive</t>
  </si>
  <si>
    <t>Suite 6</t>
  </si>
  <si>
    <t>Mendota Heights</t>
  </si>
  <si>
    <t>55120</t>
  </si>
  <si>
    <t>hello@creativelyfocused.net</t>
  </si>
  <si>
    <t>Expected 19-May-2026</t>
  </si>
  <si>
    <t>491429-98</t>
  </si>
  <si>
    <t>Criya</t>
  </si>
  <si>
    <t>Criya, Inc.</t>
  </si>
  <si>
    <t>Developer of a digital technology platform designed to start and grow the businesses online. The company's platform offers an all-in-one studio for different creative firms with a pre-built storefront and fully automated booking, payment invoicing, digital contracts, projects, and appointment setup, enabling companies to build profitable businesses by monetizing and organizing the services.</t>
  </si>
  <si>
    <t>Artificial Intelligence &amp; Machine Learning, Marketing Tech, SaaS</t>
  </si>
  <si>
    <t>analytics tool, artificial intelligence engine, automated payment system, business growth, digital technology, engagement tool, marketing strategy, team collaboration, visual design tool</t>
  </si>
  <si>
    <t>www.criya.co</t>
  </si>
  <si>
    <t>http://www.linkedin.com/company/criya</t>
  </si>
  <si>
    <t>2022: 6, 2023: 43</t>
  </si>
  <si>
    <t>The company raised $5.34 million through a combination of Seed-1, Seed-2, Seed-3 funding in a deal led by SHAKTI on April 8, 2022, putting the company's pre-money valuation at $24 million. Fika Ventures, Felicis, and other undisclosed investors also participated in the round. The funds will be used to build the company's founding team and scale the infrastructure to support more users. Previously, the company joined Y Combinator as part of its Winter 2022 cohort in 2022 and received $500,000 in funding in the form of SAFE notes.</t>
  </si>
  <si>
    <t>Felicis, Fika Ventures, SHAKTI, Y Combinator</t>
  </si>
  <si>
    <t>Felicis (www.felicis.com), Fika Ventures (www.fika.vc), SHAKTI (www.shaktivc.com), Y Combinator (www.ycombinator.com)</t>
  </si>
  <si>
    <t>291409-57P</t>
  </si>
  <si>
    <t>Deboshree Dutta</t>
  </si>
  <si>
    <t>deb@criya.co</t>
  </si>
  <si>
    <t>760 Newhall Drive</t>
  </si>
  <si>
    <t>Suite 1106</t>
  </si>
  <si>
    <t>95110</t>
  </si>
  <si>
    <t>hello@criya.co</t>
  </si>
  <si>
    <t>498863-53</t>
  </si>
  <si>
    <t>Cromatic</t>
  </si>
  <si>
    <t>Cromatic, Inc.</t>
  </si>
  <si>
    <t>BioBam, Labguru, GenoLogics, Arxspan, My Intelligent Machines, Tangoe, ID Business Solutions, GlobalLogic, Pegasystems</t>
  </si>
  <si>
    <t>Developer of a biotech platform designed to make finding and managing scientific outsourcing easier for health-tech companies. The company's platform helps clients find and manage outsourcing partners and helps to connect with biotech companies looking for contract research organization services, enabling life-sciences companies to outsource research and development.</t>
  </si>
  <si>
    <t>Business/Productivity Software*, IT Consulting and Outsourcing, Other Healthcare Technology Systems</t>
  </si>
  <si>
    <t>HealthTech, SaaS</t>
  </si>
  <si>
    <t>biotech software, biotech software developer, biotechnology services, biotechnology systems, contract research service, enterprise resource planning, outsourcing model, r&amp;d outsourcing</t>
  </si>
  <si>
    <t>www.cromatic.bio</t>
  </si>
  <si>
    <t>http://www.linkedin.com/company/cro-matic</t>
  </si>
  <si>
    <t>2022: 7, 2023: 10</t>
  </si>
  <si>
    <t>The company raised $5.3 million of venture funding in a deal led by AgFunder and Life Extension Ventures on November 9, 2023. What If Ventures and 7 other investors also participated in the round. The funds will be used for product roadmap for biotechs and CROs, forge strategic partnerships, and expand the company's team across product, engineering, sales, and customer success. Previously, the company raised an undisclosed amount of venture funding from FJ Labs on June 23, 2023. The funding was originally raised in the form of SAFE notes subsequently converted into equity.</t>
  </si>
  <si>
    <t>Accel, AgFunder, FJ Labs, Gershon Capital, Kleiner Perkins, Life Extension Ventures, Lux Capital, Not Boring, Team Ignite Ventures, What If Ventures, Work Life Ventures</t>
  </si>
  <si>
    <t>Accel (www.accel.com), AgFunder (www.agfunder.com), FJ Labs (www.fjlabs.com), Gershon Capital (www.gershoncapital.com), Kleiner Perkins (www.kleinerperkins.com), Life Extension Ventures (www.lifex.vc), Lux Capital (www.luxcapital.com), Not Boring (www.notboring.co), Team Ignite Ventures (www.teamignite.ventures), What If Ventures (www.whatif.vc), Work Life Ventures (www.worklife.vc)</t>
  </si>
  <si>
    <t>317769-13P</t>
  </si>
  <si>
    <t>Ann Lin</t>
  </si>
  <si>
    <t>ann@cro-matic.com</t>
  </si>
  <si>
    <t>Redwood City, CA</t>
  </si>
  <si>
    <t>97 Willow Street</t>
  </si>
  <si>
    <t>Redwood City</t>
  </si>
  <si>
    <t>94063</t>
  </si>
  <si>
    <t>hello@cro-matic.com</t>
  </si>
  <si>
    <t>519375-34</t>
  </si>
  <si>
    <t>Croux</t>
  </si>
  <si>
    <t>Croux, Inc.</t>
  </si>
  <si>
    <t>Operator of an online workforce marketplace intended to connect talented workers with flexible work opportunities in the hospitality industry. The company's marketplace streamlines the process of matching workers with suitable job opportunities by providing detailed worker profiles and real-time availability updates, enabling employers to find the right workers for their needs and workers to find work in their preferred areas.</t>
  </si>
  <si>
    <t>Application Software, Business/Productivity Software*, Human Capital Services, Media and Information Services (B2B)</t>
  </si>
  <si>
    <t>Mobile, Restaurant Technology, SaaS</t>
  </si>
  <si>
    <t>hospitality sector, job placement, placement agency, restaurant staffing, workforce app, workforce management, workforce platform</t>
  </si>
  <si>
    <t>www.croux.co</t>
  </si>
  <si>
    <t>http://www.linkedin.com/company/croux-app</t>
  </si>
  <si>
    <t>2023: 10, 2024: 10</t>
  </si>
  <si>
    <t>The company received $50,000 of grant funding from Alabama Launchpad on August 18, 2023. Previously, the company raised $1 million of pre-seed funding from TitletownTech and other undisclosed investors on May 2, 2023.</t>
  </si>
  <si>
    <t>Alabama Launchpad, TitletownTech</t>
  </si>
  <si>
    <t>Alabama Launchpad (www.alabamalaunchpad.com), TitletownTech (www.titletowntech.com)</t>
  </si>
  <si>
    <t>335417-59P</t>
  </si>
  <si>
    <t>Kenny Kung</t>
  </si>
  <si>
    <t>kenny@croux.co</t>
  </si>
  <si>
    <t>+1 (205) 973-6689</t>
  </si>
  <si>
    <t>2324 Second Avenue North</t>
  </si>
  <si>
    <t>35203</t>
  </si>
  <si>
    <t>493025-68</t>
  </si>
  <si>
    <t>Curated For You</t>
  </si>
  <si>
    <t>Curated For You, Inc.</t>
  </si>
  <si>
    <t>Netwave, Qubit (Business/Productivity Software), 4-Tell, Ometria, Datasine, Optimizely, AgilOne, Bluecore, Dynamic Yield, Bloomreach, RedEye International, Fresh Relevance, BlueVenn, Evergage, Punchh, Wigzo, Swrve, 6Sense, Mixpanel, StyleSage, Obviyo, Movable Ink, Jetlore, Flocktory, RichRelevance, Localytics, Retention Science, Nosto, Zaius, Kissmetrics, Hive Intelligence, Adestra, SharpSpring, Silverpop Systems, SmarterHQ, Reflektion, Braze, Monetate, ContentSquare, Yieldify, Leanplum, Yotpo, Pure360, ExpertSender, Insider, Thunder Industries, Klevu, Conversica, Act-On Software, Iterable, Percolate, Wylei, Klaviyo, Rokt, RedPoint Global, Clicktale, Sitecore, Adobe Marketo Engage, Certona, Lotame, Omnisend, BrainSINS, Granify, Datorama, Vendasta Technologies, Fanplayr, Neeva, Algolia, Exponea, Marigold Engage+, PathFactory, Convert, ActiveCampaign, BlueShift (Media and Information Services (B2B)), AddShoppers, Constant Contact, Contextly, Brevo, Searchspring, Intellimize, MoEngage, Hootsuite, Infinite Analytics, Quantcast, Custora, Springbot, Benchmark (Business/Productivity Software), Amobee, Kapost, Adobe, MailerLite, Zendesk, Wishpond Technologies, AB Tasty, Twilio Segment, CleverTap, Evolv AI, Moosend, UpSellit, NeoReach, Akanoo, Cxense, Blueport Commerce, Criteo, Signpost (Business/Productivity Software), Marigold Engage by Sailthru, OptiMonk, Segmentify, LeadSquared, Unbxd, Intuit Mailchimp, Bronto Software, Frosmo</t>
  </si>
  <si>
    <t>Provider of an online shopping information service intended to contextualize the products for everyone. The company specializes in measuring consumer motivations based on the social-scientific measurement and theory by leveraging machine vision and natural language processing to accurately predict perceptions at scale, enabling clients to make the shopping experience effective.</t>
  </si>
  <si>
    <t>customer experience, ecommerce personalization, ecommerce sales, machine vision technology, natural language services, online shopping interface, online shopping technology</t>
  </si>
  <si>
    <t>www.curatedforyou.io</t>
  </si>
  <si>
    <t>http://www.linkedin.com/company/curatedforyou</t>
  </si>
  <si>
    <t>2022: 4, 2023: 65</t>
  </si>
  <si>
    <t>The company joined New York Fashion Tech Lab as a part of its 2024 cohort on March 26, 2024. Previously, the company joined Stage 2 Capital as a part of its Catalyst Cohort for 2024 in 2024 and received an undisclosed amount in funding.</t>
  </si>
  <si>
    <t>AIX Ventures, Cascade Seed Fund, Dundee Venture Capital, Dynamism Capital, Geekdom Fund, Gurtin Ventures, New York Fashion Tech Lab, Stage 2 Capital, Techstars</t>
  </si>
  <si>
    <t>AIX Ventures (www.aixventures.com), Cascade Seed Fund (www.cascadeseedfund.com), Dundee Venture Capital (www.dundeeventurecapital.com), Dynamism Capital (dynamism.capital), Geekdom Fund (www.geekdomfund.com), Gurtin Ventures (www.gurtinventures.com), New York Fashion Tech Lab (www.nyftlab.com), Stage 2 Capital (www.stage2.capital), Techstars (www.techstars.com)</t>
  </si>
  <si>
    <t>179069-95P</t>
  </si>
  <si>
    <t>Katherine Aucoin</t>
  </si>
  <si>
    <t>Co-Founder, Chief Executive Officer, President, &amp; Board Member</t>
  </si>
  <si>
    <t>kaucoin@curatedforyou.io</t>
  </si>
  <si>
    <t>+1 (225) 978-8862</t>
  </si>
  <si>
    <t>P.O. Box 542121</t>
  </si>
  <si>
    <t>77254</t>
  </si>
  <si>
    <t>+1 (844) 443-8569</t>
  </si>
  <si>
    <t>hello@curatedforyou.io</t>
  </si>
  <si>
    <t>277923-79</t>
  </si>
  <si>
    <t>Curbside Kitchen</t>
  </si>
  <si>
    <t>Curbside Kitchen, LLC</t>
  </si>
  <si>
    <t>Developer of food truck service platform designed to offer breakfast and lunch to commercial offices and multi-family residential buildings. The company ties with food trucks to circulate menus with tenants, enter orders, market their customized programs directly to the users in their facilities, and feedback loops on how trucks perform at properties, enabling office and residential building owners to consume desired food.</t>
  </si>
  <si>
    <t>FoodTech, Restaurant Technology</t>
  </si>
  <si>
    <t>discovery &amp; review, discovery and review, food and beverage discovery, food beverage discovery, food truck information, food truck management, food truck operator, food truck ordering, food truck restaurant, food truck scheduling</t>
  </si>
  <si>
    <t>www.curbsidekitchen.com</t>
  </si>
  <si>
    <t>http://www.linkedin.com/company/curbside-kitchen</t>
  </si>
  <si>
    <t>2021: 11, 2022: 15, 2023: 15</t>
  </si>
  <si>
    <t>The company raised $2 million of seed funding from Accipital, Virginia Venture Partners, and Mike Ravenscroft on March 27, 2020, putting the company's pre-money valuation at $8 million. Other undisclosed investors also participated in the round. The funds will be used to hire additional team members in multiple areas to scale business operations to new markets and complete a full build-out of their technology to include a mobile app, dynamic scheduling, and mobile ordering.</t>
  </si>
  <si>
    <t>Accipital, Mike Ravenscroft, Virginia Venture Partners</t>
  </si>
  <si>
    <t>Accipital (accipital.com)</t>
  </si>
  <si>
    <t>213082-93P</t>
  </si>
  <si>
    <t>Amy Katz</t>
  </si>
  <si>
    <t>amy@curbsidekitchen.com</t>
  </si>
  <si>
    <t>+1 (703) 570-8648</t>
  </si>
  <si>
    <t>McLean, VA</t>
  </si>
  <si>
    <t>1660 International Drive</t>
  </si>
  <si>
    <t>Suite 600</t>
  </si>
  <si>
    <t>McLean</t>
  </si>
  <si>
    <t>hello@curbsidekitchen.com</t>
  </si>
  <si>
    <t>482119-03</t>
  </si>
  <si>
    <t>Curious Cardinals</t>
  </si>
  <si>
    <t>Curious Cardinals, Inc.</t>
  </si>
  <si>
    <t>Operator of a student mentoring platform intended to make students learn from mentors they aspire to be. The company's platform provides one-on-one mentorship with a college mentor to receive enrichment and academic assistance, collaborative workshops and global classrooms, enabling mentors to teach ascribing value and agency to both the teaching and learning roles.</t>
  </si>
  <si>
    <t>educational software, e-learning industry, online education service, online education service provider, online mentorship, online workshop</t>
  </si>
  <si>
    <t>www.curiouscardinals.com</t>
  </si>
  <si>
    <t>http://www.linkedin.com/company/curiouscardinals</t>
  </si>
  <si>
    <t>2021: 70, 2022: 105</t>
  </si>
  <si>
    <t>The company raised $465,000 of venture funding from Audacious Ventures, Deborah Liu and Deborah Quazzo on June 8, 2023. Other undisclosed investors also participated in the round.</t>
  </si>
  <si>
    <t>Anthos Capital, Audacious Ventures, Carta, Deborah Liu, Deborah Quazzo, LightSpeed Accelerator, StartX (US)</t>
  </si>
  <si>
    <t>Anthos Capital (www.anthoscapital.com), Audacious Ventures (www.audacious.co), Carta (www.carta.com), LightSpeed Accelerator (www.lightspeed.lefebvre-sarrut.eu), StartX (US) (web.startx.com)</t>
  </si>
  <si>
    <t>277473-43P</t>
  </si>
  <si>
    <t>Audrey Wisch</t>
  </si>
  <si>
    <t>audrey@curiouscardinals.com</t>
  </si>
  <si>
    <t>+1 (310) 909-3054</t>
  </si>
  <si>
    <t>783 Lockearn Street</t>
  </si>
  <si>
    <t>info@curiouscardinals.com</t>
  </si>
  <si>
    <t>439424-20</t>
  </si>
  <si>
    <t>Dance Church</t>
  </si>
  <si>
    <t>Dance Church Inc.</t>
  </si>
  <si>
    <t>Operator of dance-focused movement classes intended to offer joyful and connective experiences led by professional dancers. The company offers users access to its live classes and a library of on-demand dance classes and workouts that essentially feature professionals leading the class in a series of movement cues, accompanied by a curated playlist of multi-genre pop music, enabling users to participate in online fitness coaching and dance classes as per their schedule.</t>
  </si>
  <si>
    <t>Educational and Training Services (B2C)*, Entertainment Software</t>
  </si>
  <si>
    <t>EdTech, TMT</t>
  </si>
  <si>
    <t>dance classes, dance fitness platform, fitness classes, fitness coaching, fitness coaching services, fitness platform, fitness platform operator</t>
  </si>
  <si>
    <t>go.dancechurch.com</t>
  </si>
  <si>
    <t>http://www.linkedin.com/company/dance-church</t>
  </si>
  <si>
    <t>2020: 35, 2021: 16, 2022: 19, 2023: 13, 2024: 17</t>
  </si>
  <si>
    <t>The company raised $4.7 million through a combination of Seed, Seed-1, and Seed-2 funding in a deal led by MaC Venture Capital on October 18, 2021, putting the company's pre-money valuation at $10 million. Crush Ventures and other investors also participated in the round. The funds will be used to build out the tech platform, producing more content and driving more sign-ups and engagement among its members.</t>
  </si>
  <si>
    <t>Alumni Ventures, Crush Ventures, Female Founders - Grow F, Graham &amp; Walker, KID Venture Capital, MaC Venture Capital, PSL Studio, PSL Ventures</t>
  </si>
  <si>
    <t>Alumni Ventures (www.av.vc), Crush Ventures (www.crush.ventures), Female Founders - Grow F (www.female-founders.org), Graham &amp; Walker (www.grahamwalker.com), KID Venture Capital (www.kidventurecapital.com), MaC Venture Capital (macventurecapital.com), PSL Studio (www.psl.com)</t>
  </si>
  <si>
    <t>Perkins Coie(Legal Advisor), Wilson Sonsini Goodrich &amp; Rosati(Legal Advisor)</t>
  </si>
  <si>
    <t>265934-62P</t>
  </si>
  <si>
    <t>Clara Siegel</t>
  </si>
  <si>
    <t>Board Member</t>
  </si>
  <si>
    <t>clara@dancechurch.com</t>
  </si>
  <si>
    <t>+1 (206) 600-9792</t>
  </si>
  <si>
    <t>1122 East Pike Street</t>
  </si>
  <si>
    <t>Suite 1225</t>
  </si>
  <si>
    <t>98122</t>
  </si>
  <si>
    <t>info@dancechurch.com</t>
  </si>
  <si>
    <t>467154-37</t>
  </si>
  <si>
    <t>Datum (Business/Productivity Software)</t>
  </si>
  <si>
    <t>Datum</t>
  </si>
  <si>
    <t>Datum Tech, Inc.</t>
  </si>
  <si>
    <t>Operator of a geo-targeting platform intended to solve real-world problems. The company's platform leverages technology to build, manage, and optimize marketing campaigns with reporting dashboards and data visualization tools, enabling small businesses, nonprofits, and local governments to increase engagement and reach goals efficiently.</t>
  </si>
  <si>
    <t>data solutions provider, digital marketing, marketing tech, marketing technology agency, marketing technology firm, mobile location data</t>
  </si>
  <si>
    <t>www.datumxy.com</t>
  </si>
  <si>
    <t>http://www.linkedin.com/company/datum-tech</t>
  </si>
  <si>
    <t>2021: 12, 2023: 15, 2024: 18</t>
  </si>
  <si>
    <t>The company raised $950,000 of venture funding from Quansight Initiate and Sputnik ATX on February 27, 2020.</t>
  </si>
  <si>
    <t>Quansight Initiate, Sputnik ATX</t>
  </si>
  <si>
    <t>Quansight Initiate (www.qi.ventures), Sputnik ATX (www.sputnikatx.com)</t>
  </si>
  <si>
    <t>284816-80P</t>
  </si>
  <si>
    <t>Jeremy Fair</t>
  </si>
  <si>
    <t>Co-Founder, CRO &amp; Board Member</t>
  </si>
  <si>
    <t>jfair@datumxy.com</t>
  </si>
  <si>
    <t>+1 (713) 306-5419</t>
  </si>
  <si>
    <t>Bee Cave, TX</t>
  </si>
  <si>
    <t>12400 West Highway 71</t>
  </si>
  <si>
    <t>Suite 350-358</t>
  </si>
  <si>
    <t>Bee Cave</t>
  </si>
  <si>
    <t>78738</t>
  </si>
  <si>
    <t>info@datumxy.com</t>
  </si>
  <si>
    <t>588843-55</t>
  </si>
  <si>
    <t>Daydream</t>
  </si>
  <si>
    <t>Dahlia Labs, Inc.</t>
  </si>
  <si>
    <t>EyeFitU, Easysize</t>
  </si>
  <si>
    <t>Developer of an AI-driven retail innovation technology designed to find products by eliminating irrelevant results. The company offers women's and men's clothes, sneakers, backpacks, and among others, enabling customers to have a personalized shopping experience.</t>
  </si>
  <si>
    <t>Retail</t>
  </si>
  <si>
    <t>Internet Retail</t>
  </si>
  <si>
    <t>Business/Productivity Software, Internet Retail*</t>
  </si>
  <si>
    <t>clothing wear, ecommerce platform, fashion apparel portal, retail technology, shopping online, sneakers shoes</t>
  </si>
  <si>
    <t>www.daydream.ing</t>
  </si>
  <si>
    <t>http://www.linkedin.com/company/daydream-ing</t>
  </si>
  <si>
    <t>2024: 39</t>
  </si>
  <si>
    <t>The company raised $49.66 million through a combination of Seed and Seed-1 funding in a deal led by Forerunner Ventures and Index Ventures on August 30, 2024, putting the company's pre-money valuation at $83.34 million. True Ventures, Alphabet, Alumni Ventures, and other undisclosed investors participated in the round. The funds will be used to help usher in a new way for people to browse catalogs of products.</t>
  </si>
  <si>
    <t>Alphabet, Alumni Ventures, Forerunner Ventures, Index Ventures, True Ventures</t>
  </si>
  <si>
    <t>Alphabet (www.abc.xyz), Alumni Ventures (www.av.vc), Forerunner Ventures (www.forerunnerventures.com), Index Ventures (www.indexventures.com), True Ventures (www.trueventures.com)</t>
  </si>
  <si>
    <t>53202-88P</t>
  </si>
  <si>
    <t>Julie Bornstein</t>
  </si>
  <si>
    <t>+1 (206) 576-8610</t>
  </si>
  <si>
    <t>Hillsborough, CA</t>
  </si>
  <si>
    <t>2401 Oakdale Road</t>
  </si>
  <si>
    <t>Hillsborough</t>
  </si>
  <si>
    <t>94010</t>
  </si>
  <si>
    <t>+1 (206) 465-1513</t>
  </si>
  <si>
    <t>465969-88</t>
  </si>
  <si>
    <t>DayTrip (Information Services)</t>
  </si>
  <si>
    <t>Ourspace, DayTrip</t>
  </si>
  <si>
    <t>Ourspace Co., Ltd.</t>
  </si>
  <si>
    <t>Instagram</t>
  </si>
  <si>
    <t>Developer of a space curation application platform designed to provide local discovery of city and travel content. The company's platform offers traveling information and reviews of places which are collected from architects, travel writers, and photographers to explore the city based on the review and visit selected places, enabling travelers to have a memorable experience.</t>
  </si>
  <si>
    <t>consumer services, content builder, local discovery platform, mobile platform, online application, travel platform</t>
  </si>
  <si>
    <t>www.daytrip.io</t>
  </si>
  <si>
    <t>http://www.linkedin.com/company/ourspace</t>
  </si>
  <si>
    <t>2021: 5, 2022: 4, 2023: 9, 2024: 15</t>
  </si>
  <si>
    <t>The company raised $3 million of seed funding from Bass Investment, Mirae Asset Venture Investment and Goodwater Capital on May 24, 2021.</t>
  </si>
  <si>
    <t>Bass Investment, Goodwater Capital, Mirae Asset Venture Investment</t>
  </si>
  <si>
    <t>Bass Investment (bass.vc), Goodwater Capital (www.goodwatercap.com), Mirae Asset Venture Investment (venture.miraeasset.co.kr)</t>
  </si>
  <si>
    <t>263053-81P</t>
  </si>
  <si>
    <t>David Yoon</t>
  </si>
  <si>
    <t>david.yoon@ourspaceapp.com</t>
  </si>
  <si>
    <t>368 9th Avenue</t>
  </si>
  <si>
    <t>+1 (415) 504-1515</t>
  </si>
  <si>
    <t>465209-56</t>
  </si>
  <si>
    <t>DBeaver</t>
  </si>
  <si>
    <t>DBeaver Corp</t>
  </si>
  <si>
    <t>Chartio, TablePlus, Parabola, Zapier, UI Bakery, AppGyver, Tray.io, QueryPie, Linear (Business/Productivity Software)</t>
  </si>
  <si>
    <t>Developer of a database tool designed to support all popular relational databases such as SQL, NoSQL, and cloud data sources. The company's platform features a connection to various data sources, special extensions for big data databases, a data viewer and editor, a mock data generator, a metadata browser, and a visual query builder, enabling organizations to work with multiple databases within one tool and improve their decision-making processes.</t>
  </si>
  <si>
    <t>big data, data analysis, data infrastructure, data management software, data visualization, database management system</t>
  </si>
  <si>
    <t>www.dbeaver.com</t>
  </si>
  <si>
    <t>http://www.linkedin.com/company/dbeaver</t>
  </si>
  <si>
    <t>2021: 4, 2023: 40</t>
  </si>
  <si>
    <t>The company raised $6.5 million of seed funding in a deal led by Headline on April 11, 2023, putting the company's pre-money valuation at $18.5 million. Prospective Technologies Ventures also participated in the round.</t>
  </si>
  <si>
    <t>Headline, Prospective Technologies Ventures</t>
  </si>
  <si>
    <t>Headline (www.headline.com), Prospective Technologies Ventures (www.pt-vc.com)</t>
  </si>
  <si>
    <t>260370-82P</t>
  </si>
  <si>
    <t>Tatiana Krupenya</t>
  </si>
  <si>
    <t>+1 (347) 809-3202</t>
  </si>
  <si>
    <t>165 Broadway</t>
  </si>
  <si>
    <t>23d Floor</t>
  </si>
  <si>
    <t>10006</t>
  </si>
  <si>
    <t>490134-52</t>
  </si>
  <si>
    <t>Debbie</t>
  </si>
  <si>
    <t>Debbie Inc.</t>
  </si>
  <si>
    <t>Tally, Arro, Happy Money, Bright Money</t>
  </si>
  <si>
    <t>Developer of debt payment and cashback platform designed to visualize the debt payoff progress. The company's platform subverts the traditional credit card rewards system for users to earn points for saving, paying off debt, and fixing credit card payoff, mortgages, BNPL service, side hustling, medical debt payment, and much more, enabling customers to easily hook up and track their credit cards and spending accounts.</t>
  </si>
  <si>
    <t>cash back services, consumer payment, credit card debt, credit card tracking platform, credit score, debt consolidation, debt platform, financial health, financial literacy, personal and business banking, personal finance, personal loans, super app, superapp, wallets</t>
  </si>
  <si>
    <t>www.joindebbie.com</t>
  </si>
  <si>
    <t>http://www.linkedin.com/company/debt-debbie</t>
  </si>
  <si>
    <t>2021: 3, 2022: 7, 2023: 25</t>
  </si>
  <si>
    <t>The company is in the process of raising seed funding in the form of convertible notes from TruStage Ventures, Nurture Ventures, and Gaingels on April 1, 2023. The company plans to close the round by October 15, 2024. Previously, the company raised $1.4 million of venture funding from Bertelsmann Digital Media Investments, Village Global, and Green Egg Ventures on November 1, 2023, putting the company's pre-money valuation at $5.6 million. Liquid 2 Ventures, If Then Ventures, Geek Ventures, and Hustle Fund also participated in the round.</t>
  </si>
  <si>
    <t>10X Capital, BDMI, Gaingels, Geek Ventures, Green Egg Ventures, Hustle Fund, If Then Ventures, Liquid 2 Ventures, Nurture Ventures, One Way Ventures, Outside Venture Capital, TA Ventures, TruStage Ventures, Village Global</t>
  </si>
  <si>
    <t>10X Capital (www.10xcapital.com), BDMI (www.bdmifund.com), Gaingels (www.gaingels.com), Geek Ventures (geek.vc), Green Egg Ventures (www.greenegg.vc), Hustle Fund (www.hustlefund.vc), If Then Ventures (www.ifthen.vc), Liquid 2 Ventures (www.liquid2.vc), Nurture Ventures (nurtureventure.com), One Way Ventures (www.onewayvc.com), Outside Venture Capital (www.outside-vc.com), TA Ventures (www.taventures.vc), TruStage Ventures (www.cmfgventures.com), Village Global (www.villageglobal.vc)</t>
  </si>
  <si>
    <t>292219-21P</t>
  </si>
  <si>
    <t>Frida Leibowitz</t>
  </si>
  <si>
    <t>frida@joindebbie.com</t>
  </si>
  <si>
    <t>+1 (646) 565-1533</t>
  </si>
  <si>
    <t>1000 Brickell Avenue</t>
  </si>
  <si>
    <t>Suite 715 Number 1557</t>
  </si>
  <si>
    <t>hello@joindebbie.com</t>
  </si>
  <si>
    <t>534872-71</t>
  </si>
  <si>
    <t>DeForm (Software Development Applications)</t>
  </si>
  <si>
    <t>DeForm</t>
  </si>
  <si>
    <t>Contribution Labs Inc</t>
  </si>
  <si>
    <t>Operator of a software development company intended to offer marketing solutions in the Web3 space. The company's platform provides a range of services, from token design and governance to digital asset strategies and brand and influencer marketing, enabling clients to navigate the rapidly evolving Web3 ecosystem and develop successful marketing strategies in the decentralized landscape.</t>
  </si>
  <si>
    <t>Cryptocurrency/Blockchain, Marketing Tech</t>
  </si>
  <si>
    <t>digital asset token, influencer marketing management, influencer marketing service, influencer marketing system, marketing solutions company, web3 marketing, web3 marketing platform, web3 marketing solutions</t>
  </si>
  <si>
    <t>www.deform.cc</t>
  </si>
  <si>
    <t>http://www.linkedin.com/company/deformapp</t>
  </si>
  <si>
    <t>The company raised $4.6 million of seed funding in a deal led by Delphi Digital, Kindred Ventures and Nascent on August 31, 2023. Alchemy Ventures and 13 other investors also participated in the round. The funds will be used to expand their offering and further develop their technology.</t>
  </si>
  <si>
    <t>A.Capital Ventures, Albert Hu, Alchemy Ventures (California), Charley Ma, Delphi Digital, Elad Gil, Eric Chung, Kindred Ventures, Marc Bhargava, Nader Dabit, Nascent, Naval Ravikant, Next Web capital, Scalar Capital, Scott Belsky, Sep Kamvar, Sina Habibian, Sklar Capital, Sota Watanabe</t>
  </si>
  <si>
    <t>Alchemy Ventures</t>
  </si>
  <si>
    <t>A.Capital Ventures (www.acapital.com), Delphi Digital (www.delphidigital.io), Elad Gil (www.eladgil.com), Kindred Ventures (www.kindredventures.com), Nascent (www.nascent.xyz), Next Web capital (www.nextweb.capital), Scalar Capital (www.scalar.capital), Scott Belsky (www.scottbelsky.com)</t>
  </si>
  <si>
    <t>Alchemy Ventures (alchemyventures.com)</t>
  </si>
  <si>
    <t>315172-09P</t>
  </si>
  <si>
    <t>Shiuan-Chin Chang</t>
  </si>
  <si>
    <t>18 Bartol Street</t>
  </si>
  <si>
    <t>489580-57</t>
  </si>
  <si>
    <t>Defy Trends</t>
  </si>
  <si>
    <t>Defy</t>
  </si>
  <si>
    <t>Defy Trends LLC</t>
  </si>
  <si>
    <t>Developer of an AI and data-driven crypto intelligence platform intended to make confident investment decisions. The company's platform provides on-chain analysis and actionable data insights and forecasts supported by comprehensive education and research, enabling investors to understand the market, trade, compare different crypto assets and identify undervalued or overvalued coins.</t>
  </si>
  <si>
    <t>Financial Software*, Media and Information Services (B2B), Other Financial Services</t>
  </si>
  <si>
    <t>blockchain data supplier, crypto database platform, crypto information, crypto intelligence firm, cryptocurrency analytics platform, data science algorithm, nft analytics, real time market data</t>
  </si>
  <si>
    <t>opengenie.ai</t>
  </si>
  <si>
    <t>http://www.linkedin.com/company/opengenie</t>
  </si>
  <si>
    <t>2021: 8, 2022: 17, 2023: 7, 2024: 12</t>
  </si>
  <si>
    <t>The company raised an undisclosed amount of venture funding from Longbrook Ventures and Alpha Transform Holdings in approximately May 2024.</t>
  </si>
  <si>
    <t>Alpha Sigma Capital, Alpha Transform Holdings, Ava Labs, Big Brain Holdings, BIP Ventures, Celo Foundation, Flori Ventures, Ghaf Capital Partners, LD Capital, LDA Capital, Longbrook Ventures, Magnus Capital, NEAR, Polygon (Financial Software), Shima Capital, Tezos, The Graph</t>
  </si>
  <si>
    <t>Alpha Sigma Capital (www.alphasigma.fund), Alpha Transform Holdings (www.alphatransform.io), Ava Labs (www.avalabs.org), Big Brain Holdings (www.bigbrain.holdings), BIP Ventures (www.bipventures.vc), Celo Foundation (www.celo.org), Flori Ventures (www.floriventures.com), Ghaf Capital Partners (www.ghafcapital.ae), LD Capital (www.ldcap.com), LDA Capital (www.ldacap.com), Longbrook Ventures (www.longbrookvc.com), Magnus Capital (magnuscapital.com), NEAR (www.near.org), Polygon (Financial Software) (www.polygon.technology), Shima Capital (www.shima.capital), Tezos (www.tezos.com), The Graph (www.thegraph.com)</t>
  </si>
  <si>
    <t>286921-00P</t>
  </si>
  <si>
    <t>Audrey Nesbitt</t>
  </si>
  <si>
    <t>Chief Marketing Officer</t>
  </si>
  <si>
    <t>anesbitt@defytrends.io</t>
  </si>
  <si>
    <t>Brandon, FL</t>
  </si>
  <si>
    <t>1202 Barmere Lincoln</t>
  </si>
  <si>
    <t>Brandon</t>
  </si>
  <si>
    <t>33511-1849</t>
  </si>
  <si>
    <t>522370-00</t>
  </si>
  <si>
    <t>Delv (Business/Productivity Software)</t>
  </si>
  <si>
    <t>Delv</t>
  </si>
  <si>
    <t>Delv Ltd</t>
  </si>
  <si>
    <t>Developer of an artificial intelligence-powered platform designed to help people discover insights from a vast amount of literature. The company's platform specializes in providing a textual database with relevant articles, clustered by topic in interactive visualizations, enabling businesses to save time by helping them go through a large amount of literature.</t>
  </si>
  <si>
    <t>ai based, ai search engine, generative ai, integration model, interactive visualization, natural language technology, r&amp;d work, scientific researchers, workflow manager, workflow model</t>
  </si>
  <si>
    <t>www.delv.ai</t>
  </si>
  <si>
    <t>http://www.linkedin.com/company/delv-search</t>
  </si>
  <si>
    <t>The company raised an estimated INR 37 million of venture funding from Village Global and On Deck on October 9, 2023, putting the company's pre-money valuation at INR 12 million.</t>
  </si>
  <si>
    <t>Lucy Guo, Miami Hack Week, On Deck, Village Global</t>
  </si>
  <si>
    <t>On Deck (www.beondeck.com), Village Global (www.villageglobal.vc)</t>
  </si>
  <si>
    <t>341297-83P</t>
  </si>
  <si>
    <t>Pranjali Awasthi</t>
  </si>
  <si>
    <t>519621-76</t>
  </si>
  <si>
    <t>demi</t>
  </si>
  <si>
    <t>Demi Composting Corp.</t>
  </si>
  <si>
    <t>Provider of environmental services aimed at reducing food waste and recycling through composting the waste material. The company offers various kinds of services like composting as a differentiated &amp; streamlined amenity, reduction in traditional waste management costs, and eligibility for sustainability and wellness certifications, providing society and big communities with a reduction of emissions and the ability to stand out as a building that goes the extra mile for its people and the planet.</t>
  </si>
  <si>
    <t>Environmental Services (B2B)</t>
  </si>
  <si>
    <t>Business/Productivity Software, Clothing, Environmental Services (B2B)*, Other Commercial Services</t>
  </si>
  <si>
    <t>CleanTech, FoodTech</t>
  </si>
  <si>
    <t>environmental company, environmental impact, environmental management, food production, food waste, food waste &amp; traceability, food waste and traceability, sustainability impacts, sustainability platform</t>
  </si>
  <si>
    <t>www.demicomposting.com</t>
  </si>
  <si>
    <t>http://www.linkedin.com/company/demi-composting</t>
  </si>
  <si>
    <t>2023: 9, 2024: 10</t>
  </si>
  <si>
    <t>The company raised $800,000 of venture funding from Gold House Ventures, Meliorate Partners and Great Circle Ventures on August 1, 2023, putting the company's pre-money valuation at $4.2 million. Orca Climate Fund also participated on this round. Previously, the company joined gener8tor as a part of the fall 2022 cohort on May 12, 2023 and received $100,000 in funding.</t>
  </si>
  <si>
    <t>gBETA, Gold House Ventures, Great Circle Ventures, Meliorate Partners, Orca Climate Fund, Polsky Center, University of Chicago Booth School of Business</t>
  </si>
  <si>
    <t>gBETA (gbetastartups.com), Gold House Ventures (www.goldhouse.org), Great Circle Ventures (greatcircle.vc), Meliorate Partners (www.meliorate.earth), Orca Climate Fund (www.orcaclimate.fund), Polsky Center (polsky.uchicago.edu), University of Chicago Booth School of Business (www.chicagobooth.edu)</t>
  </si>
  <si>
    <t>334565-02P</t>
  </si>
  <si>
    <t>Ethan Jones</t>
  </si>
  <si>
    <t>ethan@demicomposting.com</t>
  </si>
  <si>
    <t>965 West Chicago Avenue</t>
  </si>
  <si>
    <t>hello@demicomposting.com</t>
  </si>
  <si>
    <t>Other - (Convertible)</t>
  </si>
  <si>
    <t>507432-34</t>
  </si>
  <si>
    <t>Derapi</t>
  </si>
  <si>
    <t>Derapi, Inc.</t>
  </si>
  <si>
    <t>Developer of a data infrastructure platform designed for distributed energy resources connectivity. The company's platform offers access to a multitude of supported devices through a single point of integration through DER service providers and DER device manufacturers, enabling clients to have secure, bidirectional, and granular access to energy devices and data.</t>
  </si>
  <si>
    <t>Business/Productivity Software*, Internet Software, Media and Information Services (B2B), Software Development Applications</t>
  </si>
  <si>
    <t>Climate Tech</t>
  </si>
  <si>
    <t>climate tech, cloud computing, distributed energy, electric power, energy resources, renewable energy</t>
  </si>
  <si>
    <t>www.derapi.com</t>
  </si>
  <si>
    <t>http://www.linkedin.com/company/derapi</t>
  </si>
  <si>
    <t>2022: 2, 2023: 11</t>
  </si>
  <si>
    <t>The company raised $2.7 million of seed funding in a deal led by Earthshot Ventures on September 15, 2022, putting the company's pre-money valuation at $7 million. Ubiquity Ventures, UNION Labs Ventures, Mission One Capital, and Daniel Tomb also participated in the round.</t>
  </si>
  <si>
    <t>Daniel Tomb, Earthshot Ventures, Mission One Capital, Ubiquity Ventures, UNION Labs VC</t>
  </si>
  <si>
    <t>Earthshot Ventures (www.earthshot.vc), Mission One Capital (m1c.vc), Ubiquity Ventures (www.ubiquity.vc), UNION Labs VC (www.unionlabs.com)</t>
  </si>
  <si>
    <t>316457-74P</t>
  </si>
  <si>
    <t>Jake Masters</t>
  </si>
  <si>
    <t>jake@derapi.com</t>
  </si>
  <si>
    <t>+1 (415) 659-8589</t>
  </si>
  <si>
    <t>San Carlos, CA</t>
  </si>
  <si>
    <t>1101 Bransten Road</t>
  </si>
  <si>
    <t>San Carlos</t>
  </si>
  <si>
    <t>94070</t>
  </si>
  <si>
    <t>info@derapi.com</t>
  </si>
  <si>
    <t>489921-13</t>
  </si>
  <si>
    <t>Design With Frank</t>
  </si>
  <si>
    <t>FRANK</t>
  </si>
  <si>
    <t>Design With FRANK Inc.</t>
  </si>
  <si>
    <t>Developer of a digital tool designed to provide architectural intelligence to make well-designed homes that fit the exact needs of customers. The company's architectural intelligence tool allows users to discover plans, review the study them, and adapt the construct according to them, enabling customers to design their homes as per their ideas and planning with the help of technology.</t>
  </si>
  <si>
    <t>ai technology, architectural planning, architectural works, design platform, home design, planning and construction</t>
  </si>
  <si>
    <t>www.designwithfrank.com</t>
  </si>
  <si>
    <t>http://www.linkedin.com/company/design-with-frank</t>
  </si>
  <si>
    <t>2022: 8, 2023: 7, 2024: 9</t>
  </si>
  <si>
    <t>The company raised an undisclosed amount of venture funding from Sunstone Management on September 1, 2022.</t>
  </si>
  <si>
    <t>Lair East Labs, Redbud VC, Sunstone Management</t>
  </si>
  <si>
    <t>Lair East Labs (www.laireastlabs.com), Redbud VC (redbud.vc), Sunstone Management (www.sunstoneinvestment.com)</t>
  </si>
  <si>
    <t>287620-03P</t>
  </si>
  <si>
    <t>Chloe Fan</t>
  </si>
  <si>
    <t>cfan@designwithfrank.com</t>
  </si>
  <si>
    <t>hello@designwithfrank.com</t>
  </si>
  <si>
    <t>490796-56</t>
  </si>
  <si>
    <t>Diadem Capital</t>
  </si>
  <si>
    <t>Diadem Capital LLC</t>
  </si>
  <si>
    <t>Funden, Thunder</t>
  </si>
  <si>
    <t>Operator of a funding platform intended to streamline fundraising for venture-backed founders. The company's platform specializes in providing an AI-powered fundraising marketplace in which startups can explore all funding options by adding deal requirements and tracking the progress of negotiations, it offers free service to VCs, CVCs, and Family Offices, venture companies that are directed to investors according to their unique criteria, enabling businesses to raise funding rounds simply and efficiently.</t>
  </si>
  <si>
    <t>alternative capital, business finance, capital fundraising, capital market, female founder, funding platform, fundraising marketplace, startups funding, venture capital</t>
  </si>
  <si>
    <t>www.diademcapital.com</t>
  </si>
  <si>
    <t>http://www.linkedin.com/company/diademcapital</t>
  </si>
  <si>
    <t>2022: 3, 2023: 10, 2024: 10</t>
  </si>
  <si>
    <t>The company raised $600,000 of pre-seed funding in the form of convertible debt in a deal led by Launch NY in September 2023. Innovent Capital Group, Paddock Capital, Western New York Venture Association, and other undisclosed investors also participated in the round. The funds will be used for the growth of the fintech platform.</t>
  </si>
  <si>
    <t>Innovent Capital Group, Launch NY, Paddock Capital, Western New York Venture Association</t>
  </si>
  <si>
    <t>Innovent Capital Group (www.innoventcapital.com), Launch NY (www.launchny.org), Western New York Venture Association (www.wnyventure.com)</t>
  </si>
  <si>
    <t>311919-76P</t>
  </si>
  <si>
    <t>Stephanie Rieben</t>
  </si>
  <si>
    <t>stephanie.rieben@diademcapital.com</t>
  </si>
  <si>
    <t>+1 (212) 287-5860</t>
  </si>
  <si>
    <t>Buffalo, NY</t>
  </si>
  <si>
    <t>640 Ellicott Street</t>
  </si>
  <si>
    <t>Suite 14B</t>
  </si>
  <si>
    <t>Buffalo</t>
  </si>
  <si>
    <t>14203</t>
  </si>
  <si>
    <t>info@diademcapital.com</t>
  </si>
  <si>
    <t>Bridge Loan - $0.60M (Convertible)</t>
  </si>
  <si>
    <t>491776-39</t>
  </si>
  <si>
    <t>Dialect (Communication Software)</t>
  </si>
  <si>
    <t>Enombic</t>
  </si>
  <si>
    <t>Dialect</t>
  </si>
  <si>
    <t>Dialect Labs, Inc.</t>
  </si>
  <si>
    <t>XMTP, Status (Financial Services)</t>
  </si>
  <si>
    <t>Developer of a web3 messaging technology designed to provide wallets with a secure way to communicate. The company utilizes blockchain technology to provide decentralized web access so that users don't have to use email and sign in with saved usernames or passwords to reach their wallet address, enabling clients to have a new standard in authentication without the use of personal contact information.</t>
  </si>
  <si>
    <t>Business/Productivity Software, Communication Software*</t>
  </si>
  <si>
    <t>authentication tech, blockchain technology, crypto content and social, messaging service, messaging technology, notification management, protocol design, wallets application, web3 app, web3 ecosystem, web3 tools, web4</t>
  </si>
  <si>
    <t>www.dialect.to</t>
  </si>
  <si>
    <t>http://www.linkedin.com/company/dialect-labs</t>
  </si>
  <si>
    <t>2023: 15, 2024: 14</t>
  </si>
  <si>
    <t>The company raised $4.1 million of seed funding in a deal led by Jump Crypto, Multicoin Capital, and Solana Ventures on April 14, 2022. HOF Capital and 3 other investors also participated in the round.</t>
  </si>
  <si>
    <t>Austen Allred, Heroic Ventures, HOF Capital, Joe McCann, Jump Crypto, Multicoin Capital, Musha Ventures, Protagonist, Solana Ventures, Tiger Global Management, WAGMI Ventures (New York), Y Combinator</t>
  </si>
  <si>
    <t>Heroic Ventures (www.heroicvc.com), HOF Capital (www.hofcapital.com), Jump Crypto (jumpcrypto.com), Multicoin Capital (www.multicoin.capital), Musha Ventures (www.mushaventures.com), Protagonist (protagonist.co), Solana Ventures (solana.ventures), Tiger Global Management (www.tigerglobal.com), WAGMI Ventures (New York) (www.wagmiventures.io), Y Combinator (www.ycombinator.com)</t>
  </si>
  <si>
    <t>297283-24P</t>
  </si>
  <si>
    <t>Christopher Osborn</t>
  </si>
  <si>
    <t>chris@dialect.to</t>
  </si>
  <si>
    <t>Suite 4514</t>
  </si>
  <si>
    <t>hello@dialect.to</t>
  </si>
  <si>
    <t>497717-56</t>
  </si>
  <si>
    <t>Digiphy</t>
  </si>
  <si>
    <t>Digiphy LLC</t>
  </si>
  <si>
    <t>GumGum, Vibrant Media</t>
  </si>
  <si>
    <t>Developer of a SaaS platform designed to connect companies directly to consumers. The company's platform offers new insights and converts one-time buyers into loyal customers, also captures first-party data, fosters trust and drives consumer action and marketing materials into immersive digital experiences, enabling businesses to collect valuable zero-party consumer data.</t>
  </si>
  <si>
    <t>Internet of Things, Marketing Tech, SaaS, TMT</t>
  </si>
  <si>
    <t>data integration software, marketing channel platform, marketing platform operator, marketing platform service, marketing platform software, sales and marketing support</t>
  </si>
  <si>
    <t>www.digiphy.it</t>
  </si>
  <si>
    <t>http://www.linkedin.com/company/digiphyit</t>
  </si>
  <si>
    <t>2022: 12, 2023: 7</t>
  </si>
  <si>
    <t>The company raised $10,000 of venture funding from Bertelsmann Digital Media Investments, Capitalize VC and ALIAVIA Ventures on September 1, 2022. Gaingels and 6 other investors also participated in the round. Previously, the company joined Techstars as a part of its Farm to Fork Accelerator on July 15, 2022, and received $120,000 in funding. Out of the total amount, $100,000 was raised in the form of convertible debt, which subsequently was converted to equity. Before that, the company raised $1.5 million of venture funding from Sify Ventures, Bertelsmann Digital Media Investments and Gaingels on June 1, 2022. M13 and 8 other investors also participated in the round. The funds will be used to publicly launch the company's new cutting-edge platform to help brands go beyond the label and connect directly with their customers as they turn their product packages into interactive digital storytelling displays triggered by QR codes.</t>
  </si>
  <si>
    <t>ALIAVIA Ventures, Alumni Ventures, BDMI, Builders + Backers, Capitalize VC, Dispatch Ventures, Eyrir Venture Management, Gaingels, Groove Capital, LightShed Ventures, M13, Sify Ventures, Silicon Road, Techstars</t>
  </si>
  <si>
    <t>ALIAVIA Ventures (www.aliavia.vc), Alumni Ventures (www.av.vc), BDMI (www.bdmifund.com), Builders + Backers (www.buildersandbackers.com), Capitalize VC (www.capitalizevc.com), Dispatch Ventures (www.dispatch.vc), Eyrir Venture Management (evm.is), Gaingels (www.gaingels.com), Groove Capital (www.groovecap.com), LightShed Ventures (www.lightshedvc.com), M13 (www.m13.co), Sify Ventures (www.sifyventures.com), Silicon Road (siliconroad.vc), Techstars (www.techstars.com)</t>
  </si>
  <si>
    <t>Strategic Law Partners(Legal Advisor)</t>
  </si>
  <si>
    <t>303436-36P</t>
  </si>
  <si>
    <t>Sarah Ellenbogen</t>
  </si>
  <si>
    <t>sarah@digiphy.it</t>
  </si>
  <si>
    <t>1270 South Alfred Street</t>
  </si>
  <si>
    <t>PO Box 352020</t>
  </si>
  <si>
    <t>90035</t>
  </si>
  <si>
    <t>info@digiphy.it</t>
  </si>
  <si>
    <t>529758-01</t>
  </si>
  <si>
    <t>Dili</t>
  </si>
  <si>
    <t>Dili Inc.</t>
  </si>
  <si>
    <t>Operator of a reliable artificial intelligence-powered data room platform intended to automate capital markets deals. The company's platform offers automated data visualization, financial analysis, and presentation output creation with asset-liability mismatches and legal clauses, enabling users and businesses to achieve increased productivity and avoid misconduct situations.</t>
  </si>
  <si>
    <t>Business/Productivity Software*, Financial Software, Media and Information Services (B2B), Other Financial Services</t>
  </si>
  <si>
    <t>automated audits, capital market dealings, capital markets technology, commercial real estate, data visualization platform, due diligence, financial analysis, generative ai, investment tax credit, tax equity</t>
  </si>
  <si>
    <t>www.dili.ai</t>
  </si>
  <si>
    <t>http://www.linkedin.com/company/dili-ai</t>
  </si>
  <si>
    <t>The company raised $3.6 million of venture funding from Allianz Life Ventures, Gaingels and HYPER Ventures on February 19, 2024. Pioneer Fund and other undisclosed investors also participated in the round. Previously, the company graduated from Vercel AI Accelerator on August 23, 2023. No equity or funding was exchanged as a result of this program.</t>
  </si>
  <si>
    <t>10X Capital, Allianz Life Ventures, Amino Capital, CoreNest, Decacorn Capital, Gaingels, Hi2 Global, HYPER Ventures (US), Litquidity Capital, NVO Capital, Pioneer Fund, Rebel Fund, Rocketship.vc, Singularity Capital, Vercel AI Accelerator, Y Combinator, Z Nation Lab</t>
  </si>
  <si>
    <t>10X Capital (www.10xcapital.com), Allianz Life Ventures (www.allianzlifeventures.com), Amino Capital (www.aminocapital.com), CoreNest (www.corenest.com), Decacorn Capital (decacorn.vc), Gaingels (www.gaingels.com), Hi2 Global (www.hi2global.com), HYPER Ventures (US) (www.hyperventures.io), Litquidity Capital (www.litquidity.co), NVO Capital (www.nvo.vc), Pioneer Fund (www.pioneerfund.vc), Rebel Fund (www.rebelfund.vc), Rocketship.vc (www.rocketship.vc), Singularity Capital (singularitycapital.us), Y Combinator (www.ycombinator.com), Z Nation Lab (www.znationlab.com)</t>
  </si>
  <si>
    <t>352795-60P</t>
  </si>
  <si>
    <t>Anand Chaturvedi</t>
  </si>
  <si>
    <t>anand@dili.ai</t>
  </si>
  <si>
    <t>+1 (669) 261-8255</t>
  </si>
  <si>
    <t>info@dili.ai</t>
  </si>
  <si>
    <t>399467-44</t>
  </si>
  <si>
    <t>Dimension ()</t>
  </si>
  <si>
    <t>Trash Warrior</t>
  </si>
  <si>
    <t>Hakuna Services, Inc.</t>
  </si>
  <si>
    <t>Developer of an on-demand waste management platform designed to make public spaces clean and tidy and make waste disposal accessible. The company's platform offers customizable junk removal, dumpster rentals, recycling, and hazardous waste disposal, enabling customers to declutter with peace of mind and contribute to a greener environment.</t>
  </si>
  <si>
    <t>Application Software*, Other Services (B2C Non-Financial)</t>
  </si>
  <si>
    <t>CleanTech, LOHAS &amp; Wellness, TMT</t>
  </si>
  <si>
    <t>dumpster rental, green environment, waste disposal, waste management platform, waste management program, waste removal service</t>
  </si>
  <si>
    <t>www.getdimension.com</t>
  </si>
  <si>
    <t>http://www.linkedin.com/company/getdimension</t>
  </si>
  <si>
    <t>2020: 4, 2021: 20, 2022: 31, 2024: 50</t>
  </si>
  <si>
    <t>The company raised $8 million through the combination of Series Pre-A-6 and Series Pre-A-7 venture funding in a deal led by AltaIR Capital on June 8, 2022, putting the company's pre-money valuation at $34 million. Primavera Venture Partners and 7 other investors also participated in the round. The funds will be used to improve technology, hire the best talents, and strengthen sales and marketing.</t>
  </si>
  <si>
    <t>500 Global, AltaIR Capital, Alumni Ventures, Amino Capital, Atlas Capital (San Francisco), Brighter Capital, Dennis Wong, Hyphen Capital, Investoro, Lightspeed Venture Partners, Lilei Xu, Lombardstreet Ventures, Mentors Fund, Moderne Ventures, Nathan Savir, Operator Partners, Primavera Venture Partners, Ran Makavy, Sand Hill Angels, SaxeCap, South Park Commons, Vishal Kapur, Ying Fund, Yun-Fang Juan</t>
  </si>
  <si>
    <t>500 Global (500.co), AltaIR Capital (www.altair.vc), Alumni Ventures (www.av.vc), Amino Capital (www.aminocapital.com), Atlas Capital (San Francisco) (www.theatlascapital.com), Brighter Capital (www.brightercapital.com), Hyphen Capital (www.hyphencapital.com), Investoro (www.investoro.com), Lightspeed Venture Partners (www.lsvp.com), Lombardstreet Ventures (www.lombardstreet.vc), Mentors Fund (www.mentors.fund), Moderne Ventures (www.moderneventures.com), Operator Partners (www.operatorpartners.com), Primavera Venture Partners (www.pvp.primavera-capital.com), Sand Hill Angels (www.sandhillangels.com), SaxeCap (www.saxecap.com), South Park Commons (www.southparkcommons.com), Ying Fund (www.theyingfund.com)</t>
  </si>
  <si>
    <t>222544-18P</t>
  </si>
  <si>
    <t>Lily Shen</t>
  </si>
  <si>
    <t>lily@trashwarrior.com</t>
  </si>
  <si>
    <t>+1 (415) 304-8171</t>
  </si>
  <si>
    <t>Suite 4061</t>
  </si>
  <si>
    <t>606898-09</t>
  </si>
  <si>
    <t>Directo (Application Software)</t>
  </si>
  <si>
    <t>Directo Tech, Inc.</t>
  </si>
  <si>
    <t>Developer of travel chrome extension software designed to give guests an easy way to contact hotels and property managers directly. The company's software helps hotels and property to help hotels and property managers get more direct traffic, enabling users to save time and money when booking vacations, by streamlining the process of finding the best direct deals and eliminating the need for extensive research.</t>
  </si>
  <si>
    <t>Application Software*</t>
  </si>
  <si>
    <t>browser extensions, browser extensions application, browser extensions developer, chrome extensions, chrome extensions software, chrome extensions tools</t>
  </si>
  <si>
    <t>www.getdirecto.com</t>
  </si>
  <si>
    <t>http://www.linkedin.com/company/get-directo</t>
  </si>
  <si>
    <t>The company raised $1 million of pre-seed funding from Kima Ventures, Derive Ventures, and Calafia on June 27, 2024. Other undisclosed investors also participated in the round. The funds will be used for the company's travel price comparison software.</t>
  </si>
  <si>
    <t>Calafia, Derive Ventures Management Company, Kima Ventures</t>
  </si>
  <si>
    <t>Derive Ventures Management Company (www.derive-ventures.com), Kima Ventures (www.kimaventures.com)</t>
  </si>
  <si>
    <t>402057-28P</t>
  </si>
  <si>
    <t>Marina Guastavino</t>
  </si>
  <si>
    <t>marina@getdirecto.com</t>
  </si>
  <si>
    <t>600 North Broad Street</t>
  </si>
  <si>
    <t>Suite 5, Number 1037</t>
  </si>
  <si>
    <t>327146-95</t>
  </si>
  <si>
    <t>Diversio</t>
  </si>
  <si>
    <t>Diversio Inc.</t>
  </si>
  <si>
    <t>Saba Software, PeopleFluent, Arctic Shores, Cornerstone OnDemand, Clustree, Crosschq, Included, TalentSoft, Traitify, Ascendify, Peakon, Jobvite, Experfy, HireVue, Humantelligence, Culture Amp, Talegent, Restless Bandit, impress.ai, Karat, BambooHR, Topia, HiPeople, Glider AI, iCIMS, AllyO, Goshaba, Eightfold.ai, Pymetrics, Factorial, DataRobot, Lever (San Francisco), Fusemachines, SmartRecruiters, TextRecruit, Talemetry, Retrain.ai, Birst, Zenefits, XOR (Human Capital Services), Tellius, Qlik Technologies, Ultimate Software Group, Stratifyd, Squark, Board International, GoodData, Entelo, RoboRecruiter, AnswerRocket, Sense (Business/Productivity Software), SumTotal Systems, Datameer, Datascience.com, InsightSquared, Aylien, Hireology, Datorama, Knack (Staffing), Glint (Business/Productivity Software), Qualtrics, Yello, Dataiku, Yewno, Amenity Analytics, AlphaSense, Qlearsite, Hired, ThoughtSpot, Odaia, Searchlight, Workable, Tableau Software, Checkster, BirdDogHR</t>
  </si>
  <si>
    <t>Developer of a people intelligence platform designed to measure, track, and improve diversity, equity, and inclusion. The company's platform is created using artificial intelligence to bring rigor data, diagnosis, and analysis to help organizations become more inclusive and to develop cutting-edge technology, eliminate barriers to diversity and inclusion, enabling users to trust and get a platform that values feedback, transparency, collaboration, and impact.</t>
  </si>
  <si>
    <t>Artificial Intelligence &amp; Machine Learning, HR Tech, LOHAS &amp; Wellness, SaaS</t>
  </si>
  <si>
    <t>analytics platform, business intelligence platform, customer experience, diversity and inclusion, equality and diversity, hr technology, human capital firm, information technology</t>
  </si>
  <si>
    <t>www.diversio.com</t>
  </si>
  <si>
    <t>http://www.linkedin.com/company/diversioglobal</t>
  </si>
  <si>
    <t>2021: 40, 2022: 49, 2023: 37, 2024: 41</t>
  </si>
  <si>
    <t>The company raised $6.5 million of Series A venture funding from Chandaria Family Holdings, Reform Ventures and First Round Capital on January 25, 2022. Golden Ventures also participated in the round. The funds will be used to invest in the company's team and product development including more targeted and customized data analysis as well as for the recommendation engine.</t>
  </si>
  <si>
    <t>Chandaria Family Holdings, First Round Capital, Golden Ventures, OneEleven (Private Equity), Reform Ventures</t>
  </si>
  <si>
    <t>First Round Capital (www.firstround.com), Golden Ventures (www.golden.ventures), OneEleven (Private Equity) (www.oneeleven.com), Reform Ventures (www.reformventures.com)</t>
  </si>
  <si>
    <t>212357-89P</t>
  </si>
  <si>
    <t>Laura McGee</t>
  </si>
  <si>
    <t>laura@diversio.com</t>
  </si>
  <si>
    <t>+1 (332) 237-0957</t>
  </si>
  <si>
    <t>Suite 7205</t>
  </si>
  <si>
    <t>info@diversio.com</t>
  </si>
  <si>
    <t>462537-55</t>
  </si>
  <si>
    <t>Divinia</t>
  </si>
  <si>
    <t>Divinia, Inc.</t>
  </si>
  <si>
    <t>Developer of a natural language programming software designed to improve the search experience for consumers, marketers, and e-commerce sites. The company's software provides product suggestions based on online reviews to accurately extract and index authentic insights about searchable options, enabling businesses to improve their search functionality and deliver stronger conversion rates.</t>
  </si>
  <si>
    <t>analytics platform, artificial intelligence, crm, customer relationship management, ecommerce personalization, natural language processing, natural language technology, search engine system, seo marketing, seo tools, unstructured data analytics, web data, website analysis</t>
  </si>
  <si>
    <t>www.divinia.ai</t>
  </si>
  <si>
    <t>http://www.linkedin.com/company/divinia-empowers-data</t>
  </si>
  <si>
    <t>2021: 4, 2022: 6, 2023: 15, 2024: 17</t>
  </si>
  <si>
    <t>The company raised an undisclosed amount of venture funding from Yu Galaxy in approximately August 2023.</t>
  </si>
  <si>
    <t>Alumni Ventures, Focal (VC), WI Harper Group, Yu Galaxy</t>
  </si>
  <si>
    <t>Alumni Ventures (www.av.vc), Focal (VC) (www.focal.vc), WI Harper Group (www.wiharper.com), Yu Galaxy (www.yugalaxy.com)</t>
  </si>
  <si>
    <t>Alston &amp; Bird(Legal Advisor)</t>
  </si>
  <si>
    <t>163628-83P</t>
  </si>
  <si>
    <t>Kent Bates</t>
  </si>
  <si>
    <t>kent.bates@makewonder.com</t>
  </si>
  <si>
    <t>+1 (650) 458-7701</t>
  </si>
  <si>
    <t>Cupertino, CA</t>
  </si>
  <si>
    <t>20818 Fargo Drive</t>
  </si>
  <si>
    <t>Cupertino</t>
  </si>
  <si>
    <t>95014</t>
  </si>
  <si>
    <t>+1 (617) 833-3211</t>
  </si>
  <si>
    <t>info@divinia.ai</t>
  </si>
  <si>
    <t>460273-96</t>
  </si>
  <si>
    <t>Dónde</t>
  </si>
  <si>
    <t>Donde, Inc.</t>
  </si>
  <si>
    <t>peopleHum, PTO Exchange</t>
  </si>
  <si>
    <t>Developer of an employee benefits platform designed for saving and booking resources for paid travel opportunities. The company's platform allows one to find the experiences, travel packages, lodging, flights, and transportation, and also manage savings, enabling companies to retain employees, reduce burnout, improve health, and increase productivity.</t>
  </si>
  <si>
    <t>employee benefit, employee wellness, experience package, flight booking, leave management, travel management</t>
  </si>
  <si>
    <t>www.godonde.com</t>
  </si>
  <si>
    <t>http://www.linkedin.com/company/dónde</t>
  </si>
  <si>
    <t>2021: 9</t>
  </si>
  <si>
    <t>The company raised an undisclosed amount of seed funding from Kickstart Fund on March 9, 2024.</t>
  </si>
  <si>
    <t>Aaron Skonnard, Davis Smith, Jeremy Andrus, Kickstart Fund, Mckay Dunn, Michael Cameron, Michael Massaro, Nate Walkingshaw, Next Frontier Capital, Ryan Westwood, Tamarak, Tessa Arneson, W.Benson Metcalf</t>
  </si>
  <si>
    <t>Kickstart Fund (www.kickstartfund.com), Next Frontier Capital (www.nextfrontiercapital.com), Tamarak (www.tmrk.com)</t>
  </si>
  <si>
    <t>Kunzler Bean &amp; Adamson(Legal Advisor)</t>
  </si>
  <si>
    <t>253924-03P</t>
  </si>
  <si>
    <t>Rilee Buttars</t>
  </si>
  <si>
    <t>rilee.buttars@godonde.com</t>
  </si>
  <si>
    <t>+1 (213) 463-6633</t>
  </si>
  <si>
    <t>26 Rio Grand Street</t>
  </si>
  <si>
    <t>Suite 2072</t>
  </si>
  <si>
    <t>84101</t>
  </si>
  <si>
    <t>info@godonde.com</t>
  </si>
  <si>
    <t>266250-61</t>
  </si>
  <si>
    <t>Dorian</t>
  </si>
  <si>
    <t>Dorian Inc.</t>
  </si>
  <si>
    <t>Developer of game creation and streaming platform intended for users to turn their story into a game, play with friends, and monetize it. The company's no-code platform allows writers to design characters and backgrounds by choosing from a variety of visual assets or upload assets of their own while using a flowchart-style interface, enabling writers to turn fiction into interactive games, live to stream them, and make money in a game economy format.</t>
  </si>
  <si>
    <t>Entertainment Software*, Software Development Applications</t>
  </si>
  <si>
    <t>creator economy, creator platform, games streaming, gaming content, gaming developer, gaming publisher, gaming studio, interactive storytelling platform, mobile games, storytelling app, storytelling platform</t>
  </si>
  <si>
    <t>home.dorian.live</t>
  </si>
  <si>
    <t>http://www.linkedin.com/company/dorian-stories</t>
  </si>
  <si>
    <t>2019: 5, 2020: 22, 2021: 36, 2022: 49, 2023: 50</t>
  </si>
  <si>
    <t>The company raised $14 million of Series A venture funding in a deal led by The Raine Group on March 17, 2022, putting the company's pre-money valuation at $40 million. Century Game, 1 AM Gaming, and 16 other investors also participated in the round. The funds will be used by the company to expand its cloud-based creation tools and live streaming support to ensure that making, sharing, and collaborating on Dorian is accessible for creators working together remotely.</t>
  </si>
  <si>
    <t>1AM Gaming, Andover Ventures, Century Game, Gaingels, Graham &amp; Walker, Holly Liu, Jens Hilgers, Jonathan Zweig, Kevin Lin, Konvoy Ventures, London Venture Partners, March Capital, March Gaming, Michael Chow, Modern Times Group MTG, Neoteny, Night, Night Train Media, Night Ventures, The Raine Group, vgames, XRM Media</t>
  </si>
  <si>
    <t>1AM Gaming (www.1am-gaming.com), Andover Ventures (www.andovervc.com), Gaingels (www.gaingels.com), Graham &amp; Walker (www.grahamwalker.com), Jens Hilgers (www.observerward.com), Konvoy Ventures (www.konvoy.vc), London Venture Partners (www.londonvp.com), March Capital (www.marchcp.com), Modern Times Group MTG (www.mtg.com), Neoteny (www.neoteny.com), Night (www.night.co), Night Train Media (www.nighttrainmedia.com), Night Ventures (www.nightventures.com), The Raine Group (www.raine.com), vgames (www.vgames.vc), XRM Media (xrmmedia.com)</t>
  </si>
  <si>
    <t>202737-07P</t>
  </si>
  <si>
    <t>Julia Palatovska</t>
  </si>
  <si>
    <t>julia@dorian.live</t>
  </si>
  <si>
    <t>Covina, CA</t>
  </si>
  <si>
    <t>440 North Barranca Avenue</t>
  </si>
  <si>
    <t>Number 5571</t>
  </si>
  <si>
    <t>Covina</t>
  </si>
  <si>
    <t>91723</t>
  </si>
  <si>
    <t>435018-52</t>
  </si>
  <si>
    <t>Dorothy</t>
  </si>
  <si>
    <t>Dorothy, Inc.</t>
  </si>
  <si>
    <t>Developer of sustainable economic services intended for communities facing climate change. The company's services provide flood zone maps that are accurate and can be used to assess exposure and offer comparable insurance quotes for purchase, it provides recovery payments &amp; services for property owners facing severe weather events, enabling future homeowners to reduce risk and simplify the flood insurance process.</t>
  </si>
  <si>
    <t>Financial Software, Other Financial Services*, Other Insurance</t>
  </si>
  <si>
    <t>Artificial Intelligence &amp; Machine Learning, Big Data, FinTech, InsurTech</t>
  </si>
  <si>
    <t>artificial intelligence engine, climate insurance, disaster insurance, disaster service, financial technology, flood insurance, flood insurance service, machine learning tech</t>
  </si>
  <si>
    <t>www.hidorothy.com</t>
  </si>
  <si>
    <t>http://www.linkedin.com/company/dorothytech</t>
  </si>
  <si>
    <t>2020: 2, 2021: 10, 2022: 10, 2023: 9</t>
  </si>
  <si>
    <t>The company joined Leading Cities on an undisclosed date.</t>
  </si>
  <si>
    <t>BT Growth Capital, Everywhere Ventures, Fiat Ventures, Hustle Fund, Indicator Ventures, Keiki Capital, Kindergarten Ventures, Knoll Ventures, Leading Cities, Lightspeed Ventures, Plug and Play Tech Center, Possibilian Ventures, Siesta Ventures, Stellifi VC, Third Sphere</t>
  </si>
  <si>
    <t>BT Growth Capital (www.btgrowthcapital.com), Everywhere Ventures (everywhere.vc), Fiat Ventures (www.fiat.vc), Hustle Fund (www.hustlefund.vc), Indicator Ventures (www.indicatorventures.com), Keiki Capital (www.keikicapital.com), Kindergarten Ventures (www.kindergarten.ventures), Knoll Ventures (www.knollventures.com), Leading Cities (leadingcities.org), Plug and Play Tech Center (www.plugandplaytechcenter.com), Possibilian Ventures (www.possibilian.xyz), Siesta Ventures (www.siestaventur.es), Stellifi VC (www.stellifivc.com), Third Sphere (www.thirdsphere.com)</t>
  </si>
  <si>
    <t>229730-41P</t>
  </si>
  <si>
    <t>Arianna Armelli</t>
  </si>
  <si>
    <t>arianna@hidorothy.com</t>
  </si>
  <si>
    <t>contact@dorothymap.com</t>
  </si>
  <si>
    <t>529264-27</t>
  </si>
  <si>
    <t>Drip7</t>
  </si>
  <si>
    <t>Drip7 Inc.</t>
  </si>
  <si>
    <t>KnowBe4, Proofpoint</t>
  </si>
  <si>
    <t>Developer of microlearning platform intended to focus on behavior change in the cybersecurity and compliance space. The company provides an adaptable platform for different-sized organizations to improve the effectiveness of skills development in cybersecurity, compliance, and HR(human resources) training of the employees, enabling government and private organizations to improve the cybersecurity, compliance, and HR training of their employees.</t>
  </si>
  <si>
    <t>Cybersecurity, EdTech, HR Tech</t>
  </si>
  <si>
    <t>certify program, cybersecurity training, it training, learning technology, managed security services, microlearning platform, security operations, training program</t>
  </si>
  <si>
    <t>www.drip7.com</t>
  </si>
  <si>
    <t>http://www.linkedin.com/company/drip7</t>
  </si>
  <si>
    <t>2023: 9, 2024: 9</t>
  </si>
  <si>
    <t>The company joined WTIA Startup Program's Cohort 8 on September 6, 2022.</t>
  </si>
  <si>
    <t>Beta Boom, WTIA Startup Program</t>
  </si>
  <si>
    <t>Beta Boom (betaboom.com)</t>
  </si>
  <si>
    <t>352125-46P</t>
  </si>
  <si>
    <t>Heather Stratford</t>
  </si>
  <si>
    <t>hstratford@drip7.com</t>
  </si>
  <si>
    <t>+1 (509) 703-5400</t>
  </si>
  <si>
    <t>Spokane, WA</t>
  </si>
  <si>
    <t>2525 E 29th Avenue</t>
  </si>
  <si>
    <t>Suite 10B, Number 369</t>
  </si>
  <si>
    <t>Spokane</t>
  </si>
  <si>
    <t>99223</t>
  </si>
  <si>
    <t>+1 (509) 213-0055</t>
  </si>
  <si>
    <t>info@drip7.com</t>
  </si>
  <si>
    <t>434832-22</t>
  </si>
  <si>
    <t>DrizzleX</t>
  </si>
  <si>
    <t>DrizzleX, Inc.</t>
  </si>
  <si>
    <t>Sensor Industries, H2O Degree, NextCentury Submetering Systems</t>
  </si>
  <si>
    <t>Developer of an internet-of-a-thing-based water-saving platform intended to enable multifamily apartment buildings to reduce their water usage. The company's software-as-a-service platform uses artificial intelligence-based software and internet of things sensors installed in apartments to generate data-driven insights about water usage, with real-time alerts that pinpoint leaks and overuse down the specific apartment and fixture, enabling residential consumers to significantly slash bills and property expenses and positively impact the environment.</t>
  </si>
  <si>
    <t>Application Software, Electronic Equipment and Instruments*, Environmental Services (B2B)</t>
  </si>
  <si>
    <t>Artificial Intelligence &amp; Machine Learning, CleanTech, Internet of Things, SaaS</t>
  </si>
  <si>
    <t>metering system, submetering services, water bill reduction, water conservation, water consumption monitoring, water harvesting system, water management, water metering system, water usage tracking</t>
  </si>
  <si>
    <t>www.drizzlex.com</t>
  </si>
  <si>
    <t>http://www.linkedin.com/company/drizzlex</t>
  </si>
  <si>
    <t>2019: 2, 2020: 5, 2021: 12, 2022: 15, 2023: 33, 2024: 35</t>
  </si>
  <si>
    <t>The company raised $2.3 million of venture funding in the form of SAFE notes on March 15, 2024, putting the company's post-valuation at $17.3 million.</t>
  </si>
  <si>
    <t>Israel Investment Fund Group, MassChallenge, Pax Momentum, Proptech Zone Accelerator</t>
  </si>
  <si>
    <t>Israel Investment Fund Group (www.iifg.com), MassChallenge (www.masschallenge.org), Pax Momentum (www.paxmv.vc), Proptech Zone Accelerator (www.proptechzone.com)</t>
  </si>
  <si>
    <t>Latham &amp; Watkins(Legal Advisor), Shibolet &amp; Company(Legal Advisor), SVB Financial Group(General Business Banking)</t>
  </si>
  <si>
    <t>229378-33P</t>
  </si>
  <si>
    <t>Ariel Altura</t>
  </si>
  <si>
    <t>Co-Founder, Chief Technology Officer, Vice President of Research &amp; Development &amp; Board Member</t>
  </si>
  <si>
    <t>ariel@drizzlex.com</t>
  </si>
  <si>
    <t>+972 (0)54 764 3311</t>
  </si>
  <si>
    <t>Montebello, CA</t>
  </si>
  <si>
    <t>110 South Garfield Avenue</t>
  </si>
  <si>
    <t>Montebello</t>
  </si>
  <si>
    <t>90640</t>
  </si>
  <si>
    <t>+1 (323) 530-4816</t>
  </si>
  <si>
    <t>contact@drizzlex.com</t>
  </si>
  <si>
    <t>453570-22</t>
  </si>
  <si>
    <t>Dropstat</t>
  </si>
  <si>
    <t>Dropstat, Inc.</t>
  </si>
  <si>
    <t>QGenda, Smartlinx Solutions</t>
  </si>
  <si>
    <t>Developer of workforce and cost automation software designed to help hospitals optimize their staffing costs. The company's platform uses artificial intelligence to predict and autonomously fill shift gaps with the cost-efficient staff member available months before a staffing need arises, reducing staff operating costs and offering security methods to encrypt data both in the system and in transit, enabling clients to be ensured that their urgent shift staffing needs are filled quickly and safely.</t>
  </si>
  <si>
    <t>Automation/Workflow Software, Business/Productivity Software*, Other Healthcare Services</t>
  </si>
  <si>
    <t>enterprise resource planning, erp, hospital management, hospital staff management, human capital management, labor analysis, nurse staffing, staffing and recruitment, staffing solutions, workforce automation</t>
  </si>
  <si>
    <t>www.dropstat.com</t>
  </si>
  <si>
    <t>http://www.linkedin.com/company/dropstat</t>
  </si>
  <si>
    <t>2020: 4, 2023: 30</t>
  </si>
  <si>
    <t>The company joined AWS Startups as a part of its Healthcare Accelerator on an undisclosed date. No equity or funding was exchanged as a result of this program.</t>
  </si>
  <si>
    <t>Alumni Ventures, AWS Startups, BIP Ventures, KidsX Accelerator</t>
  </si>
  <si>
    <t>Alumni Ventures (www.av.vc), AWS Startups (aws-startup-lofts.com), BIP Ventures (www.bipventures.vc), KidsX Accelerator (www.kidsx.health)</t>
  </si>
  <si>
    <t>SF Tech Attorney(Legal Advisor)</t>
  </si>
  <si>
    <t>246594-70P</t>
  </si>
  <si>
    <t>Sara Well</t>
  </si>
  <si>
    <t>sara@dropstat.com</t>
  </si>
  <si>
    <t>+1 (323) 868-9060</t>
  </si>
  <si>
    <t>3415 South Sepulveda Boulevard</t>
  </si>
  <si>
    <t>Suite 10</t>
  </si>
  <si>
    <t>90034</t>
  </si>
  <si>
    <t>+1 (424) 457-0100</t>
  </si>
  <si>
    <t>info@dropstat.com</t>
  </si>
  <si>
    <t>532506-97</t>
  </si>
  <si>
    <t>Duckbill</t>
  </si>
  <si>
    <t>MyHera, Inc.</t>
  </si>
  <si>
    <t>Developer of an AI-based platform designed to manage your daily life. The company's platform offers virtual assistant services including task management, errand completion, and scheduling appointments, enabling clients to utilize time and simplify their daily lives.</t>
  </si>
  <si>
    <t>daily life management, daily task management, personal assistant, virtual assistant, virtual assistant app, virtual assistant service</t>
  </si>
  <si>
    <t>www.getduckbill.com</t>
  </si>
  <si>
    <t>http://www.linkedin.com/company/getduckbill</t>
  </si>
  <si>
    <t>2023: 13, 2024: 45</t>
  </si>
  <si>
    <t>The company raised an undisclosed amount of venture funding from Bain &amp; Company on April 16, 2024.</t>
  </si>
  <si>
    <t>Back to the Future Ventures, Bain &amp; Company, Forerunner Ventures, G9 Ventures, General Catalyst, Greycroft, Inspired Capital (New York), Red Antler</t>
  </si>
  <si>
    <t>Back to the Future Ventures (www.backtothefutureventures.com), Bain &amp; Company (www.bain.com), Forerunner Ventures (www.forerunnerventures.com), G9 Ventures (www.g9.ventures), General Catalyst (www.generalcatalyst.com), Greycroft (www.greycroft.com), Inspired Capital (New York) (www.inspiredcapital.com), Red Antler (www.redantler.com)</t>
  </si>
  <si>
    <t>357158-89P</t>
  </si>
  <si>
    <t>Meghan Verena</t>
  </si>
  <si>
    <t>+1 (617) 299-9052</t>
  </si>
  <si>
    <t>133 Clarendon Street</t>
  </si>
  <si>
    <t>Suite 170385</t>
  </si>
  <si>
    <t>02116-5132</t>
  </si>
  <si>
    <t>453512-62</t>
  </si>
  <si>
    <t>DUNIATOTO</t>
  </si>
  <si>
    <t>Job Share Connect</t>
  </si>
  <si>
    <t>Job Share Connect, LLC</t>
  </si>
  <si>
    <t>Developer of games designed to offer a variety of slot games with themes and feature variants. The company develops mobile games and
guarantees security and comfort when playing online gambling, enabling players to play securely.</t>
  </si>
  <si>
    <t>Gaming</t>
  </si>
  <si>
    <t>game design and development, game developer, game platform, game players, gamers tech, games maker</t>
  </si>
  <si>
    <t>www.jobshareconnect.com</t>
  </si>
  <si>
    <t>http://www.linkedin.com/company/jobshareconnect</t>
  </si>
  <si>
    <t>2020: 3, 2021: 3, 2022: 3, 2023: 2, 2024: 2</t>
  </si>
  <si>
    <t>The company joined gBETA as a part of NMotion Summer 2021 in 2021. Simultaneously, the company raised venture funding from and Gbeta in 2021. Previously, the company raised $500,000 of venture funding from Invest Nebraska and other undisclosed investors on July 10, 2020.</t>
  </si>
  <si>
    <t>gBETA, Invest Nebraska, NMotion</t>
  </si>
  <si>
    <t>gBETA (gbetastartups.com), Invest Nebraska (www.investnebraska.com), NMotion (www.nmotion.co)</t>
  </si>
  <si>
    <t>246278-89P</t>
  </si>
  <si>
    <t>Jina Picarella</t>
  </si>
  <si>
    <t>Co-Founder, Chief Executive Officer &amp; Chief People Officer</t>
  </si>
  <si>
    <t>jina_p@jobshareconnect.com</t>
  </si>
  <si>
    <t>+1 (402) 250-8808</t>
  </si>
  <si>
    <t>808 Conagra Drive</t>
  </si>
  <si>
    <t>+1 (402) 403-9504</t>
  </si>
  <si>
    <t>537944-50</t>
  </si>
  <si>
    <t>Dunya Analytics</t>
  </si>
  <si>
    <t>Dunya Analytics, PBC</t>
  </si>
  <si>
    <t>Developer of a SaaS-based platform designed to offer companies science-based risk analytics for biodiversity and nature. The company's platform provides insights into biodiversity loss, deforestation, marine ecosystems, pollution, and resource use, and offers nature risk analysis and reporting tools scalable as financial reporting, climate risk for nature-related financial risks, and opportunities, enabling businesses to meet ESG disclosure requirements, and empowering them with insights in actionable financial terms to drive sustainability strategy.</t>
  </si>
  <si>
    <t>Business/Productivity Software, Environmental Services (B2B), Media and Information Services (B2B)*</t>
  </si>
  <si>
    <t>climate analytics, climate technology, esg reporting, reporting tool, risk analysis tool, risk analytics</t>
  </si>
  <si>
    <t>Climate Risk Modeling-as-a-Service</t>
  </si>
  <si>
    <t>www.dunya-analytics.com</t>
  </si>
  <si>
    <t>http://www.linkedin.com/company/dunya-analytics</t>
  </si>
  <si>
    <t>2023: 2, 2024: 8</t>
  </si>
  <si>
    <t>The company raised $1.2 million of seed funding from Persei Venture, Synovia Capital and KDX Ventures on September 4, 2024. Loyal VC and other undisclosed investors also participated in the round. Previously, the company joined Biodiversity Accelerator+ as a part of Cohort 3 on July 25, 2024. Before that, the company joined MassChallenge Switzerland as a part of 2024. Cohort on May 24, 2024. Earlier, the company received $20,000 of grant funding from Startup302 on May 16, 2024.</t>
  </si>
  <si>
    <t>Biodiversity Accelerator+, KDX Ventures, Loyal VC, MassChallenge, Persei Venture, Startup302, Synovia Capital, University of Delaware</t>
  </si>
  <si>
    <t>Biodiversity Accelerator+ (www.biodiversity-accelerator.com), KDX Ventures (www.kdx.vc), Loyal VC (www.loyal.vc), MassChallenge (www.masschallenge.org), Persei Venture (www.persei.com), Startup302 (www.startup302.org)</t>
  </si>
  <si>
    <t>100440-28P</t>
  </si>
  <si>
    <t>Megan Pillsbury</t>
  </si>
  <si>
    <t>+1 (302) 316-3855</t>
  </si>
  <si>
    <t>112 French Street</t>
  </si>
  <si>
    <t>19801</t>
  </si>
  <si>
    <t>contact@dunya-analytics.com</t>
  </si>
  <si>
    <t>470920-42</t>
  </si>
  <si>
    <t>eCourt Reporters</t>
  </si>
  <si>
    <t>eCourt Reporters, Inc.</t>
  </si>
  <si>
    <t>Steno, DepoDirect</t>
  </si>
  <si>
    <t>Developer of an online legal platform intended to solve scheduling inefficiencies in the legal industry. The company's platform enables directly scheduling court reporters and legal support services for legal proceedings outside the courthouse with live search capabilities across the U.S., enabling law firms, government entities and court reporting agencies to schedule vetted court reporters and legal videographers for legal proceedings instead of wasting hours.</t>
  </si>
  <si>
    <t>Business/Productivity Software, Legal Services (B2B)*</t>
  </si>
  <si>
    <t>Legal Tech, SaaS</t>
  </si>
  <si>
    <t>attorney service, court reporting services, deposition services, law firm service, legal assistant, legal services, paralegal resources</t>
  </si>
  <si>
    <t>www.ecourtreporters.com</t>
  </si>
  <si>
    <t>http://www.linkedin.com/company/ecourt-reporters</t>
  </si>
  <si>
    <t>2021: 3, 2022: 3, 2023: 5, 2024: 6</t>
  </si>
  <si>
    <t>The company joined The Milky Way Tech Hub as a part of Spring 2024 #InnovationSzn Cohort on May 6, 2024 and received an undisclosed amount of funding in the form of grant.</t>
  </si>
  <si>
    <t>gBETA, ISA Ventures, The Milky Way Tech Hub, Young Enterprising Society</t>
  </si>
  <si>
    <t>gBETA (gbetastartups.com), ISA Ventures (www.isaventures.com), The Milky Way Tech Hub (www.milkywaytechhub.com), Young Enterprising Society (youngesociety.com)</t>
  </si>
  <si>
    <t>Community State Bank(General Business Banking), Michael Best &amp; Friedrich(Legal Advisor)</t>
  </si>
  <si>
    <t>270721-63P</t>
  </si>
  <si>
    <t>Karen Renee</t>
  </si>
  <si>
    <t>Founder, Chief Executive Officer &amp; President</t>
  </si>
  <si>
    <t>krenee@ecourtreporters.com</t>
  </si>
  <si>
    <t>+1 (262) 210-3915</t>
  </si>
  <si>
    <t>Burlington, WI</t>
  </si>
  <si>
    <t>PO Box 250</t>
  </si>
  <si>
    <t>Burlington</t>
  </si>
  <si>
    <t>53105</t>
  </si>
  <si>
    <t>info@ecourtreporters.com</t>
  </si>
  <si>
    <t>431616-34</t>
  </si>
  <si>
    <t>EdCuration</t>
  </si>
  <si>
    <t>EdCuration Inc.</t>
  </si>
  <si>
    <t>Developer of an education platform designed to match effective innovative curriculum resources to the schools and districts. The company's platform is an online, two-sided marketplace designed in a more collaborative way, enabling schools to make real advancements in learning quickly, to increase student success.</t>
  </si>
  <si>
    <t>collaborative process, education and learning, education industry, education platform, education software company, purchasing curriculum</t>
  </si>
  <si>
    <t>www.edcuration.com</t>
  </si>
  <si>
    <t>http://www.linkedin.com/company/edcuration</t>
  </si>
  <si>
    <t>2020: 6, 2022: 10, 2023: 9, 2024: 9</t>
  </si>
  <si>
    <t>The company was in talks to receive $500,000 of angel funding from undisclosed investors on October 9, 2020. Subsequently, the deal was cancelled. Previously, the company raised $500,000 of seed funding from Rockies Venture Club and DCA Asset Management on September 21, 2020, putting the company's pre-money valuation at $2.5 million.</t>
  </si>
  <si>
    <t>DCA Asset Management, Rockies Venture Club</t>
  </si>
  <si>
    <t>DCA Asset Management (www.dcaassetmanagementinc.com), Rockies Venture Club (www.rockiesventureclub.org)</t>
  </si>
  <si>
    <t>222409-99P</t>
  </si>
  <si>
    <t>Timeri Tolnay</t>
  </si>
  <si>
    <t>timeri@edcuration.com</t>
  </si>
  <si>
    <t>+1 (303) 916-2392</t>
  </si>
  <si>
    <t>Golden, CO</t>
  </si>
  <si>
    <t>2520 Fossil Trace Court</t>
  </si>
  <si>
    <t>Golden</t>
  </si>
  <si>
    <t>80401</t>
  </si>
  <si>
    <t>641891-26</t>
  </si>
  <si>
    <t>Edera</t>
  </si>
  <si>
    <t>Edera, Inc.</t>
  </si>
  <si>
    <t>Developer of an AI security system designed to secure the organization's AI workloads. The company's system treats a container like a virtual machine guest with no shared kernel state between containers and a memory-safe rust control plane, enabling clients to reduce container escapes, security tool layering cost, and doom scrolling logs.</t>
  </si>
  <si>
    <t>Automation/Workflow Software, Business/Productivity Software, Network Management Software*</t>
  </si>
  <si>
    <t>Artificial Intelligence &amp; Machine Learning, Cybersecurity</t>
  </si>
  <si>
    <t>ai security, ai security application, ai security platform, ai security technology, security system device, security system software</t>
  </si>
  <si>
    <t>www.edera.dev</t>
  </si>
  <si>
    <t>http://www.linkedin.com/company/edera-dev</t>
  </si>
  <si>
    <t>The company raised $4.96 million of seed funding in a deal led by 645 Ventures and Eniac Ventures on August 20, 2024, putting the company's pre-money valuation at $10 million. FPV Ventures, Rosecliff Venture Partners, Fairchild Fund II, Calm Ventures, Precursor Ventures, Joe Beda, Mandy Andress, Filippo Valsorda (Angel), Jeff Behl, Nikitha Suryadevara and Generationship also participated in the round.</t>
  </si>
  <si>
    <t>645 Ventures, Calm Ventures, Eniac Ventures, Fairchild Fund II, Filippo Valsorda, FPV Ventures, Generationship, Jeff Behl, Joe Beda, Mandy Andress, Nikitha Suryadevara, Precursor Ventures, Rosecliff Venture Partners</t>
  </si>
  <si>
    <t>645 Ventures (www.645ventures.com), Calm Ventures (www.calmvc.com), Eniac Ventures (www.eniac.vc), FPV Ventures (www.fpvventures.com), Precursor Ventures (precursorvc.com), Rosecliff Venture Partners (www.rosecliff.com)</t>
  </si>
  <si>
    <t>239880-25P</t>
  </si>
  <si>
    <t>Emily Long</t>
  </si>
  <si>
    <t>+1 (206) 627-0745</t>
  </si>
  <si>
    <t>668 South Lane Street</t>
  </si>
  <si>
    <t>Apartment 303</t>
  </si>
  <si>
    <t>98104</t>
  </si>
  <si>
    <t>contact@edera.dev</t>
  </si>
  <si>
    <t>471034-90</t>
  </si>
  <si>
    <t>EdLight</t>
  </si>
  <si>
    <t>EdLight, PBC</t>
  </si>
  <si>
    <t>Seesaw Learning, Formative (Educational Software)</t>
  </si>
  <si>
    <t>Developer of a tutoring platform designed for teachers to digitize and collaborate on handwritten student work. The company's platform digitizes the original work that students do on paper both in class and at home and allows educators to give feedback by drawing directly on images of student work and adding audio recordings, stickers and text boxes, enabling teachers to check and give feedback on their student's work quickly.</t>
  </si>
  <si>
    <t>homework correction, homework scoring, homework support application, teaching technology, tutoring classes, tutoring platform</t>
  </si>
  <si>
    <t>www.edlight.com</t>
  </si>
  <si>
    <t>http://www.linkedin.com/company/edlight</t>
  </si>
  <si>
    <t>2020: 7, 2021: 5, 2022: 4, 2023: 6</t>
  </si>
  <si>
    <t>The company raised $4 million of Seed-1 funding in a deal led by Backstage Capital on March 28, 2024, putting the company's pre-money valuation at $11 million. Coherence Fund also participated in this round.</t>
  </si>
  <si>
    <t>Backstage Capital, Coherence Fund, Equal Opportunity Ventures, Google for Startups</t>
  </si>
  <si>
    <t>Backstage Capital (www.backstagecapital.com), Coherence Fund (www.coherencefund.com), Equal Opportunity Ventures (www.eoventures.com), Google for Startups (startup.google.com)</t>
  </si>
  <si>
    <t>Accountalent Management(Accounting), SVB Financial Group(General Business Banking)</t>
  </si>
  <si>
    <t>Goodwin Procter(Legal Advisor), Gunderson Dettmer(Legal Advisor)</t>
  </si>
  <si>
    <t>300481-66P</t>
  </si>
  <si>
    <t>Teryn Thomas</t>
  </si>
  <si>
    <t>teryn@edlight.com</t>
  </si>
  <si>
    <t>+1 (617) 982-3242</t>
  </si>
  <si>
    <t>155 Federal Street</t>
  </si>
  <si>
    <t>info@edlight.com</t>
  </si>
  <si>
    <t>433405-45</t>
  </si>
  <si>
    <t>Edlyft</t>
  </si>
  <si>
    <t>Curricula, Inc.</t>
  </si>
  <si>
    <t>Developer of an education software intended to teach computer courses online. The company's software offers mentors who can teach various concepts and homework assignments and give access to complementary internship preparation series and other study tools, enabling students to get proper tutoring and thereby excel in the subject.</t>
  </si>
  <si>
    <t>Educational and Training Services (B2C), Educational Software*, Information Services (B2C)</t>
  </si>
  <si>
    <t>computer science, consumer product &amp; services, consumer services, educational software, higher education, online education</t>
  </si>
  <si>
    <t>www.edlyft.com</t>
  </si>
  <si>
    <t>http://www.linkedin.com/company/edlyft</t>
  </si>
  <si>
    <t>2020: 17, 2021: 20, 2022: 26</t>
  </si>
  <si>
    <t>The company joined Google for Startups Accelerator as part of its Fourth cohort on July 13, 2023 and received $150,000 in grant funding. The funds will be used to accelerate growth, incorporate AI into software and to continue to support emerging talent leaders and companies excited to scale their early talent training efforts in an equitable way.</t>
  </si>
  <si>
    <t>Backstage Capital, Emilie Choi, Google for Startups, Holly Liu, January Ventures, Jeffrey Weiner, Kapor Capital, Kleiner Perkins, Next Play Ventures, Nick Caldwell, Realist Ventures, Ryan Roslansky, Twenty Seven Ventures, VEST Her Ventures, Village Global, Westbound Equity Partners, Y Combinator</t>
  </si>
  <si>
    <t>Backstage Capital (www.backstagecapital.com), Google for Startups (startup.google.com), January Ventures (january.ventures), Kapor Capital (www.kaporcapital.com), Kleiner Perkins (www.kleinerperkins.com), Next Play Ventures (www.nextplayventures.com), Nick Caldwell (nickcaldwell.com), Realist Ventures (realistlab.org), Twenty Seven Ventures (27v.vc), VEST Her Ventures (www.vesther.co), Village Global (www.villageglobal.vc), Westbound Equity Partners (www.westboundequity.com), Y Combinator (www.ycombinator.com)</t>
  </si>
  <si>
    <t>225741-52P</t>
  </si>
  <si>
    <t>Erika Hairston</t>
  </si>
  <si>
    <t>erika@edlyft.com</t>
  </si>
  <si>
    <t>+1 (267) 314-7212</t>
  </si>
  <si>
    <t>1430 Valencia Street</t>
  </si>
  <si>
    <t>info@edlyft.com</t>
  </si>
  <si>
    <t>322216-21</t>
  </si>
  <si>
    <t>EdSights</t>
  </si>
  <si>
    <t>Classpulse</t>
  </si>
  <si>
    <t>EdSights, Inc.</t>
  </si>
  <si>
    <t>Developer an artificial intelligence-powered texting platform designed to measure and improve the student experience. The company's platform offers a text messaging chatbot and predictive analytics to identify students who are likely to drop out of college and connect to on-campus resources, enabling universities to engage and retain students.</t>
  </si>
  <si>
    <t>behavioral science, consumer data analytics, education service, enrollment process, enrollment service, predictive analytics platform, predictive analytics solution, retention service, vertical application</t>
  </si>
  <si>
    <t>www.edsights.io</t>
  </si>
  <si>
    <t>http://www.linkedin.com/company/edsights</t>
  </si>
  <si>
    <t>2020: 8, 2021: 12, 2022: 26, 2023: 34, 2024: 45</t>
  </si>
  <si>
    <t>J20 Ventures and Rondo Ventures sold their stake in the company to an undisclosed buyer in September 2022.</t>
  </si>
  <si>
    <t>Album VC, Allbirds, Andrew Dunn, Brandon Krull, Daniel Rosensweig, Deborah Quazzo, Divergent Capital (New York), ECMC Foundation, Everywhere Ventures, Good Friends, K50 Ventures, Kairos Ventures, Katie Shea, Lakehouse Ventures, PHX Ventures, Techstars, Warby Parker, Wesley Barrow</t>
  </si>
  <si>
    <t>J20 Ventures, Rondo Ventures</t>
  </si>
  <si>
    <t>Album VC (www.album.vc), Allbirds (www.allbirds.com), Brandon Krull (brandonkrull.com), Divergent Capital (New York) (www.divergenthq.com), ECMC Foundation (www.ecmcfoundation.org), Everywhere Ventures (everywhere.vc), Good Friends (www.goodfriends.com), K50 Ventures (www.k50ventures.com), Kairos Ventures (www.kairosventures.com), Lakehouse Ventures (lakehouse.vc), PHX Ventures (www.phxventures.com), Techstars (www.techstars.com), Warby Parker (www.warbyparker.com)</t>
  </si>
  <si>
    <t>J20 Ventures (www.j20ventures.co), Rondo Ventures (www.rondoventures.com)</t>
  </si>
  <si>
    <t>214421-23P</t>
  </si>
  <si>
    <t>Claudia Recchi</t>
  </si>
  <si>
    <t>claudia@edsights.io</t>
  </si>
  <si>
    <t>+1 (917) 591-6416</t>
  </si>
  <si>
    <t>461 Washington Avenue Apartment 2, Brooklyn</t>
  </si>
  <si>
    <t>hello@edsights.io</t>
  </si>
  <si>
    <t>255138-49</t>
  </si>
  <si>
    <t>El Camino Travel</t>
  </si>
  <si>
    <t>El Camino Travel, Inc.</t>
  </si>
  <si>
    <t>Developer of a travel platform designed to provide travelers with tourism and travel arrangement facilities. The company's platform turns solo travelers into group travel advocates, transforms family and friend getaways into immersive experiences and brings similarly-minded travel souls together in real life and online, enabling travelers to experience new cultures in ways that would otherwise be difficult to access on their own.</t>
  </si>
  <si>
    <t>Application Software, Information Services (B2C), Other Restaurants, Hotels and Leisure*</t>
  </si>
  <si>
    <t>subscription modeling service, travel advisory platform, travel arrangements, travel booking service, travel platform operator, women travel</t>
  </si>
  <si>
    <t>www.elcamino.travel</t>
  </si>
  <si>
    <t>http://www.linkedin.com/company/elcaminotravel</t>
  </si>
  <si>
    <t>2022: 7, 2023: 7, 2024: 8</t>
  </si>
  <si>
    <t>The company graduated from Veloric Center for Entrepreneurship as a part of its Incubator Program on October 16, 2023. No equity or funding was exchanged as a result of this program. Previously, the company raised $1.1 million of pre-seed funding in a deal led by Slauson &amp; Co. on February 23, 2023. Trip Ventures, Joe Zadeh, Kinjil Mathur, and Rafat Ali also participated in the round. The funds will be used to further develop technology and build awareness of the brand as a premium marketplace for women travelers that connects them directly to exceptional experiences.</t>
  </si>
  <si>
    <t>Grid110, Joseph Zadeh, Kinjil Mathur, Rafat Ali, Slauson &amp; Co., Trip Ventures, Veloric Center for Entrepreneurship</t>
  </si>
  <si>
    <t>Grid110 (www.grid110.org), Slauson &amp; Co. (www.slauson.co), Trip Ventures (www.tripventures.com), Veloric Center for Entrepreneurship (kogod.american.edu/students/entrepreneurship)</t>
  </si>
  <si>
    <t>322609-60P</t>
  </si>
  <si>
    <t>Katalina Mayorga</t>
  </si>
  <si>
    <t>katalina@elcamino.travel</t>
  </si>
  <si>
    <t>+1 (714) 542-6019</t>
  </si>
  <si>
    <t>550 23rd Place North East</t>
  </si>
  <si>
    <t>20002</t>
  </si>
  <si>
    <t>info@elcamino.travel</t>
  </si>
  <si>
    <t>539592-76</t>
  </si>
  <si>
    <t>Elatra</t>
  </si>
  <si>
    <t>Elatra Inc.</t>
  </si>
  <si>
    <t>BetterUp</t>
  </si>
  <si>
    <t>Developer of a digital coaching platform designed to amplify user performance, engagement, and loyalty. The company engages in coaching experience for all stakeholders through bespoke coaching and off-the-shelf coaching and offers development programs such as leadership development, employee development, performance management, and human capital analytics, enabling businesses to achieve long-term success and improve the performance of their employees.</t>
  </si>
  <si>
    <t>Business/Productivity Software, Education and Training Services (B2B)*, Educational Software</t>
  </si>
  <si>
    <t>coaching platform, employee training, leadership development, performance management, professional training, talent development</t>
  </si>
  <si>
    <t>www.elatra.io</t>
  </si>
  <si>
    <t>http://www.linkedin.com/company/elatra</t>
  </si>
  <si>
    <t>2023: 12, 2024: 35</t>
  </si>
  <si>
    <t>The company raised $200,000 of pre-seed funding from Verras Capital and other undisclosed investors on December 1, 2023, putting the company's pre-money valuation at $4.8 million.</t>
  </si>
  <si>
    <t>Verras Capital</t>
  </si>
  <si>
    <t>Verras Capital (www.verras.io)</t>
  </si>
  <si>
    <t>373182-31P</t>
  </si>
  <si>
    <t>Natasha Drogolchuk</t>
  </si>
  <si>
    <t>natasha.drogolchuk@elatra.io</t>
  </si>
  <si>
    <t>+1 (213) 343-3030</t>
  </si>
  <si>
    <t>San Clemente, CA</t>
  </si>
  <si>
    <t>1407 Calle Mirador</t>
  </si>
  <si>
    <t>Unit F</t>
  </si>
  <si>
    <t>San Clemente</t>
  </si>
  <si>
    <t>92672</t>
  </si>
  <si>
    <t>hello@elatra.io</t>
  </si>
  <si>
    <t>484099-39</t>
  </si>
  <si>
    <t>ElectroTempo</t>
  </si>
  <si>
    <t>ElectroTempo Inc.</t>
  </si>
  <si>
    <t>Developer of an e-mobility ecosystem designed to deliver scalable software technology. The company's software provides subscriptions to dashboards, algorithms, and data bundles to assess the costs, benefits, and risks associated with electric vehicle adoption and infrastructure needs, enabling clients to de-risk their major electric vehicle investments.</t>
  </si>
  <si>
    <t>Business/Productivity Software, Media and Information Services (B2B)*, Other Energy Services, Other Financial Services</t>
  </si>
  <si>
    <t>electric vehicle, e-mobility company, e-mobility software, enterprise asset management, enterprise resource planning, mobility ecosystem, software solutions, vehicle electrification planning</t>
  </si>
  <si>
    <t>www.electrotempo.com</t>
  </si>
  <si>
    <t>http://www.linkedin.com/company/electrotempo</t>
  </si>
  <si>
    <t>Buoyant Ventures, Dominion Energy Innovation Center, Plug and Play Tech Center, Ripple Impact Investments, Schematic Ventures, SpringTime Ventures, Supply Chain Ventures, U.S. Department of Energy, Virginia Venture Partners, ZEBOX</t>
  </si>
  <si>
    <t>Buoyant Ventures (www.buoyant.vc), Dominion Energy Innovation Center (www.dominnovation.com), Plug and Play Tech Center (www.plugandplaytechcenter.com), Ripple Impact Investments (www.rippleimpactinvestments.com), Schematic Ventures (www.schematicventures.com), SpringTime Ventures (www.springtimeventures.com), Supply Chain Ventures (www.supplychainventure.com), U.S. Department of Energy (www.energy.gov), ZEBOX (ze-box.io)</t>
  </si>
  <si>
    <t>283757-05P</t>
  </si>
  <si>
    <t>Yanzhi Xu</t>
  </si>
  <si>
    <t>ann.xu@electrotempo.com</t>
  </si>
  <si>
    <t>+1 (404) 723-0543</t>
  </si>
  <si>
    <t>4201 Wilson Boulevard</t>
  </si>
  <si>
    <t>info@electrotempo.com</t>
  </si>
  <si>
    <t>510694-57</t>
  </si>
  <si>
    <t>Eliza Dolls</t>
  </si>
  <si>
    <t>Eliza</t>
  </si>
  <si>
    <t>The company is planning to raise an undisclosed amount in product crowdfunding via Kickstarter as of May 18, 2024.</t>
  </si>
  <si>
    <t>Recreational Goods</t>
  </si>
  <si>
    <t>Application Software, Recreational Goods*</t>
  </si>
  <si>
    <t>autonomous machine, child development, child development toys, child education, children technology, early childhood education, intelligent robotics, stem engineering, technology product</t>
  </si>
  <si>
    <t>www.elizadolls.com</t>
  </si>
  <si>
    <t>http://www.linkedin.com/company/e-liza-dolls</t>
  </si>
  <si>
    <t>2022: 4, 2023: 5, 2024: 4</t>
  </si>
  <si>
    <t>The company is planning to raise an undisclosed amount in product crowdfunding via Kickstarter as of May 18, 2024. Previously, the company raised angel funding from 9 individual investors on an undisclosed date. The company is actively tracked by PitchBook.</t>
  </si>
  <si>
    <t>AIX Ventures, Elvis Zhang, Lucy Hoag, Nirav Patel</t>
  </si>
  <si>
    <t>Anthony Goldbloom, Cory Levy, Kavi Kaur, Pamela Vagata, Pieter Abbeel, Richard Socher</t>
  </si>
  <si>
    <t>AIX Ventures (www.aixventures.com)</t>
  </si>
  <si>
    <t>320379-67P</t>
  </si>
  <si>
    <t>Eliza Kosoy</t>
  </si>
  <si>
    <t>Expected 31-Dec-2024</t>
  </si>
  <si>
    <t>300282-94</t>
  </si>
  <si>
    <t>Elotl</t>
  </si>
  <si>
    <t>Elotl, Inc.</t>
  </si>
  <si>
    <t>Operator of serverless infrastructure platform designed to serve microservice applications. The company offers a nodeless Kubernetes engine to run applications in a cost-effective, secure, and simple manner on the public cloud, enabling clients to save costs, improve multi-tenant security, and simplify operations.</t>
  </si>
  <si>
    <t>IT Services</t>
  </si>
  <si>
    <t>IT Consulting and Outsourcing</t>
  </si>
  <si>
    <t>Business/Productivity Software, IT Consulting and Outsourcing*</t>
  </si>
  <si>
    <t>application infrastructure, cloud developer, cloud hosting, cloud network, cloud provider, cloud saas, cloud-based application, infrastructure platform, public cloud hosting, server management</t>
  </si>
  <si>
    <t>www.elotl.co</t>
  </si>
  <si>
    <t>http://www.linkedin.com/company/elotl</t>
  </si>
  <si>
    <t>The company raised an estimated $7.5 million of seed funding in a deal led by Vertex Ventures US on June 11, 2021, putting the company's pre-money valuation at $15 million. Essence Venture Capital alongside 7 other investors also participated in the round. The funds will be used to hire across departments, continue building the platform, and expand to multiple cloud providers. Previously, the company joined HearstLab on an undisclosed date.</t>
  </si>
  <si>
    <t>Boris Livshutz, Daniel Scheinman, Edith Harbaugh, Essence Venture Capital, HearstLab, Telescopic Ventures, Timothy Chen, Vertex Ventures US, XYZ Venture Capital</t>
  </si>
  <si>
    <t>Essence Venture Capital (www.essencevc.fund), HearstLab (www.hearstlab.com), Telescopic Ventures (www.telescopicventures.com), Vertex Ventures US (www.vvus.com), XYZ Venture Capital (www.xyz.vc)</t>
  </si>
  <si>
    <t>211256-11P</t>
  </si>
  <si>
    <t>Madhuri Yechuri</t>
  </si>
  <si>
    <t>madhuri@elotl.co</t>
  </si>
  <si>
    <t>1050 North Point Street 406</t>
  </si>
  <si>
    <t>info@elotl.co</t>
  </si>
  <si>
    <t>167043-61</t>
  </si>
  <si>
    <t>Embodied Labs</t>
  </si>
  <si>
    <t>Embodied Labs, Inc.</t>
  </si>
  <si>
    <t>Elevate Health (Education and Training Services (B2B)), UbiSim, InTouch Health, Sharecare, HealthJoy, Maven, MDLive, Zipnosis, Pager, Medwhat, CirrusMD, Kynectiv, Epic (Other Software), HealthSense, Doctor Anywhere, 98point6, Doxy.me, Vivify Health, MyHealthDirect, SnapMD, i-Human Patients, Xealth, Gyant, MYidealDOCTOR</t>
  </si>
  <si>
    <t>Developer of a training platform intended for professional staff development and caregiver education and support. The company's system helps professionals use virtual reality to create and implement an empathy-based patient-centered health curriculum, enabling healthcare providers to provide enhanced services for healthcare training.</t>
  </si>
  <si>
    <t>Education and Training Services (B2B), Other Hardware, Other Healthcare Services, Other Healthcare Technology Systems*</t>
  </si>
  <si>
    <t>Digital Health, EdTech, Virtual Reality</t>
  </si>
  <si>
    <t>caregiver training, dementia education, human computer interaction, medical illustrations, nursing program, proactive care, senior services, training platform, virtual reality training, workforce training</t>
  </si>
  <si>
    <t>www.embodiedlabs.com</t>
  </si>
  <si>
    <t>http://www.linkedin.com/company/embodiedlabs</t>
  </si>
  <si>
    <t>2019: 8, 2020: 12, 2021: 13, 2022: 17, 2023: 18, 2024: 27</t>
  </si>
  <si>
    <t>The company joined AARP Innovation Labs and AgeTech Collaborative on an undisclosed date. No equity or funding was exchanged as a result of this program.</t>
  </si>
  <si>
    <t>100 Plus Capital, AARP Innovation Labs, AgeTech Collaborative, Bill &amp; Melinda Gates Foundation, Creative Startups, JFFVentures, Ken Dychtwald, Maddy Dychtwald, Pac-Link Management, SustainVC, Techstars, The Venture Reality Fund, Village Capital, WXR Venture Fund, Ziegler</t>
  </si>
  <si>
    <t>100 Plus Capital (www.100pluscap.com), AARP Innovation Labs (www.aarpinnovationlabs.org), AgeTech Collaborative (www.agetechcollaborative.org), Bill &amp; Melinda Gates Foundation (www.gatesfoundation.org), Creative Startups (www.creativestartups.org), JFFVentures (www.jff.org/what-we-do), Maddy Dychtwald (maddydychtwald.com), Pac-Link Management (www.paclinkventure.com/default.htm), SustainVC (www.sustainvc.com), Techstars (www.techstars.com), The Venture Reality Fund (www.thevrfund.com), Village Capital (www.vilcap.com), WXR Venture Fund (www.wxrfund.com), Ziegler (www.ziegler.com)</t>
  </si>
  <si>
    <t>147431-98P</t>
  </si>
  <si>
    <t>Carrie Shaw</t>
  </si>
  <si>
    <t>carrie@embodiedlabs.com</t>
  </si>
  <si>
    <t>+1 (323) 421-7600</t>
  </si>
  <si>
    <t>440 North Barranco Avenue</t>
  </si>
  <si>
    <t>Suite 8075</t>
  </si>
  <si>
    <t>info@embodiedlabs.com</t>
  </si>
  <si>
    <t>507071-44</t>
  </si>
  <si>
    <t>Empower Delivery</t>
  </si>
  <si>
    <t>CTOS Software, Inc.</t>
  </si>
  <si>
    <t>Developer of a delivery management software designed to enable delivery-centric restaurants with end-to-end handling of production. The company's technology offers consumer ordering &amp; revenue channel management, loyalty &amp; marketing, order fulfillment, culinary operations, delivery management, native first-party ordering, smart fire times, kitchen display system, and expo station management, enabling clients to operate efficiently, monitor and control the entire delivery process.</t>
  </si>
  <si>
    <t>FoodTech, Restaurant Technology, SaaS</t>
  </si>
  <si>
    <t>delivery management, delivery optimization, delivery process management, ghost kitchen, hospitality automation, kitchen management, restaurant &amp; retail tech, restaurant and retail technology, restaurant delivery, restaurant ordering solution</t>
  </si>
  <si>
    <t>Ghost Kitchens</t>
  </si>
  <si>
    <t>www.empower.delivery</t>
  </si>
  <si>
    <t>http://www.linkedin.com/company/empower-delivery</t>
  </si>
  <si>
    <t>The company raised $2.93 million of venture funding in the form of convertible debt from undisclosed investors on November 13, 2023.</t>
  </si>
  <si>
    <t>Allos Ventures, High Alpha</t>
  </si>
  <si>
    <t>Allos Ventures (www.allosventures.com), High Alpha (www.highalpha.com)</t>
  </si>
  <si>
    <t>186078-97P</t>
  </si>
  <si>
    <t>Meredith Sandland</t>
  </si>
  <si>
    <t>meredith@empower.delivery</t>
  </si>
  <si>
    <t>+1 (949) 863-2804</t>
  </si>
  <si>
    <t>601 South Meridian Street</t>
  </si>
  <si>
    <t>Suite 1B</t>
  </si>
  <si>
    <t>46255</t>
  </si>
  <si>
    <t>+1 (317) 523-4052</t>
  </si>
  <si>
    <t>contact@empower.delivery</t>
  </si>
  <si>
    <t>Bridge Loan - $2.93M</t>
  </si>
  <si>
    <t>327126-70</t>
  </si>
  <si>
    <t>EnvisionWell</t>
  </si>
  <si>
    <t>She's It</t>
  </si>
  <si>
    <t>Envision2bWell Inc</t>
  </si>
  <si>
    <t>Personify Health, Sharecare, Thrive Global, Noom</t>
  </si>
  <si>
    <t>Developer of a lifestyle technology application designed to engage, learn, and be motivated for a healthier lifestyle. The company's digital fitness platform provides wellness information, knowledge, and support to empower healthier outcomes, helping users track their fitness, nutrition, and health.</t>
  </si>
  <si>
    <t>digital health, digital wellness, fitness and wellness, health and wellness platform, life coaches, lifestyle technology, wellness platform, wellness solutions</t>
  </si>
  <si>
    <t>envisionwell.co</t>
  </si>
  <si>
    <t>2021: 33, 2022: 31</t>
  </si>
  <si>
    <t>The company raised an undisclosed amount of seed funding from Ben Franklin Technology Partners of Southeastern Pennsylvania on January 1, 2023.</t>
  </si>
  <si>
    <t>Ben Franklin Technology Partners of Southeastern Pennsylvania</t>
  </si>
  <si>
    <t>Ben Franklin Technology Partners of Southeastern Pennsylvania (www.sep.benfranklin.org)</t>
  </si>
  <si>
    <t>Fox Rothschild(Legal Advisor), Meridian Bank(General Business Banking), Wells Fargo(General Business Banking)</t>
  </si>
  <si>
    <t>360537-04P</t>
  </si>
  <si>
    <t>Sylvain Aubé</t>
  </si>
  <si>
    <t>+1 (844) 473-4748</t>
  </si>
  <si>
    <t>West Chester, PA</t>
  </si>
  <si>
    <t>929 South High Street</t>
  </si>
  <si>
    <t>West Chester</t>
  </si>
  <si>
    <t>19382</t>
  </si>
  <si>
    <t>info@envision2bwell.io</t>
  </si>
  <si>
    <t>462630-25</t>
  </si>
  <si>
    <t>Epsilon3</t>
  </si>
  <si>
    <t>Epsilon3, Inc.</t>
  </si>
  <si>
    <t>Prewitt Ridge, First Resonance, Ciiva, Plex Systems, Orchestra Software (Portland), Infor Global Solutions, Ansys Government Initiatives, IQMS, Rover Data Systems, Kashoo Cloud Accounting, Arena Solutions, Acumatica, Certinia, Rootstock Software, Epicor Software, Kenandy, Software One</t>
  </si>
  <si>
    <t>Developer of spacecraft software technology designed to modernize space missions by building the industry standard of operational software. The company's platform offers interactive real-time synchronized procedures for multiple programs/missions with detailed analytics, reports, and dashboards, enabling satellite operators, space manufacturers, and integrators to save time and money throughout the entire project's lifecycle.</t>
  </si>
  <si>
    <t>Space Technology</t>
  </si>
  <si>
    <t>enterprise resource planning, erp, operational software, operations management, operations management software, operations tools, small satellite, space station</t>
  </si>
  <si>
    <t>Small Satellites</t>
  </si>
  <si>
    <t>www.epsilon3.io</t>
  </si>
  <si>
    <t>http://www.linkedin.com/company/epsilon3inc</t>
  </si>
  <si>
    <t>2021: 11, 2022: 19, 2023: 43, 2024: 32</t>
  </si>
  <si>
    <t>The company raised $15 million of Series A1 venture funding in a deal led by Lux Capital on July 12, 2022, putting the company's pre-money valuation at $60 million. MaC Venture Capital, Soma Capital, Moore Strategic Ventures, Farpoint and Y Combinator also participated in the round. The funds will be used to expand the company's suite of space project management solutions. Previously, the company joined AWS Startups as part of its 2022 Space Accelerator on May 24, 2022.</t>
  </si>
  <si>
    <t>AWS Startups, Broom Ventures, Edward Lando, Farpoint, Jeffrey Crusey, Kohala Ventures, Lux Capital, MaC Venture Capital, Moore Strategic Ventures, Pareto Holdings, Pioneer Fund, Soma Capital, Stage Venture Partners, Village Global, Y Combinator</t>
  </si>
  <si>
    <t>AWS Startups (aws-startup-lofts.com), Broom Ventures (www.broom.ventures), Farpoint (farpoint.vc), Kohala Ventures (www.kohalaventures.com), Lux Capital (www.luxcapital.com), MaC Venture Capital (macventurecapital.com), Pareto Holdings (www.pareto20.com), Pioneer Fund (www.pioneerfund.vc), Soma Capital (somacap.com), Stage Venture Partners (www.stagevp.com), Village Global (www.villageglobal.vc), Y Combinator (www.ycombinator.com)</t>
  </si>
  <si>
    <t>FleetBoston Financial(Debt Financing)</t>
  </si>
  <si>
    <t>195940-90P</t>
  </si>
  <si>
    <t>Max Mednik</t>
  </si>
  <si>
    <t>Co-Founder, Chief Operating Officer &amp; Board Member</t>
  </si>
  <si>
    <t>max@epsilon3.io</t>
  </si>
  <si>
    <t>+1 (424) 209-7005</t>
  </si>
  <si>
    <t>2708 Wilshire Boulevard</t>
  </si>
  <si>
    <t>Suite 350</t>
  </si>
  <si>
    <t>90403</t>
  </si>
  <si>
    <t>info@epsilon3.io</t>
  </si>
  <si>
    <t>537975-46</t>
  </si>
  <si>
    <t>ergo (Logistics)</t>
  </si>
  <si>
    <t>ergo</t>
  </si>
  <si>
    <t>Ergo Offers, Inc.</t>
  </si>
  <si>
    <t>Revionics, PriceSpider</t>
  </si>
  <si>
    <t>Developer of pricing software intended to give the joy of bartering without the hassle. The company's software takes care of managing inventory, reducing overstock, and optimizing pricing strategy, enabling businesses to clear out inventory and increase profits without having to put the items on sale.</t>
  </si>
  <si>
    <t>E-Commerce, SaaS, Supply Chain Tech</t>
  </si>
  <si>
    <t>enterprise resource planning, enterprise supply chain management, inventory management, online retailer, online shopping, price optimization, pricing software, retailer service, supply chain management</t>
  </si>
  <si>
    <t>www.ergooffers.com</t>
  </si>
  <si>
    <t>http://www.linkedin.com/company/ergo-offers</t>
  </si>
  <si>
    <t>The company raised $1.5 million of pre-seed funding led by Anthemis on October 12, 2023. Wischoff Ventures also participated in the round. The funds will be used to make additional hires and expand the product pipeline, which will include an app for stores on other marketplaces.</t>
  </si>
  <si>
    <t>Anthemis, Wischoff Ventures</t>
  </si>
  <si>
    <t>Anthemis (www.anthemis.com), Wischoff Ventures (www.wischoff.com)</t>
  </si>
  <si>
    <t>369932-86P</t>
  </si>
  <si>
    <t>Claire Stepanek</t>
  </si>
  <si>
    <t>cstepanek@ergooffers.com</t>
  </si>
  <si>
    <t>info@ergooffers.com</t>
  </si>
  <si>
    <t>572084-20</t>
  </si>
  <si>
    <t>EssentialDx</t>
  </si>
  <si>
    <t>Alioth, Inc.</t>
  </si>
  <si>
    <t>Developer of a diagnostic platform intended to provide deep insights and actionable recommendations. The company's platform uses proprietary methodology and advanced AI to unlock a new frontier of organizational insights with data-driven recommendations, enabling leaders to make decisions that lead to sustainable success.</t>
  </si>
  <si>
    <t>actionable data, actionable insights, diagnostic ai, diagnostic algorithm, diagnostic data, diagnostics components</t>
  </si>
  <si>
    <t>www.essentialdx.com</t>
  </si>
  <si>
    <t>http://www.linkedin.com/company/essentialdx</t>
  </si>
  <si>
    <t>2024: 4</t>
  </si>
  <si>
    <t>The company raised an estimated $4 million through a combination of Seed and Seed-1 funding from Polaris Partners and other undisclosed investors on April 26, 2022, putting the company's pre-money valuation at $9.71 million.</t>
  </si>
  <si>
    <t>Polaris Partners</t>
  </si>
  <si>
    <t>Polaris Partners (www.polarispartners.com)</t>
  </si>
  <si>
    <t>384431-23P</t>
  </si>
  <si>
    <t>Janet Stafford</t>
  </si>
  <si>
    <t>+1 (512) 520-0459</t>
  </si>
  <si>
    <t>15511 Highway 71 West</t>
  </si>
  <si>
    <t>Suite 110-459</t>
  </si>
  <si>
    <t>info@alioth.co</t>
  </si>
  <si>
    <t>540733-60</t>
  </si>
  <si>
    <t>Euno</t>
  </si>
  <si>
    <t>Delphi IO Inc.</t>
  </si>
  <si>
    <t>Developer of a data model platform designed to make it easy for any company to balance consistency and freedom in data analytics. The company's platform specializes in reading SQL queries and proactively points to potential inconsistencies in business terms, and the algorithm identifies reusable elements in SQL and builds the data model, helping businesses with intelligent and consistent data modeling to make it easy from the comfort of their existing bi tools.</t>
  </si>
  <si>
    <t>analytics platform, analytics platform software, data management software, data model, data modeling platform, data modeling tools, data modelling, data software &amp; systems, data software and systems, sql analysis, sql query</t>
  </si>
  <si>
    <t>www.euno.ai</t>
  </si>
  <si>
    <t>http://www.linkedin.com/company/eunoai</t>
  </si>
  <si>
    <t>2024: 17</t>
  </si>
  <si>
    <t>The company raised $6.25 million of seed funding in a deal led by 10D and INT3 on March 19, 2024. Barr Moses, Lior Gavish, Yoni Broyde and other undisclosed investors also participated in the round. The funds will be used to launch a dynamic governance solution for data teams at large and scale-up organizations.</t>
  </si>
  <si>
    <t>10D, Barr Moses, INT3, Lior Gavish, Yoni Broyde</t>
  </si>
  <si>
    <t>10D (10d.vc), INT3 (int3.com)</t>
  </si>
  <si>
    <t>374602-78P</t>
  </si>
  <si>
    <t>Sarah Levy</t>
  </si>
  <si>
    <t>slevy@euno.ai</t>
  </si>
  <si>
    <t>Sunnyvale, CA</t>
  </si>
  <si>
    <t>Sunnyvale</t>
  </si>
  <si>
    <t>463195-36</t>
  </si>
  <si>
    <t>Euphoria (Application Software)</t>
  </si>
  <si>
    <t>Euphoria</t>
  </si>
  <si>
    <t>Euphoria.LGBT, Inc.</t>
  </si>
  <si>
    <t>Daylight</t>
  </si>
  <si>
    <t>Developer of a mobile banking application designed for the transgender men and women community. The company's application does not charge fees to open or maintain an account for survivors of domestic violence, transgender and intersex individuals, and other souls who've experienced significant trauma, helping transgender souls to improve their lives and welfare.</t>
  </si>
  <si>
    <t>domestic violence, fintech technologies, lgbtq community, mobile banking, mobile banking application, transgender community, transgender people</t>
  </si>
  <si>
    <t>www.euphoria.lgbt</t>
  </si>
  <si>
    <t>http://www.linkedin.com/company/euphorialgbt</t>
  </si>
  <si>
    <t>2019: 2, 2020: 2, 2021: 6, 2022: 8, 2023: 8</t>
  </si>
  <si>
    <t>The company joined AWS Startups as a part of its Women Founders Cohort on September 27, 2022, and received $130,000 in funding.</t>
  </si>
  <si>
    <t>Andrew Dunn, Ariela Safira, AWS Startups, Backbone Angels, Chelsea Clinton, Crystal Hansen, Farhan Thawar, Gaingels, Halcyon Incubator, Soltan Bryce, Techstars</t>
  </si>
  <si>
    <t>AWS Startups (aws-startup-lofts.com), Backbone Angels (www.backboneangels.com), Gaingels (www.gaingels.com), Halcyon Incubator (www.halcyonhouse.org), Techstars (www.techstars.com)</t>
  </si>
  <si>
    <t>257892-04P</t>
  </si>
  <si>
    <t>Katherine Anthony</t>
  </si>
  <si>
    <t>kate@euphoria.lgbt</t>
  </si>
  <si>
    <t>+1 (509) 220-0817</t>
  </si>
  <si>
    <t>3803 South Sherman Street</t>
  </si>
  <si>
    <t>hello@euphoria.lgbt</t>
  </si>
  <si>
    <t>224124-22</t>
  </si>
  <si>
    <t>Every Mother</t>
  </si>
  <si>
    <t>The Dia Method</t>
  </si>
  <si>
    <t>Sustainable Fitness Inc.</t>
  </si>
  <si>
    <t>Developer of a fitness platform intended to offer evidence-based prenatal and postnatal care for mothers. The company's platform offers progressive and efficient workouts and fitness programs during all stages of motherhood and trains for faster and easier labor, enabling pregnant women to restore core strength and resolve diastasis recti in less than twelve weeks.</t>
  </si>
  <si>
    <t>Application Software, Educational and Training Services (B2C)*, Other Healthcare Technology Systems</t>
  </si>
  <si>
    <t>FemTech, HealthTech, LOHAS &amp; Wellness, SaaS</t>
  </si>
  <si>
    <t>fitness platform firm, motherhood support, pelvic floor, postnatal fitness, postpartum fitness, prenatal fitness</t>
  </si>
  <si>
    <t>www.every-mother.com</t>
  </si>
  <si>
    <t>http://www.linkedin.com/company/every-mother</t>
  </si>
  <si>
    <t>2020: 15, 2021: 15, 2022: 19, 2023: 14, 2024: 17</t>
  </si>
  <si>
    <t>The company raised $1.85 million of seed funding in a deal led by Courtside Ventures on January 21, 2020, putting the company's pre-money valuation at $5.00 million. Serena Ventures and 10 other investors also participated in the round. Of the total amount, $350,000 was originally raised in the form of convertible debt and subsequently converted into equity. The funds will be used to accelerate growth and scale operations to meet the ever-growing demand from mothers around the globe for an easily accessible.</t>
  </si>
  <si>
    <t>Courtside Ventures, Eric Ries, Everywhere Ventures, Gaingels, George Davis, Ilia Papas, Jenny Fielding, Rachel Drori, Robin Berzin, Serena Ventures, Shruti Limited Partnership, Techstars</t>
  </si>
  <si>
    <t>Courtside Ventures (www.courtsidevc.com), Eric Ries (www.leanstartup.co), Everywhere Ventures (everywhere.vc), Gaingels (www.gaingels.com), Serena Ventures (www.serenaventures.com), Techstars (www.techstars.com)</t>
  </si>
  <si>
    <t>178030-72P</t>
  </si>
  <si>
    <t>Allison Rapaport</t>
  </si>
  <si>
    <t>allison@thediamethod.com</t>
  </si>
  <si>
    <t>+1 (646) 627-4703</t>
  </si>
  <si>
    <t>56 West</t>
  </si>
  <si>
    <t>22 Street</t>
  </si>
  <si>
    <t>info@every-mother.com</t>
  </si>
  <si>
    <t>466427-44</t>
  </si>
  <si>
    <t>Everyrealm</t>
  </si>
  <si>
    <t>Republic Realm</t>
  </si>
  <si>
    <t>Everyrealm, Inc.</t>
  </si>
  <si>
    <t>SuperWorld</t>
  </si>
  <si>
    <t>Operator of a technology and infrastructure company designed to focus on developing and investing in the virtual world and social video gaming businesses. The company's platform provides an active ecosystem that includes non-fungible tokens, real estate developments, gaming guild, full-stack non-fungible tokens, and a metaverse gaming development studio, enabling users to invest, manage and develop assets in immersive media.</t>
  </si>
  <si>
    <t>Entertainment Software, Financial Software*</t>
  </si>
  <si>
    <t>Cryptocurrency/Blockchain, FinTech, Gaming, Real Estate Technology</t>
  </si>
  <si>
    <t>gaming content, gaming developer, gaming development studio, gaming publisher, gaming studio, metaverse and gaming, non-fungible tokens, venture capital company, video games advertising, video games entertainment, video games publishing, web4</t>
  </si>
  <si>
    <t>www.everyrealm.com</t>
  </si>
  <si>
    <t>http://www.linkedin.com/company/everyrealm</t>
  </si>
  <si>
    <t>2022: 70, 2023: 61, 2024: 61</t>
  </si>
  <si>
    <t>The company raised an undisclosed amount of venture funding from Sfermion, Animoca Ventures, WndrCo, and L1 Digital in approximately August 2023. Foresight Ventures, and Borderless Capital participated in this round.</t>
  </si>
  <si>
    <t>11:11 Media, Andreessen Horowitz, Animoca Ventures, Anthony Saleh, Ava Labs, Baby Keem, Borderless Capital, Brevan Howard Asset Management, Coinbase Ventures, Dapper Labs, Dragonfly Capital (San Francisco), Flamingo DAO, Foresight Ventures (Singapore), Galaxy Interactive, Gene Simmons, GoldenTree Asset Management, Griffin Gaming Partners, Hashed, HEPCO Capital Management, Inception Capital (British Virgin Islands), L1D, Lightspeed Venture Partners, Lil Baby, Nas., NGC Ventures, Novos Capital, P2 Ventures, Pillar VC, Republic, Sebastien Borget, Sergio Kitchens, Sfermion, Shake and Bake, The Sand Box, Valor Equity Partners, Wilshire Lane Capital, WndrCo</t>
  </si>
  <si>
    <t>11:11 Media (www.parishilton.com), Andreessen Horowitz (www.a16z.com), Animoca Ventures (www.animoca.ventures), Ava Labs (www.avalabs.org), Borderless Capital (www.borderlesscapital.io), Brevan Howard Asset Management (www.brevanhoward.com), Dapper Labs (www.dapperlabs.com), Dragonfly Capital (San Francisco) (www.dragonfly.xyz), Flamingo DAO (www.flamingodao.xyz), Foresight Ventures (Singapore) (www.foresightventures.com), Galaxy Interactive (interactive.galaxy.com), GoldenTree Asset Management (www.goldentree.com), Griffin Gaming Partners (www.griffingp.com), Hashed (www.hashed.com), HEPCO Capital Management (www.hepcocapitalmanagementllc.com), Inception Capital (British Virgin Islands) (www.inception.capital), L1D (l1d.com), Lightspeed Venture Partners (www.lsvp.com), NGC Ventures (www.ngc.fund), Novos Capital (www.novoscapital.com), P2 Ventures (www.p2v.ventures), Pillar VC (www.pillar.vc), Republic (www.republic.com), Sfermion (www.sfermion.io), Shake and Bake (www.shakeandbakeproductions.com), The Sand Box (www.sandbox.game), Valor Equity Partners (www.valorep.com), Wilshire Lane Capital (www.wilshirelanecapital.com), WndrCo (www.wndrco.com)</t>
  </si>
  <si>
    <t>Foley &amp; Lardner(Legal Advisor), Republic(Placement Agent)</t>
  </si>
  <si>
    <t>284685-22P</t>
  </si>
  <si>
    <t>Katie Witkin</t>
  </si>
  <si>
    <t>katie@everyrealm.com</t>
  </si>
  <si>
    <t>+1 (860) 255-4493</t>
  </si>
  <si>
    <t>853 Broadway</t>
  </si>
  <si>
    <t>171184-60</t>
  </si>
  <si>
    <t>Everyset</t>
  </si>
  <si>
    <t>Castifi</t>
  </si>
  <si>
    <t>Castifi Inc.</t>
  </si>
  <si>
    <t>Developer of a production management platform designed to digitally onboard cast and crew for film production. The company's platform digitizes production reports on set and also helps to find, hire, manage, and pay cast and crew, it allows cast and crew looking for work to find events around and work for money, enabling film producers to have the required number of crew on set and track them.</t>
  </si>
  <si>
    <t>background casting, crew management, crew planning, digital voucher, freelancing jobs, hiring platform, hr platform, payroll system, temporary staff</t>
  </si>
  <si>
    <t>www.everyset.com</t>
  </si>
  <si>
    <t>http://www.linkedin.com/company/castifi</t>
  </si>
  <si>
    <t>2020: 16, 2023: 31, 2024: 42</t>
  </si>
  <si>
    <t>The company raised an estimated $4 million through a combination of Seed +, and Seed +-1 funding from Haven Ventures, Crosslink Capital, and other undisclosed investors on March 13, 2024, putting the company's pre-money valuation at $11 million.</t>
  </si>
  <si>
    <t>Crosslink Capital, Emerging Ventures, Haven Ventures, Kern Venture Group, Pasadena Angels, VSS Capital Partners</t>
  </si>
  <si>
    <t>Crosslink Capital (www.crosslinkcapital.com), Emerging Ventures (www.emerging.vc), Haven Ventures (haven.vc), Kern Venture Group (www.kernventuregroup.com), Pasadena Angels (www.pasadenaangels.com), VSS Capital Partners (www.vss.com)</t>
  </si>
  <si>
    <t>187520-41P</t>
  </si>
  <si>
    <t>Rumala Sheikhani</t>
  </si>
  <si>
    <t>rum@castifi.com</t>
  </si>
  <si>
    <t>+1 (949) 310-9291</t>
  </si>
  <si>
    <t>Culver City, CA</t>
  </si>
  <si>
    <t>8619 Washington Boulevard</t>
  </si>
  <si>
    <t>Culver City</t>
  </si>
  <si>
    <t>90232</t>
  </si>
  <si>
    <t>+1 (844) 771-0739</t>
  </si>
  <si>
    <t>hello@castifi.com</t>
  </si>
  <si>
    <t>Expected 28-Jun-2025</t>
  </si>
  <si>
    <t>469919-98</t>
  </si>
  <si>
    <t>Evidently AI</t>
  </si>
  <si>
    <t>Evidently</t>
  </si>
  <si>
    <t>Evidently AI, Inc.</t>
  </si>
  <si>
    <t>Developer of open source tools designed to analyze and monitor machine learning models. The company's tools monitor, analyze and debug machine learning models in production, export reports in one command to share with the team and business stakeholders and connect and monitor live logs and send alerts on instances that require attention, enabling developers to track and debug ML models in production.</t>
  </si>
  <si>
    <t>machine learning api, ml monitoring, ml tools, open source data, open source network, open source tool</t>
  </si>
  <si>
    <t>www.evidentlyai.com</t>
  </si>
  <si>
    <t>http://www.linkedin.com/company/evidently-ai</t>
  </si>
  <si>
    <t>2021: 2, 2022: 5, 2023: 6, 2024: 5</t>
  </si>
  <si>
    <t>The company raised $1.02 million of seed funding from Flashpoint Venture Capital, Davidovs Venture Collective and PLF on July 1, 2022. Fly Ventures, Runa Capital and Nauta Capital also participated in the round. Previously, the company joined Y Combinator as a part of Summer 2021 on July 8, 2021 and received $125,000 in funding in the form of SAFE notes.</t>
  </si>
  <si>
    <t>Davidovs Venture Collective, Flashpoint Venture Capital, Fly Ventures, Nauta Capital, PLF (NewYork), Runa Capital, Y Combinator</t>
  </si>
  <si>
    <t>Davidovs Venture Collective (www.davidovs.com), Flashpoint Venture Capital (www.flashpointvc.com), Fly Ventures (www.fly.vc), Nauta Capital (www.nautacapital.com), PLF (NewYork) (www.plfvc.com), Runa Capital (www.runacap.com), Y Combinator (www.ycombinator.com)</t>
  </si>
  <si>
    <t>201699-28P</t>
  </si>
  <si>
    <t>Elena Samuylova</t>
  </si>
  <si>
    <t>elena@evidentlyai.com</t>
  </si>
  <si>
    <t>+1 (628) 267-3303</t>
  </si>
  <si>
    <t>Number 4435</t>
  </si>
  <si>
    <t>hello@evidentlyai.com</t>
  </si>
  <si>
    <t>496274-14</t>
  </si>
  <si>
    <t>EyeGage</t>
  </si>
  <si>
    <t>Eyegage, Inc.</t>
  </si>
  <si>
    <t>Developer of an eye-analysis software designed to determine drug and alcohol levels to increase safety. The company's software uses artificial intelligence-based and data-driven drug screening technology that runs on a mobile device to analyze the characteristics of the eye, enabling workplaces and individuals to ensure safety in high-risk environments by quickly and accurately screening for substances before operating life-threatening equipment like cars, cranes, and scalpels.</t>
  </si>
  <si>
    <t>Artificial Intelligence &amp; Machine Learning, Industrials, Mobile</t>
  </si>
  <si>
    <t>artificial intelligence based, drug screening technology, eye analysis software, eye scanning, eye scanning technology, safety services</t>
  </si>
  <si>
    <t>www.eyegage.com</t>
  </si>
  <si>
    <t>http://www.linkedin.com/company/eyegage</t>
  </si>
  <si>
    <t>2022: 3, 2023: 4, 2024: 3</t>
  </si>
  <si>
    <t>The company raised $1.74 million of angel funding from undisclosed investors on October 12, 2022, putting the company's pre-money valuation at $18.26 million. Previously, the company joined AWS Startups as a part of its Black Founders cohort on June 9, 2022 and received an estimated $225,000 in funding.</t>
  </si>
  <si>
    <t>Advanced Technology Development Center, AWS Startups, Google for Startups, Jumpstart Foundry, Right Side Capital Management, Southern Automotive Conference, The Cranium Incubator</t>
  </si>
  <si>
    <t>Advanced Technology Development Center (www.atdc.org), AWS Startups (aws-startup-lofts.com), Google for Startups (startup.google.com), Jumpstart Foundry (www.jsf.co), Right Side Capital Management (www.rightsidecapital.com), Southern Automotive Conference (www.southernautomotivealliance.com), The Cranium Incubator (www.cranium-incubator.com)</t>
  </si>
  <si>
    <t>Growth Achievement Partners(Advisor: General)</t>
  </si>
  <si>
    <t>300758-86P</t>
  </si>
  <si>
    <t>Benjamin Ivey</t>
  </si>
  <si>
    <t>bivey@acestrategygroup.com</t>
  </si>
  <si>
    <t>75 Fifth Street North-West</t>
  </si>
  <si>
    <t>Suite 2183</t>
  </si>
  <si>
    <t>30308</t>
  </si>
  <si>
    <t>+1 (800) 880-7641</t>
  </si>
  <si>
    <t>info@eyegage.com</t>
  </si>
  <si>
    <t>437783-95</t>
  </si>
  <si>
    <t>Fable</t>
  </si>
  <si>
    <t>Fable Group Inc.</t>
  </si>
  <si>
    <t>Developer of an e-book platform intended to provide stories for everyone. The company's platform allows reading with influencers or friends in reading clubs for digital natives which are curated by experts to suit everyone's time, mood, and interests to fill the micro-moments in hectic lives with stories, enabling users to access social experiences with memorable stories in the cause of mental wellness.</t>
  </si>
  <si>
    <t>Application Software, Information Services (B2C)*, Social/Platform Software</t>
  </si>
  <si>
    <t>e-booking platform, mental wellness, reading platform, reading website, stories collection, stories platform, storybook application</t>
  </si>
  <si>
    <t>www.fable.co</t>
  </si>
  <si>
    <t>http://www.linkedin.com/company/fablegroup</t>
  </si>
  <si>
    <t>2020: 10, 2021: 28, 2022: 34, 2023: 45, 2024: 44</t>
  </si>
  <si>
    <t>The company raised $20 million of Series A venture funding in a deal led by Tiger Global Management on November 8, 2021, putting the company's pre-money valuation at $50 million. Redpoint Ventures and other undisclosed investors also participated in the round. The funds will be used to accelerate growth in consumer and enterprise segments.</t>
  </si>
  <si>
    <t>Breyer Capital, Calm Ventures, Defy Partners Management, Gaingels, M13, Maveron, Original Capital, Redpoint Ventures, Tiger Global Management</t>
  </si>
  <si>
    <t>Breyer Capital (www.breyercapital.com), Calm Ventures (www.calmvc.com), Defy Partners Management (www.defy.vc), Gaingels (www.gaingels.com), M13 (www.m13.co), Maveron (www.maveron.com), Original Capital (www.originalcapital.com), Redpoint Ventures (www.redpoint.com), Tiger Global Management (www.tigerglobal.com)</t>
  </si>
  <si>
    <t>127220-95P</t>
  </si>
  <si>
    <t>Padmasree Warrior</t>
  </si>
  <si>
    <t>P.O Box 60944</t>
  </si>
  <si>
    <t>+1 (650) 521-7896</t>
  </si>
  <si>
    <t>contact@fable.co</t>
  </si>
  <si>
    <t>503148-70</t>
  </si>
  <si>
    <t>FamGuru</t>
  </si>
  <si>
    <t>FamPro, Inc.</t>
  </si>
  <si>
    <t>Opearator of a travel advisory platform intended to record and share insider travel knowledge. The company's platform aims to eliminate Fam Disorganization to create fam reports and share insights with clients easily, enabling users use information so we can sell more travel and grow their travel businesses.</t>
  </si>
  <si>
    <t>Application Software, Business/Productivity Software*, Leisure Facilities, Media and Information Services (B2B)</t>
  </si>
  <si>
    <t>travel advisory, travel advisory platform, travel advisory services, travel knowledge, travel organizer, trip advisory</t>
  </si>
  <si>
    <t>www.famguru.app</t>
  </si>
  <si>
    <t>http://www.linkedin.com/company/famguru</t>
  </si>
  <si>
    <t>2023: 4, 2024: 4</t>
  </si>
  <si>
    <t>The company raised $390,300 of equitycrowdfunding via Wefunder in April 2024, putting the company's pre-money valuation at $4.6 million. The funds will be used by the company to build sales/marketing capability to grow supplier sales and user base and create premium Advisor subscription to capture additional revenue.</t>
  </si>
  <si>
    <t>Shasta Ventures</t>
  </si>
  <si>
    <t>Shasta Ventures (www.shasta.vc)</t>
  </si>
  <si>
    <t>374355-82P</t>
  </si>
  <si>
    <t>Kymberly Milroy</t>
  </si>
  <si>
    <t>+1 (312) 543-9714</t>
  </si>
  <si>
    <t>758 North Larrabee Street</t>
  </si>
  <si>
    <t>Apartment 201</t>
  </si>
  <si>
    <t>contact@famguru.app</t>
  </si>
  <si>
    <t>442626-76</t>
  </si>
  <si>
    <t>FarmRaise</t>
  </si>
  <si>
    <t>FarmRaise Inc.</t>
  </si>
  <si>
    <t>Developer of a vertical platform designed to track farm cash flow, manage farm business, and grow farmers' profitability. The company's platform offers assistance to farmers in learning about and applying for funding opportunities such as grants and loans, as well as financial and business management tools to ensure ongoing profitability and sustainability, enabling farmers to grow and plan long-term for their business needs.</t>
  </si>
  <si>
    <t>Business/Productivity Software*, Financial Software, Other Financial Services</t>
  </si>
  <si>
    <t>AgTech, FinTech, SaaS, Supply Chain Tech</t>
  </si>
  <si>
    <t>agriculture finance, agriculture insurance, agrifinance and ecommerce, enterprise resource planning, farm management system, farmers help, farming finance, financing advisory, fintech saas, online fundraising</t>
  </si>
  <si>
    <t>www.farmraise.com</t>
  </si>
  <si>
    <t>http://www.linkedin.com/company/farmraise</t>
  </si>
  <si>
    <t>2021: 8, 2022: 15</t>
  </si>
  <si>
    <t>The company raised an undisclosed amount of venture funding from Innovations for Impact in approximately March 2023.</t>
  </si>
  <si>
    <t>Better Tomorrow Ventures, Cendana Capital, Incite Ventures (San Francisco), Innovations for Impact, iSelect Fund, Jackson Moses, Pear (California), Restive Ventures, Susa Ventures, Ulu Ventures, Venture Studio (VC)</t>
  </si>
  <si>
    <t>Better Tomorrow Ventures (btv.vc), Cendana Capital (www.cendanacapital.com), Incite Ventures (San Francisco) (www.incite.org), Innovations for Impact (www.innovationsforimpact.com), iSelect Fund (www.iselectfund.com), Pear (California) (www.pear.vc), Restive Ventures (www.restive.com), Susa Ventures (www.susaventures.com), Ulu Ventures (www.uluventures.com), Venture Studio (VC) (venturestudio.com.br)</t>
  </si>
  <si>
    <t>243594-01P</t>
  </si>
  <si>
    <t>Jayce Hafner</t>
  </si>
  <si>
    <t>jayce@farmraise.us</t>
  </si>
  <si>
    <t>+1 (224) 242-3072</t>
  </si>
  <si>
    <t>Riverside, CA</t>
  </si>
  <si>
    <t>17130 Van Buren Boulevard</t>
  </si>
  <si>
    <t>Riverside</t>
  </si>
  <si>
    <t>92504</t>
  </si>
  <si>
    <t>info@farmraise.us</t>
  </si>
  <si>
    <t>528899-95</t>
  </si>
  <si>
    <t>Faura</t>
  </si>
  <si>
    <t>Faura Inc.</t>
  </si>
  <si>
    <t>Developer of a wildfire, climate data, and analytics platform designed to connect HOAs and property associations to contractors to perform large-scale mitigation work in high-risk wildfire zones. The company's platform offers a wide range of features such as gathering information from HOAs and property managers to assess the community's wildfire risk, automated reports to communities and schedule vetted contractors before the height of wildfire season, and community mitigation data to better inform fire response, insurance coverage in high-risk areas, and cover more wildfire mitigation with grant funding, helping users to create effective plan for their property to keep it safe.</t>
  </si>
  <si>
    <t>Application Software, Business/Productivity Software, Information Services (B2C)*, Media and Information Services (B2B)</t>
  </si>
  <si>
    <t>climate analytics, climate data, climate data platform, environmental service, wildfire management, wildfire protection, wildfire tracking</t>
  </si>
  <si>
    <t>www.faura.us</t>
  </si>
  <si>
    <t>http://www.linkedin.com/company/faurainc</t>
  </si>
  <si>
    <t>The company raised $500,000 of pre-seed funding in a deal led by CEAS Investments I on April 2, 2024. MetaProp NYC, Dorm Room Fund and Responsibly Ventures also participated in the round. The funds will be used to expand its operations and further its mission of transforming the property insurance landscape. Previously, the company joined MetaProp NYC as a part of its 5 Borough Cohort on February 13, 2024.</t>
  </si>
  <si>
    <t>CEAS Investments I, Dorm Room Fund, MetaProp NYC, Plug and Play Tech Center, Responsibly Ventures</t>
  </si>
  <si>
    <t>CEAS Investments I (www.ceasinvestments.com), Dorm Room Fund (www.dormroomfund.com), MetaProp NYC (www.metaprop.com), Plug and Play Tech Center (www.plugandplaytechcenter.com), Responsibly Ventures (www.responsibly.vc)</t>
  </si>
  <si>
    <t>350872-48P</t>
  </si>
  <si>
    <t>Valkyrie Holmes</t>
  </si>
  <si>
    <t>valkyrie@faura.us</t>
  </si>
  <si>
    <t>+1 (702) 271-3895</t>
  </si>
  <si>
    <t>Napa, CA</t>
  </si>
  <si>
    <t>Napa</t>
  </si>
  <si>
    <t>464426-11</t>
  </si>
  <si>
    <t>Fave (Social/Platform Software)</t>
  </si>
  <si>
    <t>Fave</t>
  </si>
  <si>
    <t>Fave Technologies, Inc.</t>
  </si>
  <si>
    <t>Developer of a social platform intended to connect fans with each other. The company's platform specializes in encouraging fans across the world to come together, create content to share fan stories and creativity, share the unique fan activities they're doing, get rewarded, and exchange in commerce in a marketplace, enabling fans to network and share their experiences.</t>
  </si>
  <si>
    <t>community management, fan engagement platform, fans interaction, fans marketplace, marketplace, photos and videos platform, social app</t>
  </si>
  <si>
    <t>www.faveforfans.com</t>
  </si>
  <si>
    <t>http://www.linkedin.com/company/faveforfans</t>
  </si>
  <si>
    <t>2021: 4, 2022: 18, 2023: 7, 2024: 9</t>
  </si>
  <si>
    <t>The company closed on $2 million of an undisclosed targeted amount of venture funding from Sony Music Entertainment, Warner Music Group, and Goodwater Capital on October 12, 2023. Female Founders Fund and 7 other investors also participated in the round. The funds will be used by the company to expand its development efforts. Previously, the company raised an undisclosed amount of venture funding from Goodwater Capital on May 25, 2022. The company is actively tracked by PitchBook.</t>
  </si>
  <si>
    <t>Alexandra Moore, Betaworks Ventures, Concord Music, Faye Maidment, Female Founders Fund, Gaingels, Goodwater Capital, Hybe, Mario Cozzi, Quality Control Ventures, Right Hand Management, Shiva Rajaraman, Sony Music Entertainment, Techstars, Warner Music Group, Xoogler.co</t>
  </si>
  <si>
    <t>Betaworks Ventures (www.betaworksventures.com), Concord Music (www.concord.com), Female Founders Fund (www.femalefoundersfund.com), Gaingels (www.gaingels.com), Goodwater Capital (www.goodwatercap.com), Hybe (www.hybecorp.com/eng/main), Sony Music Entertainment (www.sonymusic.com), Techstars (www.techstars.com), Warner Music Group (www.wmg.com), Xoogler.co (www.xoogler.co)</t>
  </si>
  <si>
    <t>262973-71P</t>
  </si>
  <si>
    <t>Jacquelle Horton</t>
  </si>
  <si>
    <t>jacquelle@faveforfans.com</t>
  </si>
  <si>
    <t>251 Little Falls Drive</t>
  </si>
  <si>
    <t>19808</t>
  </si>
  <si>
    <t>info@faveforfans.com</t>
  </si>
  <si>
    <t>513341-38</t>
  </si>
  <si>
    <t>Fearless+</t>
  </si>
  <si>
    <t>FearlessPlus Inc.</t>
  </si>
  <si>
    <t>Operator of an education technology platform intended to empower the next generation to prepare for personal and professional success. The company's digital subscription platform creates a modern portfolio that showcases personal, academic, and professional accomplishments, enabling students to develop essential leadership and life skills that are not traditionally taught in school.</t>
  </si>
  <si>
    <t>Application Software, Educational and Training Services (B2C)*</t>
  </si>
  <si>
    <t>career assessment, digital subscription platform, education technology, leadership skills, personality assessment, professional success</t>
  </si>
  <si>
    <t>www.fearlessplus.com</t>
  </si>
  <si>
    <t>http://www.linkedin.com/company/fearlessplus</t>
  </si>
  <si>
    <t>The company was in talks to receive seed funding on an undisclosed date. Subsequently, the deal was cancelled. Previously, the company raised $1 million of pre-seed funding in a deal led by Clear Heights Capital on November 16, 2022. Mohit Daswani and 6 other investors also participated in the round. The funds will be used to bolster brand awareness and build additional platform features for the company.</t>
  </si>
  <si>
    <t>Clear Heights Capital, Dimond Family Office, Linda Mintz, Mohit Daswani, Sandy Hausner, Sheila Baird, Tom Grossman, Vlad Brodsky</t>
  </si>
  <si>
    <t>Clear Heights Capital (www.clear-heights.com)</t>
  </si>
  <si>
    <t>324010-90P</t>
  </si>
  <si>
    <t>Deepali Vyas</t>
  </si>
  <si>
    <t>deepali.vyas@kornferry.com</t>
  </si>
  <si>
    <t>+1 (646) 234-5681</t>
  </si>
  <si>
    <t>Boca Raton, FL</t>
  </si>
  <si>
    <t>17850 Lake Azure Way</t>
  </si>
  <si>
    <t>Boca Raton</t>
  </si>
  <si>
    <t>33496</t>
  </si>
  <si>
    <t>hello@fearlessplus.com</t>
  </si>
  <si>
    <t>469174-78</t>
  </si>
  <si>
    <t>Fermata Discovery</t>
  </si>
  <si>
    <t>Fermata</t>
  </si>
  <si>
    <t>Fermata Discovery Inc.</t>
  </si>
  <si>
    <t>Developer of an artificial intelligence-driven investigation platform designed to automate and scale routine processes involved with investigative workflows. The company's platform automatically gathers, assembles, analyzes, and visualizes a high volume of information relevant to person-of-interest and relevant networks, providing investigators with software tools to automate and accelerate problem-solving processes.</t>
  </si>
  <si>
    <t>Business/Productivity Software*, Database Software, Media and Information Services (B2B)</t>
  </si>
  <si>
    <t>ai automation platform, analytics &amp; business intelligence, analytics and business intelligence, analytics platform, data analysis platform, fraud investigation, intelligence analysis, intelligence management, investigation technology, investigation technology software, network analysis</t>
  </si>
  <si>
    <t>www.fermatadiscovery.com</t>
  </si>
  <si>
    <t>http://www.linkedin.com/company/fermata-discovery</t>
  </si>
  <si>
    <t>2021: 8, 2022: 10</t>
  </si>
  <si>
    <t>The company raised $3 million of seed funding in a deal led by New North Ventures on October 12, 2022, putting the company's pre-money valuation at $10 million. Two Lanterns Venture Partners, Bonfire Ventures, and Good Growth Capital also participated in the round.</t>
  </si>
  <si>
    <t>Bonfire Ventures, Chasella, Good Growth Capital, Guy Antoine, New North Ventures, TIA Ventures, Two Lanterns Venture Capital, Vinny Sica</t>
  </si>
  <si>
    <t>Bonfire Ventures (www.bonfirevc.com), Chasella (www.chasella.com), Good Growth Capital (www.goodgrowthvc.com), New North Ventures (www.newnorthvc.com), TIA Ventures (www.tiaventures.com), Two Lanterns Venture Capital (www.2l.vc)</t>
  </si>
  <si>
    <t>267515-38P</t>
  </si>
  <si>
    <t>Amanda Goetz</t>
  </si>
  <si>
    <t>Co-Founder, Chief Executive Officer &amp; Chief Technology Officer</t>
  </si>
  <si>
    <t>116 West 23rd Street</t>
  </si>
  <si>
    <t>info@fermata.us</t>
  </si>
  <si>
    <t>519134-14</t>
  </si>
  <si>
    <t>Fern (IT Consulting and Outsourcing)</t>
  </si>
  <si>
    <t>Fern</t>
  </si>
  <si>
    <t>Birch Solutions, Inc.</t>
  </si>
  <si>
    <t>Provider of information technology services intended to generate production-ready SDKs for API. The company specializes in generating server code, SDKs, documentation, and a postman collection, providing clients with faster and error-free codes.</t>
  </si>
  <si>
    <t>IT Consulting and Outsourcing*, Other IT Services</t>
  </si>
  <si>
    <t>api coding, api documentation, sdk development, sdk platform, sdk tools, website development company</t>
  </si>
  <si>
    <t>www.buildwithfern.com</t>
  </si>
  <si>
    <t>http://www.linkedin.com/company/fern-api</t>
  </si>
  <si>
    <t>2023: 5, 2024: 18</t>
  </si>
  <si>
    <t>On October 15, 2024, the company raised $12.78 million through the combination of Series A venture funding from V1.vc, Soma Capital, and Pioneer Fund, putting its pre-money valuation at $37.22 million. Aito Capital other undisclosed investors also participated in the round.</t>
  </si>
  <si>
    <t>Aito Capital, Pioneer Fund, Soma Capital, V1.vc, Y Combinator</t>
  </si>
  <si>
    <t>Aito Capital (aito.my.canva.site), Pioneer Fund (www.pioneerfund.vc), Soma Capital (somacap.com), V1.vc (www.v1.vc), Y Combinator (www.ycombinator.com)</t>
  </si>
  <si>
    <t>333300-25P</t>
  </si>
  <si>
    <t>Lisa Zufall</t>
  </si>
  <si>
    <t>Suite 2324</t>
  </si>
  <si>
    <t>hey@buildwithfern.com</t>
  </si>
  <si>
    <t>340782-40</t>
  </si>
  <si>
    <t>Fêtefully</t>
  </si>
  <si>
    <t>Fetefully</t>
  </si>
  <si>
    <t>Fêtefully, Inc.</t>
  </si>
  <si>
    <t>Operator of an online wedding planning platform intended to provide personalized wedding planning guidance. The company's platform provides a membership, upon subscribing to which members get a personal wedding planner, professional advice and guidance on planning concerns, and day-of coordination from planners, enabling customers to plan their wedding without any hassles and save time.</t>
  </si>
  <si>
    <t>Application Software, Information Services (B2C), Other Services (B2C Non-Financial)*</t>
  </si>
  <si>
    <t>event planner, marriage agency, online wedding planner, wedding guide, wedding planner, wedding planning website</t>
  </si>
  <si>
    <t>www.fetefully.com</t>
  </si>
  <si>
    <t>http://www.linkedin.com/company/fêtefully</t>
  </si>
  <si>
    <t>2021: 6, 2022: 4, 2023: 4, 2024: 5</t>
  </si>
  <si>
    <t>The company joined Pay Close Attention on January 3, 2022. Previously, the company raised $1.3 million of seed funding in a deal led by Slauson &amp; Co. on September 1, 2021. Gurtin Ventures and 6 other investors also participated in the round. The funds will be used to continue business growth and scale in the marketplace.</t>
  </si>
  <si>
    <t>Capital Factory, Chris Yeh, Denton Angels, Google for Startups, Gurtin Ventures, Jeff Dodd, John Kim, Marshall Culpepper, Pay Close Attention, Rob Houdek, Slauson &amp; Co., Stephanie Naifeh, Tampa Bay Wave, Techstars, Women Startup Lab</t>
  </si>
  <si>
    <t>Capital Factory (www.capitalfactory.com), Chris Yeh (www.chrisyeh.com), Denton Angels (www.dentonangels.com), Google for Startups (startup.google.com), Gurtin Ventures (www.gurtinventures.com), Pay Close Attention (www.paycloseattention.world), Slauson &amp; Co. (www.slauson.co), Tampa Bay Wave (www.tampabaywave.org), Techstars (www.techstars.com), Women Startup Lab (www.womenstartuplab.com)</t>
  </si>
  <si>
    <t>First Republic Bank(General Business Banking)</t>
  </si>
  <si>
    <t>214597-27P</t>
  </si>
  <si>
    <t>GiGi McDowell</t>
  </si>
  <si>
    <t>gigi.mcdowell@fetefully.com</t>
  </si>
  <si>
    <t>629 North Arden Drive</t>
  </si>
  <si>
    <t>90210</t>
  </si>
  <si>
    <t>515175-85</t>
  </si>
  <si>
    <t>Fimio</t>
  </si>
  <si>
    <t>Fimio, Inc.</t>
  </si>
  <si>
    <t>Developer of an online security platform intended to solve frauds related to web3 and control over data-centric workflows. The company's platform focuses on increasing access to capital and tackling the twin evils of fraud and coordination problems, enabling web3 builders to easily go beyond blacklists and simulations for assessing smart contract reputation.</t>
  </si>
  <si>
    <t>Cryptocurrency/Blockchain, Cybersecurity</t>
  </si>
  <si>
    <t>application security, web3 community, web3 content, web3 firm, web3 infra, web3 network, web3 platform, web3 security, web3 tools</t>
  </si>
  <si>
    <t>www.fimio.xyz</t>
  </si>
  <si>
    <t>http://www.linkedin.com/company/fimio</t>
  </si>
  <si>
    <t>2022: 4, 2023: 4, 2024: 4</t>
  </si>
  <si>
    <t>The company raised $2.19 million of seed funding in a deal led by Neo on October 27, 2022. Protocol Labs, The House Fund, Redpoint Ventures, and Nat Friedman also participated in the round.</t>
  </si>
  <si>
    <t>Nat Friedman, Neo (Consulting Services (B2B)), Protocol Labs, Redpoint Ventures, The House Fund</t>
  </si>
  <si>
    <t>Neo (Consulting Services (B2B)) (www.neo.com), Protocol Labs (protocol.ai), Redpoint Ventures (www.redpoint.com), The House Fund (www.thehouse.fund)</t>
  </si>
  <si>
    <t>325249-93P</t>
  </si>
  <si>
    <t>Omoju Miller</t>
  </si>
  <si>
    <t>omojumiller@github.com</t>
  </si>
  <si>
    <t>+1 (510) 666-2900</t>
  </si>
  <si>
    <t>389 Oakland Avenue</t>
  </si>
  <si>
    <t>94611</t>
  </si>
  <si>
    <t>hello@fimio.xyz</t>
  </si>
  <si>
    <t>465685-93</t>
  </si>
  <si>
    <t>Finch (New York)</t>
  </si>
  <si>
    <t>Finch</t>
  </si>
  <si>
    <t>Finch Insights, Inc.</t>
  </si>
  <si>
    <t>Good On You, Earthly, Commons, DoneGood</t>
  </si>
  <si>
    <t>Operator of a browser extension software designed to offer insights into a multitude of consumer products. The company's software assesses what products are made of, how they are created, and how long they last, besides pinning expert scores on products' environmental and social impacts with functional reviews from real people, enabling consumers to pinpoint the products that better fit their preferences and thus make more informed decisions when shopping.</t>
  </si>
  <si>
    <t>browser extensions application, browser extensions tools, insights data reporting, product information, product insights, product review, software extensions</t>
  </si>
  <si>
    <t>www.choosefinch.com</t>
  </si>
  <si>
    <t>http://www.linkedin.com/company/choosefinch</t>
  </si>
  <si>
    <t>2020: 2, 2021: 12, 2022: 10, 2024: 9</t>
  </si>
  <si>
    <t>The company raised $3.23 million through a combination of Seed, and Seed 1 of seed funding from Amasia, Chantal Haldorsen and Empire Angels on May 18, 2023, putting the company's pre-money valuation at $4 million. Ryan Hudson also participated in the round. Previously, the company joined Google for Startups Accelerator as part of its climate change cohort on February 16, 2023.</t>
  </si>
  <si>
    <t>Amasia, Chantal Noble Haldorsen, Empire Angels, Google for Startups, Ryan Hudson, Techstars</t>
  </si>
  <si>
    <t>Amasia (www.amasia.vc), Empire Angels (www.empireangels.com), Google for Startups (startup.google.com), Techstars (www.techstars.com)</t>
  </si>
  <si>
    <t>261531-37P</t>
  </si>
  <si>
    <t>Lizzie Horvitz</t>
  </si>
  <si>
    <t>lizzie@choosefinch.com</t>
  </si>
  <si>
    <t>+1 (216) 394-1627</t>
  </si>
  <si>
    <t>24 5th Avenue, 214</t>
  </si>
  <si>
    <t>hey@choosefinch.com</t>
  </si>
  <si>
    <t>398913-31</t>
  </si>
  <si>
    <t>Finli</t>
  </si>
  <si>
    <t>Finli, Inc.</t>
  </si>
  <si>
    <t>MineralTree</t>
  </si>
  <si>
    <t>Developer of a digital financial platform designed to provide financial services to small businesses. The company's platform allows transferring administrative tasks such as billing, payment collection, reconciliation, inventory management, and customer management seamlessly, enabling businesses to create a solid financial infrastructure to improve their business, livelihood, and community.</t>
  </si>
  <si>
    <t>ap automation, ar automation, bank technology, cfo stack, crm, customer relationship management, digital financial platform, expense management, inventory management software, invoice automation, payment management system, small business software</t>
  </si>
  <si>
    <t>www.finli.com</t>
  </si>
  <si>
    <t>http://www.linkedin.com/company/iamfinli</t>
  </si>
  <si>
    <t>2019: 2, 2020: 10, 2021: 16, 2022: 15, 2023: 17, 2024: 17</t>
  </si>
  <si>
    <t>The company graduated from The Venture Center as part of its fifth annual ICBA ThinkTECH Accelerator Demo Day on June 29, 2023. No equity or funding was exchanged as a result of this program.</t>
  </si>
  <si>
    <t>1871, Alumni Ventures, Core Innovation Capital, Emerson Collective, Financial Solutions Lab, Grid110, M13, MaC Venture Capital, Motley Fool Ventures, Muse Capital, Naples Technology Ventures, Slauson &amp; Co., Techstars, The Venture Center, Urban Innovation Fund</t>
  </si>
  <si>
    <t>1871 (www.1871.com), Alumni Ventures (www.av.vc), Core Innovation Capital (www.corevc.com), Emerson Collective (www.emersoncollective.com), Financial Solutions Lab (finlab.finhealthnetwork.org), Grid110 (www.grid110.org), M13 (www.m13.co), MaC Venture Capital (macventurecapital.com), Motley Fool Ventures (www.foolventures.com), Muse Capital (www.musecapital.vc), Naples Technology Ventures (www.naplestechnologyventures.com), Slauson &amp; Co. (www.slauson.co), Techstars (www.techstars.com), The Venture Center (www.venturecenter.co), Urban Innovation Fund (www.urbaninnovationfund.com)</t>
  </si>
  <si>
    <t>218819-44P</t>
  </si>
  <si>
    <t>Lori Shao</t>
  </si>
  <si>
    <t>lori@finli.com</t>
  </si>
  <si>
    <t>San Marino, CA</t>
  </si>
  <si>
    <t>2920 Huntington Drive</t>
  </si>
  <si>
    <t>San Marino</t>
  </si>
  <si>
    <t>91108</t>
  </si>
  <si>
    <t>hello@finli.com</t>
  </si>
  <si>
    <t>561469-15</t>
  </si>
  <si>
    <t>Finnegan the Dragon</t>
  </si>
  <si>
    <t>Finnegan the Dragon, Inc.</t>
  </si>
  <si>
    <t>Developer of an interactive learning system designed to address speech and language delays in preschoolers. The company offers tools that support a child's overall brain development through engaging, play-based experiences, helping teachers, caregivers and parents nurture a love for learning and foster language development among children.</t>
  </si>
  <si>
    <t>kids education, learning portal, learning software, speech development, speech development platform, speech learning</t>
  </si>
  <si>
    <t>www.finneganthedragon.com</t>
  </si>
  <si>
    <t>http://www.linkedin.com/company/finnegan-the-dragon</t>
  </si>
  <si>
    <t>The company raised $40,000 of seed funding from Portland Seed Fund, Peter Horan and Pam Horan on October 26, 2023.</t>
  </si>
  <si>
    <t>Pam Horan, Peter Horan, Portland Seed Fund</t>
  </si>
  <si>
    <t>Portland Seed Fund (portlandseedfund.com)</t>
  </si>
  <si>
    <t>416879-11P</t>
  </si>
  <si>
    <t>Emily Candiz</t>
  </si>
  <si>
    <t>Founder, Chief Executive Officer &amp; Managing Principal</t>
  </si>
  <si>
    <t>+1 (503) 913-2453</t>
  </si>
  <si>
    <t>Hillsboro, OR</t>
  </si>
  <si>
    <t>Hillsboro</t>
  </si>
  <si>
    <t>Oregon</t>
  </si>
  <si>
    <t>info@finneganthedragon.com</t>
  </si>
  <si>
    <t>561272-14</t>
  </si>
  <si>
    <t>Fireworks AI</t>
  </si>
  <si>
    <t>Fireworks</t>
  </si>
  <si>
    <t>Fireworks.ai, Inc.</t>
  </si>
  <si>
    <t>OpenAI, Cohere</t>
  </si>
  <si>
    <t>Developer of a production AI platform designed to collaborate and serve the models, at high speeds.s The company's platform aims to run, fine-tune, and share large language models (LLMs) to solve product problems, enabling developers and businesses to scale at a faster rate through rapid product iteration building as well as minimizing cost to serve.</t>
  </si>
  <si>
    <t>ai neocloud, ai platform, compound feed, devops, full service devops, generative ai, language model, llm ai, llm tools, product iteration, production analysis</t>
  </si>
  <si>
    <t>Generative AI, AI neoclouds</t>
  </si>
  <si>
    <t>www.fireworks.ai</t>
  </si>
  <si>
    <t>http://www.linkedin.com/company/fireworks-ai</t>
  </si>
  <si>
    <t>2023: 16, 2024: 27</t>
  </si>
  <si>
    <t>The company raised $52 million of Series B venture funding in a deal led by Sequoia Capital on July 08, 2024, putting the company's pre-money valuation at $500 million. Databricks Ventures, Advanced Micro Devices, MongoDB Ventures, Benchmark Capital Holdings, Nvidia, Frank Slootman, Alexandr Wang, Sheryl Sandberg, Howie Liu and other undisclosed investors also participated in the round. The funds will be used to accelerate the development of compound AI systems, expand the company's team, and enhance the platform to drive greater AI adoption in production environments. Previously, the company raised $25 million of Series A venture funding in a deal led by Sequoia Capital on March 27, 2024. Databricks Ventures and 6 other investors also participated in the round. The funds will be used to create an API-based tool that puts that kind of power in reach of any company without requiring the level of engineering resources.</t>
  </si>
  <si>
    <t>Advanced Micro Devices, Alexandr Wang, Artisanal Ventures, Benchmark Capital Holdings, Databricks Ventures, Frank Slootman, Howie Liu, MongoDB Ventures, Nvidia, Sequoia Capital, Sheryl Sandberg</t>
  </si>
  <si>
    <t>Advanced Micro Devices (www.amd.com), Artisanal Ventures (www.artisanalv.com), Benchmark Capital Holdings (www.benchmark.com), Nvidia (www.nvidia.com/en-us), Sequoia Capital (www.sequoiacap.com)</t>
  </si>
  <si>
    <t>388262-26P</t>
  </si>
  <si>
    <t>Lin Qiao</t>
  </si>
  <si>
    <t>lqiao@fireworks.ai</t>
  </si>
  <si>
    <t>+1 (650) 870-7981</t>
  </si>
  <si>
    <t>2317 Broadway</t>
  </si>
  <si>
    <t>Suite 150</t>
  </si>
  <si>
    <t>Technology Generated</t>
  </si>
  <si>
    <t>232915-06</t>
  </si>
  <si>
    <t>Fiveable</t>
  </si>
  <si>
    <t>Fiveable Inc.</t>
  </si>
  <si>
    <t>Imagine Math, Renaissance Learning, Apex Learning, Carnegie Learning, Edmentum, Edgenuity, Nerdy (Educational Software), Blackboard, Connections Education</t>
  </si>
  <si>
    <t>Operator of an education-based platform intended to build students' skills and confidence to earn college credit in placement exams. The company's platform provides online instruction by accredited teachers in advanced placement, college orientation and preparation, and other subjects, enabling students to access courses that help them learn complex concepts and skills in a convenient manner.</t>
  </si>
  <si>
    <t>education platform, online coaching platform, online education, online instruction, online mentoring, social learning platform</t>
  </si>
  <si>
    <t>www.fiveable.me</t>
  </si>
  <si>
    <t>http://www.linkedin.com/company/fiveable</t>
  </si>
  <si>
    <t>2020: 180, 2021: 169, 2022: 107</t>
  </si>
  <si>
    <t>The company raised $673,658 through the combination of Seed 1, Seed 2, Seed 3, Seed 4, and Seed 5 funding in a deal led by Cream City Ventures on April 10, 2022, putting the company's pre-money valuation at $2.5 million. Zerology, Arenberg Holdings, Gaingels, Union Square Ventures, SoGal Ventures, Slojo Investments, Twenty Seven Ventures, Right Side Capital Management, BBG Ventures, Del Johnson, Dave Sachse, Karl Muth, Mary Avery, Tom Avery, Reed Dohmen, Amy Slawson, Amit Sevak, Amit Pamecha, Gian Dilawari, Vaikunth Gupta, Silicon Pastures and Wisconsin Economic Development Corporation also participated in the round.</t>
  </si>
  <si>
    <t>5 Lakes Forum, Amit Pamecha, Amit Sevak, Amy Slawson, Arenberg Holdings, BBG Ventures (North America), Beta Boom, Cream City Ventures, Darrell Silver, Dave Sachse, Deborah Quazzo, Del Johnson, Emerson Collective, Gaingels, gener8tor, Gian Dilawari, Golden Angels Investors, Hari Madamalla, Karl Muth, Kimmy Paluch, Marcus Lemonis, Mary Avery, Matchstick Ventures, Metrodora Ventures, NVNG Investment Advisors, Owl Ventures, Progression Fund, Reed Dohmen, Rezon8 Capital &amp; Advisory Group, Right Side Capital Management, Sachse Family Fund, Serena Ventures, Serena Williams, Silicon Pastures, Slojo Investments, SoGal Ventures, Spero Ventures, Swell Partners, Tom Avery, Twenty Seven Ventures, Union Square Ventures, Wisconsin Economic Development, Zerology</t>
  </si>
  <si>
    <t>AT&amp;T Aspire Accelerator</t>
  </si>
  <si>
    <t>5 Lakes Forum (www.5lakesforum.org), Arenberg Holdings (www.arenbergholdings.com), BBG Ventures (North America) (www.bbgventures.com), Beta Boom (betaboom.com), Emerson Collective (www.emersoncollective.com), Gaingels (www.gaingels.com), gener8tor (www.gener8tor.com), Golden Angels Investors (www.goldenangelsinvestors.com), Matchstick Ventures (www.matchstick.vc), Metrodora Ventures (www.metrodora.vc), NVNG Investment Advisors (nvngia.com), Owl Ventures (www.owlvc.com), Progression Fund (www.progression.fund), Rezon8 Capital &amp; Advisory Group (www.rezon8capital.com), Right Side Capital Management (www.rightsidecapital.com), Sachse Family Fund (www.sachsefamilyfund.com), Serena Ventures (www.serenaventures.com), Silicon Pastures (www.siliconpastures.com), Slojo Investments (www.slojoinvestments.com), SoGal Ventures (www.sogalventures.com), Spero Ventures (www.spero.vc), Swell Partners (www.swell.vc), Twenty Seven Ventures (27v.vc), Union Square Ventures (www.usv.com), Wisconsin Economic Development (www.wedc.org), Zerology (www.zerology.com)</t>
  </si>
  <si>
    <t>193518-46P</t>
  </si>
  <si>
    <t>Amanda DoAmaral</t>
  </si>
  <si>
    <t>amanda@fiveable.me</t>
  </si>
  <si>
    <t>+1 (414) 600-9755</t>
  </si>
  <si>
    <t>2550 North Lake Drive</t>
  </si>
  <si>
    <t>PMB 57071</t>
  </si>
  <si>
    <t>53211</t>
  </si>
  <si>
    <t>hi@fiveable.me</t>
  </si>
  <si>
    <t>Expected 30-Jun-2025</t>
  </si>
  <si>
    <t>184213-18</t>
  </si>
  <si>
    <t>FiVerity</t>
  </si>
  <si>
    <t>FiVerity, Inc.</t>
  </si>
  <si>
    <t>Quantifind, MaxMind, Zighra, Pindrop, Trusona, DataVisor, TypingDNA, Transmit Security, Ravelin, Guardian Analytics, EastNets, Fraud.net, ThetaRay, RevenueStream, Bleckwen, SpyCloud, Paladion, Iovation, SentiLink, Emailage, SEON (Network Management Software), Sift (Network Management Software), Easy Solutions, SecuredTouch, NoFraud, FRISS, BioCatch, Securonix, Cofense, Simility, BehavioSec, Verafin, Zimperium, Socure, Fraugster, Illumio, Trulioo, IPQualityScore, Forter, LexisNexis Group, PerimeterX, KOBIL, IDology (Network Management Software), ThreatMetrix, Jumio, Ripjar, Nexthink, NuData Security, RSA Security, Feedzai, Identiq, Accertify, Early Warning</t>
  </si>
  <si>
    <t>Developer of a research and analysis platform designed to offer portfolio analysis to identify fake accounts and other forms of fraud in financial institutions The company's platform enables real-time information sharing among data providers, and anti-fraud resolutions through the anonymized exchange of fraud intelligence, it accelerates the detection and prevention of both known and unknown fraud, delivering proactive alerts, transparent risk scoring, and automated fraud classification, enabling businesses to detect new and emerging forms of cyber fraud and provide actionable, proactive threat intelligence with the power of collaboration.</t>
  </si>
  <si>
    <t>Financial Software, Media and Information Services (B2B), Network Management Software*</t>
  </si>
  <si>
    <t>Artificial Intelligence &amp; Machine Learning, Cybersecurity, SaaS</t>
  </si>
  <si>
    <t>compliance system, cyber fraud detection, financial crime, fraud detection, identity management, identity verification, risk mitigation</t>
  </si>
  <si>
    <t>www.fiverity.com</t>
  </si>
  <si>
    <t>http://www.linkedin.com/company/fiverity</t>
  </si>
  <si>
    <t>2020: 10, 2021: 18, 2022: 19, 2023: 18, 2024: 31</t>
  </si>
  <si>
    <t>The company joined FinTech Sandbox on an undisclosed date.</t>
  </si>
  <si>
    <t>DCU FinTech Innovation Center, Douglas Levin, Fin Capital, Grasshopper Bank, Mendon Venture Partners, Mendoza Ventures, Service Provider Capital</t>
  </si>
  <si>
    <t>DCU FinTech Innovation Center (dcufintech.org), Fin Capital (fin.capital), Grasshopper Bank (www.grasshopper.bank), Mendoza Ventures (mendoza-ventures.com), Service Provider Capital (www.serviceprovidercapital.com)</t>
  </si>
  <si>
    <t>Gesmer Updegrove(Legal Advisor)</t>
  </si>
  <si>
    <t>222430-15P</t>
  </si>
  <si>
    <t>Meghan Sutherland</t>
  </si>
  <si>
    <t>msutherland@fiverity.com</t>
  </si>
  <si>
    <t>+1 (781) 742-7400</t>
  </si>
  <si>
    <t>207 Newbury Street</t>
  </si>
  <si>
    <t>02116</t>
  </si>
  <si>
    <t>info@fiverity.com</t>
  </si>
  <si>
    <t>482190-58</t>
  </si>
  <si>
    <t>Fivestar</t>
  </si>
  <si>
    <t>Fivestar, LLC</t>
  </si>
  <si>
    <t>Developer of sports highlights mobile app designed to help athletes share their contributions to sports. The company's platform aggregates athletic highlights and provides a safe, social, environment for fans and athletes to celebrate athletic achievement and perseverance together, empowering athletes and fans to create, rate, and enjoy their sports highlights.</t>
  </si>
  <si>
    <t>athletics website, content based platform, events journals, sports highlights application, sports media, sports media agency</t>
  </si>
  <si>
    <t>www.fivestar.video</t>
  </si>
  <si>
    <t>http://www.linkedin.com/company/fivestar-app</t>
  </si>
  <si>
    <t>The company raised $3 million of seed funding in a deal led by Brendan Kelly on October 6, 2021. Other undisclosed investors also participated in the round.</t>
  </si>
  <si>
    <t>Brendan Kelly</t>
  </si>
  <si>
    <t>86915-17P</t>
  </si>
  <si>
    <t>Erin McNeally</t>
  </si>
  <si>
    <t>emcneally@fivestarnews.com</t>
  </si>
  <si>
    <t>+1 (866) 994-2957</t>
  </si>
  <si>
    <t>Annapolis, MD</t>
  </si>
  <si>
    <t>164 Conduit Street</t>
  </si>
  <si>
    <t>Annapolis</t>
  </si>
  <si>
    <t>21076</t>
  </si>
  <si>
    <t>info@fivestarapp.com</t>
  </si>
  <si>
    <t>62182-72</t>
  </si>
  <si>
    <t>FlavorCloud</t>
  </si>
  <si>
    <t>FlavorCloud, Inc.</t>
  </si>
  <si>
    <t>LogiNext, SellerActive, Ugam, DeliveryCircle, CEVA Logistics, Revionics, GoDataFeed, Amplitude, nChannel, Wiser Solutions, LogixBoard, Genesys, Source Logistics, Pacvue, Swrve, Passport, ShipStation, Retail Pro, Localytics, Metoda, GoDaddy Sellbrite, Final Mile Logistics, SoundCommerce, Pipe17, DataWeave, Lexer, Clarabridge, ChannelAdvisor, Leanplum, Pandion (Logistics), Webgility, Downstream Impact, parcelLab, Mixpanel, Lytics, import.io, Twilio Segment, Pitney Bowes, Global-e</t>
  </si>
  <si>
    <t>Developer of a cross-border logistics platform intended to make worldwide shipping easy and affordable. The company's platform uses cloud technology and artificial intelligence to offer automated classification of products, and paperwork, country-specific compliance checks, expedited clearance, and product classification, enabling retailers and brand owners to automate a deeply fragmented, antiquated, and opaque logistics industry.</t>
  </si>
  <si>
    <t>Artificial Intelligence &amp; Machine Learning, E-Commerce, SaaS, Supply Chain Tech, TMT</t>
  </si>
  <si>
    <t>cross-border commerce, ecommerce personalization, enterprise supply chain management, global logistics, international shipping platform, international shipping services, internet retailing, logistics company, logistics services firm</t>
  </si>
  <si>
    <t>www.flavorcloud.com</t>
  </si>
  <si>
    <t>http://www.linkedin.com/company/flavorcloud</t>
  </si>
  <si>
    <t>2016: 5, 2017: 6, 2018: 7, 2019: 11, 2020: 13, 2021: 35, 2022: 45, 2023: 45, 2024: 45</t>
  </si>
  <si>
    <t>The company raised $7.94 million of venture funding from undisclosed investors on March 15, 2024.</t>
  </si>
  <si>
    <t>Brian Boland, Carter Eckhert, Charles Songhurst, David Jakubowski, Dennis Joyce, Diane Najm, Family Angel Management Fund, Gary Rubens, James and Jacinta Chadwick, Jordan Levy, Karl Brewer, Keeler Investments Group, Ken Block, Kim Rachmeler, Michelle Golberg, Mucker Capital, Plug and Play Tech Center, Revolution (Washington DC), Satish Raman, Seth Ginns, Tacoma Venture Fund (TVF), Tarek Najm, Willow Growth Partners, WillowTree</t>
  </si>
  <si>
    <t>Family Angel Management Fund (www.familyangelfund.com), Keeler Investments Group (www.keelerinvestments.com), Mucker Capital (www.mucker.com), Plug and Play Tech Center (www.plugandplaytechcenter.com), Revolution (Washington DC) (www.revolution.com), Tacoma Venture Fund (TVF) (www.tacomaventurefund.com), Willow Growth Partners (www.willowgrowth.com), WillowTree (www.willowtreeapps.com)</t>
  </si>
  <si>
    <t>JP Morgan Chase(General Business Banking), Kaufman Filppu Ford(Accounting), SVB Financial Group(General Business Banking)</t>
  </si>
  <si>
    <t>Carney Badley Spellman(Legal Advisor), Orrick(Legal Advisor)</t>
  </si>
  <si>
    <t>97937-11P</t>
  </si>
  <si>
    <t>Rathna Sharad</t>
  </si>
  <si>
    <t>rathna.sharad@flavorcloud.com</t>
  </si>
  <si>
    <t>+1 (855) 242-9969</t>
  </si>
  <si>
    <t>2226 Harvard Avenue East</t>
  </si>
  <si>
    <t>98102</t>
  </si>
  <si>
    <t>contact@flavorcloud.com</t>
  </si>
  <si>
    <t>534439-00</t>
  </si>
  <si>
    <t>Flex (Sacramento)</t>
  </si>
  <si>
    <t>Flex</t>
  </si>
  <si>
    <t>Flex Technology Co</t>
  </si>
  <si>
    <t>Operator of a payment platform intended for businesses to accept flexible spending accounts (FSA) and health savings account (HSA) cards. The company offers a prebuilt, hosted checkout page or UI building blocks to integrate card payments directly into existing payment flow, enabling businesses to attract new customers, grow cart size, and increase conversion by accepting HSA/FSA payments.</t>
  </si>
  <si>
    <t>Financial Software*, Other Financial Services, Other Healthcare Technology Systems</t>
  </si>
  <si>
    <t>FinTech, HealthTech</t>
  </si>
  <si>
    <t>card payment, finance payment technology, health savings, health savings account, payment platform, payment platform integration</t>
  </si>
  <si>
    <t>www.withflex.com</t>
  </si>
  <si>
    <t>http://www.linkedin.com/company/withflex</t>
  </si>
  <si>
    <t>2023: 2, 2024: 10</t>
  </si>
  <si>
    <t>The company raised $3.2 million of seed funding from Harvest Venture Partners, Precursor Ventures and Liquid 2 Ventures on September 4, 2024. Y Combinator and SV Angel also participated in the round. The funds will be used to accelerate product development and sales &amp; marketing, and to capitalize on strong interest from brands in capturing more of the $150B in potential annual HSA/FSA spending.</t>
  </si>
  <si>
    <t>Harvest Venture Partners, Liquid 2 Ventures, Precursor Ventures, SV Angel, Y Combinator</t>
  </si>
  <si>
    <t>Harvest Venture Partners (harvest.ventures), Liquid 2 Ventures (www.liquid2.vc), Precursor Ventures (precursorvc.com), SV Angel (www.svangel.com), Y Combinator (www.ycombinator.com)</t>
  </si>
  <si>
    <t>359050-96P</t>
  </si>
  <si>
    <t>Sam OKeefe</t>
  </si>
  <si>
    <t>sam.okeefe@withflex.com</t>
  </si>
  <si>
    <t>1625 North Market Boulevard</t>
  </si>
  <si>
    <t>Suite North 112</t>
  </si>
  <si>
    <t>95834</t>
  </si>
  <si>
    <t>433624-15</t>
  </si>
  <si>
    <t>FlickPlay</t>
  </si>
  <si>
    <t>Flickplay Inc.</t>
  </si>
  <si>
    <t>Ultraviolet Labs</t>
  </si>
  <si>
    <t>Developer of a gamified content creation platform designed to use augmented reality to merge the physical and digital worlds. The company's platform is based on augmented reality that aids in to release of limited edition products, and exclusive access to samples for sharing videos to earn rewards and points, enabling brands and users with the opportunity to increase engagement and foot traffic while helping individuals to create unique social content.</t>
  </si>
  <si>
    <t>Entertainment Software*, Social Content, Social/Platform Software</t>
  </si>
  <si>
    <t>AdTech, Augmented Reality, Gaming, Marketing Tech</t>
  </si>
  <si>
    <t>brand marketing service, cultural events, engagement system, experiential designing company, gamified social platform, gaming content, gaming developer, gaming publisher, gaming studio, sharing video, social commerce app, social content</t>
  </si>
  <si>
    <t>www.flickplay.co</t>
  </si>
  <si>
    <t>http://www.linkedin.com/company/flickplay</t>
  </si>
  <si>
    <t>2020: 6, 2021: 20, 2022: 23, 2023: 18, 2024: 16</t>
  </si>
  <si>
    <t>The company raised an undisclosed amount of venture funding from Alpha Praetorian Capital, Goal Ventures, Bandai Namco Entertainment Inc (021fund) on November 28, 2023.</t>
  </si>
  <si>
    <t>Abstract Ventures, ACME Innovation, Alpha Praetorian Capital, Alumni Ventures, Aviv Nevo, Bandai Namco Entertainment Inc (021fund), Best Nights VC, Claire Diaz-Ortiz, Cogitent Ventures, Disney Accelerator, Everywhere Ventures, Goal Ventures, Lightspeed Venture Partners, Long Journey Ventures, Magma Partners, Muse Capital, Palrecha Capital, Sebastian Knutsson, Tribe Capital</t>
  </si>
  <si>
    <t>Abstract Ventures (abstract.vc), ACME Innovation (acmeinnovation.com), Alpha Praetorian Capital (www.apvc.capital), Alumni Ventures (www.av.vc), Bandai Namco Entertainment Inc (021fund) (www.021fund.bn-ent.net), Best Nights VC (www.bestnights.vc), Claire Diaz-Ortiz (clairediazortiz.com), Cogitent Ventures (www.cogitent.ventures), Disney Accelerator (www.disneyaccelerator.com), Everywhere Ventures (everywhere.vc), Goal Ventures (www.goalventurepartners.com), Lightspeed Venture Partners (www.lsvp.com), Long Journey Ventures (www.longjourney.vc), Magma Partners (www.magmapartners.com), Muse Capital (www.musecapital.vc), Palrecha Capital (www.palrecha.com), Tribe Capital (www.tribecap.co)</t>
  </si>
  <si>
    <t>226468-54P</t>
  </si>
  <si>
    <t>Pierina Alaimo</t>
  </si>
  <si>
    <t>pierina@flickplay.co</t>
  </si>
  <si>
    <t>+1 (786) 340-7264</t>
  </si>
  <si>
    <t>301 Arizona Avenue</t>
  </si>
  <si>
    <t>Suite 250</t>
  </si>
  <si>
    <t>info@flickplay.co</t>
  </si>
  <si>
    <t>522198-82</t>
  </si>
  <si>
    <t>Flipturn</t>
  </si>
  <si>
    <t>Flipturn Inc.</t>
  </si>
  <si>
    <t>Developer of a fleet and charger management platform intended for electric vehicle charging stations. The company's platform offers features such as real-time monitoring of chargers and vehicles, power management, and charging schedules, enabling transport businesses to optimize their charging infrastructure and streamline their electric vehicle operations.</t>
  </si>
  <si>
    <t>Business/Productivity Software, Media and Information Services (B2B)*, Road</t>
  </si>
  <si>
    <t>Artificial Intelligence &amp; Machine Learning, CleanTech, Mobility Tech, SaaS</t>
  </si>
  <si>
    <t>charger management, ev charging, ev fleet management, fleet electrification, fleet electrification service, vehicle management</t>
  </si>
  <si>
    <t>www.getflipturn.com</t>
  </si>
  <si>
    <t>http://www.linkedin.com/company/flipturn-inc</t>
  </si>
  <si>
    <t>News (New), News (New)</t>
  </si>
  <si>
    <t>The company raised $15.56 million of Series A venture funding in a deal led by CRV on November 19, 2024. Accel and other undisclosed investors also participated in the round.</t>
  </si>
  <si>
    <t>Accel, Background Capital, Comma Capital, CRV, Formulate Ventures</t>
  </si>
  <si>
    <t>Accel (www.accel.com), Background Capital (background.vc), Comma Capital (comma.vc), CRV (www.crv.com), Formulate Ventures (www.formulateventures.com)</t>
  </si>
  <si>
    <t>320695-75P</t>
  </si>
  <si>
    <t>Kathryn Siegel</t>
  </si>
  <si>
    <t>katie@getflipturn.com</t>
  </si>
  <si>
    <t>159 Court Street</t>
  </si>
  <si>
    <t>Unit 3, Brooklyn</t>
  </si>
  <si>
    <t>11201</t>
  </si>
  <si>
    <t>hello@getflipturn.com</t>
  </si>
  <si>
    <t>536040-73</t>
  </si>
  <si>
    <t>Flock AI</t>
  </si>
  <si>
    <t>Developer of AI models for personalized beauty and wellness products designed to generate production-quality content with speed and brand consistency. The company offers a generative AI platform that delivers brand-specific model content for every industry that reflects customers and brand aesthetics and analyzes visual identity and product catalog to generate diverse models with relevant skin tones, makeup looks, hairstyles, and styling, enabling beauty brands to showcase products on virtual models.</t>
  </si>
  <si>
    <t>ai model, beauty products, beauty shopping, brand interaction, gamify application, generative ai, imagery device</t>
  </si>
  <si>
    <t>www.flockshop.ai</t>
  </si>
  <si>
    <t>http://www.linkedin.com/company/flockai</t>
  </si>
  <si>
    <t>2023: 8, 2024: 22</t>
  </si>
  <si>
    <t>The company raised $1.5 million of pre-seed funding in the form of SAFE notes from Outlander VC, Red Swan Ventures and Hustle Fund on April 17, 2024. Dorm Room Fund, The MBA Fund and F4 Fund also participated in the round.</t>
  </si>
  <si>
    <t>Dorm Room Fund, F4 Fund, Hustle Fund, New York Fashion Tech Lab, Outlander VC, Red Swan Ventures, The MBA Fund, Venture Lab (University of Pennsylvania)</t>
  </si>
  <si>
    <t>Dorm Room Fund (www.dormroomfund.com), F4 Fund (www.f4.fund), Hustle Fund (www.hustlefund.vc), New York Fashion Tech Lab (www.nyftlab.com), Outlander VC (www.outlander.vc), Red Swan Ventures (www.redswanventures.com), The MBA Fund (www.thembafund.com), Venture Lab (University of Pennsylvania) (venturelab.upenn.edu)</t>
  </si>
  <si>
    <t>366817-33P</t>
  </si>
  <si>
    <t>Manvitha Mallela</t>
  </si>
  <si>
    <t>10007</t>
  </si>
  <si>
    <t>hi@flockshopping.com</t>
  </si>
  <si>
    <t>224060-59</t>
  </si>
  <si>
    <t>Floodbase</t>
  </si>
  <si>
    <t>Cloud to Street</t>
  </si>
  <si>
    <t>Cloud to Street PBC</t>
  </si>
  <si>
    <t>Developer of a remote sensing platform designed to track floods in real-time. The company's platform uses satellites and artificial intelligence to observe floods without ground equipment, algorithms to smooth out difficult terrain and eliminate clouds to see the floods below, monitors people and assets at risk, pinpoints blocked roads, and measures the amount of property and agricultural damage, enabling catastrophe insurers, communities, and watershed managers to understand their risk and prepare and respond to the next flood.</t>
  </si>
  <si>
    <t>Business/Productivity Software, Media and Information Services (B2B)*, Other Hardware</t>
  </si>
  <si>
    <t>Artificial Intelligence &amp; Machine Learning, Big Data, Space Technology</t>
  </si>
  <si>
    <t>analytics platform, flood management, flood mapping, industrial data analytics, location intelligence platform, real time mapping, remote sensing platform, remote sensing software, remote sensing system, vertical application</t>
  </si>
  <si>
    <t>www.floodbase.com</t>
  </si>
  <si>
    <t>http://www.linkedin.com/company/flood-base</t>
  </si>
  <si>
    <t>2018: 7, 2020: 18, 2021: 21, 2022: 27, 2023: 29, 2024: 32</t>
  </si>
  <si>
    <t>The company joined Lloyd's Lab on September 6, 2023 as a part of 11th Cohort. No equity or funding was exchanged as a result of this program.</t>
  </si>
  <si>
    <t>Agence Francaise de Developpement, Alphabet, Burnt Island Ventures, Collaborative Fund, Draper Richards Kaplan Foundation, Floating Point, For Good Ventures, GoodCompany Ventures, Imagine H2O, Lloyd's Lab, Lowercarbon Capital, Lowercase Capital, MCJ, Miller Center for Social Entrepreneurship, Overture Climate VC, Plug and Play Tech Center, Refactor Capital, The World Bank Group, Vidavo Ventures</t>
  </si>
  <si>
    <t>Agence Francaise de Developpement (www.afd.fr), Alphabet (www.abc.xyz), Burnt Island Ventures (www.burntislandventures.com), Collaborative Fund (www.collabfund.com), Draper Richards Kaplan Foundation (www.drkfoundation.org), Floating Point (www.floating.vc), For Good Ventures (www.forgoodventures.com), GoodCompany Ventures (www.goodcompanyventures.org), Imagine H2O (www.imagineh2o.org), Lloyd's Lab (www.lloydslab.com), Lowercarbon Capital (www.lowercarboncapital.com), Lowercase Capital (www.lowercasecapital.com), MCJ (www.mcj.vc), Miller Center for Social Entrepreneurship (millersocent.org), Overture Climate VC (www.overture.vc), Plug and Play Tech Center (www.plugandplaytechcenter.com), Refactor Capital (www.refactor.com), The World Bank Group (www.worldbank.org), Vidavo Ventures (www.vidavo.co)</t>
  </si>
  <si>
    <t>177860-08P</t>
  </si>
  <si>
    <t>Bessie Schwarz</t>
  </si>
  <si>
    <t>bessie@cloudtostreet.info</t>
  </si>
  <si>
    <t>147 Prince Street</t>
  </si>
  <si>
    <t>hello@floodbase.com</t>
  </si>
  <si>
    <t>489934-63</t>
  </si>
  <si>
    <t>Flowcarbon</t>
  </si>
  <si>
    <t>Flow</t>
  </si>
  <si>
    <t>Flow Carbon Inc.</t>
  </si>
  <si>
    <t>Supercritical ( Environmental Services (B2B)), Emitwise, Sweep (Environmental Services), Pachama, Persefoni, Greener (Media and Information Services (B2B)), Normative, SINAI, Climatetrade, Carbon Analytics, ACX (Financial Software), Cloverly, Cleartrace, Sylvera, Terrapass</t>
  </si>
  <si>
    <t>Developer of a carbon token technology designed to accelerate decarbonization through nature-based climate operations. The company's technology offers token-backed one-to-one by premium, nature-based carbon credits and focuses on premium renewable energy projects that optimize benefits and prioritize climate mitigation, local and indigenous communities, and biodiversity protection to provide offset and offers world-class project finance and technology, project development and credit portfolio services, enabling businesses to change lives and keep carbon sequestered in the ground.</t>
  </si>
  <si>
    <t>Business/Productivity Software, Environmental Services (B2B), Other Financial Services*</t>
  </si>
  <si>
    <t>CleanTech, Climate Tech, Cryptocurrency/Blockchain</t>
  </si>
  <si>
    <t>assets tokenization, carbon credit trading, carbon marketplace, carbon offset platform, carbon tech, climate change, climate change solution, decentralized finance, defi, voluntary carbon market infrastructure</t>
  </si>
  <si>
    <t>Decentralized Finance, Carbon Offset Trading Platforms</t>
  </si>
  <si>
    <t>www.flowcarbon.com</t>
  </si>
  <si>
    <t>http://www.linkedin.com/company/flowcarbon</t>
  </si>
  <si>
    <t>2022: 35, 2023: 41, 2024: 40</t>
  </si>
  <si>
    <t>The company raised $32 million of Series A venture funding in a deal led by Andreessen Horowitz and Marc Andreessen on July 6, 2022. Centrifuge and 19 other investors also participated in the round.</t>
  </si>
  <si>
    <t>166 2nd Financial Services, Allegory (New York), Andreessen Horowitz, Ashley Levinson, BoxGroup, Centrifuge, Climate Capital, Coral DeFi, Fifth Wall, Fos Finance, General Catalyst, Hemma Group (Zurich), Intersection Growth Partners, Invesco, Kevin Turen, Marc Andreessen, RSE Ventures, Sam Levinson, Samsung NEXT Ventures, Spice Capital, Sunset Ventures (Los Angeles), Vibe Cap</t>
  </si>
  <si>
    <t>Allegory (New York) (www.allegory.earth), Andreessen Horowitz (www.a16z.com), BoxGroup (www.boxgroup.com), Centrifuge (www.centrifuge.io), Climate Capital (www.climatecapital.co), Coral DeFi (www.coralcapital.io), Fifth Wall (www.fifthwall.com), Fos Finance (www.fos.finance), General Catalyst (www.generalcatalyst.com), Hemma Group (Zurich) (www.hemma-group.com), Intersection Growth Partners (www.intersectiongp.com), Invesco (www.invesco.com/corporate), RSE Ventures (www.rseventures.com), Samsung NEXT Ventures (www.samsungnext.com), Spice Capital (www.spicecapital.xyz), Sunset Ventures (Los Angeles) (sunsetventures.xyz), Vibe Cap (www.vibecap.co)</t>
  </si>
  <si>
    <t>104145-31P</t>
  </si>
  <si>
    <t>Dana Gibber</t>
  </si>
  <si>
    <t>dana@flowcarbon.com</t>
  </si>
  <si>
    <t>+1 (908) 793-8359</t>
  </si>
  <si>
    <t>88 University Place</t>
  </si>
  <si>
    <t>info@flowcarbon.com</t>
  </si>
  <si>
    <t>268050-07</t>
  </si>
  <si>
    <t>Fohlio</t>
  </si>
  <si>
    <t>Fohlio, Inc.</t>
  </si>
  <si>
    <t>MasterControl, Acumatica, Contraqer, Pipedrive, Allant Group, Specright, Mapp Digital, Insightly, MediaMath, ConnXus, Velocidi, Permutive, Safefood 360, iTradeNetwork, Aria Systems, Agile CRM, Keap, Celtra, Plex Systems, Salesboom, ArrowStream, Datorama, Expenzing, CAI Software, GFT, Relay42, Lotame, Global Shop Solutions, Intuiflow, Intact, Pointillist, RizePoint</t>
  </si>
  <si>
    <t>Developer of an easy-to-use specification and scheduling software designed to help the construction industry to centralize building material data and the transaction process. The company's software streamlines the creation of project schedules, product documents, and presentation materials and integrates them into user's projects more efficiently, enabling architects, designers, engineers, and contractors to research, select and incorporate building products into their projects effortlessly.</t>
  </si>
  <si>
    <t>Construction Technology, SaaS</t>
  </si>
  <si>
    <t>analytics &amp; cdps, analytics and cdps, construction management software, construction project management, construction technology, interior design software, procurement analytics, procurement logistic</t>
  </si>
  <si>
    <t>www.fohlio.com</t>
  </si>
  <si>
    <t>http://www.linkedin.com/company/fohlio</t>
  </si>
  <si>
    <t>2021: 27, 2022: 34, 2023: 39, 2024: 32</t>
  </si>
  <si>
    <t>The company raised $3.15 million of seed funding in a deal led by Brick &amp; Mortar Ventures on May 3, 2022. Dreamit Ventures and Ocean Azul Partners also participated in the round. The funds will be used to develop better and stronger software features.</t>
  </si>
  <si>
    <t>Brick &amp; Mortar Ventures, Dreamit Ventures, Liebenthal Ventures, Ocean Azul Partners, Plug and Play Tech Center, Quake Capital, Valued Ventures</t>
  </si>
  <si>
    <t>Brick &amp; Mortar Ventures (www.brickmortar.vc), Dreamit Ventures (www.dreamit.com), Liebenthal Ventures (www.liebenthalventures.com), Ocean Azul Partners (www.oceanazulpartners.com), Plug and Play Tech Center (www.plugandplaytechcenter.com), Quake Capital (www.quakecapital.com), Valued Ventures (www.valued.ventures)</t>
  </si>
  <si>
    <t>206408-08P</t>
  </si>
  <si>
    <t>Hubin Yu</t>
  </si>
  <si>
    <t>hubin@fohlio.com</t>
  </si>
  <si>
    <t>+1 (646) 362-4944</t>
  </si>
  <si>
    <t>1 Liberty Street</t>
  </si>
  <si>
    <t>info@fohlio.com</t>
  </si>
  <si>
    <t>500617-99</t>
  </si>
  <si>
    <t>Folio (Information Services (B2C))</t>
  </si>
  <si>
    <t>Gudwork</t>
  </si>
  <si>
    <t>Folio</t>
  </si>
  <si>
    <t>Folio Inc.</t>
  </si>
  <si>
    <t>Operator of a talent accelerant platform intended to turn students into freelancers so they can graduate debt-free and experience-rich. The company builds impressive portfolios and a network to launch its careers and facilitates paid freelance projects between emerging professionals and a community of supportive founders, enabling students to access flexible professional experience.</t>
  </si>
  <si>
    <t>economic empowerment, freelance marketplace, internships, opportunity execution, opportunity platform, opportunity zones, portfolio building, skills enhancement, upward mobility</t>
  </si>
  <si>
    <t>www.folio.works</t>
  </si>
  <si>
    <t>http://www.linkedin.com/company/folioworks</t>
  </si>
  <si>
    <t>The company raised $4.1 million of seed funding from Microsoft, Bloomberg Beta, and Array Ventures on August 1, 2024. City Light Capital, Antler, Visible Hands, Bá Minuzzi, Dug Song, Potencia Ventures, and DuContra Ventures also participated in the round. The funding was originally raised in the form of SAFE notes and subsequently converted to equity.</t>
  </si>
  <si>
    <t>Antler, Array Ventures, Bá Minuzzi, Bloomberg Beta, City Light Capital, Douglas Song, DuContra Ventures, gener8tor, Microsoft, Potencia Ventures, Visible Hands</t>
  </si>
  <si>
    <t>Antler (www.antler.co), Array Ventures (www.array.vc), Bloomberg Beta (www.bloombergbeta.com), City Light Capital (www.citylight.vc), DuContra Ventures (www.ducontra.ventures), gener8tor (www.gener8tor.com), Microsoft (www.microsoft.com), Potencia Ventures (potenciaventures.net), Visible Hands (www.visiblehands.vc)</t>
  </si>
  <si>
    <t>306673-39P</t>
  </si>
  <si>
    <t>Catherine Huang</t>
  </si>
  <si>
    <t>cathy@folio.works</t>
  </si>
  <si>
    <t>2 Sereno Circle</t>
  </si>
  <si>
    <t>94619</t>
  </si>
  <si>
    <t>hello@folio.works</t>
  </si>
  <si>
    <t>501100-12</t>
  </si>
  <si>
    <t>Foodmeets</t>
  </si>
  <si>
    <t>Foodmeets, LLC</t>
  </si>
  <si>
    <t>Operator of a social networking platform intended to bring like-minded people together. The company specializes in connecting groups of people, recommending local restaurants, and scheduling times to meet with matches, enabling users to meet and connect.</t>
  </si>
  <si>
    <t>Other Restaurants, Hotels and Leisure, Social/Platform Software*</t>
  </si>
  <si>
    <t>connecting people, meeting manager, meeting platform, meetups app, mobile app, scheduling system, social networking app, socializing platform, socializing spaces</t>
  </si>
  <si>
    <t>www.foodmeets.co</t>
  </si>
  <si>
    <t>http://www.linkedin.com/company/foodmeets</t>
  </si>
  <si>
    <t>The company raised $5,000 of venture funding from IU Ventures on April 19, 2022.</t>
  </si>
  <si>
    <t>Elevate Ventures, IU Ventures</t>
  </si>
  <si>
    <t>Elevate Ventures (www.elevateventures.com), IU Ventures (www.iuventures.com)</t>
  </si>
  <si>
    <t>306 East Melrose Avenue</t>
  </si>
  <si>
    <t>Suite 408</t>
  </si>
  <si>
    <t>47401</t>
  </si>
  <si>
    <t>+1 (317) 586-0227</t>
  </si>
  <si>
    <t>224235-91</t>
  </si>
  <si>
    <t>Founders First Capital Partners</t>
  </si>
  <si>
    <t>Founders First, FFCP</t>
  </si>
  <si>
    <t>Founders First Capital Partners, Inc.</t>
  </si>
  <si>
    <t>Developer of a proprietary platform designed to offer revenue-based funding and business acceleration support. The company builds a comprehensive ecosystem through its platform to support service-based small businesses located outside of major capital markets, helping businesses led by women, people of color, LGBTQ+, and military veterans to help them grow.</t>
  </si>
  <si>
    <t>Consulting Services (B2B), Financial Software, Other Financial Services, Specialized Finance*</t>
  </si>
  <si>
    <t>business finance service, business funding, financing platform, financing service provider, funding platform, funding provides, revenue-based financing, revenue-based financing platform</t>
  </si>
  <si>
    <t>www.foundersfirstcapitalpartners.com</t>
  </si>
  <si>
    <t>http://www.linkedin.com/company/founders-first-capital-partners</t>
  </si>
  <si>
    <t>2021: 44, 2022: 43, 2023: 46, 2024: 40</t>
  </si>
  <si>
    <t>The company raised $11 million of Series A1 venture funding in a deal led by Surdna Foundation and Rockefeller Foundation on November 9, 2021. C E S and 6 other investors also participated in the round. The funds will be used to accelerate financing and advisory support for diverse-led small businesses.</t>
  </si>
  <si>
    <t>Arc Chicago, LLC, C E S, Catalyst Fund, Ewing Marion Kauffman Foundation, Impact Assets, John D. and Catherine T. MacArthur Foundation, Lindmor Foundations, Pivotal Ventures, Rockefeller Foundation, Schultz Family Foundation, Spring Point Partners, Surdna Foundation, W.K. Kellogg Foundation</t>
  </si>
  <si>
    <t>C E S (www.ces.tech), Catalyst Fund (www.thecatalystfund.com), Ewing Marion Kauffman Foundation (www.kauffman.org), Impact Assets (www.impactassets.org), John D. and Catherine T. MacArthur Foundation (www.macfound.org), Pivotal Ventures (www.pivotalventures.org), Rockefeller Foundation (www.rockefellerfoundation.org), Schultz Family Foundation (www.schultzfamilyfoundation.org), Spring Point Partners (www.thespringpoint.com), Surdna Foundation (www.surdna.org), W.K. Kellogg Foundation (www.wkkf.org)</t>
  </si>
  <si>
    <t>Community Investment Management(Debt Financing), DLA Piper(Legal Advisor)</t>
  </si>
  <si>
    <t>84394-09P</t>
  </si>
  <si>
    <t>Kim Folsom</t>
  </si>
  <si>
    <t>Founder, Chief Executive Officer &amp; Chairperson</t>
  </si>
  <si>
    <t>kim_folsom@foundersfirstcapitalpartners.com</t>
  </si>
  <si>
    <t>+1 (858) 755-4635</t>
  </si>
  <si>
    <t>9920 Pacific Heights Boulevard</t>
  </si>
  <si>
    <t>+1 (858) 264-4102</t>
  </si>
  <si>
    <t>info@f1stcp.com</t>
  </si>
  <si>
    <t>Term Loan - $100.00M</t>
  </si>
  <si>
    <t>532706-95</t>
  </si>
  <si>
    <t>Fountain (New York)</t>
  </si>
  <si>
    <t>Fountain</t>
  </si>
  <si>
    <t>Fountain Platform Inc.</t>
  </si>
  <si>
    <t>Operator of web3 access management platform intended to provide safe and compliant Web3 access for companies and employees. The company's platform integrates custody accounts, exchanges, wallets and dApps into a single system, enabling business managers to delegate access to employees without sharing private keys.</t>
  </si>
  <si>
    <t>Cryptocurrency/Blockchain, FinTech, Mobile, SaaS</t>
  </si>
  <si>
    <t>access management platform, audit trail, blockchain technology, wallets platform, web3 dapps, web3 technology</t>
  </si>
  <si>
    <t>fountainplatform.com</t>
  </si>
  <si>
    <t>http://www.linkedin.com/company/fountainplatform</t>
  </si>
  <si>
    <t>The company raised $3.5 million of seed funding from Caladan, Blockchain Founders Fund and Foundation Capital on June 27, 2023, putting the company's pre-money valuation at $14 million. Primal Capital (Abu Dhabi) and 6 other investors also participated in the round. The Funds will be used to fuel development, user testing, and security audits while providing working capital to expand hires in sales, technology, and compliance. Earlier, the company joined Alliance DAO as a part of ALL10 cohort on May 18, 2023 and received $250,000 in funding.</t>
  </si>
  <si>
    <t>Alliance DAO, Blockchain Founders Fund, Caladan, Druid Ventures, FirstHand Alliance, Foundation Capital, Marin Digital Ventures, MHC Digital Finance, Nathan McCauley, NGC Ventures, Primal Capital (Web3), Rene Reinsberg, United Overseas Bank</t>
  </si>
  <si>
    <t>Alliance DAO (www.alliance.xyz), Blockchain Founders Fund (blockchainff.com), Caladan (www.caladan.xyz), Druid Ventures (www.druidventures.com), FirstHand Alliance (www.firsthand.vc), Foundation Capital (www.foundationcapital.com), Marin Digital Ventures (www.marinventures.com), MHC Digital Finance (mhcdigitalgroup.com), NGC Ventures (www.ngc.fund), Primal Capital (Web3) (www.primalcapital.io), United Overseas Bank (www.uobgroup.com)</t>
  </si>
  <si>
    <t>211590-19P</t>
  </si>
  <si>
    <t>Morgan Lai</t>
  </si>
  <si>
    <t>morgan@formulateventures.com</t>
  </si>
  <si>
    <t>Manhattan</t>
  </si>
  <si>
    <t>info@fountainplatform.com</t>
  </si>
  <si>
    <t>443082-61</t>
  </si>
  <si>
    <t>FourthBrain</t>
  </si>
  <si>
    <t>FourthBrain, Inc.</t>
  </si>
  <si>
    <t>Provider of artificial intelligence education and training services intended to create accessible and flexible pathways to AI and machine learning careers. The company's hybrid online learning programs include algorithms and system design, scalability, and deployment, machine learning for computer vision, transfer learning, and soft skills training coupled with practicals and projects in a realistic professional setting, enabling students and aspirants to leverage and convert opportunities in the AI domain.</t>
  </si>
  <si>
    <t>artificial intelligence learning, artificial intelligence system, artificial intelligence training, education and training, machine learning training, training service, workforce development</t>
  </si>
  <si>
    <t>www.fourthbrain.ai</t>
  </si>
  <si>
    <t>http://www.linkedin.com/company/fourthbrainai</t>
  </si>
  <si>
    <t>2020: 5, 2021: 13, 2022: 13, 2024: 10</t>
  </si>
  <si>
    <t>The company raised $1.6 million of seed funding from AI Fund in October 2021.</t>
  </si>
  <si>
    <t>AI Fund</t>
  </si>
  <si>
    <t>AI Fund (www.aifund.ai)</t>
  </si>
  <si>
    <t>137533-96P</t>
  </si>
  <si>
    <t>Salwa Muhammad</t>
  </si>
  <si>
    <t>salwa@fourthbrain.ai</t>
  </si>
  <si>
    <t>+1 (781) 974-5256</t>
  </si>
  <si>
    <t>Suite 115</t>
  </si>
  <si>
    <t>info@fourthbrain.ai</t>
  </si>
  <si>
    <t>513391-96</t>
  </si>
  <si>
    <t>Fractal Protocol</t>
  </si>
  <si>
    <t>Fractal</t>
  </si>
  <si>
    <t>Fractal Network Ltd.</t>
  </si>
  <si>
    <t>BlockFi, Symbiont.io, Bloq, Amberdata, AlphaPoint, Skuchain, Deribit, AZA Finance, Fidelity Digital Assets, Offchain Labs, Stripe, Fireblocks, Invsta, Blockchain.com, Router Protocol, Moralis, Bitpanda, Digital Asset, Staked, MyCointainer, Chain, 5ire, BitGo, Polkadot, Figment (Financial Software), R3, Guardtime, Coinbase Global, Coinigy, Coinify, BitFury, Zeeve, Chainalysis, Nomics, Solana, Aeternity, Bitfinex, BitPay, Coinvise, CertiK, Blockdaemon, Stampery, Algorand Technologies, Bison Trails</t>
  </si>
  <si>
    <t>Developer of an omnichannel fixed yield platform intended to expand the digital economy by making decentralized finance, institutional grade and capital efficient. The company's platform provides secure and capital-efficient access to defi, enabling clients to get diversified yield exposure with cross-collateralizing margin accounts, built-in clearing and reporting.</t>
  </si>
  <si>
    <t>capital market, decentralized finance, decentralized finance protocol, decentralized finance security, digital economy, digital economy analytics, digital economy regulation</t>
  </si>
  <si>
    <t>www.fractalprotocol.org</t>
  </si>
  <si>
    <t>http://www.linkedin.com/company/fractal-network</t>
  </si>
  <si>
    <t>2023: 7, 2024: 8</t>
  </si>
  <si>
    <t>The company raised $6 million of seed funding in a deal led by Hack VC on April 17, 2023. Blizzard Avalanche Fund, CoinShares Ventures and 14 other investors also participated in the round. The funds will be used to continue launching institutional-grade products that facilitate capital efficiency, transparency, as well as a simplified user journey.</t>
  </si>
  <si>
    <t>6th Man Ventures, Akshai Rajendran, Anand Gomes, Archetype (venture firm), Blizzard Avalanche Fund, Circle Ventures, CMT Digital, CoinShares Ventures, GoldenTree Asset Management, Hack VC, Josh Frank, Plug and Play Tech Center, QCP Group, Shiliang Tang, Sidney Powell, Spartan Group</t>
  </si>
  <si>
    <t>6th Man Ventures (www.6thman.ventures), Archetype (venture firm) (www.archetype.fund), Blizzard Avalanche Fund (www.blizzard.fund), Circle Ventures (www.circleventures.com), CMT Digital (cmt.digital), GoldenTree Asset Management (www.goldentree.com), Hack VC (www.hack.vc), Plug and Play Tech Center (www.plugandplaytechcenter.com), QCP Group (www.qcpgroup.com), Spartan Group (www.spartangroup.io)</t>
  </si>
  <si>
    <t>343837-27P</t>
  </si>
  <si>
    <t>Aya Kantorovich</t>
  </si>
  <si>
    <t>459548-38</t>
  </si>
  <si>
    <t>Fractional</t>
  </si>
  <si>
    <t>Fractional, Inc.</t>
  </si>
  <si>
    <t>Developer of a fractional real estate investment platform designed to make investing accessible to everyone by making it inclusive, educational, collaborative, and fun. The company's platform offers a variety of investment properties, including single-family homes and multi-family homes, enabling investors to make rental income and appreciation gains with no annual fees or holding period.</t>
  </si>
  <si>
    <t>FinTech, Real Estate Technology, SaaS</t>
  </si>
  <si>
    <t>financial services, fractional ownership, fractional real estate, investment property, real estate investment, residential investment</t>
  </si>
  <si>
    <t>www.fractional.app</t>
  </si>
  <si>
    <t>http://www.linkedin.com/company/fractionalapp</t>
  </si>
  <si>
    <t>2021: 13, 2022: 12</t>
  </si>
  <si>
    <t>The company raised $15 million of Series A venture funding in a deal led by Fifth Wall on November 6, 2024. Other undisclosed investors also participated in this round.</t>
  </si>
  <si>
    <t>99 Tartans, Contrary (San Francisco), Conversion Capital, CRV, Dreamers VC, Eugene Marinelli, Fifth Wall, Global Founders Capital, Goodwater Capital, Kevin Durant, Left Lane Capital, On Deck, Outbound Ventures, Path Ventures, Patrick McCormick, Potluck Ventures, Rankin Ventures, Second Century Ventures, Soma Capital, Twenty Two Ventures, Unusual Ventures, Willard Smith, Y Combinator</t>
  </si>
  <si>
    <t>99 Tartans (99tartans.com), Contrary (San Francisco) (www.contrary.com), Conversion Capital (www.conversioncapital.com), CRV (www.crv.com), Dreamers VC (www.dreamers.vc), Eugene Marinelli (eugenemarinelli.com), Fifth Wall (www.fifthwall.com), Global Founders Capital (www.globalfounderscapital.com), Goodwater Capital (www.goodwatercap.com), Left Lane Capital (www.leftlane.com), On Deck (www.beondeck.com), Outbound Ventures (www.outboundventures.com), Path Ventures (www.path.vc), Potluck Ventures (www.potluck.vc), Rankin Ventures (rankin.ventures), Second Century Ventures (scv.vc), Soma Capital (somacap.com), Twenty Two Ventures (www.twentytwo.vc), Unusual Ventures (www.unusual.vc), Willard Smith (www.willsmith.com), Y Combinator (www.ycombinator.com)</t>
  </si>
  <si>
    <t>Fenwick &amp; West(Legal Advisor), Thomas Kwong(Advisor: General)</t>
  </si>
  <si>
    <t>257658-49P</t>
  </si>
  <si>
    <t>Stella Han</t>
  </si>
  <si>
    <t>shan@fractional.app</t>
  </si>
  <si>
    <t>+1 (650) 204-0689</t>
  </si>
  <si>
    <t>PH5</t>
  </si>
  <si>
    <t>team@fractional.app</t>
  </si>
  <si>
    <t>495479-89</t>
  </si>
  <si>
    <t>Fresh Sends</t>
  </si>
  <si>
    <t>Fresh Senders LLC</t>
  </si>
  <si>
    <t>Operator of a gifting platform intended to offer quality gift items. The company's platform offers customized bouquets, sweatshirts, car fresheners, hats, and tees, helping customers to reclaim authentic connections through gifts.</t>
  </si>
  <si>
    <t>Specialty Retail</t>
  </si>
  <si>
    <t>Application Software, Other Consumer Durables, Other Services (B2C Non-Financial), Specialty Retail*</t>
  </si>
  <si>
    <t>bouquet delivery, bouquet seller, customized bouquet, gifting items, gifting platform, gifting website</t>
  </si>
  <si>
    <t>www.freshsends.com</t>
  </si>
  <si>
    <t>http://www.linkedin.com/company/freshsends</t>
  </si>
  <si>
    <t>2022: 8, 2023: 12, 2024: 12</t>
  </si>
  <si>
    <t>The company raised $550,000 of venture funding in a deal led by Sidera Labs on March 28, 2022. Karelle Golda, Priscilla Tsai, and Jeremy Cai also participated in the round.</t>
  </si>
  <si>
    <t>Jeremy Cai, Karelle Golda, Priscilla Tsai, Sidera Labs</t>
  </si>
  <si>
    <t>Sidera Labs (www.sideralabs.com)</t>
  </si>
  <si>
    <t>298667-44P</t>
  </si>
  <si>
    <t>Ty Hiss</t>
  </si>
  <si>
    <t>ty@freshsends.com</t>
  </si>
  <si>
    <t>+1 (888) 488-2924</t>
  </si>
  <si>
    <t>PO Box 0000</t>
  </si>
  <si>
    <t>80211</t>
  </si>
  <si>
    <t>hello@freshsends.com</t>
  </si>
  <si>
    <t>470897-65</t>
  </si>
  <si>
    <t>Frich</t>
  </si>
  <si>
    <t>Frich, Inc.</t>
  </si>
  <si>
    <t>Developer of a social finance application designed to make money social by introducing savings challenges with friends. The company's application creates social spending challenges with friends, tracks social spending, sets savings goals, and provides rewards for winning challenges and goals, enabling users to make informed choices and navigate financial lives in a better way.</t>
  </si>
  <si>
    <t>financial services app, money management, money saving app, online challenge, personal financial management, rewards technology, social finance company, wealthtech</t>
  </si>
  <si>
    <t>www.getfrich.com</t>
  </si>
  <si>
    <t>http://www.linkedin.com/company/frichmoney</t>
  </si>
  <si>
    <t>2021: 15, 2022: 29, 2023: 4</t>
  </si>
  <si>
    <t>The company raised $2.8 million through a combination of Seed-1, Seed-2, and Seed-3 funding in a deal led by Restive Ventures on May 30, 2023, putting the company's pre-money valuation at $8.2 million. Central Payments and 10 other investors also participated in the round. The funds will be used by the company to make key hires, including a former Bumble employee to lead growth and an early Robinhood employee to work in product.</t>
  </si>
  <si>
    <t>Antler, Corinne Nevinny, Falls Fintech, K20 Fund, Lair East Labs, NYU Summer Launchpad, Red Cedar Ventures, Restive Ventures, Sunstone Management</t>
  </si>
  <si>
    <t>Antler (www.antler.co), Falls Fintech (www.fallsfintech.com), K20 Fund (www.k20fund.com), Lair East Labs (www.laireastlabs.com), Red Cedar Ventures (www.redcedarventures.com), Restive Ventures (www.restive.com), Sunstone Management (www.sunstoneinvestment.com)</t>
  </si>
  <si>
    <t>Brown Rudnick(Legal Advisor), McCarter &amp; English(Legal Advisor)</t>
  </si>
  <si>
    <t>270640-54P</t>
  </si>
  <si>
    <t>Katrin Kaurov</t>
  </si>
  <si>
    <t>katrin@getfrich.com</t>
  </si>
  <si>
    <t>Apartment 1407</t>
  </si>
  <si>
    <t>558 Fulton, Brooklyn</t>
  </si>
  <si>
    <t>hello@getfrich.com</t>
  </si>
  <si>
    <t>503171-11</t>
  </si>
  <si>
    <t>Functional Finance</t>
  </si>
  <si>
    <t>Business in a Box Solutions</t>
  </si>
  <si>
    <t>FF</t>
  </si>
  <si>
    <t>Functional Finance Technologies LLC</t>
  </si>
  <si>
    <t>OneShield, Socotra, Internet Pipeline, EIS Group Software, Ventiv Technology, UniRisX, Keylane, Bond-Pro, RGI Group, Applied Systems, EZLynx, Insurity, Eucon, Acturis Group, Vitech Systems Group, Transactor Global Solutions, Riskonnect, Verient, Rulebook, VUE Software, PCMS (Insurance Administration Platform), Invenger, Fadata (Munich), AgencyBloc, Brovada Technologies, Parascript, Oceanwide, Ebix, Kronos Technologies, Insuresoft, Zywave, Prima Solutions, NuGen IT, RiskGenius, Activus, Origami Risk, Workiva, TAI Life Reinsurance, Adcubum, Bill It Now, Majesco, TIA Technology, Ascend (Financial Software), SIlvervine, SoftPro, Vertafore, TCube Solutions, Aisus, eBaoTech, Element (Insurance), StoneRiver, Athenium Analytics, ISCS, Duck Creek Technologies, Intellect SEEC, Guidewire Software, DAVID, FirstBest, ClaimVantage, Agencyport Software, riverrocksystems, 3C Deutschland, Benefix, Code SixFour, Systema Software, Emerson Software Solutions</t>
  </si>
  <si>
    <t>Developer of a financial software designed to increase the operational efficiency of the insurance industry. The company's platform offers tools for billing, invoicing, payment collection, statement generation, and real-time, automatic reconciliation on every invoice and policy, enabling insurance operators to unify and automate all financial operations and workflows and offer services without replacing their current infrastructure.</t>
  </si>
  <si>
    <t>FinTech, InsurTech, SaaS</t>
  </si>
  <si>
    <t>enterprise resource planning, financial management system, financial service infrastructure, insurance industry tool, insurance payment platform, payables automation, payables management, premium payment platform</t>
  </si>
  <si>
    <t>www.functionalfi.com</t>
  </si>
  <si>
    <t>http://www.linkedin.com/company/functional-fi</t>
  </si>
  <si>
    <t>2023: 14, 2024: 29</t>
  </si>
  <si>
    <t>The company raised $20 million through a combination of Series A-1 and Series A-2 venture funding in a deal led by Walkabout Ventures on September 19, 2024, putting the company's pre-money valuation at $60.15 million. Munich Re Ventures, Summit Peak Investments, and Philip Edmundson also participated in the round. The funding will be used to fuel platform expansion and strategic hiring.</t>
  </si>
  <si>
    <t>Altai Ventures, AltaIR Capital, Crystal Venture Partners, Gold House Ventures, Munich Re Ventures, New Enterprise Associates, Philip Edmundson, Summit Peak Investments, The Starr Foundation, Walkabout Ventures</t>
  </si>
  <si>
    <t>Altai Ventures (www.altaiventures.com), AltaIR Capital (www.altair.vc), Crystal Venture Partners (www.crystalventurepartners.com), Gold House Ventures (www.goldhouse.org), Munich Re Ventures (www.munichreventures.com), New Enterprise Associates (www.nea.com), Summit Peak Investments (www.summitpeak.com), The Starr Foundation (www.starrfoundation.org), Walkabout Ventures (www.walkabout.vc)</t>
  </si>
  <si>
    <t>Polsinelli(Legal Advisor)</t>
  </si>
  <si>
    <t>311392-99P</t>
  </si>
  <si>
    <t>Rashmi Melgiri</t>
  </si>
  <si>
    <t>rashmi@functionalfi.com</t>
  </si>
  <si>
    <t>+1 (508) 561-8887</t>
  </si>
  <si>
    <t>PMB 68044</t>
  </si>
  <si>
    <t>hello@functionalfi.com</t>
  </si>
  <si>
    <t>484752-16</t>
  </si>
  <si>
    <t>Fundid</t>
  </si>
  <si>
    <t>Fundid, Inc.</t>
  </si>
  <si>
    <t>Developer of a financial advisory platform intended to help entrepreneurs find resources to grow their businesses. The company's platform specializes in securing optimum grant and incentive funding by matching owners with business grants, enabling female entrepreneurs to establish and grow their business operations.</t>
  </si>
  <si>
    <t>business funding, financial advisory group, grant management, grants funding, grants matching, grants provider, grants seeking</t>
  </si>
  <si>
    <t>www.getfundid.com</t>
  </si>
  <si>
    <t>http://www.linkedin.com/company/fundid</t>
  </si>
  <si>
    <t>2021: 9, 2022: 10, 2023: 11</t>
  </si>
  <si>
    <t>The company raised $5.25 million of seed funding in a deal led by Nevcaut Ventures on August 17, 2022. Wheelhouse Digital Studios, Builders + Backers, Global FinTech Venture Partners, The Artemis Fund and other undisclosed investors also participated in the round.</t>
  </si>
  <si>
    <t>Builders + Backers, Global FinTech Venture Partners, Nevcaut Ventures, The Artemis Fund, Wheelhouse Digital Studios</t>
  </si>
  <si>
    <t>Builders + Backers (www.buildersandbackers.com), Global FinTech Venture Partners (www.gfvp.com), Nevcaut Ventures (nevcaut.vc), The Artemis Fund (www.theartemisfund.com), Wheelhouse Digital Studios (www.wheelhouse-studio.com)</t>
  </si>
  <si>
    <t>225593-74P</t>
  </si>
  <si>
    <t>Stefanie Sample</t>
  </si>
  <si>
    <t>+1 (406) 256-9000</t>
  </si>
  <si>
    <t>Missoula, MT</t>
  </si>
  <si>
    <t>1515 East Broadway Street</t>
  </si>
  <si>
    <t>Missoula</t>
  </si>
  <si>
    <t>59802</t>
  </si>
  <si>
    <t>+1 (406) 201-5552</t>
  </si>
  <si>
    <t>contact@getfundid.com</t>
  </si>
  <si>
    <t>521405-20</t>
  </si>
  <si>
    <t>FundMiner</t>
  </si>
  <si>
    <t>FundMiner, Inc.</t>
  </si>
  <si>
    <t>Network for Good, EverTrue, Regpack, Salesforce, Giveffect, Blackbaud, iRaiser, Foundant Technologies, NPact (Dallas), AccuFund</t>
  </si>
  <si>
    <t>Developer of software designed for fundraising organizations designed for universities and community foundations. The company's platform aggregates and organizes data and information which helps users track their funds easily, and includes compliance tracking, data visualization, workflow automation, and secure storage, enabling users to manage their gifts, funds, and endowments effectively.</t>
  </si>
  <si>
    <t>cfo stack, education app, financial saas, financial services, fund management, software development, software solutions</t>
  </si>
  <si>
    <t>www.fundminer.com</t>
  </si>
  <si>
    <t>http://www.linkedin.com/company/fundminer</t>
  </si>
  <si>
    <t>The company raised $2.50 million of Seed-1 funding from undisclosed investors on July 2, 2024, putting the company's pre-money valuation at $15 million.</t>
  </si>
  <si>
    <t>Blackbaud Social Good Startup Program, Cascade Seed Fund, Dan Arvizu, Ferter, Sonoran Founders Fund, Techstars, University of Texas, El Paso</t>
  </si>
  <si>
    <t>Cascade Seed Fund (www.cascadeseedfund.com), Ferter (ferter.in), Sonoran Founders Fund (www.sonoranfund.com), Techstars (www.techstars.com), University of Texas, El Paso (www.utep.edu)</t>
  </si>
  <si>
    <t>339202-09P</t>
  </si>
  <si>
    <t>Chelsea Lamego</t>
  </si>
  <si>
    <t>chelsea@fundminer.com</t>
  </si>
  <si>
    <t>El Paso, TX</t>
  </si>
  <si>
    <t>1004 Galloway Drive</t>
  </si>
  <si>
    <t>El Paso</t>
  </si>
  <si>
    <t>79912</t>
  </si>
  <si>
    <t>inquiry@fundminer.com</t>
  </si>
  <si>
    <t>454562-83</t>
  </si>
  <si>
    <t>Fundr</t>
  </si>
  <si>
    <t>Fundr Capital, Inc.</t>
  </si>
  <si>
    <t>Provider of an investor platform intended to produce seed portfolios of diverse founders for investors. The company's platform finds and aligns startups based on the corporate's needs and requirements and provides automated tools for tracking progress, enabling investors to build and diversify their seed portfolio.</t>
  </si>
  <si>
    <t>Business/Productivity Software, Financial Software*, Information Services (B2C), Media and Information Services (B2B)</t>
  </si>
  <si>
    <t>enterprise architecture, financial service infrastructure, financial services infrastructure, investment diversification, investment platform, investment platform operator, investment platform service, portfolio investment, seed funding</t>
  </si>
  <si>
    <t>www.fundr.ai</t>
  </si>
  <si>
    <t>http://www.linkedin.com/company/fundrai</t>
  </si>
  <si>
    <t>2020: 3, 2021: 8, 2023: 3, 2024: 5</t>
  </si>
  <si>
    <t>The company raised $1 million of seed funding from Urban Capital Network and Capital Factory on an undisclosed date.</t>
  </si>
  <si>
    <t>Capital Factory, Sputnik ATX, Urban Capital Network</t>
  </si>
  <si>
    <t>Capital Factory (www.capitalfactory.com), Sputnik ATX (www.sputnikatx.com), Urban Capital Network (www.urbancapitalnetwork.com)</t>
  </si>
  <si>
    <t>105007-42P</t>
  </si>
  <si>
    <t>Lauren Washington</t>
  </si>
  <si>
    <t>lauren@fundr.ai</t>
  </si>
  <si>
    <t>4516 Burleson Road</t>
  </si>
  <si>
    <t>Suite 18801</t>
  </si>
  <si>
    <t>78744</t>
  </si>
  <si>
    <t>hello@fundr.ai</t>
  </si>
  <si>
    <t>438128-20</t>
  </si>
  <si>
    <t>FurSure</t>
  </si>
  <si>
    <t>FurShur Inc</t>
  </si>
  <si>
    <t>Wagmo</t>
  </si>
  <si>
    <t>Provider of pet insurance services intended to offer personalization and transparency to the pet health insurance sector. The company specializes in research, guidance, and continual service even after buying the policy and finds a pet insurance plan as seamless as possible for every pet parent with their customized approach, enabling customers to find pet insurance without spending hours on google with confusing jargon or outdated information.</t>
  </si>
  <si>
    <t>Application Software, Other Insurance, Other Services (B2C Non-Financial)*</t>
  </si>
  <si>
    <t>InsurTech, Mobile, Pet Technology</t>
  </si>
  <si>
    <t>pet care services, pet health insurance, pet healthcare, pet insurance, pet insurance broker, pet insurance policy, pet insurance provider</t>
  </si>
  <si>
    <t>www.getfursure.com</t>
  </si>
  <si>
    <t>http://www.linkedin.com/company/getfursure</t>
  </si>
  <si>
    <t>2020: 3, 2021: 9, 2022: 12, 2023: 9, 2024: 8</t>
  </si>
  <si>
    <t>The company raised $3 million of seed funding in a deal led by MaC Venture Capital on October 27, 2022, putting the company's pre-money valuation at $22 million. Slope and 6 other investors also participated in the round. The funds will be used to propel the business forward with unique pet healthcare product developments, further establishing it as a one-stop financial shop for pet parents.</t>
  </si>
  <si>
    <t>BDMI, InsurTech NY, MaC Venture Capital, Moxxie Ventures, Scrum Ventures, Slope (Los Angeles), Streamlined Ventures, Sure Ventures, Ullas Naik, Upside Partnership, Western Technology Investment, Winklevoss Capital Management</t>
  </si>
  <si>
    <t>BDMI (www.bdmifund.com), InsurTech NY (www.insurtechny.com), MaC Venture Capital (macventurecapital.com), Moxxie Ventures (www.moxxie.vc), Scrum Ventures (www.scrum.vc), Slope (Los Angeles) (www.slope.agency), Streamlined Ventures (www.streamlined.vc), Sure Ventures (www.sure.ventures), Upside Partnership (www.upsidevc.com), Western Technology Investment (www.westerntech.com), Winklevoss Capital Management (www.winklevosscapital.com)</t>
  </si>
  <si>
    <t>238324-69P</t>
  </si>
  <si>
    <t>Catherine Dennig</t>
  </si>
  <si>
    <t>catherine@getfursure.com</t>
  </si>
  <si>
    <t>2021 Fillmore Street</t>
  </si>
  <si>
    <t>PMB 9162</t>
  </si>
  <si>
    <t>hello@getfursure.com</t>
  </si>
  <si>
    <t>462057-58</t>
  </si>
  <si>
    <t>Gainfront</t>
  </si>
  <si>
    <t>Quantum SDS, iQuantum</t>
  </si>
  <si>
    <t>Gainfront Inc.</t>
  </si>
  <si>
    <t>Tealbook, Contraqer, BuyerQuest, Proactis, Scoutbee, ConnXus, Fairmarkit, DataRobot, Signals Analytics, APEX Analytix, AdaptOne, Corcentric, Synertrade, ProcurePort, Zycus, Claritum, supplier.io, Scout (San Francisco), Paramount WorkPlace, Offset Market Exchange, mParticle Predictions, Determine, Bonfire (Business /Productivity Software), Ivalua, Sourcing Force, CVM Solutions, Coupa, V1, Wise.io, Vroozi, BravoSolution, Tungsten Corporation, CognitiveScale, SAP Fieldglass, SAP Ariba, Caseware International, Kyndi, Jaggaer, Quantifind, Procurify, Icertis, Scanmarket, Simfoni, Tradeshift, Conga, Agiloft, DataRPM</t>
  </si>
  <si>
    <t>Developer of an automated supplier procurement management tool designed to gain full visibility on all spend types. The company's tool provides a contract management and invoice module, vendor risk management, forecasting module, and compliance management, enabling businesses to make predictive analytics for better purchasing decisions.</t>
  </si>
  <si>
    <t>Artificial Intelligence &amp; Machine Learning, SaaS, Supply Chain Tech</t>
  </si>
  <si>
    <t>ai automation platform, compliance management, contract lifecycle management, performance management, procurement management system, supplier relationship management, vendor risk software</t>
  </si>
  <si>
    <t>www.gainfront.com</t>
  </si>
  <si>
    <t>http://www.linkedin.com/company/gainfront</t>
  </si>
  <si>
    <t>2021: 20, 2022: 12, 2023: 68, 2024: 42</t>
  </si>
  <si>
    <t>The company raised $3 million of seed funding from Naples Technology Ventures on July 11, 2022. The funds will be used to accelerate growth, add features, and enhance marketing efforts.</t>
  </si>
  <si>
    <t>Naples Technology Ventures</t>
  </si>
  <si>
    <t>FINALIS SECURITIES(Advisor: General), Now Capital Partners(Advisor: General), Pillsbury Winthrop Shaw Pittman(Legal Advisor)</t>
  </si>
  <si>
    <t>254892-97P</t>
  </si>
  <si>
    <t>Hetal Mehta</t>
  </si>
  <si>
    <t>hetal@gainfront.com</t>
  </si>
  <si>
    <t>+1 (408) 712-1277</t>
  </si>
  <si>
    <t>2100 Geng Road</t>
  </si>
  <si>
    <t>Suite 210</t>
  </si>
  <si>
    <t>434657-26</t>
  </si>
  <si>
    <t>Game Jolt</t>
  </si>
  <si>
    <t>Game Jolt Inc.</t>
  </si>
  <si>
    <t>99Games, TinyBuild, Twitch Interactive, Studio Sirah, Discord, TikTok, X Corp., YouTube, Reddit</t>
  </si>
  <si>
    <t>Developer of a user-generated marketplace for digital collectibles designed for brands and creators connecting with millions of the Gen Z gaming community.
 The company platform helps to share video games and download major titles along with on-platform events and mini-games to enhance user engagement, enabling players to play and compete with friends and other players.</t>
  </si>
  <si>
    <t>Application Software, Entertainment Software*, Social/Platform Software</t>
  </si>
  <si>
    <t>community platform, creator network, games sharing community, gaming community, gaming experience, gaming platform, gaming social, generative ai, loyalty program, social app, ugc marketplace, user generated media, video game platform, video games</t>
  </si>
  <si>
    <t>www.gamejolt.com</t>
  </si>
  <si>
    <t>http://www.linkedin.com/company/gamejolt</t>
  </si>
  <si>
    <t>2021: 10, 2022: 16, 2023: 14, 2024: 14</t>
  </si>
  <si>
    <t>The company raised $2.64 million of seed funding in a deal led by Acequia Capital on September 8, 2021. Madrona Venture Group and 8 other investors also participated in the round. The funds will be used to build in-app live streaming, discoverability, and monetization for its game-based content creators. An undisclosed amount of funding was originally raised in the form of SAFE notes and subsequently converted to equity.</t>
  </si>
  <si>
    <t>Acequia Capital, Emerge (Accelerator), Graph Ventures, Kevin Lin, Madrona Venture Group, Nicholas Fajt, Possible Ventures, Ride Ventures, The Gramercy Fund, Todd Hooper, Trent Gegax</t>
  </si>
  <si>
    <t>Acequia Capital (www.acecap.com), Emerge (Accelerator) (www.emergeaccelerator.com), Graph Ventures (www.graphventures.com), Madrona Venture Group (www.madrona.com), Possible Ventures (www.possible.ventures), The Gramercy Fund (www.gramercyfund.com)</t>
  </si>
  <si>
    <t>228938-50P</t>
  </si>
  <si>
    <t>David DeCarmine</t>
  </si>
  <si>
    <t>david@gamejolt.com</t>
  </si>
  <si>
    <t>505 Broadway East</t>
  </si>
  <si>
    <t>+1 (747) 999-5658</t>
  </si>
  <si>
    <t>contact@gamejolt.com</t>
  </si>
  <si>
    <t>594193-06</t>
  </si>
  <si>
    <t>GC AI</t>
  </si>
  <si>
    <t>GC</t>
  </si>
  <si>
    <t>GC AI, Inc.</t>
  </si>
  <si>
    <t>Developer of a generative AI-based legal technology designed for in-house counsels. The company's technology provides features including first drafts, counseling docs, up-to-the-minute legal advice, higher-quality reviews, automated checklist reviews and common workflows with customizable saved prompts, enabling clients to get access to tools for reviewing, researching, and iterating on work products.</t>
  </si>
  <si>
    <t>automate task, generative ai technology, in-house counselling, legal advice, legal technology tools, strategic advice</t>
  </si>
  <si>
    <t>getgc.ai</t>
  </si>
  <si>
    <t>http://www.linkedin.com/company/gc-ai</t>
  </si>
  <si>
    <t>2024: 8</t>
  </si>
  <si>
    <t>The company raised $1.65 million of Seed funding from MKT1, Work Life Ventures on September 16, 2024, putting the company's pre-money valuation at $8.35 million.</t>
  </si>
  <si>
    <t>MKT1, Work Life Ventures</t>
  </si>
  <si>
    <t>MKT1 (www.mkt1.co), Work Life Ventures (www.worklife.vc)</t>
  </si>
  <si>
    <t>327799-00P</t>
  </si>
  <si>
    <t>Cecilia Ziniti</t>
  </si>
  <si>
    <t>Co-Founder, Board Member, Chief Legal Officer, Chief Executive Officer &amp; General Counsel</t>
  </si>
  <si>
    <t>cecilia@getgc.ai</t>
  </si>
  <si>
    <t>+1 (415) 269-4144</t>
  </si>
  <si>
    <t>Suite 10388</t>
  </si>
  <si>
    <t>contact@getgc.ai</t>
  </si>
  <si>
    <t>498309-31</t>
  </si>
  <si>
    <t>GenEQTY</t>
  </si>
  <si>
    <t>GenEQTY Inc.</t>
  </si>
  <si>
    <t>Developer of a data intelligence platform designed to transform intricate small and midsize business financial data into actionable insights. The company's platform by aggregating and analyzing financial data from various sources provides a comprehensive view of an SMB's financial health, spending behavior, and growth potential and empowers financial institutions, fintechs, global payment companies, and enterprises to embed tailored financial products or services directly within their platforms or applications, meeting the specific needs of SMBs, enabling women-owned and minority-owned companies to manage overall business health.</t>
  </si>
  <si>
    <t>artificial intelligence engine, data analytics software, financial data analytics, financial service infrastructure, financial services infrastructure, financial tool developer, fintech data, fintech platform, saas</t>
  </si>
  <si>
    <t>www.geneqty.com</t>
  </si>
  <si>
    <t>http://www.linkedin.com/company/geneqty</t>
  </si>
  <si>
    <t>2022: 3, 2023: 4</t>
  </si>
  <si>
    <t>The company raised an undisclosed amount of venture funding from Plug and Play Tech Center in approximately October 2023.</t>
  </si>
  <si>
    <t>Entrepreneurs Roundtable Accelerator, Plug and Play Tech Center, Start Path, Tundra Ventures</t>
  </si>
  <si>
    <t>Entrepreneurs Roundtable Accelerator (www.eranyc.com), Plug and Play Tech Center (www.plugandplaytechcenter.com), Start Path (startpath.mastercard.com/spglobal/home.html), Tundra Ventures (www.tundravc.com)</t>
  </si>
  <si>
    <t>305318-44P</t>
  </si>
  <si>
    <t>Dionne Gumbs</t>
  </si>
  <si>
    <t>Founder &amp; Chief Executive Officer &amp; Board Member</t>
  </si>
  <si>
    <t>dionne@geneqty.com</t>
  </si>
  <si>
    <t>MN</t>
  </si>
  <si>
    <t>5695 Archer Lane</t>
  </si>
  <si>
    <t>55446</t>
  </si>
  <si>
    <t>info@geneqty.com</t>
  </si>
  <si>
    <t>529004-62</t>
  </si>
  <si>
    <t>Genius Academy</t>
  </si>
  <si>
    <t>Genius</t>
  </si>
  <si>
    <t>Genius Academy, Inc.</t>
  </si>
  <si>
    <t>Operator of the on-demand streaming platform intended to integrate into psychology, social work, and counseling courses. The company's platform offers an experiential mental health curriculum for integration into psychology counseling and social work classrooms searchable by topics, courses, programs, and problems, helping learners to recognize and correct areas for improvement.</t>
  </si>
  <si>
    <t>assessment platform, experiential media, experiential mental health curriculum, mental health counseling, mental health education, streaming platform</t>
  </si>
  <si>
    <t>www.experiencegenius.academy</t>
  </si>
  <si>
    <t>http://www.linkedin.com/company/geniusacademyeducation</t>
  </si>
  <si>
    <t>2023: 38, 2024: 43</t>
  </si>
  <si>
    <t>Promotion (New) Kim Shields, Founder, President &amp; Chief Executive Officer</t>
  </si>
  <si>
    <t>The company joined WGU Labs in 2024. No equity or funding was exchanged as a result of this program.</t>
  </si>
  <si>
    <t>Marc Randolph, Penske Corporation, SXSW, WGU Labs</t>
  </si>
  <si>
    <t>Marc Randolph (www.marcrandolph.com), SXSW (sxsw.com), WGU Labs (www.wgulabs.org)</t>
  </si>
  <si>
    <t>351269-65P</t>
  </si>
  <si>
    <t>Kim Shields</t>
  </si>
  <si>
    <t>Founder, President &amp; Chief Executive Officer</t>
  </si>
  <si>
    <t>+1 (818) 861-7771</t>
  </si>
  <si>
    <t>3550 Hayden Avenue</t>
  </si>
  <si>
    <t>hello@experiencegeniusacademy.com</t>
  </si>
  <si>
    <t>434063-26</t>
  </si>
  <si>
    <t>Gentreo</t>
  </si>
  <si>
    <t>Gentreo, Inc.</t>
  </si>
  <si>
    <t>Developer of a web-enabled tool designed to make estate planning easy, affordable, and accessible. The company's platform helps to create state-specific documents, securely store and share documents, prepare wills, power of attorney, medical directives, and pet-caring legal issues, enabling family members to securely store legal data and have instant access in an emergency with pre-drafted documents.</t>
  </si>
  <si>
    <t>Legal Services (B2C)</t>
  </si>
  <si>
    <t>Database Software, Information Services (B2C), Legal Services (B2C)*</t>
  </si>
  <si>
    <t>coaching and training, digital vaults, estate planning, legal documentation, power of attorney services, will storage</t>
  </si>
  <si>
    <t>www.gentreo.com</t>
  </si>
  <si>
    <t>http://www.linkedin.com/company/gentreo</t>
  </si>
  <si>
    <t>2020: 9, 2021: 13, 2022: 17, 2023: 19</t>
  </si>
  <si>
    <t>The company joined Inclusive Ventures Lab on September 6, 2022 and received $250,000 in funding. Previously, the company raised an undisclosed amount of venture funding from Cap Table Coalition on January 23, 2022.</t>
  </si>
  <si>
    <t>Adam Spector, Breakaway Growth Fund, Cap Table Coalition, Everywhere Ventures, Florida Funders, MacDonald Ventures, Morgan Stanley Inclusive Ventures Lab, Sequoia Capital</t>
  </si>
  <si>
    <t>Breakaway Growth Fund (www.breakawaygrowth.us), Cap Table Coalition (www.captablecoalition.com), Everywhere Ventures (everywhere.vc), Florida Funders (www.floridafunders.com), MacDonald Ventures (www.macdonald.ventures), Sequoia Capital (www.sequoiacap.com)</t>
  </si>
  <si>
    <t>138374-56P</t>
  </si>
  <si>
    <t>Renee Fry</t>
  </si>
  <si>
    <t>renee@gentreo.com</t>
  </si>
  <si>
    <t>+1 (805) 566-6583</t>
  </si>
  <si>
    <t>Quincy, MA</t>
  </si>
  <si>
    <t>1495 Hancock Street</t>
  </si>
  <si>
    <t>Quincy</t>
  </si>
  <si>
    <t>02169</t>
  </si>
  <si>
    <t>+1 (617) 804-1451</t>
  </si>
  <si>
    <t>info@gentreo.com</t>
  </si>
  <si>
    <t>436806-10</t>
  </si>
  <si>
    <t>Geojam</t>
  </si>
  <si>
    <t>Geojam Inc.</t>
  </si>
  <si>
    <t>Operator of a music-based social media platform intended to share music with friends. The company's platform offers music from different genres and permits sharing them among people thereby giving rewards in return, enabling music lovers to discover music they love while unlocking new revenue streams for artists and brands.</t>
  </si>
  <si>
    <t>Application Software, Social Content*, Social/Platform Software</t>
  </si>
  <si>
    <t>Artificial Intelligence &amp; Machine Learning, AudioTech, Mobile</t>
  </si>
  <si>
    <t>music platform, music portal, music sharing app, music social media, music streaming, reward points, social media platform</t>
  </si>
  <si>
    <t>www.geojam.xyz</t>
  </si>
  <si>
    <t>http://www.linkedin.com/company/geojam</t>
  </si>
  <si>
    <t>2020: 7, 2021: 9, 2022: 16, 2023: 26, 2024: 26</t>
  </si>
  <si>
    <t>The company raised an estimated $2.89 million through a combination of Seed 2-A, Seed 2-B and Seed 2-C funding from Ghaf Capital Partners, Hodl, Alpha Transform Holdings, and other undisclosed investors on December 19, 2021, putting the company's pre-money valuation at $10 million.</t>
  </si>
  <si>
    <t>Alpha Transform Holdings, CRT Labs, Dan Lok Ventures, Expert DOJO, Galaxy Interactive, Ghaf Capital Partners, Hodl, KuCoin Labs, Synapse Network</t>
  </si>
  <si>
    <t>Alpha Transform Holdings (www.alphatransform.io), CRT Labs (www.crtlabs.io), Dan Lok Ventures (www.danlokventures.com), Expert DOJO (www.expertdojo.com), Galaxy Interactive (interactive.galaxy.com), Ghaf Capital Partners (www.ghafcapital.ae), Hodl (www.hodl.nl), Synapse Network (www.synapse.network)</t>
  </si>
  <si>
    <t>71852-41P</t>
  </si>
  <si>
    <t>Sam Krichevsky</t>
  </si>
  <si>
    <t>Co-Founder, Chief Operating Officer &amp; Chief Talent Officer</t>
  </si>
  <si>
    <t>sam@geojam.com</t>
  </si>
  <si>
    <t>+1 (516) 404-5221</t>
  </si>
  <si>
    <t>512 Rose Avenue</t>
  </si>
  <si>
    <t>90291</t>
  </si>
  <si>
    <t>contact@geojam.com</t>
  </si>
  <si>
    <t>589838-23</t>
  </si>
  <si>
    <t>Gestalt (Database Software)</t>
  </si>
  <si>
    <t>Gestalt</t>
  </si>
  <si>
    <t>Gestalt Tech Inc.</t>
  </si>
  <si>
    <t>Developer of a data warehousing and management platform intended to provide a secure database to businesses. The company's platform is built for start-up or early-stage businesses to eliminate manual data upload, helping clients with compliance, bank reporting, and other critical areas.</t>
  </si>
  <si>
    <t>bank reporting, compliance data, credit fund, data driven product, data engineer, data warehouse, debt compliance, portfolio performance, secure database</t>
  </si>
  <si>
    <t>www.gestalttech.com</t>
  </si>
  <si>
    <t>http://www.linkedin.com/company/gestalttech</t>
  </si>
  <si>
    <t>The company joined gener8tor as part of the Curql Accelerate Fall 2024 on an undisclosed date.</t>
  </si>
  <si>
    <t>Alloy Labs, Alpha Edison, Connetic Ventures, gener8tor, Long Run Capital Management, Newtype Ventures, Sentiero Ventures, Turbostart, Yamaha Motor Ventures &amp; Laboratory Silicon Valley</t>
  </si>
  <si>
    <t>Alloy Labs (www.alloylabs.com), Alpha Edison (www.alphaedison.com), Connetic Ventures (www.conneticventures.com), gener8tor (www.gener8tor.com), Long Run Capital Management (www.longrun.capital), Newtype Ventures (www.newtypeventures.com), Sentiero Ventures (www.sentiero.vc), Turbostart (www.turbostart.co), Yamaha Motor Ventures &amp; Laboratory Silicon Valley (www.yamahamotor.vc)</t>
  </si>
  <si>
    <t>245419-93P</t>
  </si>
  <si>
    <t>Stephanie Hanson</t>
  </si>
  <si>
    <t>shanson@gestalttech.com</t>
  </si>
  <si>
    <t>+1 (508) 228-4166</t>
  </si>
  <si>
    <t>Flower Mound, TX</t>
  </si>
  <si>
    <t>Flower Mound</t>
  </si>
  <si>
    <t>75022</t>
  </si>
  <si>
    <t>info@gestalttech.com</t>
  </si>
  <si>
    <t>231374-98</t>
  </si>
  <si>
    <t>GivingData</t>
  </si>
  <si>
    <t>GivingData Holdings Inc</t>
  </si>
  <si>
    <t>Odoo, Acumatica, Foundant Technologies, Act-On Software, AmpliFund, Teradata, CommunityForce, KloudFuse, reviewr, GrantStream, Visma, Engaging Networks, Pegasystems, akoyaGO, SmartSimple Software, Zendesk, Adobe, Virtuous, Salesforce, Symplicity, Fluxx (San Francisco), ServiceNow, SugarCRM, Praxi Power Software, Sponsorium, Oracle NetSuite, Bonterra, JK Group, Infor Global Solutions, Epicor Software, Submittable, SAS Institute, ERPNext, EveryAction, Zoho Corporation, Box (IT Services), Linnworks, WizeHive</t>
  </si>
  <si>
    <t>Developer of a grant and relationship management platform intended to help foundations optimize their grantmaking and stakeholder collaboration. The company's purpose-built tools include features such as portfolio management, scenario planning, grantee relationship management, custom workflows, and APIs for integration with numerous third-party operations, enabling grantmakers to manage all aspects of their foundation giving in the cloud.</t>
  </si>
  <si>
    <t>data management software, enterprise software system, grants software, philanthropic solution, purpose built crm, relationship management tool, stakeholder collaboration</t>
  </si>
  <si>
    <t>www.givingdata.com</t>
  </si>
  <si>
    <t>http://www.linkedin.com/company/givingdata</t>
  </si>
  <si>
    <t>2020: 16, 2021: 29, 2022: 31, 2023: 45, 2024: 47</t>
  </si>
  <si>
    <t>The company raised $3 million of Series A venture funding from Arthur Ventures on November 2, 2020, putting the company's pre-money valuation at $10 million.</t>
  </si>
  <si>
    <t>Arthur Ventures</t>
  </si>
  <si>
    <t>Arthur Ventures (www.arthurventures.com)</t>
  </si>
  <si>
    <t>Cambridge Trust(Debt Financing)</t>
  </si>
  <si>
    <t>190278-82P</t>
  </si>
  <si>
    <t>Alfred Gracombe</t>
  </si>
  <si>
    <t>Founder &amp; Board Member</t>
  </si>
  <si>
    <t>alf.gracombe@givingdata.com</t>
  </si>
  <si>
    <t>+1 (617) 500-3399</t>
  </si>
  <si>
    <t>45 Prospect Street</t>
  </si>
  <si>
    <t>info@givingdata.com</t>
  </si>
  <si>
    <t>Term Loan - (Government - PPP: $150,000-350,000)</t>
  </si>
  <si>
    <t>459156-07</t>
  </si>
  <si>
    <t>Givingli</t>
  </si>
  <si>
    <t>Givingli, Inc.</t>
  </si>
  <si>
    <t>Developer of customizable digital gifting software designed to allow users to send greetings and gifts from their mobile phones. The company offers personalized digital greetings by independent artists from around the world that include thank you cards, birthday gifts and cards meant for various occasions and also allows the addition of optional gifts from various brands, enabling users to send virtual greetings and gifts to their friends and family.</t>
  </si>
  <si>
    <t>digital gifting, digital gifting platform, digital greeting, digital greeting card, online gift giving, online gifting portal</t>
  </si>
  <si>
    <t>www.givingli.com</t>
  </si>
  <si>
    <t>http://www.linkedin.com/company/givingli</t>
  </si>
  <si>
    <t>2021: 6, 2022: 20</t>
  </si>
  <si>
    <t>The company raised $7.86 million of Series A venture funding in a deal led by Seven Seven Six on November 1, 2022, putting the company's pre-money valuation at $30 million. Other undisclosed investors also participated in the round.</t>
  </si>
  <si>
    <t>186 Ventures, Baron Davis, Harry Hurst, Predictive Venture Partners, Seven Seven Six, Snap Yellow Accelerator</t>
  </si>
  <si>
    <t>186 Ventures (186ventures.com), Predictive Venture Partners (www.predictivevc.com), Seven Seven Six (www.sevensevensix.com), Snap Yellow Accelerator (www.yellowla.com)</t>
  </si>
  <si>
    <t>251114-86P</t>
  </si>
  <si>
    <t>Nicole Green</t>
  </si>
  <si>
    <t>nicole@givingli.com</t>
  </si>
  <si>
    <t>+1 (310) 773-5384</t>
  </si>
  <si>
    <t>9701 Wilshire Boulevard</t>
  </si>
  <si>
    <t>90212</t>
  </si>
  <si>
    <t>hello@givingli.com</t>
  </si>
  <si>
    <t>439420-69</t>
  </si>
  <si>
    <t>Glow Up Games</t>
  </si>
  <si>
    <t>Developer of character-driven mobile games intended to encourage more diverse characters and storylines in the gaming industry. The company offers story-based games by utilizing a data-driven approach to understand emergent markets, quantify the preferences and tastes of many different players, and publish research on games, plays, genders, and races, enabling players to enjoy beautifully crafted stories through games.</t>
  </si>
  <si>
    <t>game developer, game publisher, gaming content, gaming developer, gaming publisher, gaming studio, mobile game developer, mobile gaming app, storytelling games</t>
  </si>
  <si>
    <t>www.glowup.games</t>
  </si>
  <si>
    <t>http://www.linkedin.com/company/glow-up</t>
  </si>
  <si>
    <t>2020: 4, 2021: 8, 2022: 13, 2023: 5, 2024: 4</t>
  </si>
  <si>
    <t>The company raised $580,000 of seed funding in the form of SAFE notes from RareBreed Ventures, Black Founders Matter, and 1Up Ventures on May 18, 2021. Gaingels also invested in this round.</t>
  </si>
  <si>
    <t>1Up Ventures, Black Founders Matter, Comcast NBCUniversal LIFT Labs, Gaingels, RareBreed Ventures, Techstars</t>
  </si>
  <si>
    <t>1Up Ventures (1upfund.com), Black Founders Matter (www.blackfoundersmatter.org), Comcast NBCUniversal LIFT Labs (lift.comcast.com), Gaingels (www.gaingels.com), RareBreed Ventures (rarebreed.vc), Techstars (www.techstars.com)</t>
  </si>
  <si>
    <t>166160-62P</t>
  </si>
  <si>
    <t>Mitu Khandaker</t>
  </si>
  <si>
    <t>Co-Founder, Board Member, Chief Executive Officer &amp; Director for Technology</t>
  </si>
  <si>
    <t>mitu@glowup.games</t>
  </si>
  <si>
    <t>+1 (929) 841-4297</t>
  </si>
  <si>
    <t>hello@glowup.games</t>
  </si>
  <si>
    <t>498035-71</t>
  </si>
  <si>
    <t>GoKidGo</t>
  </si>
  <si>
    <t>GoKidGo, Inc.</t>
  </si>
  <si>
    <t>Operator of a podcast company intended to create short-form and long-form animated audio experiences for kids. The company specializes in creating freely accessed narrative podcasts with engaging characters and immersive storytelling, enabling children to enjoy the audio podcasts and draw some time away from the screen.</t>
  </si>
  <si>
    <t>audio imagination, immersive storytelling, narrative podcast, podcast creater, podcast for kids, story telling</t>
  </si>
  <si>
    <t>www.gokidgo.com</t>
  </si>
  <si>
    <t>http://www.linkedin.com/company/gokidgoinc</t>
  </si>
  <si>
    <t>2022: 9, 2023: 9</t>
  </si>
  <si>
    <t>The company raised $1.1 million of venture funding from HappyNest and other undisclosed investors on June 6, 2022.</t>
  </si>
  <si>
    <t>HappyNest (Financial Software)</t>
  </si>
  <si>
    <t>HappyNest (Financial Software) (www.myhappynest.com)</t>
  </si>
  <si>
    <t>Stubbs Alderton &amp; Markiles(Legal Advisor)</t>
  </si>
  <si>
    <t>150233-68P</t>
  </si>
  <si>
    <t>Jennifer Clary</t>
  </si>
  <si>
    <t>jenniferclary@gokidgo.com</t>
  </si>
  <si>
    <t>+1 (844) 422-2926</t>
  </si>
  <si>
    <t>5840 Gregory Avenue Number 4</t>
  </si>
  <si>
    <t>hello@gokidgo.com</t>
  </si>
  <si>
    <t>521405-83</t>
  </si>
  <si>
    <t>Good Agriculture</t>
  </si>
  <si>
    <t>Developer of an accounting platform designed to help farmers secure funding, manage finances, and improve marketing efforts. The company offers grant application services and financial management tools, enabling farmers to focus on growing their business while reaching and engaging more customers.</t>
  </si>
  <si>
    <t>AdTech, Artificial Intelligence &amp; Machine Learning, FinTech, SaaS</t>
  </si>
  <si>
    <t>agricultural assistance, business consulting, managing finances, marketing service, regenerative agriculture, regenerative farming</t>
  </si>
  <si>
    <t>Regenerative Agriculture</t>
  </si>
  <si>
    <t>goodagriculture.com</t>
  </si>
  <si>
    <t>http://www.linkedin.com/company/good-agriculture</t>
  </si>
  <si>
    <t>2022: 4, 2023: 5, 2024: 6</t>
  </si>
  <si>
    <t>The company raised $650,000 of seed funding from Fireroad, Founders Factory and Harvest Returns in approximately September 2024, putting the company's pre-money valuation at $3.35 million. Other undisclosed investors also participated in this round.</t>
  </si>
  <si>
    <t>Advanced Technology Development Center, Fireroad, Founders Factory, gBETA, G-Force, Harvest Returns, OCEAN Accelerator, Plug and Play Tech Center, Techstars</t>
  </si>
  <si>
    <t>Advanced Technology Development Center (www.atdc.org), Fireroad (www.fireroad.io), Founders Factory (www.foundersfactory.com), gBETA (gbetastartups.com), G-Force (www.usegforce.com), Harvest Returns (harvestreturns.com), OCEAN Accelerator (www.oceanprograms.com), Plug and Play Tech Center (www.plugandplaytechcenter.com), Techstars (www.techstars.com)</t>
  </si>
  <si>
    <t>339607-81P</t>
  </si>
  <si>
    <t>Alex Edquist</t>
  </si>
  <si>
    <t>alex@goodagriculture.com</t>
  </si>
  <si>
    <t>+1 (404) 433-8588</t>
  </si>
  <si>
    <t>75 5th Street NorthWest</t>
  </si>
  <si>
    <t>30332</t>
  </si>
  <si>
    <t>+1 (404) 981-3981</t>
  </si>
  <si>
    <t>hello@goodagriculture.com</t>
  </si>
  <si>
    <t>482104-45</t>
  </si>
  <si>
    <t>Govalo</t>
  </si>
  <si>
    <t>Govalo, Inc.</t>
  </si>
  <si>
    <t>Developer of a gifting platform designed to reinvent digital gifting exposure. The company's platform offers custom gift cards as they integrate with other e-commerce platforms to offer gift subscriptions, enabling customers to get more gifting products and discount coupons to send gifts to their loved ones.</t>
  </si>
  <si>
    <t>Application Software, Other Financial Services*</t>
  </si>
  <si>
    <t>custom gifting, gift card app, gift card service, loyalty and incentive, online gift card, online gifting platform, online gifting service</t>
  </si>
  <si>
    <t>www.govalo.com</t>
  </si>
  <si>
    <t>http://www.linkedin.com/company/govalo</t>
  </si>
  <si>
    <t>2021: 4, 2022: 20, 2024: 10</t>
  </si>
  <si>
    <t>The company joined LAUNCH Fund as a part of its cohort 26 in approximately October 2022 and received $100,000 in funding.</t>
  </si>
  <si>
    <t>Adii Pienaar, Benjamin Jabbawy, LAUNCH Fund, Overlooked Ventures, Realist Ventures, Sugar Capital, SuperAngel.Fund</t>
  </si>
  <si>
    <t>LAUNCH Fund (www.launch.co), Overlooked Ventures (www.overlookedventures.com), Realist Ventures (realistlab.org), Sugar Capital (www.sugarcap.com), SuperAngel.Fund (www.superangel.vc)</t>
  </si>
  <si>
    <t>243837-37P</t>
  </si>
  <si>
    <t>Rhian Beutler</t>
  </si>
  <si>
    <t>+1 (404) 333-3820</t>
  </si>
  <si>
    <t>2727 Paces Ferry Road South East</t>
  </si>
  <si>
    <t>Suite 750</t>
  </si>
  <si>
    <t>30339</t>
  </si>
  <si>
    <t>hello@govalo.com</t>
  </si>
  <si>
    <t>459435-61</t>
  </si>
  <si>
    <t>Grantcycle</t>
  </si>
  <si>
    <t>Atlas</t>
  </si>
  <si>
    <t>Atlas Solutions, Inc.</t>
  </si>
  <si>
    <t>Developer of cross-functional grant management software designed for end-to-end management of grant and contract funding. The company's platform provides a seamless grant cycle from tracking budgets to generating reports and streamlines the grant course by integrating with their accounting software program, enabling non-profit organizations to trace budgets and put together studies.</t>
  </si>
  <si>
    <t>automation work, grant management solutions, grantor trust services, information tools, management and reporting, management services, reporting firm</t>
  </si>
  <si>
    <t>www.grantcycle.com</t>
  </si>
  <si>
    <t>http://www.linkedin.com/company/grantcycle</t>
  </si>
  <si>
    <t>2022: 3, 2024: 4</t>
  </si>
  <si>
    <t>The company raised $500,000 of venture funding from Nelnet Ventures, GrowthX Capital, Solidea Capital and Flywheel Fund on May 25, 2023, putting the company's pre-money valuation at $2.5 million. gBETA and BAMco Enterprises also participated in the round.</t>
  </si>
  <si>
    <t>BAMco Enterprises, Elevate Ventures, Flywheel Fund, gBETA, GrowthX Capital, Nelnet Ventures, Solidea Capital</t>
  </si>
  <si>
    <t>BAMco Enterprises (www.bamco.enterprises), Elevate Ventures (www.elevateventures.com), Flywheel Fund (www.flywheelfund.vc), gBETA (gbetastartups.com), GrowthX Capital (www.growthx.com), Solidea Capital (www.solideacapital.com)</t>
  </si>
  <si>
    <t>251798-59P</t>
  </si>
  <si>
    <t>Ansley Fender</t>
  </si>
  <si>
    <t>ansley@getatlassolutions.com</t>
  </si>
  <si>
    <t>+1 (812) 625-2999</t>
  </si>
  <si>
    <t>642 North Madison Street</t>
  </si>
  <si>
    <t>47404</t>
  </si>
  <si>
    <t>hello@getatlassolutions.com</t>
  </si>
  <si>
    <t>431555-14</t>
  </si>
  <si>
    <t>Grapevine</t>
  </si>
  <si>
    <t>GoodMatch</t>
  </si>
  <si>
    <t>Grapevine, Inc.</t>
  </si>
  <si>
    <t>Kindful, Network for Good</t>
  </si>
  <si>
    <t>Operator of an online charity platform intended for social work. The company's tool makes it easy to donate more strategically with access to expert guidance and philanthropic tools and also allows collective giving groups to get set up and start collecting donations in minutes, enabling donors around the country to direct funds to thousands of nonprofits.</t>
  </si>
  <si>
    <t>charity fund, donation agency, donation trust, giving platform, money raising platform, online charity</t>
  </si>
  <si>
    <t>www.grapevine.org</t>
  </si>
  <si>
    <t>http://www.linkedin.com/company/grapevinegiving</t>
  </si>
  <si>
    <t>2021: 8, 2022: 12</t>
  </si>
  <si>
    <t>The company joined Blackbaud Social Good Startup Program on January 16, 2024. No equity or funding was exchanged as a result of this program. Previously, the company raised $1.85 million of seed funding in a deal led by PJC on August 8, 2023. WTI and 17 other investors also participated in the round. The funds will be used for the expansion of the team and the product.</t>
  </si>
  <si>
    <t>10X Capital, Alex Chung, Alexandra Wilson, Blackbaud Social Good Startup Program, Claire Diaz-Ortiz, David Heath, Focus Impact Acquisition, Gaingels, Geng Wang, Ground Squirrel Ventures, Impact Assets, Jay Love, Kelly Patrick Duffy, Lynn Taliento, Notation Capital, NYC Startup Leadership Program, Overton Venture Capital, Paul Sawaya, PJC, Social Good Ventures, Startup UCLA Accelerator, Steven Schlafman, Ulu Ventures, VentureCrush, Vision Capital Group, WTI</t>
  </si>
  <si>
    <t>Integrative Ventures</t>
  </si>
  <si>
    <t>10X Capital (www.10xcapital.com), Claire Diaz-Ortiz (clairediazortiz.com), Focus Impact Acquisition (www.focus-impact.com), Gaingels (www.gaingels.com), Ground Squirrel Ventures (www.groundsquirrelventures.com), Impact Assets (www.impactassets.org), Notation Capital (www.notation.vc), NYC Startup Leadership Program (www.slp-nyc.com), Overton Venture Capital (www.overtonvc.com), PJC (www.pjc.vc), Social Good Ventures (socialgood.ventures), Startup UCLA Accelerator (startupucla.com), Ulu Ventures (www.uluventures.com), VentureCrush (venturecrush.com), Vision Capital Group (www.visioncapital.group)</t>
  </si>
  <si>
    <t>Integrative Ventures (www.integrative.ventures)</t>
  </si>
  <si>
    <t>223066-99P</t>
  </si>
  <si>
    <t>Emily Rasmussen</t>
  </si>
  <si>
    <t>emily@grapevine.org</t>
  </si>
  <si>
    <t>+1 (917) 345-5544</t>
  </si>
  <si>
    <t>64 Bleecker street</t>
  </si>
  <si>
    <t>Suite 264</t>
  </si>
  <si>
    <t>info@grapevine.org</t>
  </si>
  <si>
    <t>114681-70</t>
  </si>
  <si>
    <t>Gray Matter Analytics</t>
  </si>
  <si>
    <t>Gray Matter Analytics, Inc.</t>
  </si>
  <si>
    <t>VoloMetrix, Datameer, Klipfolio, Board International, Qlik Technologies, Volt Active Data, GoodData, Teradata, Predata, CrateDB, StreamSets, DataRobot, Conclusive Analytics, Birst, Databricks, KloudFuse, DemandJump, RapidMiner, ThoughtSpot, MapR, Geckoboard, Tableau Software, Chartio, Logi Analytics, Statistica, Informatica Customer 360 Insights, Astronomer, Vertica Systems, BIME Analytics, Cloudera, Platfora, SingleStore, Dundas Data Visualization, Biboard, Looker, Panoply (Database Software), SAS Institute, Periscope Data, Sisense, Exasol, Infobright, ElectrifAI, dv01, Talend, Predixion, XPatterns, Qubole, TIBCO Software, Kx Systems, Alteryx, Aginity, DataRow (Database Software), Yellowbrick Data, Exago, Hortonworks, ZDEN, Notion Data, Planful, Grow, Dataiku, Datahero (Database Software), LogFuze, Teraki, ShopperTrak, InfluxData, Incorta, Kognitio, Urchin Software, Firebolt, Fauna, Trifacta, Domino Data Lab, Domo, Izenda, Dasheroo, YugaByteDB, Leftronic, HEAVY.AI, Cockroach Labs, Chartlytics, MicroStrategy (Business/Productivity Software), Pentaho, Snowflake, Actian, ClickHouse, Ishi Systems, Informatica, Datascope Analytics, LangChain, Swoop Search</t>
  </si>
  <si>
    <t>Operator of data analytics and predictive modeling services platform intended to help companies gain actionable insights into their own and external data. The company's platform offers mind assessments that conduct on-site interviews with leaders of customer functional groups to understand business objectives and data requirements and also provides an analytics-as-a-service model to support the vision of growth-oriented models, enabling financial services and healthcare organizations to get insights into their data and achieve all-round insights.</t>
  </si>
  <si>
    <t>Business/Productivity Software, Database Software, Media and Information Services (B2B)*</t>
  </si>
  <si>
    <t>Big Data, TMT</t>
  </si>
  <si>
    <t>abi custom application, advanced analytics, analytics platform, big data architecture, data analysis, data analytics tool, data architecture, data monetization, healthcare data analytics, predictive modeling, vertical application</t>
  </si>
  <si>
    <t>www.graymatteranalytics.com</t>
  </si>
  <si>
    <t>http://www.linkedin.com/company/graymatteranalytics</t>
  </si>
  <si>
    <t>2017: 10, 2021: 34, 2022: 40, 2023: 43, 2024: 42</t>
  </si>
  <si>
    <t>The company raised $8.5 million through a combination of Seed-2 and Seed-3 funding from Cleveland Avenue, and other undisclosed investors on November 3, 2022, putting the company's pre-money valuation at $60 million.</t>
  </si>
  <si>
    <t>Cleveland Avenue, How Women Invest, Matter (Consulting Services (B2B))</t>
  </si>
  <si>
    <t>Cleveland Avenue (www.clevelandavenue.com), How Women Invest (www.howwomeninvest.com), Matter (Consulting Services (B2B)) (www.matter.health)</t>
  </si>
  <si>
    <t>69892-21P</t>
  </si>
  <si>
    <t>Sheila Talton</t>
  </si>
  <si>
    <t>stalton@graymatteranalytics.com</t>
  </si>
  <si>
    <t>+1 (312) 957-7604</t>
  </si>
  <si>
    <t>24 East Washington Street</t>
  </si>
  <si>
    <t>Suite 875</t>
  </si>
  <si>
    <t>60602</t>
  </si>
  <si>
    <t>contact@graymatteranalytics.com</t>
  </si>
  <si>
    <t>Series 3</t>
  </si>
  <si>
    <t>439158-07</t>
  </si>
  <si>
    <t>Grayce</t>
  </si>
  <si>
    <t>Grayce, Inc.</t>
  </si>
  <si>
    <t>Provider of elderly care services intended to support and offer guidance to empower family caregivers. The company focuses on personalized guidance and support for insurance, finances, legal plans, medical care, home care, housing, daily needs, and well-being, enabling families to navigate the needs of aging and vulnerable loved ones.</t>
  </si>
  <si>
    <t>Elder and Disabled Care</t>
  </si>
  <si>
    <t>Application Software, Elder and Disabled Care*, Other Healthcare Technology Systems</t>
  </si>
  <si>
    <t>Digital Health, HealthTech</t>
  </si>
  <si>
    <t>aging care, care support service, caregiver app, elder care guidance, elderly care service, elderly care system, home care services</t>
  </si>
  <si>
    <t>www.withgrayce.com</t>
  </si>
  <si>
    <t>http://www.linkedin.com/company/grayceinc</t>
  </si>
  <si>
    <t>2020: 9, 2021: 16, 2022: 22, 2023: 33, 2024: 44</t>
  </si>
  <si>
    <t>The company raised $11.5 million of Series A venture funding in a deal led by Maveron, Mana Ventures on December 1, 2023, putting the company's pre-money valuation at $24.00 million. Alumni Ventures and 6 other investors also participated in the round. The funds will be used to scale its platform to enhance its employer solution and member experience, as well as enter the payer market.</t>
  </si>
  <si>
    <t>Alumni Ventures, BBG Ventures (North America), Black Jays, Brand Foundry Ventures, Correlation Ventures, David Gilboa, Gaingels, GingerBread Capital, Good Friends, Jeffrey Raider, Joseph Zwillinger, Mana Ventures, Maveron, Neil Blumenthal, PeopleTech Partners, Visible Ventures, Western Technology Investment, What If Ventures</t>
  </si>
  <si>
    <t>Alumni Ventures (www.av.vc), BBG Ventures (North America) (www.bbgventures.com), Black Jays (www.blackjays.vc), Brand Foundry Ventures (brandfoundry.com), Correlation Ventures (www.correlationvc.com), Gaingels (www.gaingels.com), GingerBread Capital (www.gingerbreadcap.com), Good Friends (www.goodfriends.com), Mana Ventures (www.manaventures.vc), Maveron (www.maveron.com), PeopleTech Partners (peopletechpartners.com), Visible Ventures (visibleventures.com), Western Technology Investment (www.westerntech.com), What If Ventures (www.whatif.vc)</t>
  </si>
  <si>
    <t>Gunderson Dettmer(Legal Advisor), Western Technology Investment(Debt Financing)</t>
  </si>
  <si>
    <t>241015-33P</t>
  </si>
  <si>
    <t>Julia Sebastien</t>
  </si>
  <si>
    <t>julia@withgrayce.com</t>
  </si>
  <si>
    <t>1400 Greenwich Street</t>
  </si>
  <si>
    <t>Suite 9</t>
  </si>
  <si>
    <t>team@withgrayce.com</t>
  </si>
  <si>
    <t>443202-04</t>
  </si>
  <si>
    <t>Greenscreens.ai</t>
  </si>
  <si>
    <t>GreenScreens AI, Inc.</t>
  </si>
  <si>
    <t>Developer of AI-based freight software designed to increase broker margin contribution by measuring and predicting things that matter. The company's software offers immediate benchmarking and market prediction through AI and buys and sells loads based on changing market trends, enabling users to improve operational productivity and reducing the time and uncertainty involved in pricing and booking loads.</t>
  </si>
  <si>
    <t>Supply Chain Tech</t>
  </si>
  <si>
    <t>freight market analysis, logistics analytics, logistics marketplace tools, logistics software system, pricing analysis, supply chain management, supply chain planning, transportation management, transportation management app</t>
  </si>
  <si>
    <t>www.greenscreens.ai</t>
  </si>
  <si>
    <t>http://www.linkedin.com/company/greenscreensai</t>
  </si>
  <si>
    <t>2020: 17, 2021: 47, 2022: 29, 2023: 46</t>
  </si>
  <si>
    <t>The company raised $5 million of Series A venture funding in a deal led by Tiger Global Management on November 8, 2022, putting the company's pre-money valuation at an estimated $60 million. Other undisclosed investors also participated in the round.</t>
  </si>
  <si>
    <t>Benjamin Gordon, Cambridge Capital, Felix Lyubashevskiy, Flyer One Venture, Jones Capital, Navigate Ventures, Operator Stack, Overton Venture Capital, Red Door Capital Partners, REFASHIOND Ventures, Tiger Global Management</t>
  </si>
  <si>
    <t>Cambridge Capital (www.cambridgecapital.com), Flyer One Venture (www.flyerone.vc), Jones Capital (www.jones.com), Navigate Ventures (www.navigatevc.com), Operator Stack (www.operator-stack.com), Overton Venture Capital (www.overtonvc.com), Red Door Capital Partners (www.reddoorcp.com), REFASHIOND Ventures (www.refashiond.com), Tiger Global Management (www.tigerglobal.com)</t>
  </si>
  <si>
    <t>BG Strategic Advisors(Advisor: General)</t>
  </si>
  <si>
    <t>174980-35P</t>
  </si>
  <si>
    <t>Andrey Machanskis</t>
  </si>
  <si>
    <t>avm@greenscreens.ai</t>
  </si>
  <si>
    <t>+1 (321) 766-5852</t>
  </si>
  <si>
    <t>Fort Pierce, FL</t>
  </si>
  <si>
    <t>130 South Indian River Drive</t>
  </si>
  <si>
    <t>Fort Pierce</t>
  </si>
  <si>
    <t>34950</t>
  </si>
  <si>
    <t>491392-72</t>
  </si>
  <si>
    <t>Grist Mill Exchange</t>
  </si>
  <si>
    <t>Grist Mill Exchange, LLC</t>
  </si>
  <si>
    <t>Developer of a government marketplace platform designed to connect government customers with commercial data providers. The company's platform offers tools that meet the demanding needs of the United States federal government and its data experts by creating a lucrative new market for companies and does not support commercial clients, enabling clients to have access to the data they need to advance national security.</t>
  </si>
  <si>
    <t>Database Software*, Government</t>
  </si>
  <si>
    <t>b2b data services, data marketplace, data provider, data provider platform, enterprise resource planning, erp, government marketplace, marketplace platform, vertical application</t>
  </si>
  <si>
    <t>www.gristmillexchange.com</t>
  </si>
  <si>
    <t>http://www.linkedin.com/company/grist-mill-exchange</t>
  </si>
  <si>
    <t>2022: 14, 2023: 13, 2024: 14</t>
  </si>
  <si>
    <t>The company raised $5 million of venture funding from Core4ce, First In and Veteran Ventures Capital on April 7, 2022. Other undisclosed investors also participated in the round. Of the total, an undisclosed amount is raised in the form of convertible debt. The funds will be used for the company's rapid growth through business development and strategic contracting support.</t>
  </si>
  <si>
    <t>Core4ce, First In, Veteran Ventures Capital</t>
  </si>
  <si>
    <t>Core4ce (www.core4ce.com), First In (www.wearefirstin.com), Veteran Ventures Capital (www.veteranventures.us)</t>
  </si>
  <si>
    <t>238354-84P</t>
  </si>
  <si>
    <t>Todd Harbour</t>
  </si>
  <si>
    <t>Co-Founder, Co-Chief Executive Officer &amp; Managing Member</t>
  </si>
  <si>
    <t>harbour@core4ce.com</t>
  </si>
  <si>
    <t>+1 (571) 276-2196</t>
  </si>
  <si>
    <t>Alexandria, VA</t>
  </si>
  <si>
    <t>111 South Fairfax Street</t>
  </si>
  <si>
    <t>Alexandria</t>
  </si>
  <si>
    <t>22314-3301</t>
  </si>
  <si>
    <t>info@gristmillexchange.com</t>
  </si>
  <si>
    <t>496453-96</t>
  </si>
  <si>
    <t>Gritty In Pink</t>
  </si>
  <si>
    <t>Gritty In Pink, Inc.</t>
  </si>
  <si>
    <t>Developer of a music platform designed to hire female freelancers, starting with the music industry. The company's platform achieves economic equity across genders, leveraging women's contributions to ultimately reshape the landscape of industries worldwide, enabling female creators to work in the music industry and connect the music industry to a diverse community of female creators and pros looking to be hired.</t>
  </si>
  <si>
    <t>Business/Productivity Software, Entertainment Software, Movies, Music and Entertainment*</t>
  </si>
  <si>
    <t>AudioTech, E-Commerce</t>
  </si>
  <si>
    <t>music collaboration platform, music live streaming, music marketplace, music platform, online networking platform, talent marketplace</t>
  </si>
  <si>
    <t>www.inpink.com</t>
  </si>
  <si>
    <t>http://www.linkedin.com/company/grittyinpink</t>
  </si>
  <si>
    <t>2022: 20</t>
  </si>
  <si>
    <t>The company raised $1 million of pre-seed funding in a deal led by Live Nation Entertainment on an undisclosed date, putting the company's pre-money valuation at $5 million. Alternative Wealth Partners, Sunstone Management, Gaingels, and Long Beach Accelerator also participated in the round. Previously, the company joined StartOut Growth Lab as part of its Cohort 14 on June 18, 2024.</t>
  </si>
  <si>
    <t>Alternative Wealth Partners, Gaingels, Live Nation Entertainment, Long Beach Accelerator, StartOut Growth Lab, Sunstone Management</t>
  </si>
  <si>
    <t>Alternative Wealth Partners (alternativewealthpartners.com), Gaingels (www.gaingels.com), Live Nation Entertainment (www.livenationentertainment.com), Long Beach Accelerator (www.lbaccelerator.org), StartOut Growth Lab (www.startout.org), Sunstone Management (www.sunstoneinvestment.com)</t>
  </si>
  <si>
    <t>301231-54P</t>
  </si>
  <si>
    <t>Shira Yevin</t>
  </si>
  <si>
    <t>shira@grittyinpink.co</t>
  </si>
  <si>
    <t>+1 (917) 715-2013</t>
  </si>
  <si>
    <t>North Hollywood, CA</t>
  </si>
  <si>
    <t>4711 Colfax Avenue</t>
  </si>
  <si>
    <t>Suite 11</t>
  </si>
  <si>
    <t>North Hollywood</t>
  </si>
  <si>
    <t>91602</t>
  </si>
  <si>
    <t>team@grittyinpink.co</t>
  </si>
  <si>
    <t>455129-20</t>
  </si>
  <si>
    <t>Growth Channel</t>
  </si>
  <si>
    <t>Growth Channel Inc.</t>
  </si>
  <si>
    <t>Mediaocean, Zeta Global Holdings</t>
  </si>
  <si>
    <t>Developer of a programmatic advertising platform designed to micro-target niche audiences at scale. The company's platform utilizes artificial intelligence to create detailed customer profiles based on their historical or current location data, optimize campaigns, and measure their impact both online and offline, enabling businesses and brands to enhance their marketing efforts and achieve better return on investment (ROI) on their advertising spend.</t>
  </si>
  <si>
    <t>AdTech, Artificial Intelligence &amp; Machine Learning, Marketing Tech, SaaS, TMT</t>
  </si>
  <si>
    <t>artificial intelligence technology, customer profiling, digital marketing platform, generative ai, geolocation data, marketing planning, programmatic advertising</t>
  </si>
  <si>
    <t>www.growthchannel.com</t>
  </si>
  <si>
    <t>http://www.linkedin.com/company/growthchannel</t>
  </si>
  <si>
    <t>2020: 10, 2023: 26, 2024: 20</t>
  </si>
  <si>
    <t>The company raised $3.5 million of seed+ funding on an undisclosed date, putting the company's pre-money valuation at $20 million.</t>
  </si>
  <si>
    <t>Joseph Chan, Manuel Lozano, Punja Global Ventures, Quansight Initiate, Sputnik ATX</t>
  </si>
  <si>
    <t>Punja Global Ventures (pgv.vc), Quansight Initiate (www.qi.ventures), Sputnik ATX (www.sputnikatx.com)</t>
  </si>
  <si>
    <t>Chase Bank(General Business Banking), Raiti(Legal Advisor)</t>
  </si>
  <si>
    <t>Dellenbach Venture Counsel(Legal Advisor), Raiti(Legal Advisor)</t>
  </si>
  <si>
    <t>248615-47P</t>
  </si>
  <si>
    <t>Maryna Burushkina</t>
  </si>
  <si>
    <t>maryna@growthchannel.io</t>
  </si>
  <si>
    <t>+1 (737) 240-7150</t>
  </si>
  <si>
    <t>301 Congress Avenue</t>
  </si>
  <si>
    <t>Suite 2200</t>
  </si>
  <si>
    <t>hello@growthchannel.org</t>
  </si>
  <si>
    <t>443075-14</t>
  </si>
  <si>
    <t>Gryps</t>
  </si>
  <si>
    <t>Gryps, Inc.</t>
  </si>
  <si>
    <t>Developer of connected intelligence platform designed to access construction data in one place. The company's platform helps in taking delivery of the projects at the end of a construction job and providing all the information that facility owners need to operate, renovate or build future projects through a platform that ingests data from various construction tools, mines the embedded information, then provides operational access through owner-centered workflows, enabling construction companies to be more effective and reduce manual work when managing capital projects.</t>
  </si>
  <si>
    <t>Business/Productivity Software*, Vertical Market Software</t>
  </si>
  <si>
    <t>connected intelligence platform, construction data analysis, construction industry product, construction technology, data collection system, intelligence platform service, kms, knowledge management system</t>
  </si>
  <si>
    <t>www.gryps.io</t>
  </si>
  <si>
    <t>http://www.linkedin.com/company/gryps</t>
  </si>
  <si>
    <t>2020: 2, 2021: 4, 2022: 7, 2023: 10, 2024: 21</t>
  </si>
  <si>
    <t>The company raised $6.20 million of seed funding from undisclosed investors on July 7, 2023, putting the company's pre-money valuation at $20 million.</t>
  </si>
  <si>
    <t>Di-Ann Eisnor, Harvard Undergraduate Capital Partners, Jon Antevy, Lars Albright, LDV Capital, Natalie Diggins, Pear (California), Plug and Play Tech Center, Primary Venture Partners, Ralph Folz, Ron Antevy, The Graduate Syndicate</t>
  </si>
  <si>
    <t>Harvard Undergraduate Capital Partners (www.harvardcap.org), LDV Capital (www.ldv.co), Pear (California) (www.pear.vc), Plug and Play Tech Center (www.plugandplaytechcenter.com), Primary Venture Partners (www.primary.vc), The Graduate Syndicate (www.thegraduatesyndicate.com)</t>
  </si>
  <si>
    <t>244578-61P</t>
  </si>
  <si>
    <t>Dareen Salama</t>
  </si>
  <si>
    <t>dareen@gryps.io</t>
  </si>
  <si>
    <t>+1 (217) 819-1509</t>
  </si>
  <si>
    <t>3585 Greystone Avenue</t>
  </si>
  <si>
    <t>Apartment 4C, Bronx</t>
  </si>
  <si>
    <t>10463</t>
  </si>
  <si>
    <t>info@gryps.io</t>
  </si>
  <si>
    <t>537804-82</t>
  </si>
  <si>
    <t>Guardrails AI</t>
  </si>
  <si>
    <t>Guardrails</t>
  </si>
  <si>
    <t>Guardrails AI Inc</t>
  </si>
  <si>
    <t>DataLoop, Humanloop, alwaysAI, Labelbox, Algorithmia, Petuum, Imagga, Playment, Bonsai (Software Development Applications), Seldon, CalypsoAI, Datoin, Passage AI, Mapbox, Landing AI, Restb.ai, Izenda, viso.ai, Dundas Data Visualization, Whetlab, KXEN, Datascience.com, Wit.AI, Nervana Systems, Firebase, Determined AI, Sentient.io</t>
  </si>
  <si>
    <t>Developer of an open-source library designed to ensure interactions with Large Language Models. The company develops a framework for creating custom validators, orchestration of prompting, verification, re-prompting, a library of commonly used validators for multiple use cases specification language for communicating requirements to llm.</t>
  </si>
  <si>
    <t>ai cores, ai interaction technique, ai model, ai technology, artficial intelligence, devops, generative ai, language program, security vulnerability</t>
  </si>
  <si>
    <t>www.guardrailsai.com</t>
  </si>
  <si>
    <t>http://www.linkedin.com/company/guardrailsai</t>
  </si>
  <si>
    <t>2023: 7, 2024: 10</t>
  </si>
  <si>
    <t>The company raised $7.5 million of seed funding in a deal led by SCB 10X and Zetta Venture Partners on February 15, 2024. Bloomberg Beta, FactoryHQ, Pear (California), Github Fund, and Ian Goodfellow also participated in the round. The funds will be used to expand the company's engineering and product teams as well as to continue to advance its products.</t>
  </si>
  <si>
    <t>Bloomberg Beta, FactoryHQ, Github Fund, Ian Goodfellow, Lip-Bu Tan, Logan Kilpatrick, M12, Mentors Fund, Pear (California), SCB 10X, Zetta Venture Partners</t>
  </si>
  <si>
    <t>Bloomberg Beta (www.bloombergbeta.com), FactoryHQ (www.factoryhq.ai), M12 (www.m12.vc), Mentors Fund (www.mentors.fund), Pear (California) (www.pear.vc), SCB 10X (www.scb10x.com), Zetta Venture Partners (www.zettavp.com)</t>
  </si>
  <si>
    <t>369380-80P</t>
  </si>
  <si>
    <t>Shreya Rajpal</t>
  </si>
  <si>
    <t>shreya@getguardrails.ai</t>
  </si>
  <si>
    <t>801 El Camino Real</t>
  </si>
  <si>
    <t>contact@guardrailsai.com</t>
  </si>
  <si>
    <t>467901-46</t>
  </si>
  <si>
    <t>Guava</t>
  </si>
  <si>
    <t>Guava Lending Inc.</t>
  </si>
  <si>
    <t>Operator of a digital banking platform designed to cater to the needs of black entrepreneurs and small business owners. The company's platform offers equitable financial products and connections such as access to industry experts, workshops, webinars, and courses, enabling business owners to grow their business and network along with quick mobile fund transfers and build nationwide connections with no hidden fees.</t>
  </si>
  <si>
    <t>banking platform provider, commercial finance, digital bank, digital banking, digital banking software, financial assistance, financial bank holding, financial products, mobile fund transfer</t>
  </si>
  <si>
    <t>www.joinguava.com</t>
  </si>
  <si>
    <t>http://www.linkedin.com/company/guava-digital-bank</t>
  </si>
  <si>
    <t>2021: 2, 2022: 8, 2024: 10</t>
  </si>
  <si>
    <t>The company raised $650,000 of venture funding in a deal led by Laidlaw Scholars Ventures on February 21, 2023. Purple Sage Ventures and Gaingels also participated in this round.</t>
  </si>
  <si>
    <t>Backstage Capital, Camelback Ventures, Edward Zimmerman, Gaingels, Google for Startups, Heron Rock Fund, Lexi Reese, Precursor Ventures, Purple Sage Ventures, Runway Startup Postdoc, Tech:NYC, The Laidlaw Foundation</t>
  </si>
  <si>
    <t>Backstage Capital (www.backstagecapital.com), Camelback Ventures (www.camelbackventures.org), Gaingels (www.gaingels.com), Google for Startups (startup.google.com), Heron Rock Fund (www.heronrock.com), Precursor Ventures (precursorvc.com), Purple Sage Ventures (www.purplesageventures.com), Runway Startup Postdoc (tech.cornell.edu/programs/phd/startup-postdocs), Tech:NYC (www.technyc.org), The Laidlaw Foundation (www.laidlawfoundation.com)</t>
  </si>
  <si>
    <t>Exbo Group(Advisor: Financial Due Diligence)</t>
  </si>
  <si>
    <t>265954-42P</t>
  </si>
  <si>
    <t>Kelly Ifill</t>
  </si>
  <si>
    <t>kelly@joinguava.com</t>
  </si>
  <si>
    <t>+1 (917) 438-8435</t>
  </si>
  <si>
    <t>info@guavabank.com</t>
  </si>
  <si>
    <t>398919-97</t>
  </si>
  <si>
    <t>Hacware</t>
  </si>
  <si>
    <t>Hacware, Inc.</t>
  </si>
  <si>
    <t>Developer of an artificial intelligence-powered cybersecurity awareness platform designed to protect company employees against phishing attacks. The company's platform is a risk management system that automates intelligent messages to employees to simulate an email hack and offers consultancy and training recommendations on email security, enabling clients to combat hacking and create awareness.</t>
  </si>
  <si>
    <t>Network Management Software*, Systems and Information Management</t>
  </si>
  <si>
    <t>Artificial Intelligence &amp; Machine Learning, Big Data, Cybersecurity, SaaS</t>
  </si>
  <si>
    <t>artificial intelligence, machine learning, phishing attack prevention, phishing campaign, phishing system, phishing training, security operations, security risk assessment &amp; management, security risk assessment and management, smart security, smart security product, smart security system</t>
  </si>
  <si>
    <t>www.hacware.com</t>
  </si>
  <si>
    <t>http://www.linkedin.com/company/hacware</t>
  </si>
  <si>
    <t>2020: 4, 2021: 8, 2022: 12, 2023: 13</t>
  </si>
  <si>
    <t>The company joined Google for Startups on June 27, 2024 and received $150,000 in the form of grant funding.</t>
  </si>
  <si>
    <t>2.0 Ventures, Aura Innovation Fund, Chai Ventures NYC, Cyber NYC, Elevate Capital, Good For Her, Google for Startups, Horan MediaTech Advisors, PitchIT (ConnectWise), Techstars, TiE Silicon Valley, Transparent Collective</t>
  </si>
  <si>
    <t>2.0 Ventures (2point0ventures.com), Chai Ventures NYC (www.chai-ventures.com), Cyber NYC (cyber-nyc.com), Elevate Capital (www.elevate.vc), Good For Her (www.goodforher.co), Google for Startups (startup.google.com), Horan MediaTech Advisors (www.horanmediatech.com), Techstars (www.techstars.com), TiE Silicon Valley (sv.tie.org), Transparent Collective (www.transparentcollective.com)</t>
  </si>
  <si>
    <t>218835-28P</t>
  </si>
  <si>
    <t>Tiffany Ricks</t>
  </si>
  <si>
    <t>tiffany@hacware.com</t>
  </si>
  <si>
    <t>195 Plymouth Street</t>
  </si>
  <si>
    <t>hello@hacware.com</t>
  </si>
  <si>
    <t>471661-12</t>
  </si>
  <si>
    <t>Hanai</t>
  </si>
  <si>
    <t>Hanai, Inc.</t>
  </si>
  <si>
    <t>The company's application bridges healthcare information, identity and inclusion through digital technology and empowers Social Purpose Organizations (SPOs) to promote women's issues through technology while scaling and tracing their impact, enabling women in rural and marginalized communities with to get access to preventive health, safety and wellbeing services that allow them to take better care of themselves.</t>
  </si>
  <si>
    <t>Other Healthcare Services</t>
  </si>
  <si>
    <t>Application Software, Information Services (B2C), Other Healthcare Services*</t>
  </si>
  <si>
    <t>Digital Health, FemTech, Mobile</t>
  </si>
  <si>
    <t>healthcare application, healthcare education, healthcare information, healthcare technology firm, healthcare technology solutions, women health</t>
  </si>
  <si>
    <t>www.hanaihealth.com</t>
  </si>
  <si>
    <t>http://www.linkedin.com/company/hanaihealth</t>
  </si>
  <si>
    <t>2021: 13, 2022: 13, 2023: 15, 2024: 9</t>
  </si>
  <si>
    <t>The company raised $10,000 of seed funding from KiwiTech, Galen Growth and Cradle Fund on April 1, 2022. Loyal VC, Technoport, European Business University and Berlin Blockchain also participated in the round.</t>
  </si>
  <si>
    <t>Berlin Blockchain, Cradle Fund, European Business University, Galen Growth, KiwiTech, Loyal VC, Technoport</t>
  </si>
  <si>
    <t>Berlin Blockchain (www.berlin.impacthub.net), Cradle Fund (www.cradle.com.my), European Business University (www.ebu.lu), Galen Growth (www.galengrowth.com), KiwiTech (www.kiwitech.com), Loyal VC (www.loyal.vc), Technoport (www.technoport.lu)</t>
  </si>
  <si>
    <t>272492-74P</t>
  </si>
  <si>
    <t>Shamala Hinrichsen</t>
  </si>
  <si>
    <t>shamala@hanaihealth.com</t>
  </si>
  <si>
    <t>+1 (628) 264-9634</t>
  </si>
  <si>
    <t>4030 19th Street</t>
  </si>
  <si>
    <t>contact@hanai.eu</t>
  </si>
  <si>
    <t>489370-24</t>
  </si>
  <si>
    <t>HandsDown</t>
  </si>
  <si>
    <t>HandsDown, Inc.</t>
  </si>
  <si>
    <t>Pinterest, LTK</t>
  </si>
  <si>
    <t>Developer of a social commerce platform designed for moms and new parents to guide them with the products that their child needs. The company's platform offers trusted products, peer-to-peer product discovery, and post-purchase product sharing, providing consumers with word-of-mouth or recommendations from friends and family.</t>
  </si>
  <si>
    <t>customized content, parent-focused product, product recommendation, recommendations app, social commerce, social commerce application, social commerce platform</t>
  </si>
  <si>
    <t>www.handsdown.shop</t>
  </si>
  <si>
    <t>http://www.linkedin.com/company/itshandsdown</t>
  </si>
  <si>
    <t>2021: 3, 2022: 3, 2023: 6, 2024: 4</t>
  </si>
  <si>
    <t>The company raised an undisclosed amount of venture funding in the form of convertible debt from Hula, Dudley Fund and Chloe Capital on June 20, 2023. Rich Miller, Dave Wilkens and Minnow Ventures also participated in the round. Previously, the company joined Techstars on January 13, 2023 as a part of Techstars Boulder Accelerator program and received $120,000 in funding.</t>
  </si>
  <si>
    <t>Chloe Capital, Dave Wilkens, Dudley Fund, Hula, Minnow Ventures, Rich Miller, Techstars</t>
  </si>
  <si>
    <t>Chloe Capital (www.chloecapital.com), Dudley Fund (www.dudleyfund.com), Hula (www.hulalakeside.com), Minnow Ventures (www.minnow.vc), Techstars (www.techstars.com)</t>
  </si>
  <si>
    <t>Burlington, VT</t>
  </si>
  <si>
    <t>50 Lakeside Avenue</t>
  </si>
  <si>
    <t>Suite 81</t>
  </si>
  <si>
    <t>Vermont</t>
  </si>
  <si>
    <t>05401</t>
  </si>
  <si>
    <t>+1 (914) 606-1457</t>
  </si>
  <si>
    <t>483690-34</t>
  </si>
  <si>
    <t>Happied</t>
  </si>
  <si>
    <t>Happied, LLC</t>
  </si>
  <si>
    <t>Hubilo</t>
  </si>
  <si>
    <t>Operator of an online team building and client engagement platform intended to bring the joy of sharing food and drink together. The company's platform provides a mobile application to book gift kits and personalized experiences for teams and clients to enjoy from anywhere and interact with teams no matter where they are, enabling organizations to create fun and meaningful team events offsite for groups, teams, and fans globally with no stress.</t>
  </si>
  <si>
    <t>Application Software, Media and Information Services (B2B), Social/Platform Software*</t>
  </si>
  <si>
    <t>LOHAS &amp; Wellness, Mobile, SaaS</t>
  </si>
  <si>
    <t>client engagement platform, client engagement services, client engagement tool, fun events, personalized gifting platform, team building platform</t>
  </si>
  <si>
    <t>www.happied.co</t>
  </si>
  <si>
    <t>http://www.linkedin.com/company/happied</t>
  </si>
  <si>
    <t>2020: 9, 2023: 18, 2024: 12</t>
  </si>
  <si>
    <t>Alumni Ventures, Charlottesville Angel Network, Daren Cotter, Google for Startups, HearstLab, High Street Equity Partners, NWS Holdings (United States), Omnidollar Ventures, Techstars, True Ventures, Virginia Venture Partners</t>
  </si>
  <si>
    <t>Alumni Ventures (www.av.vc), Charlottesville Angel Network (www.cvilleangelnetwork.net), Google for Startups (startup.google.com), HearstLab (www.hearstlab.com), High Street Equity Partners (www.hsep.vc), NWS Holdings (United States) (nwsholdings.com), Omnidollar Ventures (www.omnidollar.io), Techstars (www.techstars.com), True Ventures (www.trueventures.com)</t>
  </si>
  <si>
    <t>281062-54P</t>
  </si>
  <si>
    <t>April Johnson</t>
  </si>
  <si>
    <t>april@happied.co</t>
  </si>
  <si>
    <t>704 7th Street NorthWest</t>
  </si>
  <si>
    <t>hello@happied.co</t>
  </si>
  <si>
    <t>491781-43</t>
  </si>
  <si>
    <t>Happyly</t>
  </si>
  <si>
    <t>Happy Active Family</t>
  </si>
  <si>
    <t>Happyly LLC</t>
  </si>
  <si>
    <t>Eloops, Alaya, Culture Amp</t>
  </si>
  <si>
    <t>Operator of a corporate benefits platform intended to empower employees to create work-life balance and develop meaningful connections with their colleagues. The company's proprietary technology provides its customers with curated activities and events personalized to their needs, localized outdoor activities, volunteer opportunities, and custom vacation getaways, enabling organizations to improve employee engagement and retention.</t>
  </si>
  <si>
    <t>Application Software, Business/Productivity Software*, Human Capital Services, Social/Platform Software</t>
  </si>
  <si>
    <t>HR Tech, LOHAS &amp; Wellness, Mobile, SaaS</t>
  </si>
  <si>
    <t>corporate benefit program, employee benefit tools, employee wellbeing, work-life balance, workplace wellbeing platform, workplace wellbeing service</t>
  </si>
  <si>
    <t>www.happyly.com</t>
  </si>
  <si>
    <t>http://www.linkedin.com/company/happyly</t>
  </si>
  <si>
    <t>2022: 38, 2023: 40, 2024: 32</t>
  </si>
  <si>
    <t>The company raised $2 million of seed funding in a deal led by CAV Angels on October 18, 2022. TechFarms Capital and Virginia Venture Partners also participated in the round.</t>
  </si>
  <si>
    <t>757 Accelerate, CAV Angels, gBETA, TechFarms Capital, Virginia Venture Partners</t>
  </si>
  <si>
    <t>757 Accelerate (757accelerate.org), CAV Angels (www.cavangels.com), gBETA (gbetastartups.com), TechFarms Capital (www.techfarmscapital.com)</t>
  </si>
  <si>
    <t>1201 Wilson Boulevard</t>
  </si>
  <si>
    <t>22209</t>
  </si>
  <si>
    <t>+1 (202) 870-3278</t>
  </si>
  <si>
    <t>team@happyly.com</t>
  </si>
  <si>
    <t>502827-67</t>
  </si>
  <si>
    <t>Haqean</t>
  </si>
  <si>
    <t>Haqean Inc.</t>
  </si>
  <si>
    <t>Developer of data authentication technology designed for industries such as pharma and retail. The company offers protection to products across the supply chain, and also provides fraud prevention, quantum tagging, endpoint security, cross-platform support, and data encryption, enabling pharma manufacturers and hospitals to ensure product safety and efficiency.</t>
  </si>
  <si>
    <t>assets authentication, cross platform support, data security, data security platform, embedded software, fraud prevention, identification technology, software products</t>
  </si>
  <si>
    <t>www.haqean.com</t>
  </si>
  <si>
    <t>http://www.linkedin.com/company/haqean</t>
  </si>
  <si>
    <t>2022: 3, 2024: 2</t>
  </si>
  <si>
    <t>The company joined PolygonLEAP as a part of first cohort in approximately December 2021.</t>
  </si>
  <si>
    <t>JioGenNext, NextCorps Luminate</t>
  </si>
  <si>
    <t>PolygonLEAP</t>
  </si>
  <si>
    <t>JioGenNext (www.jiogennext.com), NextCorps Luminate (www.luminate.org)</t>
  </si>
  <si>
    <t>PolygonLEAP (www.polygonleap2021.com)</t>
  </si>
  <si>
    <t>310821-76P</t>
  </si>
  <si>
    <t>Hanaan Hashim</t>
  </si>
  <si>
    <t>hanaan@haqean.com</t>
  </si>
  <si>
    <t>469249-48</t>
  </si>
  <si>
    <t>Hardly</t>
  </si>
  <si>
    <t>Modbox</t>
  </si>
  <si>
    <t>Hardly Inc.</t>
  </si>
  <si>
    <t>FutureFit AI, SquarePeg, GradLeaders, BetterUp, Resume.io</t>
  </si>
  <si>
    <t>Developer of artificial intelligence-based career platform designed to speed up the job application process. The company's platform offers features such as calendar integration, automated scheduling, and customizable meeting options and helps with building a resume, enabling candidates to apply to jobs and professionals and organizations to efficiently book and conduct meetings.</t>
  </si>
  <si>
    <t>Business/Productivity Software*, Human Capital Services, Information Services (B2C), Other Services (B2C Non-Financial)</t>
  </si>
  <si>
    <t>Artificial Intelligence &amp; Machine Learning, HR Tech</t>
  </si>
  <si>
    <t>career assistance, hiring and placement, hr tech, job matching platform, job seekers protal, scheduling tool</t>
  </si>
  <si>
    <t>hardly-work.com</t>
  </si>
  <si>
    <t>http://www.linkedin.com/company/hardly</t>
  </si>
  <si>
    <t>2021: 6, 2022: 4, 2023: 4</t>
  </si>
  <si>
    <t>The company raised $250,000 of seed funding from Richard King Mellon Foundation on June 28, 2022.</t>
  </si>
  <si>
    <t>Ascender (Pittsburgh), Carnegie Mellon University, Richard King Mellon Foundation</t>
  </si>
  <si>
    <t>Ascender (Pittsburgh) (www.ascenderpgh.com), Carnegie Mellon University (cmu.edu), Richard King Mellon Foundation (www.rkmf.org)</t>
  </si>
  <si>
    <t>Crivella Correa(Legal Advisor)</t>
  </si>
  <si>
    <t>Crivella Correa(Legal Advisor), Donnelly-boland And Associates(Accounting)</t>
  </si>
  <si>
    <t>267423-76P</t>
  </si>
  <si>
    <t>Allison Braund-Harris</t>
  </si>
  <si>
    <t>allison@hardly-work.com</t>
  </si>
  <si>
    <t>+1 (256) 366-9234</t>
  </si>
  <si>
    <t>6401 Penn Avenue</t>
  </si>
  <si>
    <t>15206</t>
  </si>
  <si>
    <t>info@hardly-work.com</t>
  </si>
  <si>
    <t>482285-35</t>
  </si>
  <si>
    <t>Hearth (Electronics (B2C))</t>
  </si>
  <si>
    <t>Hearth Display, Inc.</t>
  </si>
  <si>
    <t>Developer of a digital touchscreen board designed to replace the traditional family bulletin board. The company's board display features automatic calendar syncing and task management, and helps in family management and productivity, enabling families to keep themselves organized and connected in one central location.</t>
  </si>
  <si>
    <t>Application Software, Electronics (B2C)*, Other Consumer Durables</t>
  </si>
  <si>
    <t>bulletin board, bulletin board system, digital display, digital display system, organizational tool, task management, task management system</t>
  </si>
  <si>
    <t>www.hearthdisplay.com</t>
  </si>
  <si>
    <t>http://www.linkedin.com/company/hearth-display</t>
  </si>
  <si>
    <t>2021: 6, 2022: 9, 2023: 26, 2024: 33</t>
  </si>
  <si>
    <t>Filing (New)</t>
  </si>
  <si>
    <t>The company raised $6.98 million of venture funding in a deal led by Precursor Ventures on November 14, 2024. Other undisclosed investors also participated in the round. Out of which $150,000 was raised in the form of SAFE notes. Subsequently SAFE notes was converted into equity.</t>
  </si>
  <si>
    <t>Behind Genius Ventures, Cashmere Fund, Dream Ventures, Female Founders Fund, Golden Hour Ventures, Ingeborg Investments, Jennifer Fleiss, Precursor Ventures, Reshma Saujani, Stellation Capital, Visible Hands</t>
  </si>
  <si>
    <t>Behind Genius Ventures (www.behindgeniusventures.com), Cashmere Fund (www.thecashmerefund.com), Dream Ventures (www.dreamventures.com), Female Founders Fund (www.femalefoundersfund.com), Golden Hour Ventures (www.goldenhourventures.co), Ingeborg Investments (Ingeborginvestments.com), Precursor Ventures (precursorvc.com), Reshma Saujani (reshmasaujani.com), Stellation Capital (www.stellation.vc), Visible Hands (www.visiblehands.vc)</t>
  </si>
  <si>
    <t>Indiegogo(Lead Manager or Arranger), Perkins Coie(Legal Advisor)</t>
  </si>
  <si>
    <t>278003-71P</t>
  </si>
  <si>
    <t>Mei-Lin Ng</t>
  </si>
  <si>
    <t>meilin@hearthdisplay.com</t>
  </si>
  <si>
    <t>+1 (678) 560-3559</t>
  </si>
  <si>
    <t>364 Lincoln Place</t>
  </si>
  <si>
    <t>Suite E7 Brooklyn</t>
  </si>
  <si>
    <t>+1 (201) 614-7252</t>
  </si>
  <si>
    <t>hello@hearthdisplay.com</t>
  </si>
  <si>
    <t>512282-26</t>
  </si>
  <si>
    <t>Hearth AI</t>
  </si>
  <si>
    <t>Hearth</t>
  </si>
  <si>
    <t>Hearth AI, Inc.</t>
  </si>
  <si>
    <t>Operator of an artificial intelligence platform intended to provide a co-pilot semantic network. The company's platform offers a follow-up workflow and relationship network and augments one's ability to stay connected by centralizing, enriching, recommending and acting on your network, enabling customers to maintain warm relationships.</t>
  </si>
  <si>
    <t>ai platform service, network search engine, platform network, relationship management, relationship management platform, semantic web</t>
  </si>
  <si>
    <t>www.hearth.ai</t>
  </si>
  <si>
    <t>http://www.linkedin.com/company/hearth-ai</t>
  </si>
  <si>
    <t>2023: 4, 2024: 8</t>
  </si>
  <si>
    <t>The company raised an estimated $3.75 million of seed funding from Salesforce Ventures, Sterling Road and Pear on January 5, 2023, putting the company's pre-money valuation at $10 million. M13 also participated in the round.</t>
  </si>
  <si>
    <t>M13, Pear (California), Salesforce Ventures, Sterling Road</t>
  </si>
  <si>
    <t>M13 (www.m13.co), Pear (California) (www.pear.vc), Salesforce Ventures (www.salesforceventures.com), Sterling Road (www.sterlingroad.com)</t>
  </si>
  <si>
    <t>164629-36P</t>
  </si>
  <si>
    <t>Ashe Magalhaes</t>
  </si>
  <si>
    <t>ashe@hearth.ai</t>
  </si>
  <si>
    <t>Suite 2212</t>
  </si>
  <si>
    <t>hello@hearth.ai</t>
  </si>
  <si>
    <t>550441-00</t>
  </si>
  <si>
    <t>Heeyo</t>
  </si>
  <si>
    <t>Hee Labs, Inc.</t>
  </si>
  <si>
    <t>DreamBox Learning</t>
  </si>
  <si>
    <t>Developer of an artificial intelligence-based playmates platform designed for kids. The company offers skill-building games and learning activities, like reading books, learning science, playing trivia, or creating their own stories, enabling kids to accomplish their dreams.</t>
  </si>
  <si>
    <t>Artificial Intelligence &amp; Machine Learning, EdTech, Mobile, SaaS, TMT</t>
  </si>
  <si>
    <t>kids gaming, kids service, learning activities, learning science, play platform, skill-building platform</t>
  </si>
  <si>
    <t>www.heeyo.ai</t>
  </si>
  <si>
    <t>http://www.linkedin.com/company/heeyo</t>
  </si>
  <si>
    <t>The company raised $3.5 million of seed funding from the OpenAI Startup Fund, ODD BIRD, Amazon Alexa Fund, and Pear on August 1, 2024. Charge Ventures, Acorn Pacific Ventures, and other undisclosed investors also participated in the round. Out of the total funding, an undisclosed amount is in the form of SAFE notes.</t>
  </si>
  <si>
    <t>Acorn Pacific Ventures, Amazon Alexa Fund, Charge Ventures, ODDBIRD-, OpenAI Startup Fund, Pear (California)</t>
  </si>
  <si>
    <t>Acorn Pacific Ventures (www.acornpacific.ventures), Charge Ventures (www.charge.vc), ODDBIRD- (www.oddbirdvc.com), OpenAI Startup Fund (www.openai.fund), Pear (California) (www.pear.vc)</t>
  </si>
  <si>
    <t>224072-38P</t>
  </si>
  <si>
    <t>Xiaoyin Qu</t>
  </si>
  <si>
    <t>530 Lytton Avenue</t>
  </si>
  <si>
    <t>contact@heelabs.com</t>
  </si>
  <si>
    <t>466593-49</t>
  </si>
  <si>
    <t>Hello Divorce</t>
  </si>
  <si>
    <t>HD</t>
  </si>
  <si>
    <t>Hello Divorce, Inc.</t>
  </si>
  <si>
    <t>Divorce.com, Online Divorce, Wevorce, LegalZoom, Nolo, It's Over Easy</t>
  </si>
  <si>
    <t>Operator of a proprietary platform intended to complete the divorce process exclusively online, complemented by self-service tools and integrated expert help. The company's platform utilizes self-service and assisted tools that guide an individual through the divorce process with a web application powered by artificial intelligence and conditional logic along with providing maneuvering sessions, personalized divorce plans, and strategy sessions with a divorce lawyer, enabling people to access a quicker, equitable and less fear-driven outcome.</t>
  </si>
  <si>
    <t>Application Software, Legal Services (B2C), Other Services (B2C Non-Financial)*</t>
  </si>
  <si>
    <t>Artificial Intelligence &amp; Machine Learning, E-Commerce, Legal Tech, SaaS</t>
  </si>
  <si>
    <t>divorce advice, divorce management application, family management, financial advisory planning, legal service platform, online divorce, personalized planning</t>
  </si>
  <si>
    <t>www.hellodivorce.com</t>
  </si>
  <si>
    <t>http://www.linkedin.com/company/hello-divorce</t>
  </si>
  <si>
    <t>2019: 3, 2020: 3, 2021: 6, 2022: 21, 2023: 27, 2024: 31</t>
  </si>
  <si>
    <t>The company raised $3.5 million of seed funding in a deal led by The Artemis Fund on September 11, 2023, putting the company's pre-money valuation at $8.5 million. Northwestern Mutual Future Ventures, TruStage Ventures, Pitbull Ventures, Lightbank, Chaos Ventures (New York), Moderne Ventures, Alumni Ventures, Litquidity Capital, Jack Newton, Sand Hill Angels and CEAS Investments I also participated in the round. The funds will be used to further expand nationally and dive deeper into the divorce lifecycle, creating tools and services that offer a bridge to financial independence and emotional well-being. Previously, the company raised $3.25 million of seed funding from TruStage Ventures and other undisclosed investors on September 30, 2022.</t>
  </si>
  <si>
    <t>Alumni Ventures, CEAS Investments I, Chaos Ventures (New York), Duke Law Tech Lab, EquityESQ, Gaingels, Jack Newton, Lightbank, Lisa Stone, Litquidity Capital, Moderne Ventures, Northwestern Mutual Future Ventures, Pitbull Ventures, Sand Hill Angels, The Artemis Fund, TruStage Ventures</t>
  </si>
  <si>
    <t>Alumni Ventures (www.av.vc), CEAS Investments I (www.ceasinvestments.com), Chaos Ventures (New York) (www.chaosvc.com), Duke Law Tech Lab (www.dukelawtechlab.com), Gaingels (www.gaingels.com), Lightbank (www.lightbank.com), Litquidity Capital (www.litquidity.co), Moderne Ventures (www.moderneventures.com), Northwestern Mutual Future Ventures (venture.northwesternmutual.com/future-ventures.html), Pitbull Ventures (www.pitbull.vc), Sand Hill Angels (www.sandhillangels.com), The Artemis Fund (www.theartemisfund.com), TruStage Ventures (www.cmfgventures.com)</t>
  </si>
  <si>
    <t>Bend Law Group(Legal Advisor), First Republic Bank(General Business Banking)</t>
  </si>
  <si>
    <t>Hunton Andrews Kurth(Legal Advisor), The Founder's Attorney(Legal Advisor)</t>
  </si>
  <si>
    <t>263193-76P</t>
  </si>
  <si>
    <t>Erin Levine</t>
  </si>
  <si>
    <t>erin@hellodivorce.com</t>
  </si>
  <si>
    <t>+1 (510) 646-1400</t>
  </si>
  <si>
    <t>Alameda, CA</t>
  </si>
  <si>
    <t>1951 Monarch Street</t>
  </si>
  <si>
    <t>Alameda</t>
  </si>
  <si>
    <t>94501</t>
  </si>
  <si>
    <t>hello@hellodivorce.com</t>
  </si>
  <si>
    <t>530771-86</t>
  </si>
  <si>
    <t>Hello Pediatrics</t>
  </si>
  <si>
    <t>Hello Pediatrics Management Group, PLLC</t>
  </si>
  <si>
    <t>Provider of a telehealth platform intended for streamlined, patient-centered, telehealth care. The company's platform provides convenient and affordable access to care for children through a video chat with board-certified pediatricians, secure messaging, and detailed summaries to pediatricians, enabling consumers with a valuable resource for convenient and affordable care for their children.</t>
  </si>
  <si>
    <t>HealthTech</t>
  </si>
  <si>
    <t>appointment booking platform, clinical care services, pediatric medical care, telehealth services, treatment planning, urgent care</t>
  </si>
  <si>
    <t>www.hellopediatrics.com</t>
  </si>
  <si>
    <t>http://www.linkedin.com/company/hello-pediatrics</t>
  </si>
  <si>
    <t>2023: 12, 2024: 17</t>
  </si>
  <si>
    <t>The company raised $3 million of Series B venture funding in a deal led by Sequoia Health Strategies and Dialectic Capital Management on July 11, 2023. Bridge Ventures also participated in the round. Other undisclosed investors also participated in the round. The funds will be used to support the addition of child and family integrated behavioral health services, the company's expansion into new states and technology enhancements to improve the customer and provider experience.</t>
  </si>
  <si>
    <t>Bridge Ventures (Chicago), Dialectic Capital Management, Sequoia Health Strategies</t>
  </si>
  <si>
    <t>Bridge Ventures (Chicago) (www.bridgeventures.com), Dialectic Capital Management (www.dialecticcapital.com)</t>
  </si>
  <si>
    <t>301564-27P</t>
  </si>
  <si>
    <t>Lucy Janoyan</t>
  </si>
  <si>
    <t>+1 (855) 576-8745</t>
  </si>
  <si>
    <t>Fairfax, VA</t>
  </si>
  <si>
    <t>13135 Route 50</t>
  </si>
  <si>
    <t>Fairfax</t>
  </si>
  <si>
    <t>22033</t>
  </si>
  <si>
    <t>info@hellopediatrics.com</t>
  </si>
  <si>
    <t>435014-02</t>
  </si>
  <si>
    <t>Hello Ralphie</t>
  </si>
  <si>
    <t>My Virtual Vet</t>
  </si>
  <si>
    <t>My Virtual Vet, Inc.</t>
  </si>
  <si>
    <t>Developer of an online virtual care platform designed to facilitate remote veterinary checkups. The company's platform connects pet parents with veterinarians for video and chat appointments, and solves queries related to pets digitally, enabling users to access their primary veterinarian or find a different veterinarian who is available for virtual veterinary appointments.</t>
  </si>
  <si>
    <t>Mobile, Pet Technology</t>
  </si>
  <si>
    <t>cat grooming, dog care, pet care application, pet health, vet care, veterinarian finder, veterinary care platform</t>
  </si>
  <si>
    <t>www.helloralphie.com</t>
  </si>
  <si>
    <t>http://www.linkedin.com/company/hello-ralphie</t>
  </si>
  <si>
    <t>2020: 5, 2021: 6, 2022: 6, 2023: 7, 2024: 3</t>
  </si>
  <si>
    <t>The company raised $1 million of seed funding from HearstLab, WPMC Fund, and other undisclosed investors on January 7, 2021. The funds will be used to focus on software and technology expansion as well as key hires in business development and customer experience, focus on improving the experience for pets and their parents, and create an environment where veterinarians can offer exemplary care in a socially distant manner.</t>
  </si>
  <si>
    <t>HearstLab, Venture Initiation Program, Venture Lab (University of Pennsylvania), WPMC Fund</t>
  </si>
  <si>
    <t>HearstLab (www.hearstlab.com), Venture Lab (University of Pennsylvania) (venturelab.upenn.edu), WPMC Fund (www.wpmc.fund)</t>
  </si>
  <si>
    <t>201 South 18th Street</t>
  </si>
  <si>
    <t>Apartment 1707</t>
  </si>
  <si>
    <t>19103-5932</t>
  </si>
  <si>
    <t>+1 (917) 259-0518</t>
  </si>
  <si>
    <t>465914-17</t>
  </si>
  <si>
    <t>Hello World CS</t>
  </si>
  <si>
    <t>HWCS</t>
  </si>
  <si>
    <t>Hw Tech Studio, Inc.</t>
  </si>
  <si>
    <t>Provider of a computer science learning platform intended to equip and empower next-generation innovators. The company's platform offers a rigorous catalog of in-person, project-based learning experiences centered on students mastering concepts in emerging technology fields creating multidisciplinary learning experiences that build leadership skills, enabling educators to focus on applied mathematics, simulation and modeling as a means to solve complex problems.</t>
  </si>
  <si>
    <t>computer science, computer science program, educational value, leadership program, learning experience, multidisciplinary skills</t>
  </si>
  <si>
    <t>www.helloworldcs.org</t>
  </si>
  <si>
    <t>http://www.linkedin.com/company/hello-world-studio</t>
  </si>
  <si>
    <t>2021: 42, 2022: 50, 2023: 50</t>
  </si>
  <si>
    <t>The company raised $2.95 million through a combination of Seed-1 and Seed-2 funding from Edovate Capital and undisclosed investors on March 18, 2024, putting the company's pre-money valuation at $16 million.</t>
  </si>
  <si>
    <t>Edovate Capital</t>
  </si>
  <si>
    <t>Edovate Capital (www.edovatecapital.com)</t>
  </si>
  <si>
    <t>262106-92P</t>
  </si>
  <si>
    <t>Sabina Bharwani</t>
  </si>
  <si>
    <t>sbharwani@helloworldcs.org</t>
  </si>
  <si>
    <t>+1 (512) 831-7261</t>
  </si>
  <si>
    <t>3616 Far West Boulevard</t>
  </si>
  <si>
    <t>Suite 117, Number 409</t>
  </si>
  <si>
    <t>78731</t>
  </si>
  <si>
    <t>484193-89</t>
  </si>
  <si>
    <t>HeyLayer</t>
  </si>
  <si>
    <t>Layer Technologies, Inc.</t>
  </si>
  <si>
    <t>Developer of crypto mining technology intended to mint NFTs at scale. The company's technology offers API to mint NFTs and allows to buy and sell crypto using regular credit cards and earn royalty payments, enabling investors to stay up-to-date on analytics on sales across their entire collection of cryptocurrencies and NFTs.</t>
  </si>
  <si>
    <t>blockchain industry, blockchain technology, crypto industry, nft management platform, nft mint, web3 technology</t>
  </si>
  <si>
    <t>www.heylayer.com</t>
  </si>
  <si>
    <t>http://www.linkedin.com/company/layer-technologies</t>
  </si>
  <si>
    <t>2021: 7, 2022: 8, 2023: 10, 2024: 3</t>
  </si>
  <si>
    <t>The company raised $450,000 of pre-seed funding from Panda Capital, SBX Capital and Gossamer Capital on February 1, 2022. Bitcoin Frontier Fund also participated in the round.</t>
  </si>
  <si>
    <t>Bitcoin Frontier Fund, Gossamer Capital, Panda Capital (Hong Kong), SBX Capital</t>
  </si>
  <si>
    <t>Bitcoin Frontier Fund (www.btcfrontier.fund), Gossamer Capital (www.gossamercap.com), Panda Capital (Hong Kong) (pandacapital.hk), SBX Capital (www.sbxcapital.co)</t>
  </si>
  <si>
    <t>284358-25P</t>
  </si>
  <si>
    <t>Alla Koretsky</t>
  </si>
  <si>
    <t>alla@heylayer.com</t>
  </si>
  <si>
    <t>+1 (646) 387-5051</t>
  </si>
  <si>
    <t>2448 East 22nd Street, Apartment 2</t>
  </si>
  <si>
    <t>11235</t>
  </si>
  <si>
    <t>462382-12</t>
  </si>
  <si>
    <t>Hidden Door</t>
  </si>
  <si>
    <t>Hidden Door, Inc.</t>
  </si>
  <si>
    <t>Developer of an online game platform designed for kids to discover and create stories with AI. The company's platform uses AI and natural language processing that allows users to create personalized characters and take them on adventures across a variety of open story worlds, providing children with storytelling games that are AI and ML-generated.</t>
  </si>
  <si>
    <t>Artificial Intelligence &amp; Machine Learning, Esports, Gaming</t>
  </si>
  <si>
    <t>game platform, gaming content, generative ai, mobile gaming, natural language processing, role play games platform, social gaming platform</t>
  </si>
  <si>
    <t>www.hiddendoor.co</t>
  </si>
  <si>
    <t>http://www.linkedin.com/company/hiddendoor</t>
  </si>
  <si>
    <t>2021: 5, 2022: 8, 2023: 16, 2024: 26</t>
  </si>
  <si>
    <t>The company raised $7 million of seed funding in a deal led by Makers Fund on July 13, 2022, putting the company's pre-money valuation at $28 million. Northzone Ventures and Betaworks Ventures also participated in the round. The funds will be used to build out the company's team, technology, and product. Previously, the company raised $2 million of pre-seed funding in a deal led by Northzone Ventures on March 16, 2022, putting the company's pre-money valuation at $7 million. Makers Fund and 5 other investors also participated in the round. The funds will be used for creating a social game platform that uses AI to help build narratives allowing players to remix interactive graphic novels and share the results.</t>
  </si>
  <si>
    <t>Betaworks Ventures, Brooklyn Bridge Ventures, Daniel Sturman, Homebrew, Joshua Schacter, Makers Fund, Northzone Ventures</t>
  </si>
  <si>
    <t>Betaworks Ventures (www.betaworksventures.com), Brooklyn Bridge Ventures (www.brooklynbridge.vc), Homebrew (www.homebrew.co), Makers Fund (www.makersfund.com), Northzone Ventures (www.northzone.com)</t>
  </si>
  <si>
    <t>255667-69P</t>
  </si>
  <si>
    <t>Matt Brandwein</t>
  </si>
  <si>
    <t>Co-Founder &amp; Product Executive</t>
  </si>
  <si>
    <t>mbrandwein@hiddendoor.co</t>
  </si>
  <si>
    <t>201 West 72nd Street</t>
  </si>
  <si>
    <t>Suite 12G</t>
  </si>
  <si>
    <t>hello@hiddendoor.co</t>
  </si>
  <si>
    <t>433218-07</t>
  </si>
  <si>
    <t>Highlight (Media and Information Services)</t>
  </si>
  <si>
    <t>Showcase</t>
  </si>
  <si>
    <t>Highlight, Highlight.</t>
  </si>
  <si>
    <t>Highlight Insights, Inc.</t>
  </si>
  <si>
    <t>Developer of a product intelligence platform designed to facilitate efficient, agile, and scaled at-home product testing. The company's platform provides seamless distribution, data collection, and information from a diverse, vetted community of engaged consumers, enabling brands to collect quality product data at scale.</t>
  </si>
  <si>
    <t>concept testing, crm, customer relationship management, ecommerce personalization, market research, market research platform, product data, product intelligence software, product testing platform</t>
  </si>
  <si>
    <t>www.letshighlight.com</t>
  </si>
  <si>
    <t>http://www.linkedin.com/company/letshighlight</t>
  </si>
  <si>
    <t>2020: 5, 2021: 23, 2022: 35, 2023: 88, 2024: 99</t>
  </si>
  <si>
    <t>The company raised $22.60 million of Series A-1 and Series A-2 venture funding through a combination of debt and equity on August 23, 2023, putting the company's pre-money valuation at $55.40 million. $19.60 million of Series A-1 and Series A-2 was led by Acre Venture Partners and HearstLab with participation from GS Futures and 11 other investors also participated in the round. $3 million loan was provided by undisclosed lender.</t>
  </si>
  <si>
    <t>Acre Venture Partners, Alexander Lurie, Alumni Ventures, Annelies Gamble, Bossa Invest, Chestnut Street Ventures, Dorm Room Fund, Eudemian Ventures, First Round Capital, FJ Labs, GC Venture Fellows, GS Futures, Hearst Communications, HearstLab, Ingeborg Investments, Jag Bath, Kaya Ventures, Kraft Heinz, Mana Ventures, Max Mullen, Nestlé, Operator Partners, Reform Ventures, Richard Thornton, Ryan Nece, Scribble Ventures, Secocha Ventures, Sixers Innovation Lab, Tom Bernthal, Venture Initiation Program, Weiss Tech House</t>
  </si>
  <si>
    <t>Acre Venture Partners (www.acre.vc), Alumni Ventures (www.av.vc), Annelies Gamble (www.anneliesgamble.com), Bossa Invest (www.bossainvest.com), Chestnut Street Ventures (www.chestnutstreetventures.com), Dorm Room Fund (www.dormroomfund.com), Eudemian Ventures (www.eudemian.vc), First Round Capital (www.firstround.com), FJ Labs (www.fjlabs.com), GS Futures (www.gsfutures.vc), Hearst Communications (www.hearst.com), HearstLab (www.hearstlab.com), Ingeborg Investments (Ingeborginvestments.com), Kaya Ventures (www.kaya.ventures), Kraft Heinz (www.kraftheinzcompany.com), Mana Ventures (www.manaventures.vc), Max Mullen (www.maxmullen.com), Nestlé (www.nestle.com), Operator Partners (www.operatorpartners.com), Reform Ventures (www.reformventures.com), Scribble Ventures (www.scribble.vc), Secocha Ventures (www.secocha.com), Sixers Innovation Lab (www.sixersinnovationlab.com), Weiss Tech House (weisstech.upenn.edu)</t>
  </si>
  <si>
    <t>225212-95P</t>
  </si>
  <si>
    <t>Dana Kim</t>
  </si>
  <si>
    <t>dana@letshighlight.com</t>
  </si>
  <si>
    <t>300 West 57th Street</t>
  </si>
  <si>
    <t>33rd Floor</t>
  </si>
  <si>
    <t>10009</t>
  </si>
  <si>
    <t>Other - $3.00M</t>
  </si>
  <si>
    <t>434741-86</t>
  </si>
  <si>
    <t>Highlyte</t>
  </si>
  <si>
    <t>AMNESIA Media</t>
  </si>
  <si>
    <t>Highlyte Media Company Inc.</t>
  </si>
  <si>
    <t>Developer of a marketing compliance platform designed to serve advertisements compliantly at scale to new cannabis consumers through influencers. The company's artificial intelligence-driven platform connects social media accounts to scan posts and captions, review compliance reports on each post against state regulations and social media guidelines, and allows to view trend reports to learn regulations and adjust the content strategy, enabling cannabis marketers to reduce marketing compliance risks and create compelling content at scale.</t>
  </si>
  <si>
    <t>Artificial Intelligence &amp; Machine Learning, Cannabis, Marketing Tech, SaaS</t>
  </si>
  <si>
    <t>cannabis marketing, compliance platform, content marketing, marketing compliance, research network, risk reporting, social media compliance</t>
  </si>
  <si>
    <t>www.highlyte.ai</t>
  </si>
  <si>
    <t>http://www.linkedin.com/company/highlyte-ai</t>
  </si>
  <si>
    <t>2020: 4, 2021: 12, 2022: 15, 2023: 10, 2024: 3</t>
  </si>
  <si>
    <t>The company raised $1 million of seed funding from Argonautic Ventures, Poseidon Asset Management and JourneyOne Ventures on April 25, 2023. Other undisclosed investors also participated in the round. The funds will be used to expand the company's beta launch.</t>
  </si>
  <si>
    <t>AFI Capital Partners, Argonautic Ventures, CanopyBoulder, HALLEY Venture Partners, JourneyOne Ventures, Poseidon Asset Management</t>
  </si>
  <si>
    <t>AFI Capital Partners (www.aficapitalpartners.com), Argonautic Ventures (www.argonauticventures.com), CanopyBoulder (www.go.canopyboulder.com), HALLEY Venture Partners (www.halleyvp.com), JourneyOne Ventures (www.journeyone.vc), Poseidon Asset Management (poseidonassetmanagement.com)</t>
  </si>
  <si>
    <t>Gaynor Law Group(Legal Advisor)</t>
  </si>
  <si>
    <t>229173-85P</t>
  </si>
  <si>
    <t>Courtney Wu</t>
  </si>
  <si>
    <t>courtney@highlyte.ai</t>
  </si>
  <si>
    <t>+1 (415) 769-8852</t>
  </si>
  <si>
    <t>1450 Sutter Street</t>
  </si>
  <si>
    <t>Suite 112</t>
  </si>
  <si>
    <t>+1 (415) 484-9469</t>
  </si>
  <si>
    <t>hello@highlytemedia.io</t>
  </si>
  <si>
    <t>494669-08</t>
  </si>
  <si>
    <t>Hive Wealth</t>
  </si>
  <si>
    <t>Hive Wealth, Inc.</t>
  </si>
  <si>
    <t>Developer of a community-first mobile app designed to help people grow their wealth and legacy. The company's platform helps people connect with communities of financial peers to discuss wealth, share trade insights, and break the money taboo, enabling users to set financial goals, analyze spending patterns, and become experts on their finances.</t>
  </si>
  <si>
    <t>Application Software, Financial Software*, Social/Platform Software</t>
  </si>
  <si>
    <t>financial company, financial goals, financial goals management, financial services, investment platform, investment tool, mobile app, social platform, wealthtech</t>
  </si>
  <si>
    <t>www.hivewealth.com</t>
  </si>
  <si>
    <t>http://www.linkedin.com/company/hive-wealth</t>
  </si>
  <si>
    <t>The company raised $3.4 million of seed funding from Black Tech Nation Ventures, and other undisclosed investors on December 14, 2023.</t>
  </si>
  <si>
    <t>Black Tech Nation Ventures, SVB Financial Group</t>
  </si>
  <si>
    <t>Black Tech Nation Ventures (www.btn.vc)</t>
  </si>
  <si>
    <t>337364-29P</t>
  </si>
  <si>
    <t>Cheryl Heller</t>
  </si>
  <si>
    <t>Chief Financial Officer &amp; Head of Human Resources</t>
  </si>
  <si>
    <t>cheryl@hivewealth.com</t>
  </si>
  <si>
    <t>Bethesda, MD</t>
  </si>
  <si>
    <t>We Work, 7272 Wisconsin Avenue</t>
  </si>
  <si>
    <t>Bethesda</t>
  </si>
  <si>
    <t>20814</t>
  </si>
  <si>
    <t>472334-68</t>
  </si>
  <si>
    <t>Home From College</t>
  </si>
  <si>
    <t>H\FC</t>
  </si>
  <si>
    <t>JenZ Inc.</t>
  </si>
  <si>
    <t>FindSpark, 12twenty, Virtual Internships, Multiverse, GradLeaders, RippleMatch, AfterCollege, Portfolium, Handshake, Glassdoor, JobStreet, SnagAJob, SmartRecruiters, Symplicity, LinkedIn, Canva</t>
  </si>
  <si>
    <t>Developer of a digital career development platform designed to build a marketplace bringing companies and students together. The company's platform provides access to an online community geared towards prospective college students and recent graduates and releases aspirational content across various industries of technology, media, marketing, fashion and entrepreneurship, enabling students and companies in career development through facilities of mentorship programs and micro-internships and allows them to create better resumes and get more experience early on in their careers.</t>
  </si>
  <si>
    <t>Business/Productivity Software*, Information Services (B2C), Media and Information Services (B2B), Multimedia and Design Software</t>
  </si>
  <si>
    <t>career development, digital hiring platform, digital platform, hiring marketplace, internship platform, job portal</t>
  </si>
  <si>
    <t>www.homefromcollege.com</t>
  </si>
  <si>
    <t>http://www.linkedin.com/company/homefromcollege</t>
  </si>
  <si>
    <t>2020: 4, 2021: 68, 2022: 66, 2023: 48</t>
  </si>
  <si>
    <t>The company raised $6.87 million of seed funding in a deal led by GV on April 3, 2024, putting the company's pre-money valuation at $21.63 million. PEAK6 Strategic Capital, Pentas Ventures, SuperAngel.Fund, Michael Kassan and Luana Investments also participated in the round.</t>
  </si>
  <si>
    <t>GV, Luana Investments, Michael Kassan, PEAK6 Strategic Capital, Pentas Ventures, SuperAngel.Fund</t>
  </si>
  <si>
    <t>GV (www.gv.com), Luana Investments (www.luanainvestments.com), Pentas Ventures (www.pentasventures.com), SuperAngel.Fund (www.superangel.vc)</t>
  </si>
  <si>
    <t>274100-50P</t>
  </si>
  <si>
    <t>Julia Haber</t>
  </si>
  <si>
    <t>+1 (203) 505-1728</t>
  </si>
  <si>
    <t>Portland, OR</t>
  </si>
  <si>
    <t>1410 NorthWest Johnson Street</t>
  </si>
  <si>
    <t>Portland</t>
  </si>
  <si>
    <t>97209</t>
  </si>
  <si>
    <t>info@homefromcollege.com</t>
  </si>
  <si>
    <t>540851-32</t>
  </si>
  <si>
    <t>Homeboost</t>
  </si>
  <si>
    <t>HomeBoost, Inc.</t>
  </si>
  <si>
    <t>Manufacturer of home energy audit assessment kit intended to take control of energy bills. The company's product offers to evaluate the house's insulation, heating and cooling systems, appliances and lighting, enabling users to use less energy and save money.</t>
  </si>
  <si>
    <t>Electronics (B2C), Other Hardware*</t>
  </si>
  <si>
    <t>CleanTech</t>
  </si>
  <si>
    <t>assessment system, diy home, energy assessment, energy audit, energy bill, home energy</t>
  </si>
  <si>
    <t>www.homeboost.com</t>
  </si>
  <si>
    <t>http://www.linkedin.com/company/homeboost</t>
  </si>
  <si>
    <t>The company raised $4 million of seed funding in a deal led by True Ventures on October 29, 2024. Incite Ventures (San Francisco) and Gigascale Capital also participated in the round. The funds will be used o accelerate customer growth, technological development and expand the team.</t>
  </si>
  <si>
    <t>Bronze VC, Gigascale Capital, Incite Ventures (San Francisco), True Ventures</t>
  </si>
  <si>
    <t>Bronze VC (www.bronze.vc), Gigascale Capital (www.gigascale.com), Incite Ventures (San Francisco) (www.incite.org), True Ventures (www.trueventures.com)</t>
  </si>
  <si>
    <t>389047-51P</t>
  </si>
  <si>
    <t>Adam Sussman</t>
  </si>
  <si>
    <t>Co-Founder &amp; Software Engineer and Operation Executive</t>
  </si>
  <si>
    <t>adam@homeboost.com</t>
  </si>
  <si>
    <t>+1 (301) 288-1108</t>
  </si>
  <si>
    <t>San Rafael, CA</t>
  </si>
  <si>
    <t>1005 Northgate Drive</t>
  </si>
  <si>
    <t>Suite 211</t>
  </si>
  <si>
    <t>San Rafael</t>
  </si>
  <si>
    <t>94903</t>
  </si>
  <si>
    <t>hello@homeboost.com</t>
  </si>
  <si>
    <t>435300-31</t>
  </si>
  <si>
    <t>Honest Game</t>
  </si>
  <si>
    <t>Honest Game Corporation</t>
  </si>
  <si>
    <t>Developer of student-athlete database platform designed to automate academic eligibility for college sports with verified data. The company's platform tracks and stores the academic progress of high school athletes in real-time, and disseminates it meeting the needs of players, parents, school staff, college coaches, and youth sports clubs, enabling players, colleges, and sports clubs to operate significantly for better outcomes.</t>
  </si>
  <si>
    <t>Esports</t>
  </si>
  <si>
    <t>academic data tracking, college access, data aggregation, high school athletes, social impact, student athletes, student athletes development, student athletes tracker, student community portal</t>
  </si>
  <si>
    <t>honestgame.com</t>
  </si>
  <si>
    <t>http://www.linkedin.com/company/honest-game</t>
  </si>
  <si>
    <t>2021: 14, 2022: 19, 2023: 20, 2024: 21</t>
  </si>
  <si>
    <t>The company raised $2 million of seed funding from LOUD Capital, Alan Warms, and Reform Ventures on July 27, 2021, putting the company's pre-money valuation at $5 million. Other undisclosed investors also participated in this round. The funds will be used to continue growing and improving the company's technology platform.</t>
  </si>
  <si>
    <t>1871, Alan Warms, LOUD Capital, Reform Ventures</t>
  </si>
  <si>
    <t>1871 (www.1871.com), LOUD Capital (www.loud.vc), Reform Ventures (www.reformventures.com)</t>
  </si>
  <si>
    <t>230489-92P</t>
  </si>
  <si>
    <t>Kim Michelson</t>
  </si>
  <si>
    <t>kim@honestgame.com</t>
  </si>
  <si>
    <t>+1 (800) 917-9040</t>
  </si>
  <si>
    <t>Evanston, IL</t>
  </si>
  <si>
    <t>PO Box 5820</t>
  </si>
  <si>
    <t>Evanston</t>
  </si>
  <si>
    <t>60204</t>
  </si>
  <si>
    <t>info@honestgame.com</t>
  </si>
  <si>
    <t>434418-94</t>
  </si>
  <si>
    <t>Honeycomb (Social/Platform Software)</t>
  </si>
  <si>
    <t>Saga</t>
  </si>
  <si>
    <t>Honeycomb</t>
  </si>
  <si>
    <t>Keep Life Stories, Inc.</t>
  </si>
  <si>
    <t>Developer of a private podcast application designed to record life stories. The company's application allows family members to save their life stories of aging loved ones on audio and preserve it for the future generation to listen to them, enabling customers to save memories and stories on voice audio.</t>
  </si>
  <si>
    <t>Application Software, Social/Platform Software*</t>
  </si>
  <si>
    <t>audio recorder, audio recording apps, family recording software, podcast application, private podcast, software developer</t>
  </si>
  <si>
    <t>www.joinhoneycomb.com</t>
  </si>
  <si>
    <t>http://www.linkedin.com/company/honeycombapp</t>
  </si>
  <si>
    <t>2020: 7, 2021: 7, 2022: 24, 2023: 13</t>
  </si>
  <si>
    <t>The company raised $4 million of seed funding from DCM Ventures, K50 Ventures and Bling Capital on December 13, 2021. The MBA Fund and 5 other investors also participated in the round. The funds will be used for hiring, including engineers, who will work in person from its San Mateo office space.</t>
  </si>
  <si>
    <t>Alex Chung, Bling Capital, DCM Ventures, Deborah Liu, K50 Ventures, Nick Caldwell, Precursor Ventures, Stellation Capital, The MBA Fund</t>
  </si>
  <si>
    <t>Bling Capital (www.blingcap.com), DCM Ventures (www.dcm.com), K50 Ventures (www.k50ventures.com), Nick Caldwell (nickcaldwell.com), Precursor Ventures (precursorvc.com), Stellation Capital (www.stellation.vc), The MBA Fund (www.thembafund.com)</t>
  </si>
  <si>
    <t>228461-32P</t>
  </si>
  <si>
    <t>Amelia Lin</t>
  </si>
  <si>
    <t>amelia@trysaga.com</t>
  </si>
  <si>
    <t>+1 (313) 777-8679</t>
  </si>
  <si>
    <t>274 Skyview Court</t>
  </si>
  <si>
    <t>433568-62</t>
  </si>
  <si>
    <t>Honeycomb Labs</t>
  </si>
  <si>
    <t>Honeycomb Labs Inc.</t>
  </si>
  <si>
    <t>Developer of consumer software designed to empower and share the logistics of parenting across communities. The company's platform helps to trust through a novel approach to gathering that makes it magically easy for families to spend time together in real life and virtually, enabling families to share and reduce parenting logistics through collaboration tools.</t>
  </si>
  <si>
    <t>collaborative parenting, collaborative parenting technology, consumer software, consumer software developer, easy parenting, parenting community</t>
  </si>
  <si>
    <t>www.honeycomb-labs.com</t>
  </si>
  <si>
    <t>http://www.linkedin.com/company/honeycombinc</t>
  </si>
  <si>
    <t>2019: 2, 2020: 2, 2021: 4, 2022: 4, 2023: 5, 2024: 4</t>
  </si>
  <si>
    <t>The company raised an undisclosed amount of seed funding from First Round Capital and Olima Ventures on December 10, 2020.</t>
  </si>
  <si>
    <t>Albert Ni, Ali Rowghani, April Underwood, Arash Ferdowsi, Designer Fund, First Round Capital, Henry Ward, Jana Messerschmidt, Jess Lee, Joanna Drake, Makinde Adeagbo, Merline Saintil, Moxxie Ventures, Neeraj Arora, Neo (Consulting Services (B2B)), Olima Ventures, Scott Cannon, Sima Sistani, Sonja Perkins, South Park Commons, Todd Jackson, Vijay Pandurangan, Vijaya Gadde, WndrCo</t>
  </si>
  <si>
    <t>Designer Fund (www.designerfund.com), First Round Capital (www.firstround.com), Joanna Drake (www.joannadrakeearl.com), Moxxie Ventures (www.moxxie.vc), Neo (Consulting Services (B2B)) (www.neo.com), Olima Ventures (www.olimaventures.com), South Park Commons (www.southparkcommons.com), WndrCo (www.wndrco.com)</t>
  </si>
  <si>
    <t>100530-91P</t>
  </si>
  <si>
    <t>Chloe Sladden</t>
  </si>
  <si>
    <t>chloe@honeycomb-labs.com</t>
  </si>
  <si>
    <t>555 California Street</t>
  </si>
  <si>
    <t>32nd Floor</t>
  </si>
  <si>
    <t>hello@honeycomb-labs.com</t>
  </si>
  <si>
    <t>530657-83</t>
  </si>
  <si>
    <t>Hoop (Business/Productivity Software)</t>
  </si>
  <si>
    <t>Hoop</t>
  </si>
  <si>
    <t>Hoop, Inc</t>
  </si>
  <si>
    <t>Taskopad, Optimal AI, Workstreams.ai, Taskade</t>
  </si>
  <si>
    <t>Developer of a workflow integration platform designed to centralize tasks across tools and stay on top of all work. The company's platform eliminates the endless distractions, dings, meetings, context switching and notification overload and gets back to the work that matters, enabling business teams to make decisions faster without meetings.</t>
  </si>
  <si>
    <t>decision model, decision tools, distractions remover, integration platform, integration platform developer, task management platform, task management tool, workflow integration</t>
  </si>
  <si>
    <t>www.hoop.app</t>
  </si>
  <si>
    <t>http://www.linkedin.com/company/hoopinc</t>
  </si>
  <si>
    <t>2023: 6, 2024: 8</t>
  </si>
  <si>
    <t>The company raised $5 million of seed funding in a deal led by Index Ventures on June 5, 2024. Divergent Capital (New York) and 16 other investors also participated in the round. The funds will be used to deepen Hoop's AI capabilities, expand its platform integrations, and develop collaborative features.</t>
  </si>
  <si>
    <t>Andrew Dunn, Annie Duke, Chingona Ventures, Darren Murph, Divergent Capital (New York), Index Ventures, Jay Simons, Jiaona Zhang, Job van der Voort, Kristen Habacht, Linda Lian, Maggie Adhami-Boynton, Maria Katris, Michael Pryor, Nikita Miller, Origin Ventures, Sean Harper, Wade Foster</t>
  </si>
  <si>
    <t>Annie Duke (annieduke.com), Chingona Ventures (chingona.ventures), Divergent Capital (New York) (www.divergenthq.com), Index Ventures (www.indexventures.com), Origin Ventures (www.originventures.com)</t>
  </si>
  <si>
    <t>73772-56P</t>
  </si>
  <si>
    <t>Brian Schmidt</t>
  </si>
  <si>
    <t>brian@hoop.app</t>
  </si>
  <si>
    <t>169 Madison Ave</t>
  </si>
  <si>
    <t>Suite 2270</t>
  </si>
  <si>
    <t>founders@hoop.app</t>
  </si>
  <si>
    <t>463527-55</t>
  </si>
  <si>
    <t>Hopara</t>
  </si>
  <si>
    <t>Kyrix</t>
  </si>
  <si>
    <t>Hopara, Inc.</t>
  </si>
  <si>
    <t>Operator of an asset monitoring platform intended to focus on business intelligence and machine learning for efficient results. The company's tool deals with visual exploration and collection of data, discovering new insights at scale to rely on data for strategic and daily activities needs and reducing the time to actionable intelligence, enabling businesses to improve operating performance and defend against disruptors.</t>
  </si>
  <si>
    <t>business intelligence, data analytics, data exploration, data visualisation, location analytics, monitoring platform, strategic data</t>
  </si>
  <si>
    <t>www.hopara.io</t>
  </si>
  <si>
    <t>http://www.linkedin.com/company/hopara</t>
  </si>
  <si>
    <t>Departure (New) Charles Redmon, Chief Executive Officer &amp; Board Member</t>
  </si>
  <si>
    <t>The company raised $842,247 of seed funding from Gutbrain Ventures, PBJ Capital and Boston Seed Capital on October 23, 2023, putting the company's pre-money valuation at $14.55 million. Koa Labs and Adam Sah also participated in the round.</t>
  </si>
  <si>
    <t>Adam Sah, Boston Seed Capital, Glasswing Ventures, Gutbrain Ventures, Koa Labs, PBJ Capital</t>
  </si>
  <si>
    <t>Boston Seed Capital (www.bostonseed.com), Glasswing Ventures (www.glasswing.vc), Gutbrain Ventures (www.gutbrainventures.com), Koa Labs (www.koalabs.com), PBJ Capital (pbjcapital.com)</t>
  </si>
  <si>
    <t>160625-71P</t>
  </si>
  <si>
    <t>Kathleen Huber</t>
  </si>
  <si>
    <t>kathleen.huber@hopara.io</t>
  </si>
  <si>
    <t>+1 (805) 451-1712</t>
  </si>
  <si>
    <t>3 Wellington Street</t>
  </si>
  <si>
    <t>Unit 1</t>
  </si>
  <si>
    <t>02118</t>
  </si>
  <si>
    <t>+1 (617) 648-9100</t>
  </si>
  <si>
    <t>494679-70</t>
  </si>
  <si>
    <t>Hot Drops</t>
  </si>
  <si>
    <t>Hot Drops NFT</t>
  </si>
  <si>
    <t>Hot Drops, Inc</t>
  </si>
  <si>
    <t>Developer of a non-fungible token designed to allow mainstream and adult NFTs to safely coexist on the same platform. The company's software offers equitable access to blockchain and NFT technologies and is focused on developing an age-verified system for purchasing content and enables child protection online and in the NFT space, and with other benefits, enabling fans to connect with next-gen content, exclusive, limited-edition digital collectibles, community, and loyalty rewards.</t>
  </si>
  <si>
    <t>creator platform, creators community, diversity and inclusion, empowerment platform, nft marketplace, nft platform, nft platform developer, non-fungible token marketplace, non-fungible token platform</t>
  </si>
  <si>
    <t>www.myhotdrops.com</t>
  </si>
  <si>
    <t>The company raised $2.4 million of seed funding in a deal led by Michael Terpin and David Jensen on April 6, 2022. Other undisclosed investors also participated in the round.</t>
  </si>
  <si>
    <t>David Jensen, Michael Terpin</t>
  </si>
  <si>
    <t>297268-03P</t>
  </si>
  <si>
    <t>Ashley Youdan</t>
  </si>
  <si>
    <t>Founder &amp; Co-Chief Executive Officer</t>
  </si>
  <si>
    <t>ashley@myhotdrops.com</t>
  </si>
  <si>
    <t>465435-64</t>
  </si>
  <si>
    <t>Howdy</t>
  </si>
  <si>
    <t>Austin Software, Astro</t>
  </si>
  <si>
    <t>Howdy.com, Inc.</t>
  </si>
  <si>
    <t>Zenefits, Uzio, Paycor HCM, Gusto, Zuman, Richpanel, Rasa (Business/Productivity Software), Aivo, Bluecore, Conversica, Avaamo, Heyday (Canada), Customers.ai, Octane AI, Kustomer, PullString, Kore.ai, Botfuel, DigitalGenius, Heyday, Clever (Belgium), Clinc, Agent IQ, Yellow.ai</t>
  </si>
  <si>
    <t>Operator of a hiring company intended to hire engineering talent. The company develops a platform that collects performance data generated by engagement, and happiness, and combines it with their personality data and Spolsky scores, enabling the clients to better match developers that have a range of engineering sophistication.</t>
  </si>
  <si>
    <t>Business/Productivity Software, Human Capital Services*</t>
  </si>
  <si>
    <t>enterprise resource planning, erp, hiring platform, hiring software designer, human capital agency, human capital management, remote talent, staffing agency, technical hiring</t>
  </si>
  <si>
    <t>www.howdy.com</t>
  </si>
  <si>
    <t>http://www.linkedin.com/company/howdy</t>
  </si>
  <si>
    <t>2021: 118, 2022: 213, 2023: 300, 2024: 297</t>
  </si>
  <si>
    <t>The company raised $18 million of Series A venture funding in a deal led by Greycroft and Obvious Ventures on January 10, 2023, putting the company's pre-money valuation at $80 million. Open Opportunity Fund, SoftBank Investment Advisers, Flucas Ventures, Emles Venture Partners, Capital Factory, Santhi Analytis, Javon Jones and Dominick La Spisa also participated in the round. The funds will be used to grow the company's presence in the U.S. and scale the product.</t>
  </si>
  <si>
    <t>Capital Factory, Cathexis Ventures, Dominick La Spisa, Emles Venture Partners, Flucas Ventures, Greycroft, Javon Jones, Kube VC, Obvious Ventures, Open Opportunity Fund, Santhi Analytis, SoftBank Investment Advisers, Y Combinator</t>
  </si>
  <si>
    <t>J20 Ventures</t>
  </si>
  <si>
    <t>Capital Factory (www.capitalfactory.com), Cathexis Ventures (www.cathexisventures.com), Emles Venture Partners (emlesventure.com), Flucas Ventures (www.flucasvc.com), Greycroft (www.greycroft.com), Kube VC (www.kubevc.com), Obvious Ventures (www.obvious.com), Open Opportunity Fund (www.theopportunityfund.com), SoftBank Investment Advisers (visionfund.com), Y Combinator (www.ycombinator.com)</t>
  </si>
  <si>
    <t>J20 Ventures (www.j20ventures.co)</t>
  </si>
  <si>
    <t>261407-08P</t>
  </si>
  <si>
    <t>Jacqueline Samira</t>
  </si>
  <si>
    <t>jsamira@howdy.com</t>
  </si>
  <si>
    <t>+1 (512) 501-6265</t>
  </si>
  <si>
    <t>2202 Willow Street</t>
  </si>
  <si>
    <t>+1 (737) 204-5225</t>
  </si>
  <si>
    <t>info@howdy.com</t>
  </si>
  <si>
    <t>495042-04</t>
  </si>
  <si>
    <t>Hue (Media and Information Services (B2B))</t>
  </si>
  <si>
    <t>Color Theory Brands</t>
  </si>
  <si>
    <t>Hue</t>
  </si>
  <si>
    <t>Hue Beauty, Inc.</t>
  </si>
  <si>
    <t>Operator of a beauty technology platform intended to help e-commerce brands embed user-generated videos on their marketing channels. The company's platform develops shoppable video technology that allows online beauty brands and retailers to build trust with customers and keep them on their website with authentic user-generated content as well as uses an artificial intelligence-powered recommendation engine to offer identification of shoppers' skin tone, type, and beauty preferences, enabling clients to create authentic video, photo and written reviews for their products.</t>
  </si>
  <si>
    <t>Artificial Intelligence &amp; Machine Learning, Beauty, E-Commerce, SaaS</t>
  </si>
  <si>
    <t>beauty brand, beauty products, beauty technology platform, ecommerce personalization, fashion brand, makeup products, shoppable video, skin profiling analysis</t>
  </si>
  <si>
    <t>www.poweredbyhue.com</t>
  </si>
  <si>
    <t>http://www.linkedin.com/company/poweredbyhue</t>
  </si>
  <si>
    <t>The company raised $4.46 million of seed funding in a deal led by Underscore VC and Fika Ventures on April 9, 2024, putting the company's pre-money valuation at $6.5 million. NFX and 7 other investors also participated in the round. The funds will be used for beauty and apparel as well as new partnerships in footwear and accessories, with two footwear pilots already underway. Previously, the company joined Plug and Play Tech Center as a part of Batch 21 on April 4, 2024.</t>
  </si>
  <si>
    <t>Courtyard Ventures, Epakon Capital Management, Fika Ventures, Glasswing Ventures, Good For Her, Google for Startups, Harvard Innovation Launch Lab, New York Fashion Tech Lab, NFX, Phoenix Investment Club (San Francisco), Plug and Play Tech Center, Sequoia Capital, The MBA Fund, Tristan Walker, Underscore VC</t>
  </si>
  <si>
    <t>Courtyard Ventures (www.courtyard.vc), Epakon Capital Management (www.epakon.com), Fika Ventures (www.fika.vc), Glasswing Ventures (www.glasswing.vc), Good For Her (www.goodforher.co), Google for Startups (startup.google.com), Harvard Innovation Launch Lab (www.innovationlabs.harvard.edu), New York Fashion Tech Lab (www.nyftlab.com), NFX (www.nfx.com), Phoenix Investment Club (San Francisco) (www.phoenixclub.vc), Plug and Play Tech Center (www.plugandplaytechcenter.com), Sequoia Capital (www.sequoiacap.com), The MBA Fund (www.thembafund.com), Underscore VC (www.underscore.vc)</t>
  </si>
  <si>
    <t>298292-95P</t>
  </si>
  <si>
    <t>Janvi Shah</t>
  </si>
  <si>
    <t>janvi@poweredbyhue.com</t>
  </si>
  <si>
    <t>+1 (510) 364-5095</t>
  </si>
  <si>
    <t>1 Washington Mall</t>
  </si>
  <si>
    <t>Suite 1272</t>
  </si>
  <si>
    <t>huebeautyteam@gmail.com</t>
  </si>
  <si>
    <t>490856-59</t>
  </si>
  <si>
    <t>HUG (Business/Productivity Software)</t>
  </si>
  <si>
    <t>Assemble Stream</t>
  </si>
  <si>
    <t>HUG</t>
  </si>
  <si>
    <t>Assemble Stream, Inc.</t>
  </si>
  <si>
    <t>Operator of an artist discovery platform intended to help users discover NFT projects and creators in a curated way. The company's NFT platform offers a creator accelerator program that allows them to provide direct support and mentorship to project creators and founders, enabling creators to get access to projects, and educational as well as mentorship programs to create an inclusive crypto community.</t>
  </si>
  <si>
    <t>Business/Productivity Software*, Information Services (B2C), Other Services (B2C Non-Financial)</t>
  </si>
  <si>
    <t>Cryptocurrency/Blockchain, TMT</t>
  </si>
  <si>
    <t>artist discovery platform, artistic content, creator tech, nft community, nft creation platform, nft creator, nft platform, nft platform and collectibles, nft project, social marketplace, web3 creators, web4</t>
  </si>
  <si>
    <t>www.thehug.xyz</t>
  </si>
  <si>
    <t>http://www.linkedin.com/company/thehugxyz</t>
  </si>
  <si>
    <t>2022: 12, 2023: 21, 2024: 50</t>
  </si>
  <si>
    <t>The company raised $5 million of venture funding in a deal led by Digital (US) on April 12, 2023. NJF Capital and 6 other investors also participated in the round. The funds will be used by the company to accelerate product growth and integrate market leading creator-first commerce features with its existing social curation and discovery tools.</t>
  </si>
  <si>
    <t>BOLD (Business Opportunities for L'Oréal Development), Corner Capital Management, Corner Ventures, Digital (US), Jae Holdings, NJF Capital, OKX Ventures, Samara Asset Group, Venrex Investment Management, YADAY</t>
  </si>
  <si>
    <t>BOLD (Business Opportunities for L'Oréal Development) (www.lorealboldventures.com), Corner Capital Management (www.cornercapitalmgmt.com), Corner Ventures (cornerventures.com), Digital (US) (www.digital.xyz), NJF Capital (www.njfcapital.com), Samara Asset Group (samara-ag.com), Venrex Investment Management (venrex.partners), YADAY (www.yaday.vc)</t>
  </si>
  <si>
    <t>48836-98P</t>
  </si>
  <si>
    <t>Randi Zuckerberg</t>
  </si>
  <si>
    <t>+1 (201) 381-1472</t>
  </si>
  <si>
    <t>1178 Broadway Third Floor</t>
  </si>
  <si>
    <t>Suite 1312</t>
  </si>
  <si>
    <t>+1 (201) 834-6102</t>
  </si>
  <si>
    <t>hi@thehug.xyz</t>
  </si>
  <si>
    <t>531318-70</t>
  </si>
  <si>
    <t>HUMN Capital</t>
  </si>
  <si>
    <t>Developer of an employee retention platform designed to improve manager effectiveness and team productivity. The company gives guidance for how to effectively manage people, especially during times of transition help and focus on their people to ultimately create a happier, more productive, and diverse workplace, enabling managers to focus on their teams and make people management easier.</t>
  </si>
  <si>
    <t>ai-powered system, employee retention tools, management development, peer coaching, people management, personalized strategy</t>
  </si>
  <si>
    <t>www.humncapital.com</t>
  </si>
  <si>
    <t>http://www.linkedin.com/company/humncapital</t>
  </si>
  <si>
    <t>The company joined gBETA as a part of its Fall 2023 program on November 14, 2023. Previosuly, the company raised $60,000 of seed funding from GrowthX Capital and Elevate Ventures on September 26, 2023.</t>
  </si>
  <si>
    <t>Elevate Ventures, gBETA, GrowthX Capital</t>
  </si>
  <si>
    <t>Elevate Ventures (www.elevateventures.com), gBETA (gbetastartups.com), GrowthX Capital (www.growthx.com)</t>
  </si>
  <si>
    <t>356809-78P</t>
  </si>
  <si>
    <t>Michael Fassbender</t>
  </si>
  <si>
    <t>m.fassbender@humn-capital.webflow.io</t>
  </si>
  <si>
    <t>+1 (650) 658-6822</t>
  </si>
  <si>
    <t>908 Broadway</t>
  </si>
  <si>
    <t>510227-11</t>
  </si>
  <si>
    <t>IEP&amp;Me</t>
  </si>
  <si>
    <t>Iep&amp;me, Inc.</t>
  </si>
  <si>
    <t>Developer of an online education platform designed to offer individualized learning and advocacy plans. The company's platform provides a self-advocacy curriculum and targeted professional development system to get an entire personalized and individualized learning and feedback on each student's education plan, enabling students, teachers, and families throughout the special education process to create transparency, clarity, and ease.</t>
  </si>
  <si>
    <t>cloud access, disability advocacy, edtech app, learning portal, professional development, special education</t>
  </si>
  <si>
    <t>www.iepandme.com</t>
  </si>
  <si>
    <t>http://www.linkedin.com/company/iep-me</t>
  </si>
  <si>
    <t>2022: 8, 2024: 9</t>
  </si>
  <si>
    <t>The company joined TELUS Community Safety &amp; Wellness Accelerator as part of cohort 3 on May 18, 2023. No equity or funding was exchanged as a result of this program.</t>
  </si>
  <si>
    <t>Black Tech Nation Ventures, Difference Partners, Divergent Investments, TELUS Community Safety &amp; Wellness Accelerator</t>
  </si>
  <si>
    <t>Black Tech Nation Ventures (www.btn.vc), Difference Partners (www.differencepartners.com), Divergent Investments (www.investdivergent.com), TELUS Community Safety &amp; Wellness Accelerator (www.cswaccelerator.com)</t>
  </si>
  <si>
    <t>319988-44P</t>
  </si>
  <si>
    <t>Bridgette Leslie</t>
  </si>
  <si>
    <t>bridgette@iepandme.com</t>
  </si>
  <si>
    <t>+1 (650) 539-9643</t>
  </si>
  <si>
    <t>6114 La Salle Avenue</t>
  </si>
  <si>
    <t>Suite 305</t>
  </si>
  <si>
    <t>hello@iepandme.com</t>
  </si>
  <si>
    <t>519333-22</t>
  </si>
  <si>
    <t>Ignite Reading</t>
  </si>
  <si>
    <t>Ignite</t>
  </si>
  <si>
    <t>Ignite Reading, PBC</t>
  </si>
  <si>
    <t>Operator of a virtual tutoring intended to teach students who need extra support the foundational reading skills necessary to become confident, fluent readers. The company provides daily, one-to-one, online sessions with an expert reading tutor, using a Science of Reading-based curriculum, specializes in virtual tutoring that helps kids in grades K-8 learn to read through targeted, providing students with a tutoring program that is focused on a high-fidelity implementation of a data-driven, differentiated, and foundational reading skills curriculum.</t>
  </si>
  <si>
    <t>edtech company, educational technology platform, educational technology tools, online tutoring, virtual tutoring, virtual tutoring software</t>
  </si>
  <si>
    <t>www.ignite-reading.com</t>
  </si>
  <si>
    <t>http://www.linkedin.com/company/ignitereading</t>
  </si>
  <si>
    <t>2023: 22, 2024: 120</t>
  </si>
  <si>
    <t>The company raised an estimated $40 million of Series B venture funding in a deal led by Goldman Sachs Alternative Energy Investing Group on February 16, 2024, putting the company's pre-money valuation at $100 million. Owl Ventures, Emerson Collective, College Board, Rethink Capital Partners, and Impact Assets also participated in the round. The funds will be used to expand the company's team of world-class professionals, further enhance its innovative technology platform, and extend its proven literacy program to an increasing number of districts nationwide.</t>
  </si>
  <si>
    <t>College Board, Comcast Ventures, Draper Richards Kaplan Foundation, Emergence (Financial Services), Emerson Collective, Goldman Sachs Alternative Energy Investing Group, Hellman &amp; Friedman, Impact Assets, Kenneth Griffin, Owl Ventures, Rethink Capital Partners, Wing Venture Capital, Zoom Video Communications</t>
  </si>
  <si>
    <t>Comcast Ventures (www.comcastventures.com), Draper Richards Kaplan Foundation (www.drkfoundation.org), Emergence (Financial Services) (www.emcap.com), Emerson Collective (www.emersoncollective.com), Hellman &amp; Friedman (www.hf.com), Impact Assets (www.impactassets.org), Owl Ventures (www.owlvc.com), Rethink Capital Partners (www.rethink-capital.com), Wing Venture Capital (www.wing.vc), Zoom Video Communications (www.zoom.us)</t>
  </si>
  <si>
    <t>56630-98P</t>
  </si>
  <si>
    <t>Jessica Sliwerski</t>
  </si>
  <si>
    <t>jessica.sliwerski@ignite-reading.com</t>
  </si>
  <si>
    <t>+1 (707) 653-0781</t>
  </si>
  <si>
    <t>6 Presidio Terrace</t>
  </si>
  <si>
    <t>94118</t>
  </si>
  <si>
    <t>info@ignite-reading.com</t>
  </si>
  <si>
    <t>483725-44</t>
  </si>
  <si>
    <t>Ignite Tournaments</t>
  </si>
  <si>
    <t>Ignite Tournaments Inc.</t>
  </si>
  <si>
    <t>Battlefy, Vindex, Cevo, ESL FaceIt Group, Matcherino, Challengermode, FACE IT (Entertainment Software), Gen.G, Skillz</t>
  </si>
  <si>
    <t>Developer of mobile esports tournament organization and streaming platform designed to facilitate mobile esports tournament organization. The company's platform provides tournament functionality to mobile-compatible games that do not have existing tournament infrastructure, enabling clients to add web-three functionality on top of web-two games.</t>
  </si>
  <si>
    <t>Business/Productivity Software*, Entertainment Software, Media and Information Services (B2B)</t>
  </si>
  <si>
    <t>Cryptocurrency/Blockchain, Esports, Gaming, Mobile</t>
  </si>
  <si>
    <t>blockchain games, cryptocurrency payment, esports, esports company, gaming access, metaverse and gaming, mobile games, mobile gaming application, tournaments organization, web4</t>
  </si>
  <si>
    <t>www.ignitetournaments.com</t>
  </si>
  <si>
    <t>http://www.linkedin.com/company/ignitetournaments</t>
  </si>
  <si>
    <t>2021: 35, 2022: 40, 2023: 24, 2024: 29</t>
  </si>
  <si>
    <t>Huobi DeFi Labs and Moon Holdings Fund sold their stake in the company to undisclosed buyers.</t>
  </si>
  <si>
    <t>Animoca Brands, Arca (Asset Management), Ascensive Asset Management, BR Capital, CRT Labs, D1Ventures, Ed3n Ventures, GBV Capital, Genblock Capital, Ghaf Capital Partners, Hodl, Illuvium, Infinity Ventures Crypto, Jeffrey Zirlin, LongHash Ventures, Looren Roosendaal, M. H. Carnegie, Mechanism Capital, MoonBoots Capital, Morningstar Ventures, Quantstamp, ROK Capital, SevenX Ventures, SkyVision Capital, Stealth Capital, Tess Ventures, Yield Guild Games</t>
  </si>
  <si>
    <t>Huobi DeFi Labs, Moon Holdings Fund</t>
  </si>
  <si>
    <t>Animoca Brands (www.animocabrands.com), Arca (Asset Management) (www.ar.ca), Ascensive Asset Management (www.ascensiveassets.com), BR Capital (br.capital), CRT Labs (www.crtlabs.io), D1Ventures (www.d1.ventures), Ed3n Ventures (ed3n.ventures), GBV Capital (gbv.capital), Genblock Capital (genblock.capital), Ghaf Capital Partners (www.ghafcapital.ae), Hodl (www.hodl.nl), Illuvium (www.illuvium.io), Infinity Ventures Crypto (www.ivcrypto.io), LongHash Ventures (www.longhash.vc), M. H. Carnegie (www.mhcarnegie.com), Mechanism Capital (www.mechanism.capital), MoonBoots Capital (www.moonbootscapital.io), Morningstar Ventures (www.morningstar.ventures), Quantstamp (www.quantstamp.com), ROK Capital (www.rokcapital.io), SevenX Ventures (www.7xvc.com), SkyVision Capital (www.skyvisioncapital.com), Stealth Capital (www.stealthcap.io), Tess Ventures (www.tessventures.com), Yield Guild Games (www.yieldguild.io)</t>
  </si>
  <si>
    <t>Huobi DeFi Labs (www.huobidefilabs.io)</t>
  </si>
  <si>
    <t>Sky Consulting Group(Legal Advisor)</t>
  </si>
  <si>
    <t>281181-25P</t>
  </si>
  <si>
    <t>Krystal Yang</t>
  </si>
  <si>
    <t>krystal@ignitetournaments.com</t>
  </si>
  <si>
    <t>Newark, DE</t>
  </si>
  <si>
    <t>254 Chapman Road, SE Gaming Services</t>
  </si>
  <si>
    <t>Suite 208 852</t>
  </si>
  <si>
    <t>19702</t>
  </si>
  <si>
    <t>contact@ignitetournaments.com</t>
  </si>
  <si>
    <t>500580-55</t>
  </si>
  <si>
    <t>Illoominus</t>
  </si>
  <si>
    <t>Illoominus Software, Inc</t>
  </si>
  <si>
    <t>Visier, Tableau Software, Workday</t>
  </si>
  <si>
    <t>Developer of a people insights platform designed for leaders to facilitate diversity, equity, and inclusion efforts. The company's platform provides regular, automated reports and better data for decision-making, it brings together key data across systems of records, recruitment, and engagement, enabling clients to become people-first by learning across their human resources (HR) technology stack and sharing best practices with other people-first organizations.</t>
  </si>
  <si>
    <t>Big Data, HR Tech, SaaS</t>
  </si>
  <si>
    <t>automated reporting, employee engagement, hr technology, recruitment insights, vertical application, workforce analytics, workplace diversity</t>
  </si>
  <si>
    <t>www.illoominus.com</t>
  </si>
  <si>
    <t>http://www.linkedin.com/company/illoominus</t>
  </si>
  <si>
    <t>2022: 3, 2023: 7</t>
  </si>
  <si>
    <t>The company raised venture funding from Gray Ventures on an undisclosed date. Previously, the company raised $500,000 of venture funding from Gray Ventures, VITALIZE Venture Capital and James D. White on July 21, 2023. Team Ignite Ventures and other undisclosed investors also participated in the round. Prior to that the company joined Plug and Play Tech Center on July 3, 2023 and received $500,000 in funding. Earlier than that the company raised $500,000 of angel funding from Chris Klaus on June 30, 2023, putting the company's pre-money valuation at $5.5 million.</t>
  </si>
  <si>
    <t>Christopher Klaus, Eric Muntz, Gray Ventures, James White, Meghann Erhart, Plug and Play Tech Center, Team Ignite Ventures, Techstars, VITALIZE Venture Capital</t>
  </si>
  <si>
    <t>Gray Ventures (www.grayventures.com), Plug and Play Tech Center (www.plugandplaytechcenter.com), Team Ignite Ventures (www.teamignite.ventures), Techstars (www.techstars.com), VITALIZE Venture Capital (vitalize.vc)</t>
  </si>
  <si>
    <t>306524-44P</t>
  </si>
  <si>
    <t>Noelle London</t>
  </si>
  <si>
    <t>noelle@illoominus.com</t>
  </si>
  <si>
    <t>619 Flat Shoals Ave Se</t>
  </si>
  <si>
    <t>30316</t>
  </si>
  <si>
    <t>support@illoominus.com</t>
  </si>
  <si>
    <t>535792-33</t>
  </si>
  <si>
    <t>Imgproxy</t>
  </si>
  <si>
    <t>Foxes with Matches Inc.</t>
  </si>
  <si>
    <t>Imgix, TwicPics, Cloudinary</t>
  </si>
  <si>
    <t>Developer of an image processing platform designed for businesses to optimize their images for the web. The company's platform reduces bandwidth usage and save money on hosting costs, uses advanced image processing techniques to ensure that optimized images retain their quality and offers a wide range of features and functionality, enabling businesses to improve their websites in a number of ways.</t>
  </si>
  <si>
    <t>Business/Productivity Software*, Multimedia and Design Software, Network Management Software</t>
  </si>
  <si>
    <t>application security, image processing software, image processing technology, images building, images creation, optimized images solutions, web imaging, web3 security</t>
  </si>
  <si>
    <t>www.imgproxy.net</t>
  </si>
  <si>
    <t>http://www.linkedin.com/company/imgproxy</t>
  </si>
  <si>
    <t>2021: 2, 2023: 2</t>
  </si>
  <si>
    <t>The company raised $115,000 of pre-seed funding in the form of SAFE notes from Prospective Technologies Ventures on an undisclosed date, putting the company's pre-money valuation at $5.89 million.</t>
  </si>
  <si>
    <t>Prospective Technologies Ventures</t>
  </si>
  <si>
    <t>Prospective Technologies Ventures (www.pt-vc.com)</t>
  </si>
  <si>
    <t>366343-57P</t>
  </si>
  <si>
    <t>Marina Naperstak</t>
  </si>
  <si>
    <t>submarina@imgproxy.net</t>
  </si>
  <si>
    <t>+1 (302) 803-5428</t>
  </si>
  <si>
    <t>919 North Market Street</t>
  </si>
  <si>
    <t>Suite 950</t>
  </si>
  <si>
    <t>info@imgproxy.net</t>
  </si>
  <si>
    <t>503145-19</t>
  </si>
  <si>
    <t>ImIn (Business Productivity Software)</t>
  </si>
  <si>
    <t>ImIn</t>
  </si>
  <si>
    <t>ImIn Inc</t>
  </si>
  <si>
    <t>Operator of a hiring platform intended to take a modern approach to employment. The company helps to receive real-time push notifications and offers digital on-demand staffing technology, connecting with top-tier talent, taking on a part-time gig, working seasonally, or settling into a long-term opportunity, enabling organizations to streamline hiring processes by offering an organized system for an easy transition.</t>
  </si>
  <si>
    <t>Business/Productivity Software, Human Capital Services*, Other Commercial Services</t>
  </si>
  <si>
    <t>directing messaging, employee scheduling, hiring firm, hiring platform, staffing technology, work schedule, workforce optimization</t>
  </si>
  <si>
    <t>imin2.com</t>
  </si>
  <si>
    <t>http://www.linkedin.com/company/imin-inc</t>
  </si>
  <si>
    <t>2023: 6, 2024: 6</t>
  </si>
  <si>
    <t>The company joined Unlock Capital as part of its 2024 National Cohort on September 23, 2024. No equity or funding was exchanged as a result of this program. Previously, the company raised $500,000 of venture funding from undisclosed investors on June 6, 2024.</t>
  </si>
  <si>
    <t>Collab Capital, Google for Startups, Innovate UK, Unlock Capital (Org)</t>
  </si>
  <si>
    <t>Collab Capital (www.collab.capital), Google for Startups (startup.google.com), Unlock Capital (Org) (www.unlockcapital.org)</t>
  </si>
  <si>
    <t>311284-72P</t>
  </si>
  <si>
    <t>Lauren Wilson</t>
  </si>
  <si>
    <t>lwilson@imin2.com</t>
  </si>
  <si>
    <t>384 Northyards Boulevard NorthWest</t>
  </si>
  <si>
    <t>30313</t>
  </si>
  <si>
    <t>info@imin2.com</t>
  </si>
  <si>
    <t>464435-56</t>
  </si>
  <si>
    <t>Immigo</t>
  </si>
  <si>
    <t>Immigo, Inc.</t>
  </si>
  <si>
    <t>Developer of an online language learning platform intended to help students gain fluency and confidence in their spoken English. The company's interactive platform leverages small group discussions and AI-powered feedback to provide a comprehensive and engaging language learning experience, enabling students to practice speaking English in small groups and receive AI-powered feedback.</t>
  </si>
  <si>
    <t>cohort-based courses, communication skills training, conversational skills, english learning platform, english teacher, live streaming, online classes</t>
  </si>
  <si>
    <t>best.immigo.io</t>
  </si>
  <si>
    <t>http://www.linkedin.com/company/teamimmigo</t>
  </si>
  <si>
    <t>2021: 4, 2022: 2, 2023: 4, 2024: 4</t>
  </si>
  <si>
    <t>The company raised $1.1 million of seed funding from Greylock Energy, Lombardstreet Ventures and Reach Capital on August 1, 2022. MatterScale Ventures, MPG Fund and Techstars also participated in the round. Of the total amount, $150,000 was originally raised in the form of convertible debt and subsequently converted to equity.</t>
  </si>
  <si>
    <t>Greylock Energy, Lombardstreet Ventures, MatterScale Ventures, MPG Fund, Reach Capital, Techstars</t>
  </si>
  <si>
    <t>Greylock Energy (www.greylockenergy.com), Lombardstreet Ventures (www.lombardstreet.vc), MatterScale Ventures (www.matterscale.com), MPG Fund (www.mpgfund.com), Reach Capital (www.reachcapital.com), Techstars (www.techstars.com)</t>
  </si>
  <si>
    <t>260069-05P</t>
  </si>
  <si>
    <t>Chelsea Jeon</t>
  </si>
  <si>
    <t>chelsea@immigo.io</t>
  </si>
  <si>
    <t>West Sacramento, CA</t>
  </si>
  <si>
    <t>3020 Beacon Boulevard</t>
  </si>
  <si>
    <t>West Sacramento</t>
  </si>
  <si>
    <t>95691</t>
  </si>
  <si>
    <t>info@immigo.io</t>
  </si>
  <si>
    <t>491737-24</t>
  </si>
  <si>
    <t>inCitu</t>
  </si>
  <si>
    <t>inCitu.ar Inc.</t>
  </si>
  <si>
    <t>Spatial (Entertainment Software)</t>
  </si>
  <si>
    <t>Developer of an augmented reality-powered platform designed to build the environment through augmented animations, to bring future cities to life. The company's platform offers 3D models of the proposed project on top of the built environment, including visualizing their potential impact while effectively crowdsourcing residents' feedback, enabling clients to imagine what it will look like in the field through mapping technology.</t>
  </si>
  <si>
    <t>Augmented Reality, Real Estate Technology</t>
  </si>
  <si>
    <t>augmented reality technology, built environment solutions, city planning tools, mapping information, property planning, urban tech</t>
  </si>
  <si>
    <t>Urban Planning Tech</t>
  </si>
  <si>
    <t>www.incitu.us</t>
  </si>
  <si>
    <t>http://www.linkedin.com/company/incitu-ar</t>
  </si>
  <si>
    <t>2022: 8, 2023: 6, 2024: 10</t>
  </si>
  <si>
    <t>The company joined Empire State Development as a part of Pre-seed and Seed Matching Fund Program on July 7, 2023. Previously, the company raised $2 million of seed funding from CityBldr, Global Futures Group and WXR Venture Fund on April 18, 2023. H/L Ventures, at.inc/, New York Ventures, Schmidt Futures, Chet Kittelson, Jerry Hultin and Ziv Paz also participated in the round. The total amount was raised in the form of SAFE Notes, which subsequently got converted to equity.</t>
  </si>
  <si>
    <t>at.inc/, Chet Kittelson, CityBldr, Empire State Development, Global Futures Group, H/L Ventures, Jerry Hultin, New York Ventures, Schmidt Futures, Smart Futures Lab, WXR Venture Fund, Ziv Paz</t>
  </si>
  <si>
    <t>at.inc/ (www.at.inc), CityBldr (www.citybldr.com), Empire State Development (www.esd.ny.gov), Global Futures Group (www.globalfuturesgroup.co), H/L Ventures (www.h-l.vc), Schmidt Futures (www.schmidtfutures.org), Smart Futures Lab (www.smartfutureslab.com), WXR Venture Fund (www.wxrfund.com)</t>
  </si>
  <si>
    <t>291928-69P</t>
  </si>
  <si>
    <t>Dana Chermesh-Reshef</t>
  </si>
  <si>
    <t>dana@incitu.us</t>
  </si>
  <si>
    <t>+1 (347) 585-8166</t>
  </si>
  <si>
    <t>PO Box 150224</t>
  </si>
  <si>
    <t>hello@incitu.us</t>
  </si>
  <si>
    <t>327169-99</t>
  </si>
  <si>
    <t>Inclusivv</t>
  </si>
  <si>
    <t>Civic Dinners</t>
  </si>
  <si>
    <t>Civic Dinners, Inc.</t>
  </si>
  <si>
    <t>Developer of a collaboration platform designed to offer a culture of trust, inclusion and respect through meaningful conversations. The company's platform creates a welcoming space for large or small groups to come together either in person or online and builds community through peer-to-peer dialogue and personal storytelling, enabling clients to encourage conversations internally that are safe.</t>
  </si>
  <si>
    <t>collaboration network, collaboration platform, collaboration tool, conversation software, conversational software, conversations management</t>
  </si>
  <si>
    <t>www.inclusivv.co</t>
  </si>
  <si>
    <t>http://www.linkedin.com/company/inclusivv</t>
  </si>
  <si>
    <t>2019: 5, 2020: 17, 2021: 34, 2022: 21, 2023: 13, 2024: 14</t>
  </si>
  <si>
    <t>The company joined Techstars on December 10, 2021 and received $270,000 in funding.</t>
  </si>
  <si>
    <t>American Family Insurance, Atlanta Seed Company, Becky Winkler, Golden Seeds, Gulf South Angels, Techstars, The JumpFund</t>
  </si>
  <si>
    <t>American Family Insurance (www.amfam.com), Atlanta Seed Company (www.atlantaseedcompany.com), Golden Seeds (www.goldenseeds.com), Gulf South Angels (gulfsouthangels.com), Techstars (www.techstars.com), The JumpFund (www.thejumpfund.com)</t>
  </si>
  <si>
    <t>119843-11P</t>
  </si>
  <si>
    <t>Jenn Graham</t>
  </si>
  <si>
    <t>jenn@civicdinners.com</t>
  </si>
  <si>
    <t>1175 Peachtree Street NorthEast</t>
  </si>
  <si>
    <t>30361</t>
  </si>
  <si>
    <t>info@inclusivv.co</t>
  </si>
  <si>
    <t>607516-84</t>
  </si>
  <si>
    <t>IndiAide</t>
  </si>
  <si>
    <t>IndiAide LLC</t>
  </si>
  <si>
    <t>Developer of a daily task management platform designed to centralize management of important health and personal information. The company's platform improves functional independence and continuity of care for people with medical complexities, cognitive impairments, those who are aging in place, and their families, enabling clients to manage daily tasks and wellbeing for individuals with cognitive impairment.</t>
  </si>
  <si>
    <t>Application Software, Business/Productivity Software, Information Services (B2C), Media and Information Services (B2B)*</t>
  </si>
  <si>
    <t>cognitive health, daily task management, health management tool, manage medication, task management, task management app</t>
  </si>
  <si>
    <t>www.indiaide.com</t>
  </si>
  <si>
    <t>http://www.linkedin.com/company/indiaide</t>
  </si>
  <si>
    <t>The company raised $50,000 of seed funding from GrowthX Capital and Elevate Ventures on August 6, 2024.</t>
  </si>
  <si>
    <t>413122-42P</t>
  </si>
  <si>
    <t>Alyssa Antcliff</t>
  </si>
  <si>
    <t>alyssa@indiaide.com</t>
  </si>
  <si>
    <t>Fishers, IN</t>
  </si>
  <si>
    <t>12175 Visionary Way</t>
  </si>
  <si>
    <t>Suite 330</t>
  </si>
  <si>
    <t>Fishers</t>
  </si>
  <si>
    <t>46038</t>
  </si>
  <si>
    <t>469083-88</t>
  </si>
  <si>
    <t>Indicio</t>
  </si>
  <si>
    <t>Indicio, PBC</t>
  </si>
  <si>
    <t>SecureKey, Ping Identity, Okta, HYPR ( Network Management Software), Auth0, Idemia, Amadeus Airport IT</t>
  </si>
  <si>
    <t>Developer of decentralized identity technology platform intended to help companies create and share verifiable data and expand trusted secure relationships. The company offers existing and efficient data verification systems to any industry and is trusted by customers in travel and hospitality, government, financial services, agriculture, education and other organizations around the world, enabling users to save time and reduce their cumbersome paper-based systems.</t>
  </si>
  <si>
    <t>access management, data technology, data verification, decentralized identity, digital credentials management, digital transformation hub, digital wallet developer, identity &amp; access management, identity and access management</t>
  </si>
  <si>
    <t>www.indicio.tech</t>
  </si>
  <si>
    <t>http://www.linkedin.com/company/indiciotech</t>
  </si>
  <si>
    <t>2021: 21, 2022: 44, 2023: 44, 2024: 43</t>
  </si>
  <si>
    <t>The company raised $3.10 million of venture funding from Keiretsu Forum Northwest and other undisclosed investors on April 10, 2024.</t>
  </si>
  <si>
    <t>37 Angels, Adem Duman, Alliance of Angels, Angel Investment Trust, Anthony and Marilyn Henn Trust, Baptiste Cota, CCW Technology Investments, Cross Ocean Ventures, Dingman Center Angels, Hard Yaka, K Street Capital, Keiretsu Forum, Liquid Avatar Technologies, NuFund Venture Group, Provider Investment, Roy Avondet, SITA, Sita Onair, SWAN Venture Fund, Swan Venture Group, Tawfique Hamid</t>
  </si>
  <si>
    <t>37 Angels (www.37angels.com), Alliance of Angels (www.allianceofangels.com), CCW Technology Investments (www.ccwfinans.com), Cross Ocean Ventures (www.crossoceanfund.com), Hard Yaka (www.hardyaka.com), K Street Capital (www.kstreet.vc), Keiretsu Forum (www.keiretsuforum.com), Liquid Avatar Technologies (www.liquidavatartechnologies.com), NuFund Venture Group (www.nufund.com), Provider Investment (www.providerinvestment.se), SITA (www.sita.aero), Sita Onair (sitaonair.aero), SWAN Venture Fund (www.swanventurefund.com), Swan Venture Group (www.swanvg.com)</t>
  </si>
  <si>
    <t>110185-84P</t>
  </si>
  <si>
    <t>Heather Dahl</t>
  </si>
  <si>
    <t>Co-Founder, Board Member &amp; Chief Executive Officer Board Member</t>
  </si>
  <si>
    <t>+1 (202) 507-8125</t>
  </si>
  <si>
    <t>Suite 311</t>
  </si>
  <si>
    <t>+1 (888) 434-7344</t>
  </si>
  <si>
    <t>info@indicio.tech</t>
  </si>
  <si>
    <t>608504-95</t>
  </si>
  <si>
    <t>Infactory</t>
  </si>
  <si>
    <t>i7y</t>
  </si>
  <si>
    <t>Infactory Inc</t>
  </si>
  <si>
    <t>Developer of an artificial intelligence search tool designed to build reliable and accurate searches. The company's platform combines quality data partnerships with both traditional and advanced technology, enabling users to obtain clear, precise, and trustworthy answers without unnecessary complications.</t>
  </si>
  <si>
    <t>Business/Productivity Software, Database Software, Information Services (B2C)*</t>
  </si>
  <si>
    <t>ai search algorithm, contextual search, data integration, data provider, search results, search technology</t>
  </si>
  <si>
    <t>www.infactory.ai</t>
  </si>
  <si>
    <t>http://www.linkedin.com/company/infactory-ai</t>
  </si>
  <si>
    <t>The company raised $4 million of seed funding in a deal led by Bee Partners on October 8, 2024, putting the company's pre-money valuation at $21 million. A16zScoutFund, Alumni Ventures, and FJ Labs also participated in the round. The funds will be used for expanding the team and ramping up Infactory's go-to-market.</t>
  </si>
  <si>
    <t>A16zScoutFund, Alumni Ventures, Bee Partners, FJ Labs</t>
  </si>
  <si>
    <t>Alumni Ventures (www.av.vc), Bee Partners (www.beepartners.vc), FJ Labs (www.fjlabs.com)</t>
  </si>
  <si>
    <t>404639-74P</t>
  </si>
  <si>
    <t>Bethany Bongiorno</t>
  </si>
  <si>
    <t>1700 Montgomery Street</t>
  </si>
  <si>
    <t>Suite 108</t>
  </si>
  <si>
    <t>94111</t>
  </si>
  <si>
    <t>656828-65</t>
  </si>
  <si>
    <t>Infinit (IT Consulting and Outsourcing)</t>
  </si>
  <si>
    <t>Infinit</t>
  </si>
  <si>
    <t>Operator of an abstraction platform intended to provide a smooth service experience for DeFi protocol builders. The company's abstraction layer powers money markets, DEXes, yield protocols, and other DeFi protocols on any chain, enabling users to add new DeFi features in minutes, increasing access and liquidity.</t>
  </si>
  <si>
    <t>IT Consulting and Outsourcing*</t>
  </si>
  <si>
    <t>abstraction platform, blockchain infrastructure, cryptocurrency infrastructure, decentralized finance, defi infrastructure, defi protocol, modular architecture, product customization</t>
  </si>
  <si>
    <t>www.infinit.tech</t>
  </si>
  <si>
    <t>http://www.linkedin.com/company/infinitorg</t>
  </si>
  <si>
    <t>The company raised $6 million of venture funding in a deal led by Electric Capital, Mirana Ventures, Maelstrom and Hashed on September 12, 2024. Bankless Ventures and 7 other investors also participated in the round. The funds will be used to enhance the company's infrastructure and provide a smoother service experience for DeFi protocol builders.</t>
  </si>
  <si>
    <t>Ashwin Ramachandran, Bankless Ventures, Electric Capital, Faction Ventures, Hashed, Maelstrom (Investor), Michael Egorov, Mirana Ventures, Nomad Capital (United States), Presto Labs, Robot Ventures, Selini Capital, Tangent Ventures, Vessel Capital</t>
  </si>
  <si>
    <t>Bankless Ventures (www.bankless.ventures), Electric Capital (www.electriccapital.com), Faction Ventures (www.faction.vc), Hashed (www.hashed.com), Maelstrom (Investor) (maelstrom.fund), Mirana Ventures (www.mirana.xyz), Nomad Capital (United States) (www.nomadcapital.io), Presto Labs (www.prestolabs.io), Robot Ventures (robvc.com), Selini Capital (www.selinicapital.com), Tangent Ventures (www.tangent.ventures), Vessel Capital (vessel.vc)</t>
  </si>
  <si>
    <t>256663-99P</t>
  </si>
  <si>
    <t>Tascha Punyaneramitdee</t>
  </si>
  <si>
    <t>186124-51</t>
  </si>
  <si>
    <t>Infinite Album</t>
  </si>
  <si>
    <t>Melodrive</t>
  </si>
  <si>
    <t>Melodrive Inc.</t>
  </si>
  <si>
    <t>Aiva Technologies</t>
  </si>
  <si>
    <t>Developer of artificial intelligence-based music application designed to create infinitely generative artificial intelligence music for gamers. The company's music is copyright-safe, game reactive, and for our Twitch streamers, it's also viewer interactive and monetizable with Twitch Bits, enabling gamers to personalize their music through our app for Twitch and through in-game virtual goods stores on all gaming platforms.</t>
  </si>
  <si>
    <t>Business/Productivity Software, Entertainment Software, Movies, Music and Entertainment, Multimedia and Design Software*</t>
  </si>
  <si>
    <t>adaptive music, adaptive music application, ai generated music, ai music generation, artificial intelligence, artificial intelligence engine, game developer tools, gaming, gaming development, gaming industry, music application, music creation, music generation platform</t>
  </si>
  <si>
    <t>www.infinitealbum.io</t>
  </si>
  <si>
    <t>http://www.linkedin.com/company/infinite-album</t>
  </si>
  <si>
    <t>2022: 5, 2023: 7, 2024: 4</t>
  </si>
  <si>
    <t>The company joined NYC Media Lab as part of its Music and AI Challenge on June 22, 2023 and received $5,000 in funding in the form of grant. Concurrently, American Society of Composers and Authors and Publishers (ASCAP) invested in the company.</t>
  </si>
  <si>
    <t>American Society of Composers, Authors and Publishers (ASCAP), Amy LaMeyer, Boost VC, Kevin Monahan, NYC Media Lab, Xsolla (USA)</t>
  </si>
  <si>
    <t>American Society of Composers, Authors and Publishers (ASCAP) (ascap.com), Boost VC (www.boost.vc), NYC Media Lab (www.nycmedialab.org), Xsolla (USA) (xsolla.com)</t>
  </si>
  <si>
    <t>170519-86P</t>
  </si>
  <si>
    <t>Ryan Groves</t>
  </si>
  <si>
    <t>ryan@infinitealbum.io</t>
  </si>
  <si>
    <t>info@infinitealbum.io</t>
  </si>
  <si>
    <t>495468-01</t>
  </si>
  <si>
    <t>Infinite Giving</t>
  </si>
  <si>
    <t>Infinite Giving Advisory Services</t>
  </si>
  <si>
    <t>Infinite Giving, LLC</t>
  </si>
  <si>
    <t>Developer of an asset management platform designed to help non-profit organizations grow their asset giving and amplify their good work. The company's platform offers investment strategies, portfolio investment, capital campaigns, reserve funds investment and financial sustainability strategies, enabling investors to invest reserve funds, create and manage endowments and receive stocks easily with software that automates their investment strategy.</t>
  </si>
  <si>
    <t>Asset Management, Financial Software*</t>
  </si>
  <si>
    <t>asset management platform, capital campaign management, endowments management, financial assistance, financial sustainability, investment platform, portfolio investment advisory</t>
  </si>
  <si>
    <t>www.infinitegiving.com</t>
  </si>
  <si>
    <t>http://www.linkedin.com/company/infinite-giving</t>
  </si>
  <si>
    <t>2022: 9, 2023: 8, 2024: 10</t>
  </si>
  <si>
    <t>The company raised $2 million of seed funding in a deal led by Atlanta Ventures, Cubit Capital and Morgan Stanley Inclusive Ventures Lab on October 2, 2024. Crescent Ridge and other undisclosed investors also participated in the round.</t>
  </si>
  <si>
    <t>Alok Deshpande, Araya Mesfin, Ashish Thakur, Atlanta Ventures, Cecil Wright, Craig Hyde, Crescent Ridge, Cubit Capital, David Lightburn, Eric Spett, James Berryhill, John Houghton, Kyle Porter, Morgan Stanley Inclusive Ventures Lab, Praxis (New York), Rachel Lockman, Robert Swarthout</t>
  </si>
  <si>
    <t>Atlanta Ventures (www.atlantaventures.com), Crescent Ridge (www.crescentridge.vc), Cubit Capital (www.cubit.capital), Praxis (New York) (www.praxislabs.org)</t>
  </si>
  <si>
    <t>208895-50P</t>
  </si>
  <si>
    <t>Karen Houghton</t>
  </si>
  <si>
    <t>karen@infinitegiving.com</t>
  </si>
  <si>
    <t>+1 (404) 751-6649</t>
  </si>
  <si>
    <t>3423 Piedmont Road Northeast</t>
  </si>
  <si>
    <t>30305</t>
  </si>
  <si>
    <t>hello@infinitegiving.com</t>
  </si>
  <si>
    <t>458683-57</t>
  </si>
  <si>
    <t>Influur</t>
  </si>
  <si>
    <t>Influur Corporation</t>
  </si>
  <si>
    <t>Apprl, FamePick, HYPR Brands, Hootsuite, TapInfluence, Grin (Business/Productivity Software), Contently, Speakr, Skyword, Influenxio, Onalytica, Upfluence, Reelio, Socialbakers, Brandwatch, NeoReach, Traackr, ICX Media, Grapevine Village, Klear, Find Your Influence, FameBit, Hireinfluence, Opera Event, Meltwater, Village Marketing, Evolve (Media and Information services), Sprout Social, Outbrain, Sprinklr, Socialmetrix</t>
  </si>
  <si>
    <t>Developer of an influencer-marketing platform designed to offer a professional network for influencers and brands. The company's platform directly connects influencers, creators, and brands around the world through data analysis and offers campaign management, enabling influencers to monetize their talents and careers to reach untapped markets and large audiences.</t>
  </si>
  <si>
    <t>brand development, campaign management, content creator platform, customer relationship management, influencer campaign, influencer marketing, marketing campaign, marketing content, social media influencer, social media marketing</t>
  </si>
  <si>
    <t>www.influur.com</t>
  </si>
  <si>
    <t>http://www.linkedin.com/company/influur</t>
  </si>
  <si>
    <t>2021: 4, 2022: 37, 2023: 63, 2024: 100</t>
  </si>
  <si>
    <t>News (New), Competitor (New) Influencer Marketing Agency</t>
  </si>
  <si>
    <t>The company raised $10 million through a combination of Series A-1 and Series A-2 venture funding in a deal led by HTwenty and Point72 Ventures on November 14, 2024, putting the company's pre-money valuation at $26.5 million. Amplifica Capital, Gaingels, IGNIA Partners, VamosVentures, Redwood Ventures and other undisclosed investors also participated in the round. The funds will be used to enhance the company's platform further, enabling influencers to grow their businesses and connect with brands more effectively.</t>
  </si>
  <si>
    <t>Amplifica Capital, Ariadna Thalía, Cacao Capital, Calle y Poché, Claire Diaz-Ortiz, Danna Paola, Evaluna Montaner, First Serve Partners, Gaingels, HTwenty, IDC Ventures, IGNIA Partners, Juan Pablo Zurita, Latin World Entertainment, Lex Borrero, Loud and Live, Luis Balaguer, Magma Partners, Plug and Play Tech Center, Point72 Ventures, Redwood Ventures, Sofia Vergara, Tommy Mottola, VamosVentures</t>
  </si>
  <si>
    <t>Amplifica Capital (www.amplifica.capital), Cacao Capital (www.cacao-capital.com), Claire Diaz-Ortiz (clairediazortiz.com), First Serve Partners (www.firstservepartners.com), Gaingels (www.gaingels.com), HTwenty (htwenty.vc), IDC Ventures (www.idcventures.com), IGNIA Partners (igniaunlocked.mx), Latin World Entertainment (latinwe.com), Loud and Live (www.loudlive.com), Magma Partners (www.magmapartners.com), Plug and Play Tech Center (www.plugandplaytechcenter.com), Point72 Ventures (www.p72.vc), Redwood Ventures (www.redwood.ventures), VamosVentures (www.vamosventures.com)</t>
  </si>
  <si>
    <t>250359-94P</t>
  </si>
  <si>
    <t>Paula Coleman</t>
  </si>
  <si>
    <t>paula@influur.com</t>
  </si>
  <si>
    <t>+1 (678) 665-8869</t>
  </si>
  <si>
    <t>111 Brickell Avenue</t>
  </si>
  <si>
    <t>496684-54</t>
  </si>
  <si>
    <t>Ingenii (Business/Productivity Software)</t>
  </si>
  <si>
    <t>Ingenii</t>
  </si>
  <si>
    <t>Ingenii Inc.</t>
  </si>
  <si>
    <t>Developer of data analytics platform designed to provide quantum algorithms specific to life sciences, environmental research, pharmaceuticals, and healthcare. The company's platform features the ability to accelerate the adoption of quantum technologies into a business conventional technology, integrating with leading quantum software and service providers to offer a comprehensive suite of quantum resources within its development environment, enabling companies with a robust quantum algorithm with a simplified interface.</t>
  </si>
  <si>
    <t>Automation/Workflow Software, Business/Productivity Software*, Database Software, Software Development Applications</t>
  </si>
  <si>
    <t>data analytics firm, data analytics platform, data analytics tool, quantum platform, quantum solutions, quantum technologies</t>
  </si>
  <si>
    <t>www.ingenii.io</t>
  </si>
  <si>
    <t>http://www.linkedin.com/company/ingeniisolutions</t>
  </si>
  <si>
    <t>2022: 10, 2023: 8, 2024: 10</t>
  </si>
  <si>
    <t>The company joined Duality Accelerator as part of it's Cohort 3 on July 17, 2023 and received $50,000 in funding. Previously, the company raised $100,882 of equity crowdfunding in the form of SAFE notes via Republic as of May 1, 2023.</t>
  </si>
  <si>
    <t>Duality Accelerator, White Shark Management</t>
  </si>
  <si>
    <t>Duality Accelerator (www.dualityaccelerator.com), White Shark Management (www.whitesharkmgmt.com)</t>
  </si>
  <si>
    <t>301874-95P</t>
  </si>
  <si>
    <t>Christine Johnson</t>
  </si>
  <si>
    <t>christine@ingenii.dev</t>
  </si>
  <si>
    <t>+1 (916) 588-7858</t>
  </si>
  <si>
    <t>hello@ingenii.dev</t>
  </si>
  <si>
    <t>481530-07</t>
  </si>
  <si>
    <t>Innocuous AI</t>
  </si>
  <si>
    <t>Innocuous</t>
  </si>
  <si>
    <t>Innocuous AI Ltd</t>
  </si>
  <si>
    <t>Developer of a business-to-business SaaS platform designed to enhance the productivity of claims adjusters at insurance firms. The company's platform uses AI to help claims personnel at insurance carriers, managing general agents (MGAs) and third-party administrators (TPAs) comply more easily with insurance state regulations through the use of its easy-to-use AI assistant, enabling companies to increase capacity, reduce enterprise risk, reduce fines and litigation costs.</t>
  </si>
  <si>
    <t>artificial intelligence system, business growth, cloud infrastruture, generative ai, generative ai solution, insurance compliance software, machine learning</t>
  </si>
  <si>
    <t>www.innocuous.ai</t>
  </si>
  <si>
    <t>http://www.linkedin.com/company/innocuous</t>
  </si>
  <si>
    <t>2022: 5, 2024: 10</t>
  </si>
  <si>
    <t>The company raised $50,000 of venture funding in the form of SAFE notes from Global Insurance Accelerator on January 10, 2024. The company is being actively tracked by PitchBook.</t>
  </si>
  <si>
    <t>Communitas America, Global Insurance Accelerator, Grateful Investments, LAUNCH Fund</t>
  </si>
  <si>
    <t>Communitas America (www.communitasamerica.org), Global Insurance Accelerator (www.globalinsuranceaccelerator.com), Grateful Investments (www.gratefulinvestmentgroup.com), LAUNCH Fund (www.launch.co)</t>
  </si>
  <si>
    <t>299149-57P</t>
  </si>
  <si>
    <t>Noam Rosenberg</t>
  </si>
  <si>
    <t>noam@innocuous.ai</t>
  </si>
  <si>
    <t>+1 (646) 631-3180</t>
  </si>
  <si>
    <t>323 Bedford Avenue</t>
  </si>
  <si>
    <t>Suite 2B, Brooklyn</t>
  </si>
  <si>
    <t>11211</t>
  </si>
  <si>
    <t>Other - $0.03M (Convertible)</t>
  </si>
  <si>
    <t>537974-56</t>
  </si>
  <si>
    <t>inquirED</t>
  </si>
  <si>
    <t>inquirED, LLC</t>
  </si>
  <si>
    <t>Developer of an inquiry-based social studies curriculum designed to empower students to develop future-ready knowledge and skills. The company provides a social studies curriculum for elementary schools the curriculum is aligned with national standards and includes resources for teachers such as webinars and blog posts, helping them to implement the curriculum effectively, enabling educators to engage students in critical thinking and problem-solving.</t>
  </si>
  <si>
    <t>education administration program, literacy skills, online learning, online webinar, professional learning, webinar events</t>
  </si>
  <si>
    <t>www.inquired.org</t>
  </si>
  <si>
    <t>http://www.linkedin.com/company/inquiredlearn</t>
  </si>
  <si>
    <t>2023: 61, 2024: 69</t>
  </si>
  <si>
    <t>The company raised $6.16 million through a combination of Series A1, Series A2 and Series A3 venture funding from A-Street, Reach Capital and other undisclosed investors on November 7, 2023, putting the company's pre-money valuation at $40 million.</t>
  </si>
  <si>
    <t>A-Street, Reach Capital</t>
  </si>
  <si>
    <t>A-Street (www.astreet.com), Reach Capital (www.reachcapital.com)</t>
  </si>
  <si>
    <t>369945-82P</t>
  </si>
  <si>
    <t>Shanti Elangovan</t>
  </si>
  <si>
    <t>shanti@inquired.org</t>
  </si>
  <si>
    <t>+1 (312) 521-0397</t>
  </si>
  <si>
    <t>4422 North Ravenswood Avenue</t>
  </si>
  <si>
    <t>60640</t>
  </si>
  <si>
    <t>info@inquired.org</t>
  </si>
  <si>
    <t>539588-98</t>
  </si>
  <si>
    <t>InScope (Business/Productivity Software)</t>
  </si>
  <si>
    <t>InScope</t>
  </si>
  <si>
    <t>InScope Tech, Inc</t>
  </si>
  <si>
    <t>AuditFile</t>
  </si>
  <si>
    <t>Developer of a financial statement automation platform designed to provide audited financials. The company's platform offers US GAAP financial statements, footnotes, and disclosure checklists generated at the click of a button, enabling clients to maintain their financial sheets.</t>
  </si>
  <si>
    <t>audit platform, automation platform software, financial books, financial statements audit, online platform, reporting module</t>
  </si>
  <si>
    <t>www.inscopehq.com</t>
  </si>
  <si>
    <t>http://www.linkedin.com/company/inscopehq</t>
  </si>
  <si>
    <t>The company raised $4.3 million of seed funding in a deal led by Better Tomorrow Ventures, Lightspeed Venture Partners and refract ventures on June 12, 2024, putting the company's pre-money valuation at $9.58 million. Kearny Jackson and 5 other investors also participated in the round.</t>
  </si>
  <si>
    <t>Better Tomorrow Ventures, Debbie Clifford, Jake Heller, Justin Coulombe, Kearny Jackson, Lightspeed Venture Partners, Nadia Asoyan, refract ventures, The Mint (San Francisco), Vipul Ved Prakash</t>
  </si>
  <si>
    <t>Better Tomorrow Ventures (btv.vc), Kearny Jackson (www.kearnyjackson.com), Lightspeed Venture Partners (www.lsvp.com), refract ventures (www.refract.vc), The Mint (San Francisco) (www.themint.vc)</t>
  </si>
  <si>
    <t>376694-74P</t>
  </si>
  <si>
    <t>Mary Antony</t>
  </si>
  <si>
    <t>mantony@inscopehq.com</t>
  </si>
  <si>
    <t>+1 (415) 860-1192</t>
  </si>
  <si>
    <t>2059 Hayes Street</t>
  </si>
  <si>
    <t>501763-42</t>
  </si>
  <si>
    <t>Inspace</t>
  </si>
  <si>
    <t>Inspace((Business/Productivity Software)</t>
  </si>
  <si>
    <t>Inspace, Inc.</t>
  </si>
  <si>
    <t>Developer of an artificial intelligence-powered workplace platform designed to improve the hybrid work experience for team members. The company's platform easily books workspaces, finds colleagues, and schedules meetings all in real-time, enabling businesses to save expenses on rent and make employees' lives improve the efficiency and effectiveness of the space.</t>
  </si>
  <si>
    <t>ai, desktop booking, enterprise saas platform, meeting rooms management, predictive analytics platform, rooms booking, space management, visitor management, workplace management, workplace productivity</t>
  </si>
  <si>
    <t>www.inspace.app</t>
  </si>
  <si>
    <t>http://www.linkedin.com/company/inspace-app</t>
  </si>
  <si>
    <t>2022: 15, 2023: 16, 2024: 15</t>
  </si>
  <si>
    <t>The company raised $1 million of seed funding from undisclosed investors on March 1, 2024.</t>
  </si>
  <si>
    <t>Atoia Ventures, Flyer One Venture, Freesearch Ventures, Joint Journey Intelligent Investments, NRG Ventures, Prosto Venture Club, R136 Ventures, Softline Venture Partners, Storied Ventures</t>
  </si>
  <si>
    <t>Atoia Ventures (www.atoia.vc), Flyer One Venture (www.flyerone.vc), Freesearch Ventures (www.freesearch.vc), Joint Journey Intelligent Investments (jj.capital), NRG Ventures (www.nrgvc.com), Prosto Venture Club (www.prostoventure.club), R136 Ventures (www.r136.vc), Softline Venture Partners (softlinevp.com)</t>
  </si>
  <si>
    <t>309735-73P</t>
  </si>
  <si>
    <t>Elena Beloshapkova</t>
  </si>
  <si>
    <t>ceo@inspace.app</t>
  </si>
  <si>
    <t>+1 (857) 600-6279</t>
  </si>
  <si>
    <t>One Seaport, 77 Sleeper Street</t>
  </si>
  <si>
    <t>02210</t>
  </si>
  <si>
    <t>hello@inspace.app</t>
  </si>
  <si>
    <t>462486-16</t>
  </si>
  <si>
    <t>InterPrice</t>
  </si>
  <si>
    <t>InterPrice Technologies, Inc.</t>
  </si>
  <si>
    <t>GTreasury, Reval, Kyriba</t>
  </si>
  <si>
    <t>Developer of a financial platform designed to simplify the complex world of capital markets for all players involved. The company's platform provides an extensive suite of analytics that empowers organizations to determine optimal financing strategies and organized record-keeping, enabling corporate finance teams to maximize performance and promote better financial outcomes.</t>
  </si>
  <si>
    <t>capital market, corporate finance, data &amp; analytics, data analytics, data and analytics, enterprise resource planning, erp, financial management system, financial technology company, financing system, financing tools, record-keeping</t>
  </si>
  <si>
    <t>www.interpricetech.com</t>
  </si>
  <si>
    <t>http://www.linkedin.com/company/interprice-technologies</t>
  </si>
  <si>
    <t>2021: 15, 2022: 20, 2023: 23, 2024: 21</t>
  </si>
  <si>
    <t>The company raised $7.30 million of Series A venture funding in a deal led by Nasdaq Ventures and DRW Venture Capital on November 2, 2022, putting the company's pre-money valuation at $28 million. Bowery Capital also participated in the round. The funds will be used to accelerate product development, extend asset coverage and expand its presence in the United States and internationally.</t>
  </si>
  <si>
    <t>Bowery Capital, Chaos Ventures (New York), Daniel Fine, Dash Fund, Drew Moffitt, DRW Venture Capital, James Conigliaro, Kube VC, Nasdaq Ventures, Operator Partners</t>
  </si>
  <si>
    <t>Bowery Capital (www.bowerycap.com), Chaos Ventures (New York) (www.chaosvc.com), Dash Fund (www.dashfund.co), DRW Venture Capital (www.drwvc.com), Kube VC (www.kubevc.com), Operator Partners (www.operatorpartners.com)</t>
  </si>
  <si>
    <t>72219-52P</t>
  </si>
  <si>
    <t>Olga Chin</t>
  </si>
  <si>
    <t>olga@interpricetech.com</t>
  </si>
  <si>
    <t>99 Wall Street</t>
  </si>
  <si>
    <t>Suite 1007</t>
  </si>
  <si>
    <t>info@interpricetech.com</t>
  </si>
  <si>
    <t>522908-74</t>
  </si>
  <si>
    <t>Intrinsic</t>
  </si>
  <si>
    <t>Intrinsic, Inc.</t>
  </si>
  <si>
    <t>Spectrum Labs</t>
  </si>
  <si>
    <t>Developer of safety technologies designed to help users in building safe platforms. The company offers testing, detection, observation, and enforcement to maintain quality content communities and monitor brand safety with the help of APIs, enabling users to maintain control over what data is sent to the platform.</t>
  </si>
  <si>
    <t>branding value, data quality analysis, data quality solution, observation tools, safety technologies, safety technology developer, trust and safety</t>
  </si>
  <si>
    <t>www.withintrinsic.com</t>
  </si>
  <si>
    <t>http://www.linkedin.com/company/intrinsicsecurity</t>
  </si>
  <si>
    <t>The company raised $3.1 million of venture funding from Okta Ventures, Neer Venture Partners, and Urban Innovation Fund on May 9, 2023. 645 Ventures and Y Combinator also participated in the round. Previously, the company joined Y Combinator as a part of its Winter 2023 Cohort on March 2, 2023, and received $500,000 in funding. The total amount was originally raised in the form of SAFE notes and subsequently converted to equity.</t>
  </si>
  <si>
    <t>645 Ventures, Neer Venture Partners, Okta Ventures, Urban Innovation Fund, Y Combinator</t>
  </si>
  <si>
    <t>645 Ventures (www.645ventures.com), Neer Venture Partners (www.neerventurepartners.com), Urban Innovation Fund (www.urbaninnovationfund.com), Y Combinator (www.ycombinator.com)</t>
  </si>
  <si>
    <t>342784-09P</t>
  </si>
  <si>
    <t>Michael Lin</t>
  </si>
  <si>
    <t>mlin@withintrinsic.com</t>
  </si>
  <si>
    <t>+1 (628) 946-9464</t>
  </si>
  <si>
    <t>600 California Street</t>
  </si>
  <si>
    <t>12th Floor</t>
  </si>
  <si>
    <t>info@withintrinsic.com</t>
  </si>
  <si>
    <t>296512-39</t>
  </si>
  <si>
    <t>Invisible Universe</t>
  </si>
  <si>
    <t>Toonstar, AMGI</t>
  </si>
  <si>
    <t>Operator of an animation studio intended to create the next household-name animated franchises and produce animated characters on social media. The company engages in creating original cartoon character IP in partnership with celebrities by combining creative talent, animation technology, and software, enabling entertainment users by leveraging the power and reach of social media platforms.</t>
  </si>
  <si>
    <t>Virtual Reality</t>
  </si>
  <si>
    <t>animation maker, entertainment technology, independent artists, social networking community, virtual reality development, virtual reality production</t>
  </si>
  <si>
    <t>www.invisibleuniverse.com</t>
  </si>
  <si>
    <t>http://www.linkedin.com/company/invisible-univ</t>
  </si>
  <si>
    <t>2021: 3, 2022: 29, 2023: 32, 2024: 24</t>
  </si>
  <si>
    <t>The company raised $12 million of Series A venture funding in a deal led by Seven Seven Six on August 11, 2022, putting the company's pre-money valuation at $60 million. Dapper Labs, Niche Capital, and 14 other investors also participated in the round. The funds will be used to launch more animated IPs, expand to new platforms, and further monetize existing franchises.</t>
  </si>
  <si>
    <t>75 &amp; Sunny, Aglaé Ventures, Alexis Ohanian, CASSIUS, Cosmic Venture Partners, Dapper Labs, Dreamers VC, Franklin Templeton, Gaingels, Gerard Piqué, Green Bay Ventures, Initialized Capital Management, Jennifer Aniston, Niche Capital (San Francisco), Private Ventures Group, Sandbox Studios, Schusterman Family Investments, Serena Ventures, Serena Williams, Seven Seven Six, Spencer Rascoff, SV Angel, The Chernin Group, Wheelhouse (New York)</t>
  </si>
  <si>
    <t>75 &amp; Sunny (www.75andsunny.vc), Aglaé Ventures (www.aglaeventures.com), Alexis Ohanian (alexisohanian.com), CASSIUS (www.cassius.vc), Cosmic Venture Partners (www.cosmicvp.com), Dapper Labs (www.dapperlabs.com), Dreamers VC (www.dreamers.vc), Franklin Templeton (www.franklinresources.com), Gaingels (www.gaingels.com), Green Bay Ventures (www.greenbayventures.com), Initialized Capital Management (www.initialized.com), Niche Capital (San Francisco) (www.niche-cap.com), Private Ventures Group (www.privateventuresgroup.com), Sandbox Studios (www.sandboxstudios.ventures), Serena Ventures (www.serenaventures.com), Seven Seven Six (www.sevensevensix.com), SV Angel (www.svangel.com), The Chernin Group (www.tcg.co), Wheelhouse (New York) (www.wheel-house.com)</t>
  </si>
  <si>
    <t>272841-94P</t>
  </si>
  <si>
    <t>Tricia Biggio</t>
  </si>
  <si>
    <t>tricia@invisibleuniverse.com</t>
  </si>
  <si>
    <t>Palm Beach Gardens, FL</t>
  </si>
  <si>
    <t>Palm Beach Gardens</t>
  </si>
  <si>
    <t>hello@invisibleuniverse.com</t>
  </si>
  <si>
    <t>Other - $0.48M</t>
  </si>
  <si>
    <t>520584-85</t>
  </si>
  <si>
    <t>IQ/ID</t>
  </si>
  <si>
    <t>Accelerated Equity Insights</t>
  </si>
  <si>
    <t>IQID</t>
  </si>
  <si>
    <t>Accelerated Equity Insights, Inc.</t>
  </si>
  <si>
    <t>Developer of CRM data extraction tool designed to provide insights into admissions communication. The company's tool compiles multiple data points to give definitive metrics on applicant funnel stages, overlaid with the sentiment, and checks for positive language and dissuades negative behaviors, which impact applicant enrollment, enabling clients to navigate the ever-changing landscape of enrollment management.</t>
  </si>
  <si>
    <t>communication tool, crm application, crm data, data analysis, enrollment management, postsecondary education</t>
  </si>
  <si>
    <t>www.iqid.io</t>
  </si>
  <si>
    <t>http://www.linkedin.com/company/iqidio</t>
  </si>
  <si>
    <t>2023: 7, 2024: 9</t>
  </si>
  <si>
    <t>The company is in the process of raising $400,000 venture funding as of March 28, 2024. Previously, the company raised $800,000 of pre-seed funding from Alabama Futures Fund, Techstars and other undisclosed investors in the form of convertible debt on April 2, 2024. The company is being actively tracked by PitchBook.</t>
  </si>
  <si>
    <t>Alabama Futures Fund, Techstars</t>
  </si>
  <si>
    <t>Alabama Futures Fund (www.alabamafuturesfund.com), Techstars (www.techstars.com)</t>
  </si>
  <si>
    <t>336544-84P</t>
  </si>
  <si>
    <t>Marie Bigham</t>
  </si>
  <si>
    <t>714 Locust Street</t>
  </si>
  <si>
    <t>454915-81</t>
  </si>
  <si>
    <t>Iris (Social/Platform Software)</t>
  </si>
  <si>
    <t>Iris</t>
  </si>
  <si>
    <t>Iris Labs Inc.</t>
  </si>
  <si>
    <t>Supergreat, Influenster, Odyssey( Publishing)</t>
  </si>
  <si>
    <t>Developer of a beauty app designed to connect beauty enthusiasts and provide personalized recommendations. The company's platform is a community-driven space where users can share experiences, discover new trends, and get personalized beauty recommendations, enabling beauty enthusiasts to find the right products and build a community they can trust.</t>
  </si>
  <si>
    <t>Information Services (B2C), Social Content, Social/Platform Software*</t>
  </si>
  <si>
    <t>Beauty, Mobile</t>
  </si>
  <si>
    <t>beauty bags, beauty community, discovery platform, loyalty and incentive, online beauty, questions survey, streaming media</t>
  </si>
  <si>
    <t>www.getiris.app</t>
  </si>
  <si>
    <t>2020: 15, 2021: 26, 2022: 27</t>
  </si>
  <si>
    <t>The company raised $3.5 million of seed funding in a deal led by Sequoia Capital on February 26, 2021. Cowboy Ventures, and 11 other undisclosed investors also participated in the round. The funds will be used to build out the company's iOS consumer app to complement its dedicated streaming app for creators, and to hire engineering talent.</t>
  </si>
  <si>
    <t>Adapt Ventures, Cowboy Ventures, Dream Machine (San Francisco), Iman Abuzeid, Index Ventures, John Sutton, Jonathan Shipman, Julia Hartz, Kevin Hartz, Kevin Lin, Sequoia Capital, Upside Partnership, XRM Media</t>
  </si>
  <si>
    <t>Adapt Ventures (www.adaptvc.com), Cowboy Ventures (www.cowboy.vc), Dream Machine (San Francisco) (www.dreammachine.vc), Index Ventures (www.indexventures.com), Sequoia Capital (www.sequoiacap.com), Upside Partnership (www.upsidevc.com), XRM Media (xrmmedia.com)</t>
  </si>
  <si>
    <t>248151-61P</t>
  </si>
  <si>
    <t>Jennifer Qian</t>
  </si>
  <si>
    <t>jenny@newness.com</t>
  </si>
  <si>
    <t>77 Van Ness Avenue</t>
  </si>
  <si>
    <t>Suite 101 - 1633</t>
  </si>
  <si>
    <t>hello@getiris.app</t>
  </si>
  <si>
    <t>439240-60</t>
  </si>
  <si>
    <t>IrisAgent</t>
  </si>
  <si>
    <t>Iris Agent Inc.</t>
  </si>
  <si>
    <t>Operator of an AI-powered customer support automation platform intended to help businesses reduce resolution time, respond automatically to tickets, and enhance internal communications. The company's platform offers features such as automatic tag generation, and proactive customer support, and discovers similar tickets along with machine learning and natural language processing to provide unique insights, providing companies with reduced response time, improving customer satisfaction scores, and decreasing case volume.</t>
  </si>
  <si>
    <t>customer data insights, customer support operations, data analysis tool, machine learning insights, natural language technology, operational improvement analysis, product failure analysis</t>
  </si>
  <si>
    <t>www.irisagent.com</t>
  </si>
  <si>
    <t>http://www.linkedin.com/company/irisagent1</t>
  </si>
  <si>
    <t>2021: 7, 2022: 13, 2023: 12, 2024: 12</t>
  </si>
  <si>
    <t>The company raised $4 million of seed funding from Engineering Capital, Neotribe Ventures and Dan Scheinman on July 21, 2020, putting the company's pre-money valuation at $8.5 million.</t>
  </si>
  <si>
    <t>Daniel Scheinman, Engineering Capital, Neotribe Ventures</t>
  </si>
  <si>
    <t>Engineering Capital (www.engineeringcapital.com), Neotribe Ventures (www.neotribe.vc)</t>
  </si>
  <si>
    <t>241124-14P</t>
  </si>
  <si>
    <t>Palak Bhatia</t>
  </si>
  <si>
    <t>+1 (617) 249-3312</t>
  </si>
  <si>
    <t>1049 El Monte Avenue</t>
  </si>
  <si>
    <t>Suite C Number 516</t>
  </si>
  <si>
    <t>contact@irisagent.com</t>
  </si>
  <si>
    <t>224235-19</t>
  </si>
  <si>
    <t>Iron Fish</t>
  </si>
  <si>
    <t>Iron Fish Inc</t>
  </si>
  <si>
    <t>Developer of cryptocurrency designed to make private blockchain networks accessible and global. The company's platform offers privacy on every transaction with a fast syncing technique and a clear path to assist low-resource clients such as phones and websites, enabling users to preserve the concept of cash in a fully digital world.</t>
  </si>
  <si>
    <t>blockchain network, crypto coins, cryptocurrency developer, digital finance, financial service provider, financial services firm, private blockchain, private cryptocurrency</t>
  </si>
  <si>
    <t>www.ironfish.network</t>
  </si>
  <si>
    <t>http://www.linkedin.com/company/iron-fish-irf</t>
  </si>
  <si>
    <t>2021: 9, 2022: 11, 2023: 19</t>
  </si>
  <si>
    <t>MetaStable sold a stake in the company to an undisclosed buyer.</t>
  </si>
  <si>
    <t>A.Capital Ventures, Alan Howard, Andreessen Horowitz, Arrington Capital, Balaji Srinivisan, Divesh Makan, Do Kwon, Dragonfly Capital (San Francisco), Dylan Field, Elad Gil, Electric Capital, Jeffrey Weiner, Lemniscap, Linda Xie, Matt Luongo, Nathan McCauley, Next Play Ventures, Sequoia Capital, Synergis Capital</t>
  </si>
  <si>
    <t>MetaStable</t>
  </si>
  <si>
    <t>A.Capital Ventures (www.acapital.com), Andreessen Horowitz (www.a16z.com), Arrington Capital (www.arringtoncapital.com), Dragonfly Capital (San Francisco) (www.dragonfly.xyz), Elad Gil (www.eladgil.com), Electric Capital (www.electriccapital.com), Lemniscap (lemniscap.com), Next Play Ventures (www.nextplayventures.com), Sequoia Capital (www.sequoiacap.com), Synergis Capital (www.synergiscap.xyz)</t>
  </si>
  <si>
    <t>MetaStable (www.metastablecapital.com)</t>
  </si>
  <si>
    <t>224740-00P</t>
  </si>
  <si>
    <t>Elena Nadolinski</t>
  </si>
  <si>
    <t>elena@ironfish.network</t>
  </si>
  <si>
    <t>404 Bryant Street</t>
  </si>
  <si>
    <t>Suite 298</t>
  </si>
  <si>
    <t>contact@ironfish.network</t>
  </si>
  <si>
    <t>522431-83</t>
  </si>
  <si>
    <t>Irys Insurtech</t>
  </si>
  <si>
    <t>Irys</t>
  </si>
  <si>
    <t>Irys Insurtech Co</t>
  </si>
  <si>
    <t>Developer of an insurance management software designed to leverage technology to enhance human connections. The company's software offers features like open and public API, workflow automation, direct carrier integrations, and a powerful AI engine, human-centric, modular, relationship-focused insurance
management system, enabling agencies and brokerages to manage and build new relationships with their customers and improve customer retention rates.</t>
  </si>
  <si>
    <t>Business/Productivity Software*, Other Insurance</t>
  </si>
  <si>
    <t>customer engagement, insurance distribution, insurance management, insurance management software, insurance management system, workflow automation</t>
  </si>
  <si>
    <t>www.iryscloud.com</t>
  </si>
  <si>
    <t>http://www.linkedin.com/company/go-irys</t>
  </si>
  <si>
    <t>The company raised $5 million of Seed-1 funding from Markd on July 9, 2024, putting the company's pre-money valuation at $30 million. Deepwork Capital also participated in this round.</t>
  </si>
  <si>
    <t>BrokerTech Ventures, Cofounders Capital, Deepwork Capital, Markd, MTech Capital, RevTech Labs Capital</t>
  </si>
  <si>
    <t>BrokerTech Ventures (www.brokertechventures.com), Cofounders Capital (www.cofounderscapital.com), Deepwork Capital (www.deepworkcapital.com), Markd (markd.vc), MTech Capital (www.mtechcapital.com), RevTech Labs Capital (www.rtl.capital)</t>
  </si>
  <si>
    <t>341402-32P</t>
  </si>
  <si>
    <t>Margeaux Giles</t>
  </si>
  <si>
    <t>+1 (813) 438-6380</t>
  </si>
  <si>
    <t>2023 West Platt Street</t>
  </si>
  <si>
    <t>Suite 212</t>
  </si>
  <si>
    <t>33606</t>
  </si>
  <si>
    <t>550879-21</t>
  </si>
  <si>
    <t>IXIS</t>
  </si>
  <si>
    <t>IXIS LLC</t>
  </si>
  <si>
    <t>Developer of business intelligence socialization platform designed to build new ideas, stronger teams, and better cultures with dynamic collaboration. The company's platform leverages data science and technology to spark collaboration and conversation, creating a true data culture with data-sharing tools, composable insights, dynamic transparency, and centralized updates, enabling clients to use data to frame challenges, and measure success from every team and every level of the company.</t>
  </si>
  <si>
    <t>Business/Productivity Software*, IT Consulting and Outsourcing</t>
  </si>
  <si>
    <t>Artificial Intelligence &amp; Machine Learning, Big Data</t>
  </si>
  <si>
    <t>analytics platform, business intelligence, business intelligence platform, data analytics, data challenge, data science, decision tools, insights data, machine intelligence</t>
  </si>
  <si>
    <t>www.ixisdigital.com</t>
  </si>
  <si>
    <t>http://www.linkedin.com/company/ixis</t>
  </si>
  <si>
    <t>2023: 38, 2024: 48</t>
  </si>
  <si>
    <t>The company raised $5 million of Series 2 venture funding from Dudley Fund and FreshTracks Capital on November 21, 2023. Previously , the company raised $250,000 of debt financing on January 9, 2023.</t>
  </si>
  <si>
    <t>Dudley Fund, FreshTracks Capital</t>
  </si>
  <si>
    <t>Dudley Fund (www.dudleyfund.com), FreshTracks Capital (www.freshtrackscap.com)</t>
  </si>
  <si>
    <t>Credit Union and the National Bank of Middlebury(Debt Financing)</t>
  </si>
  <si>
    <t>379308-97P</t>
  </si>
  <si>
    <t>Dani Giandomenico</t>
  </si>
  <si>
    <t>dgiandomenico@ixisdigital.com</t>
  </si>
  <si>
    <t>+1 (855) 845-0065</t>
  </si>
  <si>
    <t>44 Lakeside Avenue Suite</t>
  </si>
  <si>
    <t>Suite 104</t>
  </si>
  <si>
    <t>info@ixisdigital.com</t>
  </si>
  <si>
    <t>Term Loan - $0.25M</t>
  </si>
  <si>
    <t>437002-75</t>
  </si>
  <si>
    <t>IYOTAH Solutions</t>
  </si>
  <si>
    <t>IYOTAH</t>
  </si>
  <si>
    <t>iYOTAH Solutions, Inc.</t>
  </si>
  <si>
    <t>Developer of transformational software designed to pull data from all farm sources into one place. The company's platform integrates data from multiple sources using raw data, spreadsheets, legacy, and modern farm management systems, IoT, and wearables, and enables data sharing, enabling users to secure the data in the cloud and then overlay it to provide livestock operations.</t>
  </si>
  <si>
    <t>AgTech, Artificial Intelligence &amp; Machine Learning, Internet of Things</t>
  </si>
  <si>
    <t>agtech company, agtech platform, animal ag, animal agriculture, animal protein, data sharing app, data transformation, livestock &amp; land animal tech, livestock and land animal tech, livestock operations</t>
  </si>
  <si>
    <t>www.iyotah.com</t>
  </si>
  <si>
    <t>http://www.linkedin.com/company/iyotah-solutions</t>
  </si>
  <si>
    <t>The company raised $3.14 million through a combination of Series A, and Series A-1 venture funding led by Innova Memphis and other undisclosed investors on May 15, 2024, putting the company's pre-money valuation at $10 million.</t>
  </si>
  <si>
    <t>Innova Memphis</t>
  </si>
  <si>
    <t>Innova Memphis (www.innovamemphis.com)</t>
  </si>
  <si>
    <t>235095-67P</t>
  </si>
  <si>
    <t>Kari Spaan</t>
  </si>
  <si>
    <t>kari.spaan@iyotah.com</t>
  </si>
  <si>
    <t>+1 (720) 780-1788</t>
  </si>
  <si>
    <t>Westminster, CO</t>
  </si>
  <si>
    <t>4555 West 68th Avenue</t>
  </si>
  <si>
    <t>Westminster</t>
  </si>
  <si>
    <t>80030</t>
  </si>
  <si>
    <t>info@iyotah.com</t>
  </si>
  <si>
    <t>438328-18</t>
  </si>
  <si>
    <t>Jemi</t>
  </si>
  <si>
    <t>Jemi Inc.</t>
  </si>
  <si>
    <t>Operator of a no-code website and store builder intended to build an e-commerce website in minutes. The company allows users to use drag and drop site builder feature to create websites and stores, enabling businesses to sell their goods with ease.</t>
  </si>
  <si>
    <t>Business/Productivity Software, Information Services (B2C), Internet Software*, Publishing</t>
  </si>
  <si>
    <t>E-Commerce, TMT</t>
  </si>
  <si>
    <t>ecommerce website, internet publishing, internet retail stores, internet retailing platform, online entrepreneurship, store builder, website builder</t>
  </si>
  <si>
    <t>www.jemi.so</t>
  </si>
  <si>
    <t>http://www.linkedin.com/company/jemihq</t>
  </si>
  <si>
    <t>2020: 17, 2021: 9, 2022: 17, 2023: 10, 2024: 8</t>
  </si>
  <si>
    <t>The company raised $2 million of venture funding from East West Ventures, The MBA Fund, and General Catalyst on January 1, 2021. Kleiner Perkins, Niche Capital, and Liquid 2 Ventures also participated in the round. Previously, The company joined Gold House Ventures in 2021, and received $250,000 in funding. The funding was originally raised in the form of SAFE notes and subsequently converted to equity. Prior to that, the company joined Y Combinator on August 25, 2020, and received $150,000 in funding. The funding was originally raised in the form of SAFE notes and subsequently converted to equity.</t>
  </si>
  <si>
    <t>East West Ventures, General Catalyst, Gold House Ventures, Kleiner Perkins, Liquid 2 Ventures, Niche Capital (San Francisco), The MBA Fund, Y Combinator</t>
  </si>
  <si>
    <t>East West Ventures (www.ewventures.co), General Catalyst (www.generalcatalyst.com), Gold House Ventures (www.goldhouse.org), Kleiner Perkins (www.kleinerperkins.com), Liquid 2 Ventures (www.liquid2.vc), Niche Capital (San Francisco) (www.niche-cap.com), The MBA Fund (www.thembafund.com), Y Combinator (www.ycombinator.com)</t>
  </si>
  <si>
    <t>1530 Vallejo Street</t>
  </si>
  <si>
    <t>+1 (415) 570-1606</t>
  </si>
  <si>
    <t>491726-44</t>
  </si>
  <si>
    <t>June Care</t>
  </si>
  <si>
    <t>June</t>
  </si>
  <si>
    <t>The June Care Co.</t>
  </si>
  <si>
    <t>Provider of childcare catering services intended to connect families who need childcare with stay-at-home parents who can care for their kids. The company matches working parents with stay-at-home parents who can help with childcare, enabling parents to get help with their children while also getting access to income by joining to help others.</t>
  </si>
  <si>
    <t>child care environment, child care mom, child care provision, child care services, child care workers, childcare service provider, consumer services</t>
  </si>
  <si>
    <t>www.junecare.co</t>
  </si>
  <si>
    <t>http://www.linkedin.com/company/the-june-care-company</t>
  </si>
  <si>
    <t>The company raised an undisclosed amount of venture funding from Roo Capital in approximately March 2024.</t>
  </si>
  <si>
    <t>AirAngels, Brynn Putnam, Caterina Fake, Craft Ventures, Evan Sharp, Greycroft, Jeffrey Weiner, Max Mullen, Next Play Ventures, Roo Capital, Yes VC</t>
  </si>
  <si>
    <t>AirAngels (airangels.co), Caterina Fake (www.caterina.net), Craft Ventures (www.craftventures.com), Greycroft (www.greycroft.com), Max Mullen (www.maxmullen.com), Next Play Ventures (www.nextplayventures.com), Roo Capital (www.roocapital.com), Yes VC (www.yes.vc)</t>
  </si>
  <si>
    <t>291699-01P</t>
  </si>
  <si>
    <t>Gretchen Salyer</t>
  </si>
  <si>
    <t>gretchen@junecare.co</t>
  </si>
  <si>
    <t>+1 (650) 944-2729</t>
  </si>
  <si>
    <t>645 Riviera Drive</t>
  </si>
  <si>
    <t>94024</t>
  </si>
  <si>
    <t>+1 (925) 940-1441</t>
  </si>
  <si>
    <t>info@junecare.co</t>
  </si>
  <si>
    <t>497451-52</t>
  </si>
  <si>
    <t>Jupiter Exchange</t>
  </si>
  <si>
    <t>Jupiter</t>
  </si>
  <si>
    <t>JDAH, LLC</t>
  </si>
  <si>
    <t>Operator of alternative asset exchange intended to provide fractional ownership of iconic and luxury assets. The company leverages the Non-Fungible Token (NFT) technology to create digital ownership of real-world assets and trading of fractional ownership on its exchange, enabling clients to deal in multiple asset collections, including sneakers, art, cars and pop culture, in a real-time price basis.</t>
  </si>
  <si>
    <t>alternative asset, alternative asset exchange, blockchain exchange, digital ownership, fractional ownership platform, nft platform, nft technology</t>
  </si>
  <si>
    <t>www.jupiterexchange.com</t>
  </si>
  <si>
    <t>http://www.linkedin.com/company/jupiterexc</t>
  </si>
  <si>
    <t>The company raised $5 million of seed funding in a deal led by White Hilt Capital on May 26, 2022. Other undisclosed investors also participated in the round. The funds will be used to expand operations and support development.</t>
  </si>
  <si>
    <t>White Hilt Capital</t>
  </si>
  <si>
    <t>White Hilt Capital (www.whitehilt.com)</t>
  </si>
  <si>
    <t>334836-82P</t>
  </si>
  <si>
    <t>Jonathan Oggiono</t>
  </si>
  <si>
    <t>joggiono@pymandertech.com</t>
  </si>
  <si>
    <t>430 Park Avenue</t>
  </si>
  <si>
    <t>10022</t>
  </si>
  <si>
    <t>info@jupiterexchange.com</t>
  </si>
  <si>
    <t>490952-53</t>
  </si>
  <si>
    <t>Kahilla</t>
  </si>
  <si>
    <t>The Nook Online</t>
  </si>
  <si>
    <t>The Nook Online, LLC</t>
  </si>
  <si>
    <t>Developer of a digital platform intended to provide equitable access to effective leadership development. The company's platform provides a supportive community for ambitious women by combining best-in-class, diverse coaches and curated content, helping members become more confident and informed, enabling companies to increase their profitability while achieving equity and transformational behavior change through leadership development.</t>
  </si>
  <si>
    <t>Consulting Services (B2B)</t>
  </si>
  <si>
    <t>Application Software, Consulting Services (B2B)*, Educational and Training Services (B2C)</t>
  </si>
  <si>
    <t>Industrials, TMT</t>
  </si>
  <si>
    <t>achieving equity, effective leadership, leadership development, leadership development platform, leadership development service, leadership development solutions</t>
  </si>
  <si>
    <t>www.kahilla.com</t>
  </si>
  <si>
    <t>http://www.linkedin.com/company/kahilla</t>
  </si>
  <si>
    <t>2022: 87</t>
  </si>
  <si>
    <t>The company raised $1.90 million of seed funding in a deal led by Matchstick Ventures and Bread &amp; Butter Ventures on January 12, 2022, putting the company's pre-money valuation at $3 million. Varsity Financial Group also participated in the round.</t>
  </si>
  <si>
    <t>Bread &amp; Butter Ventures, Matchstick Ventures, Varsity Financial Group</t>
  </si>
  <si>
    <t>Bread &amp; Butter Ventures (www.breadandbutterventures.com), Matchstick Ventures (www.matchstick.vc), Varsity Financial Group (thevarsityfinancialgroup.com)</t>
  </si>
  <si>
    <t>289697-41P</t>
  </si>
  <si>
    <t>Kimberly Havens</t>
  </si>
  <si>
    <t>Co-Founder, Co-Chief Executive Officer, Co-President &amp; Board Member</t>
  </si>
  <si>
    <t>kim@kahilla.com</t>
  </si>
  <si>
    <t>+1 (415) 513-2896</t>
  </si>
  <si>
    <t>Ketchum, ID</t>
  </si>
  <si>
    <t>401 Lewis Street</t>
  </si>
  <si>
    <t>Ketchum</t>
  </si>
  <si>
    <t>83340</t>
  </si>
  <si>
    <t>info@kahilla.com</t>
  </si>
  <si>
    <t>300240-28</t>
  </si>
  <si>
    <t>Kai XR</t>
  </si>
  <si>
    <t>Kai XR, Inc.</t>
  </si>
  <si>
    <t>Operator of a virtual reality platform designed to create inclusive and accessible mixed-reality spaces. The company's platform leverages virtual reality to deliver culturally relevant learning opportunities, enabling users to create inclusive virtual reality classrooms and field trips for kids.</t>
  </si>
  <si>
    <t>Augmented Reality, EdTech, Virtual Reality</t>
  </si>
  <si>
    <t>digital divide, digital learning platform, education app, education services, learning resources, virtual reality education platform</t>
  </si>
  <si>
    <t>www.kaixr.com</t>
  </si>
  <si>
    <t>http://www.linkedin.com/company/kaixr</t>
  </si>
  <si>
    <t>2020: 5, 2021: 6, 2022: 10, 2023: 10</t>
  </si>
  <si>
    <t>The company graduated gener8tor as part of its Bronze Valley Investment Accelerator Spring 2024 on April 26, 2024 and received funding.</t>
  </si>
  <si>
    <t>529 Ventures, Bronze Valley, Coralus, Ethan Monreal-Jackson, Founder Gym, gener8tor, Google for Startups, Kapor Capital, Pipeline Angels, Scout Fund, SheEO, SXSW, Techstars, The American Family Insurance Institute for Corporate and Social Impact, The Kapor Center, T-Mobile Accelerator, Wireless Foundation</t>
  </si>
  <si>
    <t>529 Ventures (www.529vc.com), Bronze Valley (www.bronzevalley.com), Coralus (coralus.world), Founder Gym (www.foundergym.com), gener8tor (www.gener8tor.com), Google for Startups (startup.google.com), Kapor Capital (www.kaporcapital.com), Pipeline Angels (www.pipelineangels.com), Scout Fund (www.scoutfund.com), SXSW (sxsw.com), Techstars (www.techstars.com), The American Family Insurance Institute for Corporate and Social Impact (www.amfaminstitute.com), The Kapor Center (www.kaporcenter.org), T-Mobile Accelerator (www.t-mobileaccelerator.com), Wireless Foundation (wirelessfoundation.org)</t>
  </si>
  <si>
    <t>Fenwick &amp; West(Legal Advisor), Venturous Counsel(Legal Advisor)</t>
  </si>
  <si>
    <t>211174-93P</t>
  </si>
  <si>
    <t>Kai Frazier</t>
  </si>
  <si>
    <t>kai@kaixr.com</t>
  </si>
  <si>
    <t>+1 (510) 993-0993</t>
  </si>
  <si>
    <t>Suite 9333</t>
  </si>
  <si>
    <t>info@kaixr.com</t>
  </si>
  <si>
    <t>513047-89</t>
  </si>
  <si>
    <t>Kalder</t>
  </si>
  <si>
    <t>Kalder, Inc.</t>
  </si>
  <si>
    <t>Yotpo, Smile.io, Cardless, Marqeta, Tandym</t>
  </si>
  <si>
    <t>Developer of unified network platform intended to offer co-branded cards and loyalty rewards for leading brands, sports teams, and retailers. The company's platform provides customer relationship management to power collaborations, launch advocacy campaigns to turn customers into influencers, create exclusive tiers, track in-person and online engagement data, and reward customers on-chain, enabling brands to increase their customer engagement and business growth efficiently.</t>
  </si>
  <si>
    <t>FinTech, Marketing Tech, SaaS</t>
  </si>
  <si>
    <t>business model, customer loyalty and reward, fintech saas, loyalty rewards service, payment acceptance application, rewards data, shopping cashbacks</t>
  </si>
  <si>
    <t>www.kalder.co</t>
  </si>
  <si>
    <t>http://www.linkedin.com/company/kalderco</t>
  </si>
  <si>
    <t>2022: 8, 2023: 12, 2024: 17</t>
  </si>
  <si>
    <t>People (New) Kevin Jin, Advisor, News (New), News (New)</t>
  </si>
  <si>
    <t>The company raised $10.5 million of seed funding in a deal led by Javelin Venture Partners on November 19, 2024. 8VC and 7 other investors also participated in the round. The funds will be used to expand operations and the company's development efforts.</t>
  </si>
  <si>
    <t>8VC, Accel, Alyssa Fanelli, e2vc, Eclipse Laboratories, Emergence (Financial Services), Formus Capital, GingerBread Capital, Harry Maguire, Human Capital, INDIGO Fund, Irene Wu, Javelin Venture Partners, Julius Genachowski, Meltem Demirors, Metamatic Group, Paribu Ventures, Sara Du, Shuo Wang, Soma Capital, Sunflower Fund (Miami), William Papper, YADAY</t>
  </si>
  <si>
    <t>8VC (www.8vc.com), Accel (www.accel.com), e2vc (www.e2.vc), Eclipse Laboratories (www.eclipselaboratories.com), Emergence (Financial Services) (www.emcap.com), Formus Capital (www.formuscap.com), GingerBread Capital (www.gingerbreadcap.com), Human Capital (www.human.capital), INDIGO Fund (www.indigo.fund), Javelin Venture Partners (www.javelinvp.com), Metamatic Group (www.metamatic.co), Paribu Ventures (ventures.paribu.com), Soma Capital (somacap.com), Sunflower Fund (Miami) (www.picksunflowers.com), YADAY (www.yaday.vc)</t>
  </si>
  <si>
    <t>323034-94P</t>
  </si>
  <si>
    <t>Gökçe Güven</t>
  </si>
  <si>
    <t>gokce@kalder.xyz</t>
  </si>
  <si>
    <t>+1 (929) 600-7081</t>
  </si>
  <si>
    <t>70 Pine Street</t>
  </si>
  <si>
    <t>hello@kalder.xyz</t>
  </si>
  <si>
    <t>491455-00</t>
  </si>
  <si>
    <t>Kale</t>
  </si>
  <si>
    <t>Palette Technologies, Inc.</t>
  </si>
  <si>
    <t>Developer of media platform designed to empower creators to translate their social value into economic value. The company offers an algorithm that identifies brands' super fans, based on their purchasing history and their social activity, and pays these customers directly for posting about them, enabling brands to connect with its loyal customers and rewards creators.</t>
  </si>
  <si>
    <t>branding value, content creator, creators economy, creators platform, marketing solutions, marketing technology</t>
  </si>
  <si>
    <t>www.kalecard.com</t>
  </si>
  <si>
    <t>http://www.linkedin.com/company/kalecard</t>
  </si>
  <si>
    <t>2021: 3, 2022: 9, 2023: 9</t>
  </si>
  <si>
    <t>The company raised $3.75 million of seed funding from Pear and Forerunner Ventures on October 16, 2021.</t>
  </si>
  <si>
    <t>Forerunner Ventures, Pear (California)</t>
  </si>
  <si>
    <t>Forerunner Ventures (www.forerunnerventures.com), Pear (California) (www.pear.vc)</t>
  </si>
  <si>
    <t>291412-72P</t>
  </si>
  <si>
    <t>Isha Patel</t>
  </si>
  <si>
    <t>isha@kalecard.com</t>
  </si>
  <si>
    <t>hello@kalecard.com</t>
  </si>
  <si>
    <t>461796-67</t>
  </si>
  <si>
    <t>Kanary (Network Management Software)</t>
  </si>
  <si>
    <t>Kanary</t>
  </si>
  <si>
    <t>Kanaries, Inc.</t>
  </si>
  <si>
    <t>Developer of an online privacy platform designed to remove private information once it is discovered. The company's platform actively monitors websites for personal information and removes it from any website that is at risk, enabling individuals to protect their digital identity.</t>
  </si>
  <si>
    <t>Application Software, Network Management Software*</t>
  </si>
  <si>
    <t>data analytics, data compliance, data privacy, data privacy &amp; compliance, data privacy and compliance, data security, email protection, email protection services, information protection, information security, information security service</t>
  </si>
  <si>
    <t>www.kanary.com</t>
  </si>
  <si>
    <t>http://www.linkedin.com/company/thekanary</t>
  </si>
  <si>
    <t>2021: 6, 2022: 8, 2023: 8, 2024: 10</t>
  </si>
  <si>
    <t>The company raised $895,000 of seed funding in a deal led by 2048 Ventures on June 16, 2021. First Star Ventures, Lofty Ventures, Tom Preston-Werner, Liz Wessel and Brian Stoner also participated in the round.</t>
  </si>
  <si>
    <t>2048 Ventures, Brian Stoner, Elizabeth Wessel, First Star Ventures, Lofty Ventures, Mozilla Builders, Tom Preston-Werner, Y Combinator</t>
  </si>
  <si>
    <t>2048 Ventures (www.2048.vc), First Star Ventures (www.firststar.vc), Lofty Ventures (www.loftyventures.com), Mozilla Builders (builders.mozilla.community), Y Combinator (www.ycombinator.com)</t>
  </si>
  <si>
    <t>254184-94P</t>
  </si>
  <si>
    <t>Rachel Vrabec</t>
  </si>
  <si>
    <t>rachel@thekanary.com</t>
  </si>
  <si>
    <t>2405 North Sheffield Avenue</t>
  </si>
  <si>
    <t>60614</t>
  </si>
  <si>
    <t>hello@thekanary.com</t>
  </si>
  <si>
    <t>690998-05</t>
  </si>
  <si>
    <t>Karnā</t>
  </si>
  <si>
    <t>Project Karnā Inc.</t>
  </si>
  <si>
    <t>Developer of a deepfake detection artificial intelligence tool intended to bring trust back into online conversations. The company's tool can detect deepfakes in
real time using proprietary enterprise-level risk scores, user pre-authentication, and patented hyperspectral and biometric audio/video algorithms, enabling
businesses to protect their business conversations by detecting and stopping deepfakes infiltration.</t>
  </si>
  <si>
    <t>biometric algorithm, cyber support, cybersecurity ai, deepfake detection, detection tool, privacy protection, threat detection</t>
  </si>
  <si>
    <t>Pre-venture, Venture Capital</t>
  </si>
  <si>
    <t>www.projectkarna.com</t>
  </si>
  <si>
    <t>http://www.linkedin.com/company/project-karna</t>
  </si>
  <si>
    <t>The company raised $400,000 of seed funding in a combination of convertible debt and SAFE notes from 500 Global and other undisclosed investors on August 5, 2024</t>
  </si>
  <si>
    <t>500 Global</t>
  </si>
  <si>
    <t>500 Global (500.co)</t>
  </si>
  <si>
    <t>249301-72P</t>
  </si>
  <si>
    <t>Rajashree Baskaran</t>
  </si>
  <si>
    <t>+1 (971) 214-6466</t>
  </si>
  <si>
    <t>1533 South East, 34th Avenue</t>
  </si>
  <si>
    <t>97214</t>
  </si>
  <si>
    <t>+1 (480) 235-7432</t>
  </si>
  <si>
    <t>Bridge Loan - $0.15M (Convertible)</t>
  </si>
  <si>
    <t>492741-64</t>
  </si>
  <si>
    <t>Khyria</t>
  </si>
  <si>
    <t>Khyria Inc</t>
  </si>
  <si>
    <t>Developer of a digital health platform designed to empower women in midlife and beyond to rule their bodies and life. The company's platform employs proprietary algorithms, continuous objective, and user-generated data, enabling women to gain a better understanding of their bodies while empowering them, enabling women to manage their personal health and wellness.</t>
  </si>
  <si>
    <t>Application Software, Clinics/Outpatient Services, Information Services (B2C)*, Other Services (B2C Non-Financial)</t>
  </si>
  <si>
    <t>Digital Health, FemTech, LOHAS &amp; Wellness, Mobile</t>
  </si>
  <si>
    <t>health tracker app, personal health app, women empowering platform, women empowerment, women engagement, women health</t>
  </si>
  <si>
    <t>www.khyria.com</t>
  </si>
  <si>
    <t>http://www.linkedin.com/company/khyria</t>
  </si>
  <si>
    <t>2022: 14, 2023: 8, 2024: 4</t>
  </si>
  <si>
    <t>The company raised $750,000 of venture funding from Velocity Partner and R/GA Ventures on December 21, 2021.</t>
  </si>
  <si>
    <t>R/GA Ventures, Velocity Partner</t>
  </si>
  <si>
    <t>R/GA Ventures (ventures.rga.com), Velocity Partner (www.velocitypartners.vc)</t>
  </si>
  <si>
    <t>246900-52P</t>
  </si>
  <si>
    <t>Diana Bitner</t>
  </si>
  <si>
    <t>Co-Founder &amp; Chief Marketing Officer</t>
  </si>
  <si>
    <t>dbitner@khyria.com</t>
  </si>
  <si>
    <t>+1 (616) 330-1700</t>
  </si>
  <si>
    <t>Dover, DE</t>
  </si>
  <si>
    <t>8 The Green</t>
  </si>
  <si>
    <t>Dover</t>
  </si>
  <si>
    <t>19901</t>
  </si>
  <si>
    <t>team@khyria.com</t>
  </si>
  <si>
    <t>535158-37</t>
  </si>
  <si>
    <t>Kidsy</t>
  </si>
  <si>
    <t>Kidsy Inc.</t>
  </si>
  <si>
    <t>Ross Stores, TJX</t>
  </si>
  <si>
    <t>Operator of an off-price, e-commerce company intended to sell liquidated baby and kid's items from leading brands and retailers. The company's platform offers a wide range of baby products including toys, car seats, strollers, beds, and infant gear, enabling parents to get the necessary products for their children at deep discounts.</t>
  </si>
  <si>
    <t>Application Software, Media and Information Services (B2B), Other Services (B2C Non-Financial)*</t>
  </si>
  <si>
    <t>baby product firm, baby product platform, baby product retail, baby products seller, ecommerce retailer, online marketplace firm, online marketplace service</t>
  </si>
  <si>
    <t>www.kidsy.co</t>
  </si>
  <si>
    <t>http://www.linkedin.com/company/kidsyinc</t>
  </si>
  <si>
    <t>The company raised $1 million of pre-seed funding in a deal led by Impellent Ventures on March 28, 2024. Everywhere Ventures and 8 other investors also participated in the round. The funds will be used to provide discounted kids products and drive sustainability.</t>
  </si>
  <si>
    <t>Everywhere Ventures, Hustle Fund, Impellent Ventures, Jason Robins, Jennifer Fleiss, Mike Salguero, Reilly Brennan, Responsibly Ventures, Sanuk Tandon, Y Combinator</t>
  </si>
  <si>
    <t>Everywhere Ventures (everywhere.vc), Hustle Fund (www.hustlefund.vc), Impellent Ventures (www.impellent.vc), Responsibly Ventures (www.responsibly.vc), Y Combinator (www.ycombinator.com)</t>
  </si>
  <si>
    <t>364111-03P</t>
  </si>
  <si>
    <t>Shraysi Tandon</t>
  </si>
  <si>
    <t>shraysi@kidsy.co</t>
  </si>
  <si>
    <t>+1 (312) 964-8348</t>
  </si>
  <si>
    <t>203 North La Salle Street</t>
  </si>
  <si>
    <t>Suite 2100</t>
  </si>
  <si>
    <t>hello@kidsy.co</t>
  </si>
  <si>
    <t>434261-17</t>
  </si>
  <si>
    <t>Kikoff</t>
  </si>
  <si>
    <t>Kikoff Inc.</t>
  </si>
  <si>
    <t>Credit Sesame, Stilt, Nav, Credit Karma, TomoCredit, Personal Capital, Grow Credit, MAJORITY, MoneyStream, TotallyMoney, Cerebro Capital, Chime, Mogo (Financial Software), CreditVidya, Cheese, Mint (Mountain View), NerdWallet, Propel (Financial Software), Prosper Daily, TransUnion, Quizzle, Greenwood</t>
  </si>
  <si>
    <t>Developer of a personal finance platform designed to maximize credit. The company's platform offers tools to demonstrate creditworthiness without the need for a bank account, card, or credit score and offers loans to kick off payment history to start building credit, enabling users to get a fair, effective, and simple pathway to meet their financial goals.</t>
  </si>
  <si>
    <t>Consumer Finance, Financial Software*, Other Financial Services</t>
  </si>
  <si>
    <t>credit worthiness, creditworthiness evaluation, financial credit, financial system, financial tool, fintech company, personal financial management, wealthtech</t>
  </si>
  <si>
    <t>www.kikoff.com</t>
  </si>
  <si>
    <t>http://www.linkedin.com/company/getkikoff</t>
  </si>
  <si>
    <t>2021: 16, 2022: 43, 2023: 85, 2024: 110</t>
  </si>
  <si>
    <t>The company raised $30 million of venture funding in a deal led by GGV Capital on June 10, 2021, putting the company's pre-money valuation at $145 million. Portage Ventures, and 6 other investors also participated in the round. Previously, the company raised $12.5 million of Series A venture funding from Coatue Management, Female Founders Fund and Core Innovation Capital on July 21, 2020, putting the company's pre-money valuation at $30 million. Abstract Ventures and 3 other investors also participated in the round.</t>
  </si>
  <si>
    <t>Abstract Ventures, Coatue Management, Core Innovation Capital, Female Founders Fund, Foundation Capital, Lightspeed Venture Partners, Melissa Smith, Notable Capital, Portage, Stephen Curry, Teresa Ressel</t>
  </si>
  <si>
    <t>Abstract Ventures (abstract.vc), Coatue Management (www.coatue.com), Core Innovation Capital (www.corevc.com), Female Founders Fund (www.femalefoundersfund.com), Foundation Capital (www.foundationcapital.com), Lightspeed Venture Partners (www.lsvp.com), Notable Capital (notablecap.com), Portage (portageinvest.com)</t>
  </si>
  <si>
    <t>Alston &amp; Bird(Legal Advisor), First Republic Bank(General Business Banking)</t>
  </si>
  <si>
    <t>61071-04P</t>
  </si>
  <si>
    <t>Cynthia Chen</t>
  </si>
  <si>
    <t>Chief Executive Officer &amp; Co-Founder</t>
  </si>
  <si>
    <t>cynthia@kikoff.com</t>
  </si>
  <si>
    <t>+1 (415) 361-4040</t>
  </si>
  <si>
    <t>75 Broadway</t>
  </si>
  <si>
    <t>Suite 226</t>
  </si>
  <si>
    <t>hello@kikoff.com</t>
  </si>
  <si>
    <t>492763-78</t>
  </si>
  <si>
    <t>Kloopify</t>
  </si>
  <si>
    <t>Kloopify, Inc.</t>
  </si>
  <si>
    <t>EcoVadis</t>
  </si>
  <si>
    <t>Developer of a holistic platform designed to track, reduce, and report the supply chain's global carbon footprint. The company's platform revolutionizes procurement measures, reports, and understands their environmental emissions from a holistic overview across the enterprise down to a single category, enabling organizations to achieve their sustainability goals.</t>
  </si>
  <si>
    <t>CleanTech, Climate Tech, LOHAS &amp; Wellness</t>
  </si>
  <si>
    <t>carbon accounting, carbon analytics, carbon tech, carbon technology, environmental impact, holistic platform, purchasing process, suppliers' sustainability, sustainability performance, sustainable procurement</t>
  </si>
  <si>
    <t>www.kloopify.com</t>
  </si>
  <si>
    <t>http://www.linkedin.com/company/kloopify</t>
  </si>
  <si>
    <t>The company raised $1.5 million of seed funding in a deal led by Black Tech Nation Ventures on November 11, 2022, putting the company's pre-money valuation at $5 million. Everywhere Ventures, Hypothesis Studio, Innovation Works, and KohFounders also participated in the round.</t>
  </si>
  <si>
    <t>Ascender (Pittsburgh), Black Tech Nation Ventures, Everywhere Ventures, Hypothesis Studio, Innovation Works, KohFounders</t>
  </si>
  <si>
    <t>Ascender (Pittsburgh) (www.ascenderpgh.com), Black Tech Nation Ventures (www.btn.vc), Everywhere Ventures (everywhere.vc), Hypothesis Studio (www.hypothesis.studio), Innovation Works (www.innovationworks.org), KohFounders (www.kohfounders.com)</t>
  </si>
  <si>
    <t>293594-41P</t>
  </si>
  <si>
    <t>Daniela Osio</t>
  </si>
  <si>
    <t>daniela@kloopify.com</t>
  </si>
  <si>
    <t>223652-62</t>
  </si>
  <si>
    <t>Knac</t>
  </si>
  <si>
    <t>2020Shift</t>
  </si>
  <si>
    <t>2020Shift, LLC</t>
  </si>
  <si>
    <t>Operator of a recruitment platform intended to track and manage applicants. The company's platform uses data to remove bias in the application process while improving the candidate experience, enabling businesses to engage, attract, hire, and retain diverse talent and candidates to develop their careers.</t>
  </si>
  <si>
    <t>applicant tracking software, hiring needs, interviewing platform, recruiting platform, recruitment software, recruitment tech, screening platform</t>
  </si>
  <si>
    <t>www.knac.io</t>
  </si>
  <si>
    <t>http://www.linkedin.com/company/helloknac</t>
  </si>
  <si>
    <t>2021: 4, 2022: 5, 2023: 5, 2024: 3</t>
  </si>
  <si>
    <t>The company joined Advanced Technology Development Center on an undisclosed date.</t>
  </si>
  <si>
    <t>Advanced Technology Development Center, Chloe Capital, Daniel Chait, Forum Ventures, Right Side Capital Management, Village Capital</t>
  </si>
  <si>
    <t>Advanced Technology Development Center (www.atdc.org), Chloe Capital (www.chloecapital.com), Forum Ventures (www.forumvc.com), Right Side Capital Management (www.rightsidecapital.com), Village Capital (www.vilcap.com)</t>
  </si>
  <si>
    <t>176990-05P</t>
  </si>
  <si>
    <t>Ariel Lopez</t>
  </si>
  <si>
    <t>ariel@knac.io</t>
  </si>
  <si>
    <t>+1 (347) 264-6533</t>
  </si>
  <si>
    <t>84 Peachtree Street North West</t>
  </si>
  <si>
    <t>30303</t>
  </si>
  <si>
    <t>hello@knac.io</t>
  </si>
  <si>
    <t>528259-15</t>
  </si>
  <si>
    <t>Knomee</t>
  </si>
  <si>
    <t>Knomee, Inc.</t>
  </si>
  <si>
    <t>Operator of a wealth management platform intended to support users with the right financial decisions. The company's platform develops, documents, and manages financial identity to surface information at the right time by empowering personal financial authenticity, enabling users to understand and manage their financial wealth.</t>
  </si>
  <si>
    <t>financial decisions making, financial identity compliance, financial knowledge, financial services, fintech platform, fintech platform developer</t>
  </si>
  <si>
    <t>www.knomee.com</t>
  </si>
  <si>
    <t>http://www.linkedin.com/company/knomeeapp</t>
  </si>
  <si>
    <t>The company raised $500,000 of venture funding from Audaz Capital and other undisclosed investors on April 10, 2024, putting the company's pre-money valuation at $4.5 million.</t>
  </si>
  <si>
    <t>Evolution Accelerator, Raiz Capital</t>
  </si>
  <si>
    <t>Audaz Capital</t>
  </si>
  <si>
    <t>Evolution Accelerator (www.evolutionacceleration.com), Raiz Capital (www.raiz.vc)</t>
  </si>
  <si>
    <t>Audaz Capital (www.audaz.capital)</t>
  </si>
  <si>
    <t>348848-11P</t>
  </si>
  <si>
    <t>Marla Sofer</t>
  </si>
  <si>
    <t>msofer@knomeeapp.com</t>
  </si>
  <si>
    <t>info@knomeeapp.com</t>
  </si>
  <si>
    <t>502720-12</t>
  </si>
  <si>
    <t>Knowtex</t>
  </si>
  <si>
    <t>Knowtex Inc.</t>
  </si>
  <si>
    <t>The company's platform leverages AI (artificial intelligence) and voice technology to capture conversations, analyze them to identify relevant medical information, and create detailed visit notes with billing code suggestions and order entry, enabling healthcare professionals to automate administrative work.</t>
  </si>
  <si>
    <t>Business/Productivity Software*, Other Healthcare Technology Systems</t>
  </si>
  <si>
    <t>artificial intelligence, coding and billing services, documentation automation, documentation services, enablement platform, health technology product, machine learning, medical assistant, operational efficiency, voice</t>
  </si>
  <si>
    <t>www.knowtex.ai</t>
  </si>
  <si>
    <t>http://www.linkedin.com/company/knowtexai</t>
  </si>
  <si>
    <t>2022: 2, 2023: 6, 2024: 9</t>
  </si>
  <si>
    <t>The company joined Endless Frontier Labs as a part of 2023-2024 in 2024. Previously, the company joined Texas Medical Center as a part of TMCi Healthtech Accelerator in 2024. Prior to that, the company joined AWS Startups on an undisclosed date.</t>
  </si>
  <si>
    <t>AWS Startups, CapitalX, DG Daiwa Ventures, Endless Frontier Labs, Exceptional Capital, Fundament, MedTech Innovator, Oasis Capital (United States), Pioneer Fund, Soma Capital, South Miami Capital, Startup San Diego, StartX (US), Team Ignite Ventures, Texas Medical Center, UCSF Rosenman Institute, Y Combinator</t>
  </si>
  <si>
    <t>AWS Startups (aws-startup-lofts.com), CapitalX (www.capitalx.company), DG Daiwa Ventures (www.dg-daiwa-v.com), Endless Frontier Labs (www.endlessfrontierlabs.com), Exceptional Capital (www.exceptionalcap.com), Fundament (www.fundament.gg), MedTech Innovator (medtechinnovator.org), Oasis Capital (United States) (oasiscap.vc), Pioneer Fund (www.pioneerfund.vc), Soma Capital (somacap.com), South Miami Capital (www.somicap.com), Startup San Diego (startupsd.org), StartX (US) (web.startx.com), Team Ignite Ventures (www.teamignite.ventures), Texas Medical Center (www.tmc.edu), UCSF Rosenman Institute (rosenmaninstitute.org), Y Combinator (www.ycombinator.com)</t>
  </si>
  <si>
    <t>310133-17P</t>
  </si>
  <si>
    <t>Jocelyn Kang</t>
  </si>
  <si>
    <t>jocelyn@knowtex.ai</t>
  </si>
  <si>
    <t>717 Market Street</t>
  </si>
  <si>
    <t>533004-40</t>
  </si>
  <si>
    <t>Kobalt Labs</t>
  </si>
  <si>
    <t>Developer of data protection platform designed to make large language models private and secure. The company's platform leverages AI (artificial intelligence)-powered privacy operations tooling to help simplify the process of tracking privacy requirements through the entire product lifecycle (from design to delivery and reporting) and auto-suggests custom engineering solutions to mitigate any surfaced risks based on historical company architecture and privacy reporting, enabling businesses to protect their data from unauthorized access.</t>
  </si>
  <si>
    <t>ai cores, ai protection, application security, artificial intelligence, compliance data, compliance policy, data privacy, data protection, data security, generative ai, generative ai solution, privacy review, sensitive data</t>
  </si>
  <si>
    <t>www.kobaltlabs.com</t>
  </si>
  <si>
    <t>http://www.linkedin.com/company/kobalt-labs</t>
  </si>
  <si>
    <t>The company raised $1.53 million of seed funding from 8vdX, Pioneer Fund and Coughdrop Capital on October 1, 2023, putting the company's pre-money valuation at $16.47 million. OneValley Ventures, Andreessen Horowitz, Roosh Ventures, Hatcher+, Y Combinator, Kevin Moore, Mitali Pattnaik, Yan Michalevsky, Arun Saigal, Justin Berka, Zi Liu, Christopher Golda, Benjamin Bryant, Eric Migicovsky, Samvit Ramadurgam, Ali Rowghani, GoodFinch, TD Epoch and Orange Collective also participated in the round.</t>
  </si>
  <si>
    <t>8vdX, Ali Rowghani, Andreessen Horowitz, Benjamin Bryant, Christopher Golda, Coughdrop Capital, Eric Migicovsky, GoodFinch, Hatcher+, Justin Berka, Kevin Moore, Mitali Pattnaik, OneValley Ventures, Orange Collective, Pioneer Fund, Roosh Ventures, Samvit Ramadurgam, TD Epoch, Y Combinator</t>
  </si>
  <si>
    <t>8vdX (www.8vdx.com), Andreessen Horowitz (www.a16z.com), Christopher Golda (christophergolda.com), Coughdrop Capital (www.coughdropcapital.com), GoodFinch (www.goodfinch.com), Hatcher+ (hq.hatcher.com), Kevin Moore (www.agileangel.com), OneValley Ventures (onevalleyventures.com), Orange Collective (www.orangecollective.vc), Pioneer Fund (www.pioneerfund.vc), Roosh Ventures (www.roosh.vc), TD Epoch (www.eipny.com), Y Combinator (www.ycombinator.com)</t>
  </si>
  <si>
    <t>358550-20P</t>
  </si>
  <si>
    <t>Kalyani Ramadurgam</t>
  </si>
  <si>
    <t>hi@kobaltlabs.com</t>
  </si>
  <si>
    <t>439419-25</t>
  </si>
  <si>
    <t>Koda Health</t>
  </si>
  <si>
    <t>Koda</t>
  </si>
  <si>
    <t>Koda Health, Inc.</t>
  </si>
  <si>
    <t>qliqSOFT, TigerConnect, Halodoc, Mango Health (Application Software), PatientPop, Wellframe, Luma Health, RubiconMD, Vida Health, BettrLife, Glooko, InteliChart, TelmedIQ, 98point6, Future Healthcare NI, PerfectServe, Pieces (Decision/Risk Analysis), Imprivata, Lighthouse 360, Welkin Health, Liva Healthcare, VisualDx, ZeOmega, Caradigm, PatientSafe Solutions, Entra Health, Vynca, Inovalon Holdings, Wanda Health, AssureCare, Health2Sync, Revenue Well Systems, Doctible, Doctor On Demand, Extension, Iris (Managed Care), Vital Decisions, Evariant, Acp Decisions</t>
  </si>
  <si>
    <t>Developer of a digital care-planning platform designed to streamline and digitize conversations with patients about medical care preferences. The company's platform uses artificial intelligence to ask patients questions about their quality of life preferences, power of attorney to make healthcare decisions and emergency contacts that can be shared with doctors, attorneys and loved ones, enabling healthcare providers to have access to the information they need to know when patients are unable to make decisions for themselves in a clinical setting.</t>
  </si>
  <si>
    <t>Application Software, Enterprise Systems (Healthcare)*</t>
  </si>
  <si>
    <t>care planning management, care planning platform, medical care service, medical intervention software, patient education company, patient education platform, patient education service</t>
  </si>
  <si>
    <t>www.kodahealthcare.com</t>
  </si>
  <si>
    <t>http://www.linkedin.com/company/kodahealth</t>
  </si>
  <si>
    <t>2020: 3, 2021: 10, 2022: 12, 2023: 21, 2024: 23</t>
  </si>
  <si>
    <t>The company raised an undisclosed amount of seed funding in a deal led by Ecliptic Capital on May 28, 2024. Memorial Hermann Foundation, AARP and Texas Medical Center also participated in the round. The funds will be used to maintain the quality that our clients expect at new and unprecedented scales.</t>
  </si>
  <si>
    <t>AARP, AgeTech Collaborative, CRCM Ventures, Daniel Arteage, Ecliptic Capital, Headwater Ventures, Houston Angel Network, Ignite Healthcare Network, Labor Capital, Lighthouse Labs (Richmond), Matt Miller, Memorial Hermann Foundation, National Science Foundation, SIGMA Capital Holding, Techstars, Texas Medical Center, United Healthcare Accelerator</t>
  </si>
  <si>
    <t>AARP (www.aarp.org), AgeTech Collaborative (www.agetechcollaborative.org), CRCM Ventures (www.crcmventures.com), Ecliptic Capital (www.ecliptic.capital), Headwater Ventures (www.headwater.vc), Houston Angel Network (www.houstonangelnetwork.org), Ignite Healthcare Network (www.ignitehealthcare.org), Labor Capital (www.laborcapital.co), Lighthouse Labs (Richmond) (www.lighthouselabsrva.org), National Science Foundation (nsf.gov), SIGMA Capital Holding (sigma-capital.com/main/corporate.home), Techstars (www.techstars.com), Texas Medical Center (www.tmc.edu), United Healthcare Accelerator (www.uhcaccelerator.com)</t>
  </si>
  <si>
    <t>Gunderson Dettmer(Legal Advisor), Michael Best &amp; Friedrich(Legal Advisor)</t>
  </si>
  <si>
    <t>241857-46P</t>
  </si>
  <si>
    <t>Tatiana Fofanova</t>
  </si>
  <si>
    <t>tatianaf@kodahealthcare.com</t>
  </si>
  <si>
    <t>+1 (469) 583-0533</t>
  </si>
  <si>
    <t>PO Box 66218</t>
  </si>
  <si>
    <t>77266</t>
  </si>
  <si>
    <t>contact@kodahealthcare.com</t>
  </si>
  <si>
    <t>234144-01</t>
  </si>
  <si>
    <t>Kojo (Business/Productivity Software)</t>
  </si>
  <si>
    <t>Agora Systems, Agora</t>
  </si>
  <si>
    <t>Kojo</t>
  </si>
  <si>
    <t>Kojo Technologies, Inc.</t>
  </si>
  <si>
    <t>Pantera Tools, Assignar, Corecon Technologies, GCPay, HCSS (Sugar Land), Finalcad, Buildertrend, Asite Solutions, Hyphen Solutions, BuildingConnected, Disperse, eSUB, M-Files, INDUS.AI, e-Builder (Construction Program Management Solution), BuildIT Systems, Meridian Systems, RedTeam, AproPLAN, CoConstruct, ANDPAD, InEight, Trimble Viewpoint, Foundation Software, BuildTools (Minnesota), Raken, BuilderStorm, Pharaoh Information Services, Dexter + Chaney, Newforma, Bouw7, Deltek, On Center Software, BuilderMT, Doxel, Rhumbix, Submittal Exchange, Computerease Software, Aconex, OnSiteIQ, Ynomia, Procore Technologies, NoteVault, Textura, PlanSwift Software, Script &amp; Go, FieldWire, PlanGrid, StructionSite, HoloBuilder, Clear Estimates</t>
  </si>
  <si>
    <t>Developer of a cloud-based construction management software designed to help contractors in materials management and procurement. The company's software streamlines materials management to improve profitability by bringing together the field, procurement and distributors onto the platform, simplifying the supply chain by automating the process of ordering and tracking materials, enabling contractors to get their materials on-site and on time.</t>
  </si>
  <si>
    <t>Climate Tech, Construction Technology, SaaS, Supply Chain Tech</t>
  </si>
  <si>
    <t>commercial building management, construction management software, construction management software system, enterprise supply chain management, materials management, materials management software, process automation, procurement and sourcing, scm, supply chain management</t>
  </si>
  <si>
    <t>www.usekojo.com</t>
  </si>
  <si>
    <t>http://www.linkedin.com/company/kojotechnologies</t>
  </si>
  <si>
    <t>2020: 25, 2021: 51, 2022: 100, 2023: 103, 2024: 147</t>
  </si>
  <si>
    <t>The company raised an undisclosed amount of Series A venture funding in a deal led by 8VC on December 27, 2023. Gaingels and other undisclosed investors also participated in the round.</t>
  </si>
  <si>
    <t>8VC, 9Yards Capital, Abstract Ventures, AME Ventures, Battery Ventures, Bienville Capital, BoxGroup, Calm Ventures, Charles Songhurst, Chih-Yuan Yang, Gaingels, Human Capital, Index Ventures, Kevin Hartz, Lee Linden, LeFrak, Lerner Enterprises, Manta Ray Ventures, Michael Ovitz, Nicolas Berggruen, Nine Four Ventures, Reshape Ventures, RXR Realty, SE Ventures, Suffolk Technologies, Tiger Global Management, Tishman Speyer Properties</t>
  </si>
  <si>
    <t>8VC (www.8vc.com), 9Yards Capital (9yards.vc), Abstract Ventures (abstract.vc), AME Ventures (www.ameventures.it), Battery Ventures (www.battery.com), Bienville Capital (www.bienvillecapital.com), BoxGroup (www.boxgroup.com), Calm Ventures (www.calmvc.com), Gaingels (www.gaingels.com), Human Capital (www.human.capital), Index Ventures (www.indexventures.com), LeFrak (www.lefrak.com), Lerner Enterprises (www.lerner.com), Manta Ray Ventures (mantaray.vc), Michael Ovitz (www.michaelovitz.com), Nine Four Ventures (www.ninefour.vc), Reshape Ventures (www.reshape.co), RXR Realty (rxr.com), SE Ventures (www.seventures.com), Suffolk Technologies (suffolktech.com), Tiger Global Management (www.tigerglobal.com), Tishman Speyer Properties (www.tishmanspeyer.com)</t>
  </si>
  <si>
    <t>195764-14P</t>
  </si>
  <si>
    <t>Ryan Gibson</t>
  </si>
  <si>
    <t>Co-Founder, Chief Technology Officer &amp; Advisor</t>
  </si>
  <si>
    <t>ryan@helloagora.com</t>
  </si>
  <si>
    <t>+1 (909) 276-7347</t>
  </si>
  <si>
    <t>Suite 5302</t>
  </si>
  <si>
    <t>info@usekojo.com</t>
  </si>
  <si>
    <t>Expected 10-Oct-2027</t>
  </si>
  <si>
    <t>493896-16</t>
  </si>
  <si>
    <t>Koop (Social/Platform Software)</t>
  </si>
  <si>
    <t>Block Parties</t>
  </si>
  <si>
    <t>Koop</t>
  </si>
  <si>
    <t>Koop Co.</t>
  </si>
  <si>
    <t>Developer of a digital wallet application designed to collect coins and NFT inside of a shared treasury. The company's application allows users to invest in their community and build together with friends that are backed by a treasury created from an NFT collection or membership pass that allows them to become the viewers, users, and builders of the group, enabling members to move and explore their community.</t>
  </si>
  <si>
    <t>Financial Software, Other Financial Services, Social/Platform Software*</t>
  </si>
  <si>
    <t>blockchain mining, crypto content and social, digital asset token, digital coins, digital wallet application, financial software tools, nft collection, web4</t>
  </si>
  <si>
    <t>www.koop.xyz</t>
  </si>
  <si>
    <t>2022: 10, 2024: 3</t>
  </si>
  <si>
    <t>The company raised $6.19 million of seed funding in a deal led by Variant Fund and 1Confirmation on October 13, 2022. DCFGod, 0xmons, Palm Tree Crew Crypto, Spice Capital, Pear, Palm Tree Crew Investments, Day One Ventures, Ethereal Ventures, Volt Capital, Alliance DAO, Cooper Turley, Balaji Srinivasan, Liu Jiang, Daedalus Angels, 1Confirmation, and Ambush Capital also participated in the round.</t>
  </si>
  <si>
    <t>0xmons, 1Confirmation, Alliance DAO, Ambush Capital, Balaji Srinivasan, Cooper Turley, Daedalus Angels, Day One Ventures, DCFGod, Ethereal Ventures, Liu Jiang, Palm Tree Crew Crypto, Palm Tree Crew Investments, Pear (California), Spice Capital, Variant (Brooklyn), Volt Capital</t>
  </si>
  <si>
    <t>0xmons (www.0xmons.xyz), 1Confirmation (www.1confirmation.com), Alliance DAO (www.alliance.xyz), Ambush Capital (www.ambush.capital), Balaji Srinivasan (balajis.com), Daedalus Angels (www.daedalus.gg), Day One Ventures (dayoneventures.com), Ethereal Ventures (www.etherealventures.com), Palm Tree Crew Crypto (ptccrypto.xyz), Palm Tree Crew Investments (www.ptc-holdings.com), Pear (California) (www.pear.vc), Spice Capital (www.spicecapital.xyz), Variant (Brooklyn) (variant.fund), Volt Capital (www.volt.capital)</t>
  </si>
  <si>
    <t>Suite 2171</t>
  </si>
  <si>
    <t>279546-94</t>
  </si>
  <si>
    <t>Kraftful</t>
  </si>
  <si>
    <t>Kraftful, Inc.</t>
  </si>
  <si>
    <t>Intamac, IFTTT, iControl Networks, Wemo, KloudFuse, EMnify, Dwelo, Greenwave Systems, Ring, WigWag, Ion Interactive</t>
  </si>
  <si>
    <t>Developer of an artificial intelligence-based co-pilot platform intended to offer digital interfaces to make easy-to-use smart home devices. The company's platform offers cloud functionalities, push notifications and analytics on usage to help ensure device health and allows control of devices like smart lights, thermostat models and security platforms, enabling clients to provide users with a unified interface device controller for all of their smart home devices.</t>
  </si>
  <si>
    <t>Business/Productivity Software*, IT Consulting and Outsourcing, Media and Information Services (B2B)</t>
  </si>
  <si>
    <t>analytics cloud, connected buildings, device controllers, home application, home devices management, iot device, mobile applications, smart home, smart home device</t>
  </si>
  <si>
    <t>www.kraftful.com</t>
  </si>
  <si>
    <t>http://www.linkedin.com/company/kraftful</t>
  </si>
  <si>
    <t>2020: 5, 2021: 5, 2022: 10, 2023: 10</t>
  </si>
  <si>
    <t>The company raised venture funding from Sunset Ventures (Los Angeles) on an undisclosed date.</t>
  </si>
  <si>
    <t>529 Ventures, Alan Rutledge, Alison Rosenthal, Amanda Schwartz, Andrew Wilkinson, Antonio Key, Brandon Hoffman, Brighter Capital, Charles Hudson, Cleo Capital, Danny Olinsky, Devin Foley, Diverse Angels (Los Angeles), Douglas Hirsh, Evelyn Gillie, F7 Ventures, Google Assistant Investment, Grubstakes, Joanna Shevelenko, Julia Collins, Kelly Graziadei, Kristen Barton, Leadout Capital, Lukas Biewald, Manu Sharma, Nathana Sharma, Nicolas Chinot, Nicolas Pinto, Precursor Ventures, Rahul Thathoo, Ravi Grover, Rohini Pandhi, Sachin Agarwal, Samsung NEXT Ventures, Samvit Ramadurgam, Saurabh Sharma, Sharad Agarwal, Sonia Gokhale, Suneel Gokhale, Sunset Ventures (Los Angeles), VentureSouq, Y Combinator, Yoko Okano</t>
  </si>
  <si>
    <t>529 Ventures (www.529vc.com), Brighter Capital (www.brightercapital.com), Charles Hudson (www.charleshudson.net), Cleo Capital (www.cleocap.com), Diverse Angels (Los Angeles) (www.diverseangels.com), F7 Ventures (www.f7ventures.com), Grubstakes (www.grubstakes.vc), Leadout Capital (www.leadoutcapital.com), Precursor Ventures (precursorvc.com), Samsung NEXT Ventures (www.samsungnext.com), Sunset Ventures (Los Angeles) (sunsetventures.xyz), VentureSouq (www.venturesouq.com), Y Combinator (www.ycombinator.com)</t>
  </si>
  <si>
    <t>209580-13P</t>
  </si>
  <si>
    <t>Nicky Leach</t>
  </si>
  <si>
    <t>nicky@kraftful.com</t>
  </si>
  <si>
    <t>+1 (415) 234-0701</t>
  </si>
  <si>
    <t>Suite 4051</t>
  </si>
  <si>
    <t>info@kraftful.com</t>
  </si>
  <si>
    <t>458022-07</t>
  </si>
  <si>
    <t>KweliTV</t>
  </si>
  <si>
    <t>kweliTV, Inc.</t>
  </si>
  <si>
    <t>Developer of an interactive streaming platform intended to celebrate black stories from the United States and globally. The company's platform offers independent films and movies, original docuseries, kid's shows, news and educational content for people, enabling filmmakers and journalists to share their stories and truths with the world.</t>
  </si>
  <si>
    <t>Entertainment Software*, Movies, Music and Entertainment</t>
  </si>
  <si>
    <t>film creation, on demand content, on demand content platform, streaming platform operator, video streaming, video streaming tools</t>
  </si>
  <si>
    <t>www.kweli.tv</t>
  </si>
  <si>
    <t>http://www.linkedin.com/company/kwelitv-inc-</t>
  </si>
  <si>
    <t>2021: 6, 2022: 7, 2023: 17</t>
  </si>
  <si>
    <t>The company joined Andreessen Horowitz as a part of its Talent x Opportunity Fall 2023 Cohort on September 6, 2023 and received $175,000 in funding in the form of SAFE Notes.</t>
  </si>
  <si>
    <t>Andreessen Horowitz, Doug Mitchell, Humble Ventures, Impact Assets, New Media Ventures, StartEd, The Harbor Bank of Maryland Community Development, Transparent Collective, Women Who Tech</t>
  </si>
  <si>
    <t>Andreessen Horowitz (www.a16z.com), Humble Ventures (humble.vc), Impact Assets (www.impactassets.org), New Media Ventures (www.newmediaventures.org), StartEd (www.started.com), The Harbor Bank of Maryland Community Development (www.harborcdc.org), Transparent Collective (www.transparentcollective.com), Women Who Tech (womenwhotech.org)</t>
  </si>
  <si>
    <t>Indiegogo(Advisor: General)</t>
  </si>
  <si>
    <t>249020-20P</t>
  </si>
  <si>
    <t>Deshuna Spencer</t>
  </si>
  <si>
    <t>deshuna@kweli.tv</t>
  </si>
  <si>
    <t>+1 (888) 981-1989</t>
  </si>
  <si>
    <t>3400 Prospect Street North West</t>
  </si>
  <si>
    <t>20007</t>
  </si>
  <si>
    <t>hello@kweli.tv</t>
  </si>
  <si>
    <t>465946-03</t>
  </si>
  <si>
    <t>Kyros AI</t>
  </si>
  <si>
    <t>Kyros.ai</t>
  </si>
  <si>
    <t>Kyros AI Corp.</t>
  </si>
  <si>
    <t>Developer of a digital education platform designed to guide students in college preparation and the college application process. The company's platform aims to democratize the college preparation process and make it accessible to every student and offers affordable and accessible content, project management, and productivity tools to support high school students, enabling students to avail themselves of the help of the online community.</t>
  </si>
  <si>
    <t>ai automation platform, ai platform, college preparation, digital education, digital education tool, online community, project management</t>
  </si>
  <si>
    <t>www.kyros.ai</t>
  </si>
  <si>
    <t>http://www.linkedin.com/company/kyros-ai</t>
  </si>
  <si>
    <t>2021: 23, 2022: 44, 2023: 45</t>
  </si>
  <si>
    <t>The company joined Village Capital as a part of IBM Hyper Protect Accelerator, Class of 2022 on October 6, 2022.</t>
  </si>
  <si>
    <t>Amino Capital, Sierra Ventures, Village Capital</t>
  </si>
  <si>
    <t>Amino Capital (www.aminocapital.com), Sierra Ventures (www.sierraventures.com), Village Capital (www.vilcap.com)</t>
  </si>
  <si>
    <t>128274-04P</t>
  </si>
  <si>
    <t>Rebecca Ye</t>
  </si>
  <si>
    <t>rye@kyros.ai</t>
  </si>
  <si>
    <t>+1 (650) 684-8678</t>
  </si>
  <si>
    <t>info@kyros.ai</t>
  </si>
  <si>
    <t>465681-79</t>
  </si>
  <si>
    <t>Lago (Business/Productivity Software)</t>
  </si>
  <si>
    <t>Lago</t>
  </si>
  <si>
    <t>GetLago Corp.</t>
  </si>
  <si>
    <t>Recharge, Commercetools, Vindi, BuyerQuest, Episerver Research &amp; Development, Vlocity, Vindicia, Cleeng, ChartMogul, Metronome, Aria Systems, Nexway, Elastic Path, PayPro Global, SpringCM, Fusebill, Revel Systems, Cleverbridge, RecVue, RevenueWire, BillingPlatform, Monexa Services, BigCommerce, SnapBill, Cheddar, Salesforce, SAS Institute, Recurly, Bold (Business/Productivity Software), ChargeBee, Kibo Software</t>
  </si>
  <si>
    <t>Developer an open-source metering and usage-based billing platform intended to offer self-hosted and cloud, scalable, and modular architecture for metering and usage-based billing. The company's platform offers a solution intended to automate billing from simple to complex subscriptions, usage computations, billing cycles, dates, and currencies, enabling businesses to extract, transform, and take action on data, without engineers.</t>
  </si>
  <si>
    <t>billing automation, billing platform, billing platform developer, billing software, devops, invoicing platform, invoicing software, invoicing software service, invoicing software suite, open source, open source coding, open source platform</t>
  </si>
  <si>
    <t>www.getlago.com</t>
  </si>
  <si>
    <t>http://www.linkedin.com/company/getlago</t>
  </si>
  <si>
    <t>2021: 10, 2022: 10, 2023: 34, 2024: 40</t>
  </si>
  <si>
    <t>The company raised $22 million through a combination of debt and Series A venture funding in a deal led by FirstMark Capital on March 14, 2024, putting the company's pre-money valuation at $54.91 million. New Wave, and 21 other investors also participated in the round.</t>
  </si>
  <si>
    <t>Addition, Amaury Sepulchre, Arthur Waller, Clément Delangue, Elena Verna, Erika Batista, Evgenia Plotnikova, Firestreak Ventures, FirstMark Capital, Graham Neray, Ian Hogarth, Jonathan Widawski, Jorge Ortiz, Julien Codorniou, Kamil Mouhid, Kima Ventures, Meghan Gill, New Wave VC, Philippe Teixeira da Mota, Romain Huet, Script Capital (United States), SignalFire, Y Combinator</t>
  </si>
  <si>
    <t>Addition (www.addition.com), Firestreak Ventures (www.firestreak.com), FirstMark Capital (www.firstmark.com), Ian Hogarth (ianhogarth.com), Kima Ventures (www.kimaventures.com), New Wave VC (www.newwave.vc), Script Capital (United States) (www.script.capital), SignalFire (www.signalfire.com), Y Combinator (www.ycombinator.com)</t>
  </si>
  <si>
    <t>261568-63P</t>
  </si>
  <si>
    <t>Alexandre Sarkissian</t>
  </si>
  <si>
    <t>Co-Founder, Board Member &amp; CPO</t>
  </si>
  <si>
    <t>raffi@getlago.com</t>
  </si>
  <si>
    <t>New Castle County</t>
  </si>
  <si>
    <t>hello@getlago.com</t>
  </si>
  <si>
    <t>Other - $1.91M</t>
  </si>
  <si>
    <t>470831-05</t>
  </si>
  <si>
    <t>lakeFS</t>
  </si>
  <si>
    <t>Treeverse</t>
  </si>
  <si>
    <t>Treeverse Inc.</t>
  </si>
  <si>
    <t>Matillion, Chartio, Integrate.io, Stitch (Database Software), Mode, Panoply (Database Software), Exasol, Count, Qubole, Astronomer, Grouparoo, MapR, Fivetran, Knime, Magnitude Software, Unifi (Data Platform), Snowplow, Vertica Systems, Incorta, Demand Sage, Periscope Data, Platfora, SnapLogic, Tealium, Pachyderm, Logi Analytics, Hortonworks, Relayr, The MathWorks, Kx Systems, Teraki, Sisense, Alteryx, Yellowbrick Data, Dundas Data Visualization, Zoomdata, Talend, TIBCO Software, Orchestra Networks, SAS Institute, Aginity, Cloudera, Trifacta, Enterworks, Airbyte, Grow, RudderStack, Looker, XebiaLabs, Snowflake, StreamSets, Urchin Software, Domo, Perforce Software, KloudFuse, Datameer, Anaconda, Minitab, Dataiku, Izenda, Terbium Labs, Riversand, ThoughtSpot, Metabase, Domino Data Lab, Databricks, Elastifile, Appuri, Hull, Datadog, Ayla Networks, Plastic SCM, WEKA, Salesforce, Clari, Twilio Segment, Signifyd, Emailage, Avathon, DataRobot, Qlik Technologies, PrimaryIO, Exosite, RapidMiner, Klipfolio, Gainsight, dbt Labs, Tableau Software, Firebase, CognitiveScale, Mixpanel, Oracle, Rubrik</t>
  </si>
  <si>
    <t>Developer of an open-source data version control platform intended to save resources and time in managing numerous clones of the entire data lake. The company enables zero-copy development or test isolated environments, continuous quality validation, atomic rollback on bad data, reproducibility, and more, enabling clients and developers to increase data quality and reduce the cost of errors.</t>
  </si>
  <si>
    <t>data engineering, data engineering services, data infrastructure, data processing tool, data quality tools, data scientists, data store, devops, open source data, open source portal</t>
  </si>
  <si>
    <t>www.lakefs.io</t>
  </si>
  <si>
    <t>http://www.linkedin.com/company/treeverse</t>
  </si>
  <si>
    <t>2021: 10, 2022: 24, 2023: 28, 2024: 29</t>
  </si>
  <si>
    <t>The company raised $23 million of Series A venture funding in a deal led by Dell Technologies Capital, Norwest Venture Partners, and Zeev Ventures on July 28, 2021. Animoca Brands, SkyVision Capital and other undisclosed investors also participated in the round. The funds will be used by the company to accelerate the development and adoption of the innovative solution designed for any enterprise data team tasked with managing petabytes or more of data in one shared system.</t>
  </si>
  <si>
    <t>Animoca Brands, Dell Technologies Capital, Norwest Venture Partners, SkyVision Capital, Zeev Ventures</t>
  </si>
  <si>
    <t>Animoca Brands (www.animocabrands.com), Dell Technologies Capital (www.delltechnologiescapital.com), Norwest Venture Partners (www.nvp.com), SkyVision Capital (www.skyvisioncapital.com), Zeev Ventures (www.zeevventures.com)</t>
  </si>
  <si>
    <t>270491-23P</t>
  </si>
  <si>
    <t>Einat Orr</t>
  </si>
  <si>
    <t>einat.orr@treeverse.io</t>
  </si>
  <si>
    <t>+972 (0)52 488 8583</t>
  </si>
  <si>
    <t>2345 Yale Street</t>
  </si>
  <si>
    <t>1st floor</t>
  </si>
  <si>
    <t>hello@treeverse.io</t>
  </si>
  <si>
    <t>507138-94</t>
  </si>
  <si>
    <t>Lamini</t>
  </si>
  <si>
    <t>PowerML Inc.</t>
  </si>
  <si>
    <t>Cohere, DataRobot, Databricks, Abacus.AI, Writer, Primer, Sentient (Business/Productivity Software), Comet, Anthropic, Gretel, Iteratively, Continual (Business/Productivity Software), Tecton, Helicone, NetBase Quid, Humanloop, Arize, Shakudo, Trint, Gantry, Weights &amp; Biases, Arrikto, Contextual.ai, Lightning AI (Software Development Applications), Fiddler, Correlor, Splice Machine, Striveworks, Clarifai, Zhipu AI, CereProc, Nightfall, AX Semantics, Adaptive ML, Clinc, Dataiku, Hugging Face, FlowiseAI, Speechmatics, Jasper, deepset, xAI, Inflection AI, OpenAI, Comet (Software Development Applications), Mistral AI_, Seldon, Modular, Valohai, Datascience.com, OpenAi Italia, Tricentis, Rasgo, UnitX, Jina Ai, Iguazio, InfuseAI, MOSTLY.AI, Elastic (Database Software), OpenPipe, Gradient, Reka, Magicflow (Business/Productivity Software), Fixie, Eigen Technologies, Implanta (Business/Productivity Software), Vertex.AI, Fireworks AI, Lunary, InstaDeep, LlamaIndex, Super.AI, Langflow, Moonshot AI, Liquid AI, Yseop, Galileo, Haiper, LiteLLM, BigML, Stability AI, Adept, Google DeepMind</t>
  </si>
  <si>
    <t>Developer of a large language model engine designed to build prototypes based on the data. The company helps engineering teams outperform general-purpose LLM through reinforcement learning from human feedback and fine-tuning their data, enabling businesses to charge their AI applications by putting their data to work with artificial intelligence.</t>
  </si>
  <si>
    <t>ai application, ai cores, artificial intelligence engine, data management tool, development application, generative ai, llm engine, llm tools, model development</t>
  </si>
  <si>
    <t>www.lamini.ai</t>
  </si>
  <si>
    <t>http://www.linkedin.com/company/lamini-ai</t>
  </si>
  <si>
    <t>2023: 12, 2024: 23</t>
  </si>
  <si>
    <t>The company raised $24.83 million through a combination of Series A, Series A-1, and Series A2 venture funding in a deal led by Amplify Partners on April 1, 2024, putting the company's pre-money valuation at $100 million. In-Q-Tel, AMD Ventures, First Round Capital, Artisanal Ventures, Rsquared, Andrej Karpathy, Bernard Arnault &amp; family, Pierre Lamond, Sarah Guo, Dylan Field, Lip-Bu Tan, Anthony Schiller, Drew Houston, and Andrew Ng also participated in the round. The funds will be used to accelerate development into deeper technical optimizations and expand our team to offer enterprises the strategic support they need at scale. Recently, the company joined Plug and Play Tech Center as part of its Batch 13 on April 4, 2024.</t>
  </si>
  <si>
    <t>Aglaé Ventures, AMD Ventures, Amplify Partners, Andrej Karpathy, Andrew Ng, Anthony Schiller, Artisanal Ventures, Bernard Arnault, Drew Houston, Dylan Field, First Round Capital, In-Q-Tel, Lip-Bu Tan, Pierre Lamond, Plug and Play Tech Center, Rsquared, Sarah Guo</t>
  </si>
  <si>
    <t>Aglaé Ventures (www.aglaeventures.com), AMD Ventures (www.amdventures.com), Amplify Partners (www.amplifypartners.com), Artisanal Ventures (www.artisanalv.com), First Round Capital (www.firstround.com), In-Q-Tel (www.iqt.org), Plug and Play Tech Center (www.plugandplaytechcenter.com), Rsquared (riskandreturn.org)</t>
  </si>
  <si>
    <t>320693-95P</t>
  </si>
  <si>
    <t>Sharon Zhou</t>
  </si>
  <si>
    <t>sharon@powerml.co</t>
  </si>
  <si>
    <t>+1 (650) 272-4468</t>
  </si>
  <si>
    <t>1920 Park Boulevard</t>
  </si>
  <si>
    <t>info@lamini.ai</t>
  </si>
  <si>
    <t>439176-25</t>
  </si>
  <si>
    <t>Landing (Social Content)</t>
  </si>
  <si>
    <t>Landing</t>
  </si>
  <si>
    <t>The Landing Home, Inc.</t>
  </si>
  <si>
    <t>Decorilla, Kujiale, Decorist, Pinterest, Modsy</t>
  </si>
  <si>
    <t>Developer of a social media platform designed for creativity, curation, and community. The company's platform lets users discover, remix, create and connect over fully shoppable mood boards and allows them to select products from the marketplace, enabling customers to have a platform to design, furnish and set up their home.</t>
  </si>
  <si>
    <t>Multimedia and Design Software, Social Content*, Social/Platform Software</t>
  </si>
  <si>
    <t>E-Commerce, Mobile, SaaS, TMT</t>
  </si>
  <si>
    <t>community space, online catalog, online community, online design platform, online design tool, social commerce application</t>
  </si>
  <si>
    <t>www.landing.space</t>
  </si>
  <si>
    <t>http://www.linkedin.com/company/landingspace</t>
  </si>
  <si>
    <t>2021: 77, 2023: 39</t>
  </si>
  <si>
    <t>The company raised $2.5 million of seed funding in a deal led by Cowboy Ventures on February 25, 2021, putting the company's pre-money valuation at $6 million. Unshackled Ventures, Designer Fund, Progression Fund, Tidepool Labs, Gaingels, Manish Chandra, Dara Treseder and Tracy Sun also participated in the round.</t>
  </si>
  <si>
    <t>Cowboy Ventures, Dara Treseder, Designer Fund, Gaingels, Manish Chandra, Progression Fund, Tidepool Labs, Tracy Sun, Unshackled Ventures</t>
  </si>
  <si>
    <t>Cowboy Ventures (www.cowboy.vc), Designer Fund (www.designerfund.com), Gaingels (www.gaingels.com), Progression Fund (www.progression.fund), Tidepool Labs (www.tidepoollabs.com), Unshackled Ventures (www.unshackledvc.com)</t>
  </si>
  <si>
    <t>240981-40P</t>
  </si>
  <si>
    <t>Eleanor Buckingham</t>
  </si>
  <si>
    <t>eleanor.buckingham@thelandinghome.com</t>
  </si>
  <si>
    <t>Suite 5229</t>
  </si>
  <si>
    <t>hello@thelandinghome.com</t>
  </si>
  <si>
    <t>225244-81</t>
  </si>
  <si>
    <t>Language I/O</t>
  </si>
  <si>
    <t>LIO</t>
  </si>
  <si>
    <t>Language IO, Inc.</t>
  </si>
  <si>
    <t>Velaro, Kore.ai, Quiq, Picovoice, Next IT, Talkdesk, Speechly, nVoq, Inbenta, SpringCM, Reply.ai, Fuze (Communication Software), Teneo.ai, Genesys, ZorroSign, LiveVox, Serenova, Conversica, WorkForce Software, Evernote, Help.com, DigitalGenius, Arkadin Cloud Communications, Unisound, Yellow.ai, Zendesk, LINE, Five9, Hebbia, SoundHound AI, DocuWare, Compulink Management Center, Nitro Software, Nuxeo, Iflytek, Olark, Servion Global Solutions, Avaamo, Twilio, Calabrio, Computhink, BroadSoft, Nuance Communications, Interactions</t>
  </si>
  <si>
    <t>Developer of communication software designed to allow support teams to communicate with customers in any language. The company's software uses human and machine translation to automate the translation of customer support content such as questions, emails, and chats within CRMs, enabling monolingual customer support agents to chat, email, and otherwise engage in real-time with customers in various languages.</t>
  </si>
  <si>
    <t>analytics platform, chat translation, crm, customer communication, customer relationship management, customer service chat, customer service software, customer support software, language support, language technology, natural language technology, translation software, unstructured data analytics</t>
  </si>
  <si>
    <t>www.languageio.com</t>
  </si>
  <si>
    <t>http://www.linkedin.com/company/languageio</t>
  </si>
  <si>
    <t>2018: 15, 2021: 20, 2022: 63, 2023: 56, 2024: 63</t>
  </si>
  <si>
    <t>The company raised $5.00 million of Series A2 venture funding in a deal led by Gutbrain Ventures on July 22, 2024, putting the company's pre-money valuation at $49 million. Raptor Group, Omega Venture Partners, PBJ Capital, Joint Effects, and Wyoming Venture Capital also participated in the round. The funds will be used to continue GTM successes while simultaneously funding R&amp;D efforts in the LIO and multilingual chatbot space.</t>
  </si>
  <si>
    <t>Breakthrough 307, Bruce Clarke, Caruso Ventures, Eric Schnadig, Golden Seeds, Gutbrain Ventures, James Pallotta, Joint Effects, Michael Wilens, Omega Venture Partners, PBJ Capital, Raptor Group, Robert Davoli, Service Provider Capital, Tom Axbey, Wyoming Venture Capital</t>
  </si>
  <si>
    <t>Breakthrough 307 (www.breakthrough307.com), Caruso Ventures (dan-caruso.com/caruso-ventures), Golden Seeds (www.goldenseeds.com), Gutbrain Ventures (www.gutbrainventures.com), Joint Effects (www.jointeffects.vc), Omega Venture Partners (www.omegavp.com), PBJ Capital (pbjcapital.com), Raptor Group (www.raptorgroup.com), Service Provider Capital (www.serviceprovidercapital.com)</t>
  </si>
  <si>
    <t>Glacier Bancorp(Debt Financing)</t>
  </si>
  <si>
    <t>179297-20P</t>
  </si>
  <si>
    <t>Heather Shoemaker</t>
  </si>
  <si>
    <t>heather.shoemaker@languageio.com</t>
  </si>
  <si>
    <t>+1 (307) 773-7990</t>
  </si>
  <si>
    <t>Cheyenne, WY</t>
  </si>
  <si>
    <t>109 East 17th Street</t>
  </si>
  <si>
    <t>Suite 5832</t>
  </si>
  <si>
    <t>Cheyenne</t>
  </si>
  <si>
    <t>Wyoming</t>
  </si>
  <si>
    <t>82001</t>
  </si>
  <si>
    <t>hello@languageio.com</t>
  </si>
  <si>
    <t>Series A2</t>
  </si>
  <si>
    <t>268394-14</t>
  </si>
  <si>
    <t>Laudable</t>
  </si>
  <si>
    <t>Salon Betty</t>
  </si>
  <si>
    <t>Laudable, Inc.</t>
  </si>
  <si>
    <t>VanillaSoft, Vidyard, SalesLoft, Drift (Boston), ON24, Zendesk, Corporate Events Online, AnyClip (Media and Information Services), Intercom, Outreach, ClearMix, Cleeng, ClearSlide, LiveControl, Eyelevel.ai, Conversica, Promo, Zight, Wistia, Comm100, Vemba (Multimedia and Design Software), VBrick, JangoMail.com, Gbox, Kollective, JW Player, HubSpot, InPlayer, Vidizmo, Propulse Video</t>
  </si>
  <si>
    <t>Provider of customer testimonial recording services intended to help turn recordings into marketing content. The company shares a link on behalf of the client to customers for them to share their experience which is recorded with the help of supplies sent to them, enabling clients to get high-quality video remotely, quickly, and affordably.</t>
  </si>
  <si>
    <t>Business/Productivity Software, Media and Information Services (B2B)*, Other Commercial Services</t>
  </si>
  <si>
    <t>customer experience data, marketing and advertising, marketing assistance, marketing channel, media service, video creator, video recording</t>
  </si>
  <si>
    <t>www.laudable.com</t>
  </si>
  <si>
    <t>http://www.linkedin.com/company/getlaudable</t>
  </si>
  <si>
    <t>The company raised $2.95 million of seed funding in the form of SAFE notes from Craft Ventures, Atlanta Ventures, and Greycroft on October 7, 2021. Y Combinator and 15 other investors also participated in the round.</t>
  </si>
  <si>
    <t>Allen Gannett, Angela Santurbano, Atlanta Ventures, Chad Byers, Craft Ventures, Dan Wright, Greycroft, John Stewart, Jon Runyan, Joseph Payne, Kyle Porter, Max Greenwald, Nikhil Mehta, Pete Kazanjy, Ryan Carlson, Ryan Neu, Thomas DiVittorio, Tom Manahan, Y Combinator</t>
  </si>
  <si>
    <t>Allen Gannett (allen.xyz), Atlanta Ventures (www.atlantaventures.com), Craft Ventures (www.craftventures.com), Greycroft (www.greycroft.com), Y Combinator (www.ycombinator.com)</t>
  </si>
  <si>
    <t>92032-93P</t>
  </si>
  <si>
    <t>Angela Ferrante</t>
  </si>
  <si>
    <t>Founder, President, Board Member &amp; Chief Executive Officer</t>
  </si>
  <si>
    <t>angela@getlaudable.com</t>
  </si>
  <si>
    <t>+1 (310) 658-9779</t>
  </si>
  <si>
    <t>1808 Adams Mill Road</t>
  </si>
  <si>
    <t>FL 3</t>
  </si>
  <si>
    <t>hello@getlaudable.com</t>
  </si>
  <si>
    <t>532497-88</t>
  </si>
  <si>
    <t>Lava (New York)</t>
  </si>
  <si>
    <t>Zipr</t>
  </si>
  <si>
    <t>Lava</t>
  </si>
  <si>
    <t>Zipr Co.</t>
  </si>
  <si>
    <t>Provider of branding discovering services intended to convert shoppers into creators at the point of sale. The company uses (Artificial Intelligence) AI to provide vetted creators with incentives for content, enabling media users to help scale their creator program without the manual work.</t>
  </si>
  <si>
    <t>Artificial Intelligence &amp; Machine Learning, Mobile, Mobile Commerce</t>
  </si>
  <si>
    <t>brand ambassador management, brand partnership, fashion adviser, influencers connecting platform, organic marketing, retailer network</t>
  </si>
  <si>
    <t>www.uselava.com</t>
  </si>
  <si>
    <t>http://www.linkedin.com/company/uselava</t>
  </si>
  <si>
    <t>2023: 2, 2024: 5</t>
  </si>
  <si>
    <t>The company raised $625,000 of venture funding in a deal led by Neo on July 1, 2023. Other undisclosed investors also participated in the round.</t>
  </si>
  <si>
    <t>Neo (Consulting Services (B2B))</t>
  </si>
  <si>
    <t>Neo (Consulting Services (B2B)) (www.neo.com)</t>
  </si>
  <si>
    <t>357458-68P</t>
  </si>
  <si>
    <t>Amber Linz</t>
  </si>
  <si>
    <t>amber@zipr.shop</t>
  </si>
  <si>
    <t>575 5th Avenue</t>
  </si>
  <si>
    <t>hello@zipr.shop</t>
  </si>
  <si>
    <t>509354-83</t>
  </si>
  <si>
    <t>LaWow</t>
  </si>
  <si>
    <t>laWow.org LLC.</t>
  </si>
  <si>
    <t>Operator of a search engine designed to search words or phrases and find results based on a crowdsourced search. The company's engine offers a platform that will be a news source for journalists, researchers, employees, stock investors, and anyone else seeking an unaltered source of information without commentary or opinion and only the facts, enabling users to get their required information.</t>
  </si>
  <si>
    <t>Internet Software, Media and Information Services (B2B)*</t>
  </si>
  <si>
    <t>court records search, legal platform, search algorithm, search company, search engine, search platform</t>
  </si>
  <si>
    <t>www.lawow.org</t>
  </si>
  <si>
    <t>2022: 25</t>
  </si>
  <si>
    <t>The company raised $1.75 million of venture funding from Dant Ventures on August 1, 2022, putting the company's pre-money valuation at $35 million. The funds will be used to scale company's operations.</t>
  </si>
  <si>
    <t>Dant Ventures</t>
  </si>
  <si>
    <t>Dant Ventures (www.dantventures.com)</t>
  </si>
  <si>
    <t>Weaver Wealth Management(Auditor)</t>
  </si>
  <si>
    <t>317319-58P</t>
  </si>
  <si>
    <t>Anderson Zou</t>
  </si>
  <si>
    <t>Co-Chief Executive Officer &amp; Chief Technology Officer</t>
  </si>
  <si>
    <t>anderson.zou@lawow.org</t>
  </si>
  <si>
    <t>+1 (949) 295-5932</t>
  </si>
  <si>
    <t>3175 East Warm Springs Road</t>
  </si>
  <si>
    <t>Street Address 2</t>
  </si>
  <si>
    <t>89120</t>
  </si>
  <si>
    <t>info@lawow.org</t>
  </si>
  <si>
    <t>481952-53</t>
  </si>
  <si>
    <t>Layer3</t>
  </si>
  <si>
    <t>Layer3 XYZ, Inc.</t>
  </si>
  <si>
    <t>Developer of cryptocurrency infrastructure platform designed to provide tools for decentralized autonomous organizations. The company's platform offers an autonomous ecosystem expansion that provides interoperable identity and amplified incentives, enabling users to get exposure to new communities, earn rewards, and access multichain liquidity.</t>
  </si>
  <si>
    <t>blockchain setup, crypto marketplace, cryptocurrency coins, cryptocurrency technology, decentralized autonomous organization, decentralized token, game developer tools, gaming development, governance tokens</t>
  </si>
  <si>
    <t>DAOs</t>
  </si>
  <si>
    <t>www.layer3.xyz</t>
  </si>
  <si>
    <t>http://www.linkedin.com/company/layer3xyz</t>
  </si>
  <si>
    <t>2021: 2, 2022: 6, 2024: 24</t>
  </si>
  <si>
    <t>The company raised $20.58 million of Series A venture funding in a deal led by ParaFi Capital and Greenfield Capital on September 20, 2024, putting the company's pre-money valuation at $61.51 million. Amber Group and 30 other investors also participated in the round. The funds will be used to grow the company's team, expand its presence in the Asia-Pacific region, and enhance its platform for more personalized user experiences.for more personalized user experiences.</t>
  </si>
  <si>
    <t>6th Man Ventures, Amber Group, Antonio Martinez, Balaji Srinivasan, Bitpanda, Derek Walkush, Electric Capital, Felix Feng, Fredrik Haga, GD1, Greenfield Capital, Immutable, Jai Bhavnani, Jill Carlson, Jordan Momtazi, Kain Warick, King River Capital, Kinjal Shah, Lattice Capital, Lattice Capital Partners, LeadBlock Partners, Mats Olsen, Mirana Ventures, Nicholas Emmons, ParaFi Capital, Red Beard Ventures, Richard Chen, Sandeep Nailwal, Scott Keto, Stateless Ventures, Third Prime, Tioga Capital, Tony Sheng</t>
  </si>
  <si>
    <t>6th Man Ventures (www.6thman.ventures), Amber Group (www.ambergroup.io), Balaji Srinivasan (balajis.com), Bitpanda (www.bitpanda.com), Electric Capital (www.electriccapital.com), GD1 (www.gd1.vc), Greenfield Capital (greenfield.xyz), Immutable (www.immutable.com), King River Capital (www.kingriver.co), Lattice Capital (www.lattice.fund), Lattice Capital Partners (www.lattice-cp.com), LeadBlock Partners (leadblockpartners.com), Mirana Ventures (www.mirana.xyz), ParaFi Capital (www.parafi.com), Red Beard Ventures (redbeard.ventures), Stateless Ventures (www.stateless.vc), Third Prime (www.thirdprime.vc), Tioga Capital (tiogacap.com)</t>
  </si>
  <si>
    <t>147128-77P</t>
  </si>
  <si>
    <t>Brandon Kumar</t>
  </si>
  <si>
    <t>Co-Founder, Chief Financial Officer &amp; Board Member</t>
  </si>
  <si>
    <t>brandon@layer3.xyz</t>
  </si>
  <si>
    <t>+1 (843) 909-3233</t>
  </si>
  <si>
    <t>Saint Peters, MO</t>
  </si>
  <si>
    <t>255 Spencer Road</t>
  </si>
  <si>
    <t>Saint Peters</t>
  </si>
  <si>
    <t>63376</t>
  </si>
  <si>
    <t>hi@layer3.xyz</t>
  </si>
  <si>
    <t>470776-24</t>
  </si>
  <si>
    <t>Learnfully</t>
  </si>
  <si>
    <t>Learnfully, Inc.</t>
  </si>
  <si>
    <t>Smart Sparrow, Kidaptive</t>
  </si>
  <si>
    <t>Developer of an artificial intelligence-driven content platform designed for neurodiverse learners' learning needs. The company's platform offers an analytic engine that takes information, responses, and measurable impressions to create and maintain each user's profile, and also goals and progress are displayed clearly, enabling learners to achieve their goals with fewer delays, frustration, and cost.</t>
  </si>
  <si>
    <t>cognitive science technology, educational content, k-12 education, knowledge-based platform, online learning system, personalized learning, special educators</t>
  </si>
  <si>
    <t>www.learnfully.com</t>
  </si>
  <si>
    <t>http://www.linkedin.com/company/learnfully</t>
  </si>
  <si>
    <t>2021: 10, 2022: 21, 2023: 26, 2024: 18</t>
  </si>
  <si>
    <t>The company joined LEGO Foundation as a part of the Play For All Accelerator on April 14, 2022. Previously, the company raised $1.25 million of seed funding from Figure Eight Investments, Goodwater Capital, and Incite Ventures on December 9, 2021. LearnStart and 3 other investors also participated in the round. The funds will be used to expand operations and its business reach.</t>
  </si>
  <si>
    <t>Divergent Investments, Figure Eight Investments, Goodwater Capital, Incite Ventures (San Francisco), Learn Capital, LearnStart, LEGO Foundation, Speedwagon Capital Partners</t>
  </si>
  <si>
    <t>Divergent Investments (www.investdivergent.com), Figure Eight Investments (www.figure8.vc), Goodwater Capital (www.goodwatercap.com), Incite Ventures (San Francisco) (www.incite.org), Learn Capital (www.learn.vc), LearnStart (www.learnstart.vc), LEGO Foundation (learningthroughplay.com), Speedwagon Capital Partners (www.speedwagoncapital.com)</t>
  </si>
  <si>
    <t>Gunderson Law Firm(Legal Advisor)</t>
  </si>
  <si>
    <t>270301-69P</t>
  </si>
  <si>
    <t>Suchi Deshpande</t>
  </si>
  <si>
    <t>Co-Founder, Chief Product Officer, Chief Executive Officer &amp; Board Member</t>
  </si>
  <si>
    <t>suchi@learnfully.com</t>
  </si>
  <si>
    <t>+1 (888) 459-6450</t>
  </si>
  <si>
    <t>636 Fremont</t>
  </si>
  <si>
    <t>contact@learnfully.com</t>
  </si>
  <si>
    <t>492678-82</t>
  </si>
  <si>
    <t>Let's Get Set</t>
  </si>
  <si>
    <t>Earned Credit Project</t>
  </si>
  <si>
    <t>Let's Get Set, Inc.</t>
  </si>
  <si>
    <t>Operator of a fintech company intended to help new parents match with tax prep and get the support they need during tax time. The company assists parents at tax time claim their tax credits that go unclaimed each year and then using them to reach a savings goal, enabling users to plan their finances and have financial stability.</t>
  </si>
  <si>
    <t>financial planning, financial stability, fintech company, personal financial management, savings plan, tax credit, tax platform</t>
  </si>
  <si>
    <t>www.letsgetset.co</t>
  </si>
  <si>
    <t>http://www.linkedin.com/company/lets-get-set</t>
  </si>
  <si>
    <t>The company raised $150,000 of venture funding in the form of SAFE notes from Volunteers of America and Village Capital on May 18, 2023.</t>
  </si>
  <si>
    <t>Financial Solutions Lab, MIT Delta V, The Workers Lab, Village Capital, Visible Hands, Volunteers of America</t>
  </si>
  <si>
    <t>Financial Solutions Lab (finlab.finhealthnetwork.org), MIT Delta V (entrepreneurship.mit.edu/accelerator), The Workers Lab (www.theworkerslab.com), Village Capital (www.vilcap.com), Visible Hands (www.visiblehands.vc), Volunteers of America (voa.org)</t>
  </si>
  <si>
    <t>314211-61P</t>
  </si>
  <si>
    <t>Clare Herceg</t>
  </si>
  <si>
    <t>clare@letsgetset.co</t>
  </si>
  <si>
    <t>+1 (469) 300-1084</t>
  </si>
  <si>
    <t>300 Berry Street</t>
  </si>
  <si>
    <t>Unit 1504</t>
  </si>
  <si>
    <t>94158</t>
  </si>
  <si>
    <t>info@letsgetset.co</t>
  </si>
  <si>
    <t>499856-41</t>
  </si>
  <si>
    <t>Leviti</t>
  </si>
  <si>
    <t>JOON Pro</t>
  </si>
  <si>
    <t>Leviti Inc.</t>
  </si>
  <si>
    <t>Developer of a corporate events marketplace intended to curate virtual and hybrid events for business engagements. The company specializes in planning micro events and provides a platform that powers fast, high-quality events with vetted event experiences and resources, helping firms ro connect while also automating tedious logistics.</t>
  </si>
  <si>
    <t>business engagement, corporate events, event management, event marketplace, marketplace search, marketplace service</t>
  </si>
  <si>
    <t>www.leviti.io</t>
  </si>
  <si>
    <t>http://www.linkedin.com/company/levitiio</t>
  </si>
  <si>
    <t>2022: 4, 2023: 25</t>
  </si>
  <si>
    <t>The company raised $3.22 million of venture through a combination of debt and equity on June 17, 2022, putting the company's pre-money valuation at $7 million. $3.10 million of Seed-1 and Seed-2 funding was raised from Resolute Ventures, Salesforce Ventures, and undisclosed investors. A $0.11 million loan was provided by undisclosed lenders.</t>
  </si>
  <si>
    <t>Resolute Ventures, Salesforce Ventures</t>
  </si>
  <si>
    <t>Resolute Ventures (www.resolute.vc), Salesforce Ventures (www.salesforceventures.com)</t>
  </si>
  <si>
    <t>305965-63P</t>
  </si>
  <si>
    <t>Neda Mansoorian</t>
  </si>
  <si>
    <t>neda@leviti.io</t>
  </si>
  <si>
    <t>+1 (408) 455-7244</t>
  </si>
  <si>
    <t>Campbell, CA</t>
  </si>
  <si>
    <t>900 East Hamilton Avenue</t>
  </si>
  <si>
    <t>Campbell</t>
  </si>
  <si>
    <t>95008</t>
  </si>
  <si>
    <t>info@joon-pro.com</t>
  </si>
  <si>
    <t>Other - $0.11M</t>
  </si>
  <si>
    <t>483347-53</t>
  </si>
  <si>
    <t>Levro</t>
  </si>
  <si>
    <t>Levro, Inc.</t>
  </si>
  <si>
    <t>Developer of a business banking platform designed to help companies expand overseas. The company's platform specializes in allowing businesses to hold, convert, pay in, and payout multiple currencies using one account as a part of the global financial infrastructure by optimizing for cost, speed, and compliance, enabling businesses to work with customers, pay suppliers, hold currencies, and operate in different currencies around the world and also simplify and automate their payments at scale.</t>
  </si>
  <si>
    <t>bank account, business banking, cross-border payments, enterprise payment, financial infrastructure, financial technology, fx, global financial platform, international business, modern banking, multicurrency platform, multicurrency swap, overseas business, payment</t>
  </si>
  <si>
    <t>www.levro.com</t>
  </si>
  <si>
    <t>http://www.linkedin.com/company/levro</t>
  </si>
  <si>
    <t>2022: 9, 2023: 15, 2024: 11</t>
  </si>
  <si>
    <t>The company raised $25,000 of seed funding from Side Door Ventures, Phoenix Investment Club, and Mentors Fund on September 14, 2021. Moonfire and 4 other investors also participated in the round.</t>
  </si>
  <si>
    <t>Electric Ant, Frontline Ventures, Kintxo Cortés, Mentors Fund, Moonfire, Palrecha Capital, Phoenix Investment Club (San Francisco), Side Door Ventures, Y Combinator</t>
  </si>
  <si>
    <t>Electric Ant (www.electricant.xyz), Frontline Ventures (www.frontline.vc), Mentors Fund (www.mentors.fund), Moonfire (www.moonfire.com), Palrecha Capital (www.palrecha.com), Phoenix Investment Club (San Francisco) (www.phoenixclub.vc), Side Door Ventures (www.sdv.vc), Y Combinator (www.ycombinator.com)</t>
  </si>
  <si>
    <t>61954-12P</t>
  </si>
  <si>
    <t>Cathryn Han</t>
  </si>
  <si>
    <t>cathy@42debut.com</t>
  </si>
  <si>
    <t>660 4th Street</t>
  </si>
  <si>
    <t>Suite 509</t>
  </si>
  <si>
    <t>hello@levro.com</t>
  </si>
  <si>
    <t>607570-93</t>
  </si>
  <si>
    <t>Levvy</t>
  </si>
  <si>
    <t>Levvy Inc.</t>
  </si>
  <si>
    <t>Karbon, Financial Cents</t>
  </si>
  <si>
    <t>Developer of a work management platform designed to support outsourced teams of any size across accounting and business services. The company's platform specializes in building institutional knowledge, creating consistency with standardized workflows, visualizing work, eliminating tedious tasks, connecting teams, and tracking real-time progress and team capacity, helping businesses and employees easily manage at-risk tasks, approvals, and dependencies to ensure the work gets done.</t>
  </si>
  <si>
    <t>Business/Productivity Software*, Other Business Products and Services, Other Financial Services</t>
  </si>
  <si>
    <t>practice management, work management, work management platform, work management tool, workflow management, workflow management company</t>
  </si>
  <si>
    <t>www.levvy.com</t>
  </si>
  <si>
    <t>http://www.linkedin.com/company/levvy</t>
  </si>
  <si>
    <t>2024: 50</t>
  </si>
  <si>
    <t>The company is in the process of raising $2 million of Series 1 venture funding from K5 Global on August 3, 2024, putting the company's pre-money valuation at $7 million.</t>
  </si>
  <si>
    <t>K5 Global</t>
  </si>
  <si>
    <t>K5 Global (www.k5global.com)</t>
  </si>
  <si>
    <t>402743-71P</t>
  </si>
  <si>
    <t>Jeanne Hardy</t>
  </si>
  <si>
    <t>jeanne@levvy.com</t>
  </si>
  <si>
    <t>+1 (917) 860-8309</t>
  </si>
  <si>
    <t>388 Bridge Street</t>
  </si>
  <si>
    <t>Suite 49B</t>
  </si>
  <si>
    <t>hello@levvy.com</t>
  </si>
  <si>
    <t>437795-83</t>
  </si>
  <si>
    <t>Lido (Business/Productivity Software)</t>
  </si>
  <si>
    <t>Lido</t>
  </si>
  <si>
    <t>Lido, Inc.</t>
  </si>
  <si>
    <t>Developer of a data analysis platform designed to gather data from multiple sources and create custom reports. The company's platform imports and syncs all business data in a connected spreadsheet and then helps build custom reports, dashboards and apps directly from the sheet without coding, enabling businesses to analyze and make data-driven decisions faster.</t>
  </si>
  <si>
    <t>Automation/Workflow Software, Business/Productivity Software, Database Software*</t>
  </si>
  <si>
    <t>analytics software, custom reporting, custom reporting software, data analysis service, data gathering, data industry, email and authoring, kms, knowledge management system, spreadsheet tools</t>
  </si>
  <si>
    <t>www.lido.app</t>
  </si>
  <si>
    <t>http://www.linkedin.com/company/lidoapp</t>
  </si>
  <si>
    <t>2021: 10, 2022: 20</t>
  </si>
  <si>
    <t>The company raised $5 million of venture funding from Valor Equity Partners, Reshape Ventures and Pareto Holdings in June 2022.</t>
  </si>
  <si>
    <t>BoxGroup, F7 Ventures, Global Founders Capital, Great Oaks Venture Capital, NextView Ventures, Pareto Holdings, Reshape Ventures, Valor Equity Partners</t>
  </si>
  <si>
    <t>BoxGroup (www.boxgroup.com), F7 Ventures (www.f7ventures.com), Global Founders Capital (www.globalfounderscapital.com), Great Oaks Venture Capital (www.greatoaksvc.com), NextView Ventures (www.nextview.vc), Pareto Holdings (www.pareto20.com), Reshape Ventures (www.reshape.co), Valor Equity Partners (www.valorep.com)</t>
  </si>
  <si>
    <t>165361-42P</t>
  </si>
  <si>
    <t>Mary Tung</t>
  </si>
  <si>
    <t>mtung@lido.app</t>
  </si>
  <si>
    <t>8 Beach Street</t>
  </si>
  <si>
    <t>5th Floor</t>
  </si>
  <si>
    <t>hello@lido.app</t>
  </si>
  <si>
    <t>437463-46</t>
  </si>
  <si>
    <t>LifeWeb 360</t>
  </si>
  <si>
    <t>LifeWeb</t>
  </si>
  <si>
    <t>LifeWeb 360 Inc.</t>
  </si>
  <si>
    <t>Developer of an online memorial scrapbook designed for family and friends to remember loved ones. The company's online scrapbook uses a memorial tool to collect unlimited photos, stories, and video links and effortlessly curate a multidimensional celebration of a life lived, enabling organizations and individuals to keep memories alive and preserve their relationships with those who lived those memories.</t>
  </si>
  <si>
    <t>collaborative storytelling platform, end-of-life planning, funeral online, online scrapbook, scrapbook, scrapbook tools</t>
  </si>
  <si>
    <t>www.lifeweb360.com</t>
  </si>
  <si>
    <t>http://www.linkedin.com/company/lifeweb360</t>
  </si>
  <si>
    <t>2022: 7, 2023: 8, 2024: 7</t>
  </si>
  <si>
    <t>The company joined Blackbaud Social Good Startup Program as a part of Blackbaud's Tech Accelerator July 2024 Cohort on July 23, 2024. No equity or funding was exchanged as a result of this program.</t>
  </si>
  <si>
    <t>Blackbaud Social Good Startup Program, Google for Startups, KID Venture Capital, Prota Ventures, TechRise, Techstars</t>
  </si>
  <si>
    <t>Google for Startups (startup.google.com), KID Venture Capital (www.kidventurecapital.com), Prota Ventures (www.protaventures.com), TechRise (www.techrise.co), Techstars (www.techstars.com)</t>
  </si>
  <si>
    <t>143271-46P</t>
  </si>
  <si>
    <t>Ali Briggs</t>
  </si>
  <si>
    <t>abriggs@lifeweb360.com</t>
  </si>
  <si>
    <t>+1 (708) 320-1084</t>
  </si>
  <si>
    <t>hello@lifeweb360.com</t>
  </si>
  <si>
    <t>438057-37</t>
  </si>
  <si>
    <t>Lightning Law</t>
  </si>
  <si>
    <t>Lightning Law Technologies, Inc.</t>
  </si>
  <si>
    <t>Operator of a legal software company intended to make the legal system efficient and accessible. The company accelerates and simplifies the deposition process by prioritizing the needs and workflow of court reporters as well as guarantees safe links, security, and encryption at all access points and identity verification for all third-party attendees, enabling clients to enjoy fast scheduling and seamless video conferencing without giving any unnecessary fee.</t>
  </si>
  <si>
    <t>Business/Productivity Software*, Legal Services (B2B), Other Commercial Services</t>
  </si>
  <si>
    <t>deposition streaming, law technology, legal software service, legal solution, remote deposition, remote deposition technology, transcripts management</t>
  </si>
  <si>
    <t>www.lightning.law</t>
  </si>
  <si>
    <t>http://www.linkedin.com/company/lightning-law</t>
  </si>
  <si>
    <t>2021: 6, 2022: 7</t>
  </si>
  <si>
    <t>The company raised $300,000 of venture funding in the form of SAFE notes from undisclosed investors on January 26, 2024.</t>
  </si>
  <si>
    <t>End Poverty. Make Trillions.</t>
  </si>
  <si>
    <t>End Poverty. Make Trillions. (endpovertymaketrillions.com)</t>
  </si>
  <si>
    <t>237968-74P</t>
  </si>
  <si>
    <t>Alisa Brodkowitz</t>
  </si>
  <si>
    <t>alisa@lightning.law</t>
  </si>
  <si>
    <t>+1 (206) 657-7378</t>
  </si>
  <si>
    <t>Carefree, AZ</t>
  </si>
  <si>
    <t>100 Easy Street</t>
  </si>
  <si>
    <t>Suite 1127</t>
  </si>
  <si>
    <t>Carefree</t>
  </si>
  <si>
    <t>85377</t>
  </si>
  <si>
    <t>+1 (602) 935-5295</t>
  </si>
  <si>
    <t>contact@lightning.law</t>
  </si>
  <si>
    <t>268586-83</t>
  </si>
  <si>
    <t>Lili (Financial Software)</t>
  </si>
  <si>
    <t>Lili</t>
  </si>
  <si>
    <t>Lili App Inc.</t>
  </si>
  <si>
    <t>Tide, NorthOne, Mercury, Bluevine, Novo (Commercial Banks), Joust (Financial Software), Money Mover, Kyash, Factris, Coconut, InterNex Capital, Credibly, CR2, Shine (Financial Software), Remitly, Fundbox, Stash Financial, Mambu, Deposit Solutions, Azlo, bunq, OnTrees</t>
  </si>
  <si>
    <t>Developer of a digital banking application designed for the financial needs of small businesses. The company's application generates automatic spending reports and smart insights with intuitive expense tracking and tax reporting, along with offering cash-back rewards on everyday spending, enabling freelancers to stay in control of their finances while saving time and money.</t>
  </si>
  <si>
    <t>Application Software, Financial Software*, Other Commercial Banks, Other Financial Services</t>
  </si>
  <si>
    <t>accounting software, banking services, commercial finance, digital banking, digital banking app, digital banking process, enterprise resource planning, erp, financial management system, internet banking, mobile banking service, neobanking platform, tax saving tools</t>
  </si>
  <si>
    <t>www.lili.co</t>
  </si>
  <si>
    <t>http://www.linkedin.com/company/hellofromlili</t>
  </si>
  <si>
    <t>2020: 200, 2021: 80, 2022: 92, 2023: 105, 2024: 89</t>
  </si>
  <si>
    <t>The company raised $55 million of Series B venture funding in a deal led by Group 11 on April 22, 2021, putting the company's pre-money valuation at $210 million. AltaIR Capital and 5 others investors also participated in the round. Previously, the company raised $15 million of Series A venture funding in a deal led by Group 11 on October 7, 2020, putting the company's pre-money valuation at $40 million. Foundation Capital and 6 other investors also participated in the round.</t>
  </si>
  <si>
    <t>AltaIR Capital, BergTop VC, Fiat Ventures, Foundation Capital, Google for Startups, Group 11, Primary Venture Partners, Silvertech Ventures, Starfund, Target Global, Torch Capital, World Trade Ventures, Zeev Ventures</t>
  </si>
  <si>
    <t>AltaIR Capital (www.altair.vc), BergTop VC (www.bergtop.vc), Fiat Ventures (www.fiat.vc), Foundation Capital (www.foundationcapital.com), Google for Startups (startup.google.com), Group 11 (group11.vc), Primary Venture Partners (www.primary.vc), Silvertech Ventures (www.silvertechventures.com), Starfund (www.stardustventures.us), Target Global (www.targetglobal.vc), Torch Capital (www.torchcapital.vc), World Trade Ventures (www.worldtradeventures.com), Zeev Ventures (www.zeevventures.com)</t>
  </si>
  <si>
    <t>207124-84P</t>
  </si>
  <si>
    <t>Lilac David</t>
  </si>
  <si>
    <t>lilac@lili.co</t>
  </si>
  <si>
    <t>+1 (855) 545-4380</t>
  </si>
  <si>
    <t>PO Box 238</t>
  </si>
  <si>
    <t>10014</t>
  </si>
  <si>
    <t>info@lili.co</t>
  </si>
  <si>
    <t>538116-76</t>
  </si>
  <si>
    <t>Lilo (Business/Productivity Software)</t>
  </si>
  <si>
    <t>Lilo</t>
  </si>
  <si>
    <t>Lilo Wholesale, Inc.</t>
  </si>
  <si>
    <t>Operator of a purchasing platform intended to onboard vendors, find new vendors, order in one place, and pay digitally. The company's platform specializes in providing a marketplace to purchase all hotel supplies, enabling hotel owners to spend more time taking care of their guests, and less time procuring supplies.</t>
  </si>
  <si>
    <t>digital platform, hotel management, hotel supplies, marketplace search, online store, procurement team, purchasing platform</t>
  </si>
  <si>
    <t>lilohotelsupplies.com</t>
  </si>
  <si>
    <t>http://www.linkedin.com/company/liloshop-io</t>
  </si>
  <si>
    <t>2024: 56</t>
  </si>
  <si>
    <t>The company raised $610,000 of pre-seed funding in the form of SAFE notes in a deal led by Precursor Ventures on January 30, 2024. New York Ventures, Burst Capital, Add Ventures, Nido Ventures, and Empire State Development also participated in the round.</t>
  </si>
  <si>
    <t>Add Ventures, Burst Capital, Empire State Development, New York Ventures, Nido Ventures, Precursor Ventures</t>
  </si>
  <si>
    <t>Add Ventures (www.addventures.vc), Burst Capital (www.burst.llc), Empire State Development (www.esd.ny.gov), Nido Ventures (www.nido.ventures), Precursor Ventures (precursorvc.com)</t>
  </si>
  <si>
    <t>317652-67P</t>
  </si>
  <si>
    <t>Nadine ElAshkar</t>
  </si>
  <si>
    <t>+1 (862) 283-2147</t>
  </si>
  <si>
    <t>99 Wyckoff street</t>
  </si>
  <si>
    <t>hello@liloshop.io</t>
  </si>
  <si>
    <t>594327-88</t>
  </si>
  <si>
    <t>LINGO</t>
  </si>
  <si>
    <t>Operator of an educational platform intended to offer products to build confidence and problem-solving skills through hands-on projects. The company's platform helps build engineering projects, learn to code, innovate, and explore STEM modules, enabling students to discover and experience fun and hands-on projects that ignite curiosity and learning.</t>
  </si>
  <si>
    <t>coding project, educational kits, educational projects, engineering projects, gamified learning, hands on learning, learning ecosystem, problem solving, skills development, stem learning, technology games</t>
  </si>
  <si>
    <t>www.stemlingo.com</t>
  </si>
  <si>
    <t>http://www.linkedin.com/company/stemlingoco</t>
  </si>
  <si>
    <t>The company raised $2.5 million of seed funding in a deal led by Pinnacle Private Ventures on November 5, 2024. Sequoia Capital, 1863 Ventures and Dr. Joy Johnson also participated in the round. The funds will be used to expand adoption of the company's hands-on, project-based coding kits, and curriculum, which include lessons for students aged 13 and up in fields such as artificial intelligence, space systems and environmental monitoring.</t>
  </si>
  <si>
    <t>1863 Ventures, Joy Johnson, Pinnacle Private Ventures, Sequoia Capital</t>
  </si>
  <si>
    <t>1863 Ventures (www.1863.fund), Sequoia Capital (www.sequoiacap.com)</t>
  </si>
  <si>
    <t>241548-67P</t>
  </si>
  <si>
    <t>Aisha Bowe</t>
  </si>
  <si>
    <t>aisha@stemboard.com</t>
  </si>
  <si>
    <t>+1 (703) 884-2121</t>
  </si>
  <si>
    <t>3100 Clarendon Boulevard</t>
  </si>
  <si>
    <t>22201</t>
  </si>
  <si>
    <t>+1 (703) 962-4774</t>
  </si>
  <si>
    <t>hello@stemlingo.com</t>
  </si>
  <si>
    <t>510437-17</t>
  </si>
  <si>
    <t>Lirvana Labs</t>
  </si>
  <si>
    <t>Yeti</t>
  </si>
  <si>
    <t>Lirvana Labs Inc.</t>
  </si>
  <si>
    <t>DreamBox Learning, Prodigy Education, Globaloria, EdApp, Beijing Happy Science Technology, FastBridge Learning, Kidaptive, Learnosity, Tutor ABC, Tutor Pace, Sapling Learning, Istation, Lexia Learning Systems, Kodable, PracTutor, ALEKS, Bitsbox, Carnegie Learning, iTutorGroup, Renaissance Learning, MasterClass, Tynker (Educational and Training Services (B2C)), Open English, Voxy, TenMarks, Moodle, MindEdge, Pi-Top, 51Talk, Imagine Learning, NoRedInk</t>
  </si>
  <si>
    <t>Operator of an educational app-based platform intended to make teaching accessible to everyone. The company's app utilizes machine learning and conversational AI to guide, encourage, and provide a co-viewing experience that optimizes learning outcomes, enabling students to get social-emotional learning, English literacy, and math reasoning skills in early childhood and elementary years.</t>
  </si>
  <si>
    <t>Artificial Intelligence &amp; Machine Learning, Big Data, EdTech</t>
  </si>
  <si>
    <t>children educational, consumer data analytics, education application, education platform, elementary schooling, learning platform, social emotional learning, vertical application</t>
  </si>
  <si>
    <t>www.yeticonfettikids.com</t>
  </si>
  <si>
    <t>http://www.linkedin.com/company/yeticonfettikids</t>
  </si>
  <si>
    <t>2023: 5, 2024: 41</t>
  </si>
  <si>
    <t>The company raised $5.3 million of venture funding in a deal led by Kapor Capital, Chingona Ventures, and Transcend Capital Partners on April 4, 2024. Innovation and Technology Fund also participated in the round. The funds will be used to expand the company's flagship product and to pursue efficacy studies with research institutions plus further its partnerships with pilot schools and non-governmental organizations (NGOs).</t>
  </si>
  <si>
    <t>Chingona Ventures, Innovation and Technology Fund, Kapor Capital, Transcend Capital Partners</t>
  </si>
  <si>
    <t>Chingona Ventures (chingona.ventures), Innovation and Technology Fund (itf.gov.hk), Kapor Capital (www.kaporcapital.com), Transcend Capital Partners (www.transcendcp.com)</t>
  </si>
  <si>
    <t>320534-83P</t>
  </si>
  <si>
    <t>Christie Pang</t>
  </si>
  <si>
    <t>101 Jefferson Drive</t>
  </si>
  <si>
    <t>500747-59</t>
  </si>
  <si>
    <t>Lithos Carbon</t>
  </si>
  <si>
    <t>Lithos</t>
  </si>
  <si>
    <t>Lithos Carbon, Inc.</t>
  </si>
  <si>
    <t>Carbon Clean, Aerbio, Cool Planet Energy Systems, CO2 Solutions</t>
  </si>
  <si>
    <t>Developer of isotope dilution technology designed for cost-effective verification of carbon removal in soil. The company's technology uses novel soil models and machine learning methods to accelerate mineral weathering by spreading basalt on croplands to increase dissolved inorganic carbon with eventual storage as ocean carbonates, enabling farmers to maximize carbon dioxide removal while boosting crop growth.</t>
  </si>
  <si>
    <t>Business/Productivity Software, Environmental Services (B2B)*, Other Agriculture</t>
  </si>
  <si>
    <t>AgTech, CleanTech, Impact Investing</t>
  </si>
  <si>
    <t>ag biotech, agricultural analysis, agricultural biotech, agriculture, agriculture technology, basalt solutions, carbon dioxide removal, carbon processing, carbon removal, cleantech business, crop growth, isotopes technology, plant biotech, plant biotechnology</t>
  </si>
  <si>
    <t>www.lithoscarbon.com</t>
  </si>
  <si>
    <t>http://www.linkedin.com/company/lithoscarbon</t>
  </si>
  <si>
    <t>2022: 7, 2023: 9, 2024: 3</t>
  </si>
  <si>
    <t>The company raised $6 million of Series A seed funding in the form of SAFE notes in a deal led by Bain Capital, BCP Capital, and Union Square Ventures on May 18, 2024. Cavallo Ventures, Fall Line Capital, Bain Capital Ventures, Climate Capital, Sequoia Capital, Kayak Ventures, Carbon Removal Partners, and Carbon Drawdown Initiative also participated in the round.</t>
  </si>
  <si>
    <t>Bain Capital, Bain Capital Ventures, BCP Capital, Carbon Drawdown Initiative, Carbon Removal Partners, Cavallo Ventures, Climate Capital, Fall Line Capital, Greylock, Kayak Ventures, Sequoia Capital, Union Square Ventures</t>
  </si>
  <si>
    <t>Bain Capital (www.baincapital.com), Bain Capital Ventures (www.baincapitalventures.com), Carbon Drawdown Initiative (www.carbon-drawdown.de), Carbon Removal Partners (www.carbonremoval.partners), Cavallo Ventures (www.cavallovc.com), Climate Capital (www.climatecapital.co), Fall Line Capital (www.fall-line-capital.com), Greylock (www.greylock.com), Kayak Ventures (www.kayak.ventures), Sequoia Capital (www.sequoiacap.com), Union Square Ventures (www.usv.com)</t>
  </si>
  <si>
    <t>306821-44P</t>
  </si>
  <si>
    <t>Mary Yap</t>
  </si>
  <si>
    <t>mary@lithoscarbon.com</t>
  </si>
  <si>
    <t>98004-6813</t>
  </si>
  <si>
    <t>506878-75</t>
  </si>
  <si>
    <t>LivNow</t>
  </si>
  <si>
    <t>LivNow Relocation Inc.</t>
  </si>
  <si>
    <t>Wayforth</t>
  </si>
  <si>
    <t>Provider of relocation services for residents intended to deliver residents to belong to a retirement community. The company assists adults and their families navigate the relocation process to transition from their homes into senior living communities with ease, enabling clients to receive the best value and service for all their relocation-related needs.</t>
  </si>
  <si>
    <t>relocation agency, relocation company, relocation management, relocation moving, relocation package, relocation services</t>
  </si>
  <si>
    <t>www.livnowrelocation.com</t>
  </si>
  <si>
    <t>http://www.linkedin.com/company/livnowrelocation</t>
  </si>
  <si>
    <t>2022: 7, 2023: 9</t>
  </si>
  <si>
    <t>The company joined AgeTech Collaborative Accelerator on September 1, 2023 and received $50,000 in funding.</t>
  </si>
  <si>
    <t>AARP, AgeTech Collaborative, LongJump</t>
  </si>
  <si>
    <t>AARP (www.aarp.org), AgeTech Collaborative (www.agetechcollaborative.org), LongJump (www.longjump.vc)</t>
  </si>
  <si>
    <t>315800-92P</t>
  </si>
  <si>
    <t>Maureen Longoria</t>
  </si>
  <si>
    <t>mlongoria@livnowrelocation.com</t>
  </si>
  <si>
    <t>+1 (708) 927-1616</t>
  </si>
  <si>
    <t>Glen Ellyn, IL</t>
  </si>
  <si>
    <t>535 Duane Street</t>
  </si>
  <si>
    <t>Glen Ellyn</t>
  </si>
  <si>
    <t>60137</t>
  </si>
  <si>
    <t>+1 (224) 292-7646</t>
  </si>
  <si>
    <t>info@livnowrelocation.com</t>
  </si>
  <si>
    <t>466108-03</t>
  </si>
  <si>
    <t>LoadStop</t>
  </si>
  <si>
    <t>LoadStop, Inc.</t>
  </si>
  <si>
    <t>Rose Rocket, Turvo, PCS Software, Transport Pro, Dispatch &amp; Tracking Solutions, Trimble, McLeod</t>
  </si>
  <si>
    <t>Developer of a digital carrier platform designed to transform and automate fleet operations. The company's AI-based platform helps automate freight matching, operational workflows, and visibility in a single window, create multiple fleet plans based on freight markets, load types, load preferences, seasons, and driver cycles, schedule based on real-time events, and automatically send bids, providing businesses with digital transformation and improved productivity.</t>
  </si>
  <si>
    <t>digital platform, fleet data, fleet management, freight industry, scm, supply chain management, trucking industry, trucking software, trucking software system, trucking solutions, trucking tools</t>
  </si>
  <si>
    <t>www.loadstop.com</t>
  </si>
  <si>
    <t>http://www.linkedin.com/company/loadstop</t>
  </si>
  <si>
    <t>2021: 26, 2022: 70, 2023: 58, 2024: 56</t>
  </si>
  <si>
    <t>The company raised an undisclosed amount of venture funding from The Riverside Company in approximately March 2024.</t>
  </si>
  <si>
    <t>SV Tech Ventures, The Riverside Company, Worldwide Capital</t>
  </si>
  <si>
    <t>SV Tech Ventures (www.svtechventures.com), The Riverside Company (www.riversidecompany.com), Worldwide Capital (www.worldwidecapital.com)</t>
  </si>
  <si>
    <t>JP Morgan Chase(Advisor: General)</t>
  </si>
  <si>
    <t>262571-32P</t>
  </si>
  <si>
    <t>Farhan Rafique</t>
  </si>
  <si>
    <t>fr@loadstop.com</t>
  </si>
  <si>
    <t>+1 (714) 553-7499</t>
  </si>
  <si>
    <t>20 Truman Suite</t>
  </si>
  <si>
    <t>Number 212</t>
  </si>
  <si>
    <t>92620</t>
  </si>
  <si>
    <t>+1 (866) 965-6237</t>
  </si>
  <si>
    <t>info@loadstop.com</t>
  </si>
  <si>
    <t>Expected 16-Dec-2027</t>
  </si>
  <si>
    <t>469973-44</t>
  </si>
  <si>
    <t>LoanSense</t>
  </si>
  <si>
    <t>SaveThatDough</t>
  </si>
  <si>
    <t>LoanSense Inc.</t>
  </si>
  <si>
    <t>Operator of a debt management platform intended to help borrowers reduce debt and achieve the dream of homeownership. The company's platform guides to set up goals and personalize plans to improve the debt-to-income ratio through advisory and monthly payment calculations, enabling borrowers to access financial planning, student loan servicing, and closing mortgages.</t>
  </si>
  <si>
    <t>alternative lending, debt advisory, financial advisor, mortgage debt, repayment services, retail and marketplace lending, retail lending, student loan, student loan repayment</t>
  </si>
  <si>
    <t>www.myloansense.com</t>
  </si>
  <si>
    <t>http://www.linkedin.com/company/myloansense</t>
  </si>
  <si>
    <t>2021: 7, 2022: 7, 2023: 10, 2024: 10</t>
  </si>
  <si>
    <t>The company raised an undisclosed amount of venture funding from Rethink Capital Partners in February 2024.</t>
  </si>
  <si>
    <t>Ann Arbor SPARK, Avalanche VC, BAMco Enterprises, Rethink Capital Partners, The American Family Insurance Institute for Corporate and Social Impact, Village Capital</t>
  </si>
  <si>
    <t>Ann Arbor SPARK (www.annarborusa.org), Avalanche VC (www.avalanche.vc), BAMco Enterprises (www.bamco.enterprises), Rethink Capital Partners (www.rethink-capital.com), The American Family Insurance Institute for Corporate and Social Impact (www.amfaminstitute.com), Village Capital (www.vilcap.com)</t>
  </si>
  <si>
    <t>269037-64P</t>
  </si>
  <si>
    <t>Catalina Kaiyoorawongs</t>
  </si>
  <si>
    <t>catalina@myloansense.com</t>
  </si>
  <si>
    <t>+1 (734) 203-7640</t>
  </si>
  <si>
    <t>Ypsilanti, MI</t>
  </si>
  <si>
    <t>215 West Michigan Avenue</t>
  </si>
  <si>
    <t>Ypsilanti</t>
  </si>
  <si>
    <t>48197</t>
  </si>
  <si>
    <t>info@myloasense.com</t>
  </si>
  <si>
    <t>266703-94</t>
  </si>
  <si>
    <t>Lobus</t>
  </si>
  <si>
    <t>Lobus, Inc.</t>
  </si>
  <si>
    <t>Operator of an art management platform intended to help art owners manage their digital assets. The company's platform provides reports and news of artists, industry news, art financials, and financial management tools with an artist-centric marketplace, enabling clients to easily manage the value and decision-making necessary for their business.</t>
  </si>
  <si>
    <t>art information, art management system, art trade, art trading software, art work, asset management operations, investment platform, investment tool, wealthtech</t>
  </si>
  <si>
    <t>Art Trading Platforms</t>
  </si>
  <si>
    <t>www.lobus.io</t>
  </si>
  <si>
    <t>http://www.linkedin.com/company/lobus</t>
  </si>
  <si>
    <t>2020: 19, 2021: 24, 2022: 27, 2023: 16, 2024: 11</t>
  </si>
  <si>
    <t>The company raised an undisclosed amount of venture funding from Rosecliff Venture Partners in approximately April 2022.</t>
  </si>
  <si>
    <t>8VC, Boost VC, Cal Henderson, Dream Machine (San Francisco), EvoNexus, Franklin Templeton, Henry Ward, Lex Sokolin, Oren Michels, Rebecca Henderson, Rob Hayes, Rosecliff Venture Partners, Shatter Fund, Suzy Ryoo, Troy Carter, Upside Partnership, Weekend Fund</t>
  </si>
  <si>
    <t>8VC (www.8vc.com), Boost VC (www.boost.vc), Dream Machine (San Francisco) (www.dreammachine.vc), EvoNexus (www.evonexus.org), Franklin Templeton (www.franklinresources.com), Rosecliff Venture Partners (www.rosecliff.com), Shatter Fund (www.shatterfund.com), Upside Partnership (www.upsidevc.com), Weekend Fund (weekend.fund)</t>
  </si>
  <si>
    <t>206706-79P</t>
  </si>
  <si>
    <t>Lori Hotz</t>
  </si>
  <si>
    <t>lori@lobus.io</t>
  </si>
  <si>
    <t>+1 (650) 743-8062</t>
  </si>
  <si>
    <t>315 East 65th Street</t>
  </si>
  <si>
    <t>Apartment 11th</t>
  </si>
  <si>
    <t>10065</t>
  </si>
  <si>
    <t>info@lobus.io</t>
  </si>
  <si>
    <t>501672-07</t>
  </si>
  <si>
    <t>LocalAway</t>
  </si>
  <si>
    <t>Local, Away</t>
  </si>
  <si>
    <t>LocalAway, Inc.</t>
  </si>
  <si>
    <t>Shopshops, ShopThing, Bambuser, Firework</t>
  </si>
  <si>
    <t>Operator of a social fashion marketplace intended to provide a curated shopping experience from influencers. The company collaborates with local boutiques, stylists, designers, and brands to create a real-time influencer-driven e-commerce marketplace, enabling customers to chat with fashion influencers in real time and discover real dress codes from the streets, local brand reviews, and live shopping experiences.</t>
  </si>
  <si>
    <t>Information Services (B2C), Media and Information Services (B2B)*, Social Content, Social/Platform Software</t>
  </si>
  <si>
    <t>ecommerce marketplace, fashion market, fashion marketplace, influencer campaign, live shopping experience, local branding, shopping advice, social commerce tools, social marketplace</t>
  </si>
  <si>
    <t>www.localaway.com</t>
  </si>
  <si>
    <t>http://www.linkedin.com/company/localaway</t>
  </si>
  <si>
    <t>The company raised an estimated $1.08 million of venture funding from MGV Capital Group, Mark Lambert, and Jane Tran on February 14, 2023. RevTech Ventures and other undisclosed investors also participated in the round. Previously, the company raised $500,000 of Series 2 venture funding from Graham &amp; Walker, Crosscut Ventures and First Row Partners on December 16, 2022, putting the company's pre-money valuation at $4.5 million. Singularity Capital, Builders + Backers and Samantha Fernandez Keys also participated in the round.</t>
  </si>
  <si>
    <t>Builders + Backers, Crosscut Ventures, First Row Partners, Graham &amp; Walker, Jane Tran, Lair East Labs, Mark Lambert, MGV Capital Group, RevTech Ventures, Samantha Keys, Singularity Capital, Sunstone Management, Techstars</t>
  </si>
  <si>
    <t>Builders + Backers (www.buildersandbackers.com), Crosscut Ventures (www.crosscut.vc), First Row Partners (www.firstrowpartners.vc), Graham &amp; Walker (www.grahamwalker.com), Lair East Labs (www.laireastlabs.com), MGV Capital Group (www.mgvcapital.com), RevTech Ventures (revtechventures.com), Singularity Capital (singularitycapital.us), Sunstone Management (www.sunstoneinvestment.com), Techstars (www.techstars.com)</t>
  </si>
  <si>
    <t>SVB Capital(General Business Insurance)</t>
  </si>
  <si>
    <t>Finck &amp; Miller LLP(Legal Advisor)</t>
  </si>
  <si>
    <t>309561-22P</t>
  </si>
  <si>
    <t>Julia Peter</t>
  </si>
  <si>
    <t>jpeter@localaway.com</t>
  </si>
  <si>
    <t>+1 (415) 926-9734</t>
  </si>
  <si>
    <t>6701 Rialto Boulevard</t>
  </si>
  <si>
    <t>78735</t>
  </si>
  <si>
    <t>+1 (415) 529-0256</t>
  </si>
  <si>
    <t>hello@localaway.com</t>
  </si>
  <si>
    <t>465649-93</t>
  </si>
  <si>
    <t>LoCo Plus</t>
  </si>
  <si>
    <t>YouTube, Vimeo, Patreon</t>
  </si>
  <si>
    <t>Operator of a video streaming and distribution platform intended for local filmmakers and video artists to publish and monetize their videos. The company's platform offers viewers short-form and long-form, locally sourced, originally produced content ranging from films, lifestyle series and music videos, enabling creators to get direct viewership and licensing opportunities.</t>
  </si>
  <si>
    <t>Entertainment Software*, Information Services (B2C), Media and Information Services (B2B), Movies, Music and Entertainment</t>
  </si>
  <si>
    <t>AudioTech, Cryptocurrency/Blockchain</t>
  </si>
  <si>
    <t>content creation &amp; distribution, creator economy, media entertainment, streaming network, streaming platform, video platform</t>
  </si>
  <si>
    <t>www.golocoplus.com</t>
  </si>
  <si>
    <t>http://www.linkedin.com/company/loco-plus</t>
  </si>
  <si>
    <t>2021: 3, 2022: 5, 2023: 8, 2024: 7</t>
  </si>
  <si>
    <t>The company raised $450,000 of pre-seed funding from Southbox Capital and other undisclosed investors on August 1, 2021, putting the company's pre-money valuation at $4.05 million.</t>
  </si>
  <si>
    <t>Southbox Capital</t>
  </si>
  <si>
    <t>Southbox Capital (southboxcapital.com)</t>
  </si>
  <si>
    <t>261543-70P</t>
  </si>
  <si>
    <t>Kate Atwood</t>
  </si>
  <si>
    <t>kate@locoplus.network</t>
  </si>
  <si>
    <t>+1 (404) 578-8248</t>
  </si>
  <si>
    <t>402 Georgia Avenue South East</t>
  </si>
  <si>
    <t>30312</t>
  </si>
  <si>
    <t>info@locoplus.network</t>
  </si>
  <si>
    <t>528692-41</t>
  </si>
  <si>
    <t>Locus Lock</t>
  </si>
  <si>
    <t>Locus Lock Inc.</t>
  </si>
  <si>
    <t>Developer of intelligent software-defined GNSS receiver technology designed to deliver centimeter-accurate real-time positioning for commercial and military use. The company specializes in capturing precise heading that can be used for positioning, navigation, and timing, and offers advanced signal situational awareness, anti-spoofing, and interference technology, enabling users to allow for centimeter-resolution location data.</t>
  </si>
  <si>
    <t>Business/Productivity Software, Electronic Equipment and Instruments*, Other Hardware</t>
  </si>
  <si>
    <t>global positioning system, gps software, inertial measurement unit, interference technology, positioning technology, precise positioning, radio frequency, real time data, real time positioning, system integration</t>
  </si>
  <si>
    <t>www.locuslock.com</t>
  </si>
  <si>
    <t>http://www.linkedin.com/company/locus-lock</t>
  </si>
  <si>
    <t>The company raised $1.07 million of venture funding from Jolt VC, AIN Ventures and Aurelia Foundry on November 15, 2024, putting the company's pre-money valuation at $10 million. CreationsVC, Techstars and University of Texas also participated in the round.</t>
  </si>
  <si>
    <t>AIN Ventures, Aurelia Foundry, CreationsVC, ff Venture Capital, Jolt VC, Techstars, Texas Innovation Center, University of Texas</t>
  </si>
  <si>
    <t>AIN Ventures (www.ainventures.com), Aurelia Foundry (www.aureliafoundry.com), CreationsVC (www.creations.vc), ff Venture Capital (www.ffvc.com), Techstars (www.techstars.com), Texas Innovation Center (www.texasinnovationcenter.utexas.edu), University of Texas (www.utexas.edu)</t>
  </si>
  <si>
    <t>362014-48P</t>
  </si>
  <si>
    <t>Hailey Nichols</t>
  </si>
  <si>
    <t>hailey@locuslock.com</t>
  </si>
  <si>
    <t>Boulder, CO</t>
  </si>
  <si>
    <t>4760 Walnut Street</t>
  </si>
  <si>
    <t>Suite 105</t>
  </si>
  <si>
    <t>Boulder</t>
  </si>
  <si>
    <t>80301</t>
  </si>
  <si>
    <t>info@locuslock.com</t>
  </si>
  <si>
    <t>538273-18</t>
  </si>
  <si>
    <t>Lokum</t>
  </si>
  <si>
    <t>PENG Communications, Inc.</t>
  </si>
  <si>
    <t>Developer of a mobile matchmaking platform intended to convert the recruitment process to a matchmaking process and to connect the right provider with the right practice. The company's platform creates a convenient, non-intrusive, modern marketplace to connect clinicians and employers who need their services, enabling nurse anesthesiology providers to view jobs, credential with multiple facilities, join local talent pools, and book excellent CRNA locum jobs</t>
  </si>
  <si>
    <t>HealthTech, Mobile, SaaS</t>
  </si>
  <si>
    <t>crna locum, healthcare job search, healthcare partner, healthcare recruitment, healthcare staffing, matchmaking platform, recruitment app, software company</t>
  </si>
  <si>
    <t>www.lokumapp.com</t>
  </si>
  <si>
    <t>http://www.linkedin.com/company/lokumapp</t>
  </si>
  <si>
    <t>2023: 5, 2024: 9</t>
  </si>
  <si>
    <t>The company raised $700,000 of seed funding from South Loop Ventures, Techstars and Aileen Allen on June 4, 2024. Matt Miller also participated in the round. The funds will be used toward further development of the technology. Previously, the company joined Google for Startups as a part of its Black Founders Accelerator program in 2024.</t>
  </si>
  <si>
    <t>Aileen Allen, Google for Startups, Matt Miller, South Loop Ventures, Techstars</t>
  </si>
  <si>
    <t>Google for Startups (startup.google.com), South Loop Ventures (www.southloop.vc), Techstars (www.techstars.com)</t>
  </si>
  <si>
    <t>9118 McAvoy Drive</t>
  </si>
  <si>
    <t>77074</t>
  </si>
  <si>
    <t>+1 (210) 692-4485</t>
  </si>
  <si>
    <t>info@lokumapp.com</t>
  </si>
  <si>
    <t>494048-62</t>
  </si>
  <si>
    <t>Loop Crypto</t>
  </si>
  <si>
    <t>Loop</t>
  </si>
  <si>
    <t>Loop Crypto, Inc.</t>
  </si>
  <si>
    <t>Operator of an online payment platform intended to simplify crypto transactions. The company offers a crypto payment gateway loop to facilitate autopay for non-custodial wallets which is based on a web3 native non-custodial payment processor, enabling clients to use an efficient payment method whichis safe and secure in a web3 world.</t>
  </si>
  <si>
    <t>autopayment facility, crypto based payment, crypto payment gateway, crypto payment service, crypto payment system, online payment platform</t>
  </si>
  <si>
    <t>www.loopcrypto.xyz</t>
  </si>
  <si>
    <t>http://www.linkedin.com/company/loop-crypto</t>
  </si>
  <si>
    <t>2022: 6, 2023: 7, 2024: 6</t>
  </si>
  <si>
    <t>The company raised $4.01 million of seed funding from Alchemy Ventures (California), Reverie and Andreessen Horowitz on March 23, 2022, putting the company's pre-money valuation at $20 million. A.Capital Ventures and 17 other investors also participated in the round.</t>
  </si>
  <si>
    <t>A.Capital Ventures, Alchemy Ventures (California), Alex Disney, Alex Svanevik, Allan Niemerg, Andreessen Horowitz, Archetype (venture firm), Bradley Kam, CoinList, Fos Finance, Imran Khan, John Zannos, Lauren Stephanian, Maex Ament, Michelle Fang, Pat Doyle, Paul Veradittakit, Reverie financial services, Shivangi Gandhi, Spenser Huang, Terri Burns</t>
  </si>
  <si>
    <t>A.Capital Ventures (www.acapital.com), Andreessen Horowitz (www.a16z.com), Archetype (venture firm) (www.archetype.fund), CoinList (www.coinlist.co), Fos Finance (www.fos.finance), Reverie financial services (www.reverie.ooo)</t>
  </si>
  <si>
    <t>Morse(Legal Advisor)</t>
  </si>
  <si>
    <t>296464-33P</t>
  </si>
  <si>
    <t>Eleni Steinman</t>
  </si>
  <si>
    <t>eleni@loopcrypto.xyz</t>
  </si>
  <si>
    <t>+1 (954) 557-4342</t>
  </si>
  <si>
    <t>435 West Erie Street</t>
  </si>
  <si>
    <t>Appartment 1102</t>
  </si>
  <si>
    <t>hello@loopcrypto.xyz</t>
  </si>
  <si>
    <t>434746-90</t>
  </si>
  <si>
    <t>Looped Solutions</t>
  </si>
  <si>
    <t>Baby Arrival Monitor, OhanaLink Technologies</t>
  </si>
  <si>
    <t>OLT</t>
  </si>
  <si>
    <t>Dub Diversified LLC</t>
  </si>
  <si>
    <t>Developer of a social application designed to connect patients with their loved ones during health-related experiences. The company's platform offers secure social communication channels for all age groups and helps to create a photo gallery in order to send photos of love and support, enabling users to stay connected during the most important life-changing moments.</t>
  </si>
  <si>
    <t>Application Software, Communication Software*, Other Healthcare Technology Systems, Social/Platform Software</t>
  </si>
  <si>
    <t>communication control, group messaging app, messaging platform, messaging platform developer, messaging platform provider, social care, social communication, social impact</t>
  </si>
  <si>
    <t>www.ohanalink.com</t>
  </si>
  <si>
    <t>http://www.linkedin.com/company/looped-solutions</t>
  </si>
  <si>
    <t>2021: 12, 2023: 11</t>
  </si>
  <si>
    <t>The company raised $663,283 of venture funding in the form of convertible debt and equity from LifeX Ventures and Mastersfund on May 6, 2024.</t>
  </si>
  <si>
    <t>Ben Franklin Technology Partners of Southeastern Pennsylvania, LifeX Ventures, Mastersfund, Youngstown Business Incubator</t>
  </si>
  <si>
    <t>Ben Franklin Technology Partners of Southeastern Pennsylvania (www.sep.benfranklin.org), LifeX Ventures (www.lifexglobal.com), Mastersfund (www.masters.vc), Youngstown Business Incubator (www.ybi.org)</t>
  </si>
  <si>
    <t>266993-92P</t>
  </si>
  <si>
    <t>Lisa Zgela</t>
  </si>
  <si>
    <t>lzgela@ohanalink.tech</t>
  </si>
  <si>
    <t>+1 (844) 394-4398</t>
  </si>
  <si>
    <t>Hermitage, PA</t>
  </si>
  <si>
    <t>3386 East State Street</t>
  </si>
  <si>
    <t>Suite Number 1180</t>
  </si>
  <si>
    <t>Hermitage</t>
  </si>
  <si>
    <t>16148</t>
  </si>
  <si>
    <t>info@ohanalink.tech</t>
  </si>
  <si>
    <t>497376-19</t>
  </si>
  <si>
    <t>Loopr</t>
  </si>
  <si>
    <t>Loopr AI, Inc.</t>
  </si>
  <si>
    <t>Developer of artificial intelligence-based automation platform designed for quality inspection in manufacturing. The company provides a no-code, cross-function, and cross-industry platform for businesses to adopt pre-built AI and decrease the time, money, and inconsistency of inspection processes such as defect detection and assembly verification, enabling businesses to address workforce challenges.</t>
  </si>
  <si>
    <t>Advanced Manufacturing, Artificial Intelligence &amp; Machine Learning, Big Data, Manufacturing, SaaS</t>
  </si>
  <si>
    <t>ai model, ai platform technology, ai solutions, business automation, computer vision, customized model, farm management software, workflow software tools</t>
  </si>
  <si>
    <t>www.loopr.ai</t>
  </si>
  <si>
    <t>http://www.linkedin.com/company/loopr-ai</t>
  </si>
  <si>
    <t>2022: 13, 2023: 14, 2024: 13</t>
  </si>
  <si>
    <t>The company raised an undisclosed amount of venture funding from Tacoma Venture Fund (TVF) in 2024.</t>
  </si>
  <si>
    <t>Alliance of Angels, Bryant Hayward, Keiretsu Capital, Keiretsu Forum, North West Quadrant Ventures, Plug and Play Tech Center, Singularity Capital, Stellar Ventures, Swan Venture Group, Tacoma Venture Fund (TVF), WTIA Startup Program</t>
  </si>
  <si>
    <t>Alliance of Angels (www.allianceofangels.com), Keiretsu Capital (www.keiretsucapital.com), Keiretsu Forum (www.keiretsuforum.com), North West Quadrant Ventures (www.nwqventures.com), Plug and Play Tech Center (www.plugandplaytechcenter.com), Singularity Capital (singularitycapital.us), Stellar Ventures (svc.vc), Swan Venture Group (www.swanvg.com), Tacoma Venture Fund (TVF) (www.tacomaventurefund.com)</t>
  </si>
  <si>
    <t>302642-83P</t>
  </si>
  <si>
    <t>Priyansha Bagaria</t>
  </si>
  <si>
    <t>+1 (206) 774-0808</t>
  </si>
  <si>
    <t>10650 Northeast 9th Place</t>
  </si>
  <si>
    <t>Unit 1524</t>
  </si>
  <si>
    <t>contact@loopr.ai</t>
  </si>
  <si>
    <t>483343-57</t>
  </si>
  <si>
    <t>Loup</t>
  </si>
  <si>
    <t>Loup Inc.</t>
  </si>
  <si>
    <t>Developer of a video marketing platform designed to personalize recommendations for maximum conversion. The company democratizes the secret sauce of the platforms to make shopping more personalized, interactive, and effective for brands, consumers, and creators, enabling customers to get interactive videos by personalizing user shopping journey.</t>
  </si>
  <si>
    <t>crm, customer relationship management, digital showroom, ecommerce personalization, interactive video content, live shopping experience, live video shopping tool, social commerce tools, video marketing platform</t>
  </si>
  <si>
    <t>www.loup.ai</t>
  </si>
  <si>
    <t>http://www.linkedin.com/company/loupai</t>
  </si>
  <si>
    <t>2021: 5, 2022: 8, 2023: 10, 2024: 7</t>
  </si>
  <si>
    <t>The company raised $6.2 million of seed funding in a deal led by Race Capital and Gradient Ventures on October 29, 2021. SLVC and other investors also participated in the round. The funds will be used to launch an eCommerce customer engagement and revenue platform and hire more AI and ML engineers to expand the company's product offerings.</t>
  </si>
  <si>
    <t>Alanna Gregory, Bin Zhao, Gradient Ventures, Jack Xie, Kevin Lin, Race Capital, Ran Makavy, SLVC</t>
  </si>
  <si>
    <t>Gradient Ventures (www.gradient.com), Race Capital (www.race.capital), SLVC (www.slvcap.com)</t>
  </si>
  <si>
    <t>52717-87P</t>
  </si>
  <si>
    <t>Frost Li</t>
  </si>
  <si>
    <t>frost@socialchat.ai</t>
  </si>
  <si>
    <t>San Francsico, CA</t>
  </si>
  <si>
    <t>282 2nd Street</t>
  </si>
  <si>
    <t>Suite 302</t>
  </si>
  <si>
    <t>San Francsico</t>
  </si>
  <si>
    <t>hi@loup.ai</t>
  </si>
  <si>
    <t>Expected 05-Aug-2029</t>
  </si>
  <si>
    <t>491608-09</t>
  </si>
  <si>
    <t>Lovewick</t>
  </si>
  <si>
    <t>Lovewick, Inc.</t>
  </si>
  <si>
    <t>Developer of a relationship application designed to offer dating ideas for couples. The company's platform provides personalized question games, topics of mutual likes for communication, and other activities for couples, enabling couples to set their relationship goals, modify behaviors, help learn about each other and guide people in relationships to cultivate understanding, appreciation, and novelty.</t>
  </si>
  <si>
    <t>app-based platform, communication platform, couples app, dating app, relationship app, relationship platform</t>
  </si>
  <si>
    <t>www.lovewick.com</t>
  </si>
  <si>
    <t>http://www.linkedin.com/company/lovewick</t>
  </si>
  <si>
    <t>The company raised $1 million of pre-seed funding in a deal led by Tinder, OkCupid, and Corazon Capital on February 14, 2022. Leadout Capital and Gaingels also participated in the round. The funds will be used to grow the team, make technology investments, and increase the audience they serve.</t>
  </si>
  <si>
    <t>Corazon Group, Gaingels, Leadout Capital, Tinder</t>
  </si>
  <si>
    <t>Corazon Group (www.corazon.com), Gaingels (www.gaingels.com), Leadout Capital (www.leadoutcapital.com), Tinder (www.tinder.com)</t>
  </si>
  <si>
    <t>Montpac(Legal Advisor)</t>
  </si>
  <si>
    <t>291353-05P</t>
  </si>
  <si>
    <t>Alison Maggioncalda</t>
  </si>
  <si>
    <t>4050 El Cerrito Road</t>
  </si>
  <si>
    <t>hello@lovewick.com</t>
  </si>
  <si>
    <t>515845-81</t>
  </si>
  <si>
    <t>Luca (Business/Productivity Software)</t>
  </si>
  <si>
    <t>Luca</t>
  </si>
  <si>
    <t>Luca Software, Inc.</t>
  </si>
  <si>
    <t>Intelligence Node, Prisync, Competera, Pricefx, Profitero, Zilliant, Revionics, Retviews, MasterControl, Wiser Solutions, Ugam, Aria Systems, Xactly, WORKetc, PROS Holdings, ActiveCampaign, HubSpot, Vermont Information Processing, Clear Demand, Outreach, Fetcherr, Vendavo, Adobe Marketo Engage, ADvendio, Vistex (Illinois), Model N, FPX, Flintfox International, Sapient.ai, Apptus, Cornerstone OnDemand, PriceEdge, Navetti, Callidus Software, Cheddar, OneBill, Saba Software, Agile CRM, ChargeBee, SAVO Group, Fusebill, Optiva, Tacton Systems</t>
  </si>
  <si>
    <t>Developer of an artificial intelligence-powered co-pilot designed for enterprise retailers to identify revenue and profit headroom, make recommendations for price adjustments, and save time in the process. The company's platform offers a flexible tool that empowers operators to find a pricing strategy that works for their business goals, offers smart pricing recommendations, and offers machine learning-based customer price elasticities to target precise margin and revenue outcomes for businesses, enabling businesses to have a platform that assists with revenue optimization.</t>
  </si>
  <si>
    <t>market intelligence, price management, promotion management, retail technology, revenue optimization, software development</t>
  </si>
  <si>
    <t>www.askluca.com</t>
  </si>
  <si>
    <t>http://www.linkedin.com/company/lucasoftware</t>
  </si>
  <si>
    <t>2023: 6</t>
  </si>
  <si>
    <t>The company raised $2.5 million of seed funding in a deal led by Menlo Ventures on April 28, 2023. Soma Capital, Karman Ventures, Y Combinator and other undisclosed investors also participated in the round. The funds will be used toward expanding Luca's engineering and data science teams.</t>
  </si>
  <si>
    <t>Karman Ventures, Menlo Ventures, Soma Capital, Y Combinator</t>
  </si>
  <si>
    <t>Karman Ventures (www.karman.vc), Menlo Ventures (www.menlovc.com), Soma Capital (somacap.com), Y Combinator (www.ycombinator.com)</t>
  </si>
  <si>
    <t>GSK Stockmann(Legal Advisor), Silicon Legal Strategy(Legal Advisor)</t>
  </si>
  <si>
    <t>327164-86P</t>
  </si>
  <si>
    <t>Yonah Mann</t>
  </si>
  <si>
    <t>Co-Founder &amp; CPO</t>
  </si>
  <si>
    <t>yonah@askluca.com</t>
  </si>
  <si>
    <t>201 Mission Street</t>
  </si>
  <si>
    <t>hello@askluca.com</t>
  </si>
  <si>
    <t>509267-17</t>
  </si>
  <si>
    <t>Lucia</t>
  </si>
  <si>
    <t>Lucia Hospitality Group Inc.</t>
  </si>
  <si>
    <t>Operator of a freelance marketplace company intended to connect hospitality businesses with skilled freelancers. The company specializes in unlocking talent, streamlining the workflow, trip research, admin support, and social media, enabling customers to connect and get opportunities in ongoing projects and the travel ecosystem.</t>
  </si>
  <si>
    <t>Application Software, Business/Productivity Software, Media and Information Services (B2B)*</t>
  </si>
  <si>
    <t>freelancers marketplace, freelancers platform, hospitality network, outsourcing marketplace, remote workers outsourcing, travel professional platform</t>
  </si>
  <si>
    <t>letslucia.com</t>
  </si>
  <si>
    <t>http://www.linkedin.com/company/letslucia</t>
  </si>
  <si>
    <t>2022: 2, 2023: 16, 2024: 6</t>
  </si>
  <si>
    <t>The company joined Plug and Play Tech Center as a part of Batch 17 on April 4, 2024. No equity or funding was exchanged as a result of this program.</t>
  </si>
  <si>
    <t>JHH vc, Plug and Play Tech Center, VITALIZE Venture Capital</t>
  </si>
  <si>
    <t>JHH vc (www.jhh.vc), Plug and Play Tech Center (www.plugandplaytechcenter.com), VITALIZE Venture Capital (vitalize.vc)</t>
  </si>
  <si>
    <t>317096-02P</t>
  </si>
  <si>
    <t>Grace McBride</t>
  </si>
  <si>
    <t>grace@letslucia.com</t>
  </si>
  <si>
    <t>+1 (631) 745-2772</t>
  </si>
  <si>
    <t>Lake Grove, NY</t>
  </si>
  <si>
    <t>58 Arbor Field Way</t>
  </si>
  <si>
    <t>Lake Grove</t>
  </si>
  <si>
    <t>11755</t>
  </si>
  <si>
    <t>hello@letslucia.com</t>
  </si>
  <si>
    <t>467107-39</t>
  </si>
  <si>
    <t>Lucky Sweater</t>
  </si>
  <si>
    <t>Isthmus</t>
  </si>
  <si>
    <t>Isthmus App, Inc.</t>
  </si>
  <si>
    <t>Operator of an online community clothing swap platform designed to explore different styles, discover independent designers and try things with the slow fashion community. The company's shared slow fashion wardrobe offers brands that are already known and to discover sustainable makers, size-inclusive labels and designers who are also members of the community, enabling users to connect through online groups to trade items and share advice and inspiration.</t>
  </si>
  <si>
    <t>Application Software, Information Services (B2C)*, Other Services (B2C Non-Financial)</t>
  </si>
  <si>
    <t>community platform, marketplace and community, online community application, online community platform, secondhand apparel, secondhand goods and product</t>
  </si>
  <si>
    <t>www.luckysweater.com</t>
  </si>
  <si>
    <t>http://www.linkedin.com/company/lucky-sweater</t>
  </si>
  <si>
    <t>2021: 3, 2022: 4, 2023: 4, 2024: 4</t>
  </si>
  <si>
    <t>The company raised $750,000 of seed funding from Keiki Capital, Amasia and Precursor Ventures on September 16, 2022. On Deck and 7other undisclosed investors also participated in the round.</t>
  </si>
  <si>
    <t>Allison Allen, Amasia, Blaine Light, Bloom Equity Partners, Bo Ren, Greenpoint Capital, John Kim, Keiki Capital, Nu Dao, On Deck, Precursor Ventures, Ramanan Raghavendran, Russ Heddleston</t>
  </si>
  <si>
    <t>Amasia (www.amasia.vc), Bloom Equity Partners (www.bloomequitypartners.com), Greenpoint Capital (greenpointvc.com), Keiki Capital (www.keikicapital.com), On Deck (www.beondeck.com), Precursor Ventures (precursorvc.com)</t>
  </si>
  <si>
    <t>Perkins Coie(Legal Advisor), Silicon Legal Strategy(Legal Advisor)</t>
  </si>
  <si>
    <t>265002-13P</t>
  </si>
  <si>
    <t>Carley Lake</t>
  </si>
  <si>
    <t>carley@isthmusapp.com</t>
  </si>
  <si>
    <t>Studio City, CA</t>
  </si>
  <si>
    <t>12217 Hillslope Street</t>
  </si>
  <si>
    <t>Studio City</t>
  </si>
  <si>
    <t>hello@luckysweater.com</t>
  </si>
  <si>
    <t>491148-28</t>
  </si>
  <si>
    <t>Ludo.</t>
  </si>
  <si>
    <t>Glow Labs Co</t>
  </si>
  <si>
    <t>Glow Labs, Inc.</t>
  </si>
  <si>
    <t>Loyyal, qiibee</t>
  </si>
  <si>
    <t>Developer of rewards software designed for white-label loyalty programs on the blockchain. The company's platform offers cryptocurrency to connect the wallet, enabling clients to receive rewards that will be sent in real-time after confirming the transaction on Metaverse.</t>
  </si>
  <si>
    <t>blockchain data, cryptocurrency and blockchain, labels loyalty, loyal holder, loyalty and incentive, loyalty program, metaverse hub, rewards software, social engagement</t>
  </si>
  <si>
    <t>www.tryludo.com</t>
  </si>
  <si>
    <t>http://www.linkedin.com/company/joinglow</t>
  </si>
  <si>
    <t>2022: 11</t>
  </si>
  <si>
    <t>The company raised $4.15 million of seed funding in a deal led by Human Ventures on April 12, 2022. Female Founders Fund, Forerunner Ventures, Harlem Capital, Red Beard Ventures and Empty Set Group also participated in the round. Previously, the company received GBP 29,898 of grant funding from Innovate UK in January 2022.</t>
  </si>
  <si>
    <t>Empty Set Group, Female Founders Fund, Forerunner Ventures, Harlem Capital, Human Ventures, Innovate UK, Red Beard Ventures</t>
  </si>
  <si>
    <t>Empty Set Group (www.emptysetgroup.com), Female Founders Fund (www.femalefoundersfund.com), Forerunner Ventures (www.forerunnerventures.com), Harlem Capital (harlem.capital), Human Ventures (www.human.vc), Red Beard Ventures (redbeard.ventures)</t>
  </si>
  <si>
    <t>290607-13P</t>
  </si>
  <si>
    <t>Renee Russo</t>
  </si>
  <si>
    <t>rrusso@tryludo.com</t>
  </si>
  <si>
    <t>401 2nd Avenue</t>
  </si>
  <si>
    <t>Apt 8C</t>
  </si>
  <si>
    <t>495741-34</t>
  </si>
  <si>
    <t>Mad Realities</t>
  </si>
  <si>
    <t>June Social, LTD.</t>
  </si>
  <si>
    <t>Developer of a decentralized media platform designed to let viewers own and co-create TV shows based on non-fungible tokens. The company's platform is an interactive and community-voted reality TV channel where people can participate in TV and decide what gets funded and distributed, enabling audiences and creatives to own the network and influence the shows.</t>
  </si>
  <si>
    <t>Financial Software, Movies, Music and Entertainment*, Other Financial Services</t>
  </si>
  <si>
    <t>crypto content and social, crypto platform, decentralized media, decentralized platform, nft platform, reality tv, web3 platform, web4</t>
  </si>
  <si>
    <t>www.madrealities.tv</t>
  </si>
  <si>
    <t>http://www.linkedin.com/company/mad-realities</t>
  </si>
  <si>
    <t>2022: 10, 2024: 14</t>
  </si>
  <si>
    <t>The company raised $6 million through a combination of Seed-1 and Seed-2 funding in a deal led by Paradigm on April 25, 2022, putting the company's pre-money valuation at $17 million. 11:11 Media and 14 other investors also participated in the round. The funds will be used to hire engineers to build out the platform and grow the core team.</t>
  </si>
  <si>
    <t>11:11 Media, Adar Zango, Alex Adelman, Alex Zhang, Breck stoghill, Electric Ant, Long Journey Ventures, Maveron, Paradigm (Crypto Fund), Patrick McCormick, Rex Woodbury, Rob Hayes, Selby Drummond, Tanthai Tanthai, Trevor McFedries, William Papper</t>
  </si>
  <si>
    <t>11:11 Media (www.parishilton.com), Electric Ant (www.electricant.xyz), Long Journey Ventures (www.longjourney.vc), Maveron (www.maveron.com), Paradigm (Crypto Fund) (www.paradigm.xyz)</t>
  </si>
  <si>
    <t>299445-22P</t>
  </si>
  <si>
    <t>Alice Ma</t>
  </si>
  <si>
    <t>Co-Founder, Co-Chief Executive Officer &amp; Chief Technology Officer</t>
  </si>
  <si>
    <t>alice@madrealities.xyz</t>
  </si>
  <si>
    <t>+1 (917) 810-3314</t>
  </si>
  <si>
    <t>Belmont, CA</t>
  </si>
  <si>
    <t>2850 Belmont Canyon Road</t>
  </si>
  <si>
    <t>Belmont</t>
  </si>
  <si>
    <t>94002</t>
  </si>
  <si>
    <t>459013-51</t>
  </si>
  <si>
    <t>MagicBell</t>
  </si>
  <si>
    <t>MagicBell, Inc.</t>
  </si>
  <si>
    <t>Developer of a real-time notification platform designed to help businesses improve their user experience with smart notifications. The company's platform facilitates a variety of tools allowing sending notifications to their users in real-time across multiple channels, including email, push notifications, and SMS, enabling clients to focus on the company's core business logic.</t>
  </si>
  <si>
    <t>api tool, multichannel system, notification management, notification software, performance analytics, real time communication, web push notifications</t>
  </si>
  <si>
    <t>www.magicbell.com</t>
  </si>
  <si>
    <t>http://www.linkedin.com/company/magicbell</t>
  </si>
  <si>
    <t>2021: 5, 2022: 12, 2023: 7</t>
  </si>
  <si>
    <t>The company raised $2.5 million of seed funding from Connect Ventures on October 31, 2021. Previously, the company raised $1.9 million of seed funding in a deal led by Cherry Ventures on April 29, 2021. Brighter Capital and 6 other investors also participated in the round.</t>
  </si>
  <si>
    <t>BlueLotus Ventures, Brighter Capital, Cherry Ventures, Christian Reber, Connect Ventures (UK), Magma Partners, Marie Outtier, Nicolas Dessaigne, Y Combinator</t>
  </si>
  <si>
    <t>BlueLotus Ventures (www.bluelotus.vc), Brighter Capital (www.brightercapital.com), Cherry Ventures (www.cherry.vc), Connect Ventures (UK) (www.connectventures.co), Magma Partners (www.magmapartners.com), Y Combinator (www.ycombinator.com)</t>
  </si>
  <si>
    <t>250820-11P</t>
  </si>
  <si>
    <t>Hana Mohan</t>
  </si>
  <si>
    <t>hana@magicbell.io</t>
  </si>
  <si>
    <t>Suite 4311</t>
  </si>
  <si>
    <t>hello@magicbell.io</t>
  </si>
  <si>
    <t>454661-74</t>
  </si>
  <si>
    <t>Maglev Aero</t>
  </si>
  <si>
    <t>Maglev Aero Inc.</t>
  </si>
  <si>
    <t>Developer of eVTOL (electric vertical take-off and landing) aircraft management platform designed to optimize mobility and connectivity. The company's platform helps in the deployment of high-performance and ultra-quiet vertical flight systems, enabling clients to improve urban air mobility systems.</t>
  </si>
  <si>
    <t>Commercial Products</t>
  </si>
  <si>
    <t>Aerospace and Defense</t>
  </si>
  <si>
    <t>Aerospace and Defense*, Business/Productivity Software, Other Hardware</t>
  </si>
  <si>
    <t>advances air mobility, aerospace components solution, aircraft design, aircraft maintenance software, aircraft management business, aircraft technology, autonomous machine, autonomous vehicle, electric aircraft, evtol passenger aircraft</t>
  </si>
  <si>
    <t>Air Taxis</t>
  </si>
  <si>
    <t>maglevaero.com</t>
  </si>
  <si>
    <t>http://www.linkedin.com/company/maglev-aero</t>
  </si>
  <si>
    <t>2020: 6, 2021: 6, 2022: 13, 2023: 24, 2024: 22</t>
  </si>
  <si>
    <t>The company raised $14.33 million of venture funding from Material Impact Fund, Moai Capital, and Grit Capital Partners on February 9, 2024, putting the company's pre-money valuation at $17.44 million. Breakthrough Energy, Stage 1 Ventures, and other undisclosed investors also participated in the round. Recently, the company joined the MassRobotics Resident Program on an undisclosed date.</t>
  </si>
  <si>
    <t>Breakthrough Energy, Grit Capital Partners, MassRobotics, Material Impact Fund, Moai Capital, Stage 1 Ventures</t>
  </si>
  <si>
    <t>Breakthrough Energy (breakthroughenergy.org), Grit Capital Partners (www.grit.vc), MassRobotics (www.massrobotics.org), Material Impact Fund (www.materialimpact.com), Moai Capital (www.moai.vc), Stage 1 Ventures (www.stage1ventures.com)</t>
  </si>
  <si>
    <t>304537-15P</t>
  </si>
  <si>
    <t>Steven Felsher</t>
  </si>
  <si>
    <t>Project Manager</t>
  </si>
  <si>
    <t>steve@maglevaero.com</t>
  </si>
  <si>
    <t>+1 (617) 416-2606</t>
  </si>
  <si>
    <t>Hopkinton, MA</t>
  </si>
  <si>
    <t>11 Hidden Brick Road</t>
  </si>
  <si>
    <t>Hopkinton</t>
  </si>
  <si>
    <t>01748</t>
  </si>
  <si>
    <t>+1 (508) 505-4191</t>
  </si>
  <si>
    <t>contact@maglevaero.com</t>
  </si>
  <si>
    <t>459169-66</t>
  </si>
  <si>
    <t>Magpie</t>
  </si>
  <si>
    <t>FixFake</t>
  </si>
  <si>
    <t>FixFake, Inc.</t>
  </si>
  <si>
    <t>Developer of a digital portfolio management platform designed to explore and provide the live value of luxury goods and collectibles. The company's platform offers access to proprietary sales, inventory, and customer data, filling the space between retail and investment apps to offer everything clients need for effective collectibles ownership, all in one place, enabling customers to enjoy everything from sneakers to handbags to baseball cards.</t>
  </si>
  <si>
    <t>advisortech, digital portfolio, ecommerce application, ecommerce platform, ecommerce software, fraud prevention, identity &amp; access management, identity and access management, management platform, portfolio valuation, vertical saas, wealthtech</t>
  </si>
  <si>
    <t>www.magpiecollectibles.com</t>
  </si>
  <si>
    <t>http://www.linkedin.com/company/yourmagpie</t>
  </si>
  <si>
    <t>2021: 12, 2022: 13, 2023: 10</t>
  </si>
  <si>
    <t>The company raised $50,000 of venture funding from Aria Emiko (Investment), Aperture Venture Capital, Rogue Women and Ideaship, Neman Ventures on February 6, 2024.</t>
  </si>
  <si>
    <t>Aperture Venture Capital, Aria Emiko (Investment), Elevate Ventures, Entrepreneurs Roundtable Accelerator, Graham &amp; Walker, Ideaship, Neman Ventures, Rogue Women, Techstars</t>
  </si>
  <si>
    <t>Aperture Venture Capital (www.aperturevc.com), Aria Emiko (Investment) (www.ariaemiko.com), Elevate Ventures (www.elevateventures.com), Entrepreneurs Roundtable Accelerator (www.eranyc.com), Graham &amp; Walker (www.grahamwalker.com), Ideaship (www.ideashipfund.com), Neman Ventures (www.shaneneman.com), Rogue Women (www.roguewmn.com), Techstars (www.techstars.com)</t>
  </si>
  <si>
    <t>251159-95P</t>
  </si>
  <si>
    <t>Kathryn Harrison</t>
  </si>
  <si>
    <t>kathryn@magpiecollectibles.com</t>
  </si>
  <si>
    <t>69 West 106 Street</t>
  </si>
  <si>
    <t>hello@magpiecollectibles.com</t>
  </si>
  <si>
    <t>470062-81</t>
  </si>
  <si>
    <t>MajorBoost</t>
  </si>
  <si>
    <t>MajorBoost, Inc.</t>
  </si>
  <si>
    <t>Developer of patient communication technology designed to simplify the link between healthcare providers and payers. The company helps with insurance questions, eligibility checks, and claim calls while eliminating phone mazes and hold music, enabling companies to reduce patient wait time and helping hospitals focus on their core services.</t>
  </si>
  <si>
    <t>Artificial Intelligence &amp; Machine Learning, FinTech, InsurTech, SaaS</t>
  </si>
  <si>
    <t>calling service, communication management, communication model, insurance help, patient communication, voice ai</t>
  </si>
  <si>
    <t>www.majorboost.com</t>
  </si>
  <si>
    <t>http://www.linkedin.com/company/majorboost</t>
  </si>
  <si>
    <t>2022: 10, 2023: 11, 2024: 8</t>
  </si>
  <si>
    <t>The company raised an undisclosed amount of seed funding from Hike Ventures and Plug and Play Tech Center on April 21, 2022. Previously, the company joined AI2 Incubator on April 6, 2022.</t>
  </si>
  <si>
    <t>AI2 Incubator, Allen Institute For Artificial Intelligence, Hike Ventures, Plug and Play Tech Center, WRF Capital</t>
  </si>
  <si>
    <t>AI2 Incubator (www.ai2incubator.com), Allen Institute For Artificial Intelligence (www.allenai.org), Hike Ventures (www.hikevc.com), Plug and Play Tech Center (www.plugandplaytechcenter.com), WRF Capital (www.wrfseattle.org)</t>
  </si>
  <si>
    <t>269227-09P</t>
  </si>
  <si>
    <t>Lekshmi Venu</t>
  </si>
  <si>
    <t>lekshmi@majorboost.com</t>
  </si>
  <si>
    <t>13910 Somerset Boulevard</t>
  </si>
  <si>
    <t>98006</t>
  </si>
  <si>
    <t>339792-40</t>
  </si>
  <si>
    <t>Manatee</t>
  </si>
  <si>
    <t>Manatee, Inc.</t>
  </si>
  <si>
    <t>Little Otter, Daybreak Health, Brightline (Clinics/Outpatient Services), Handspring, Bend Health</t>
  </si>
  <si>
    <t>Operator of a virtual mental health company intended to deepen the connection between today's families. The company's platform offers a virtual care model that includes family and child therapy, parent coaching, group sessions, daily activities, goals, and exercises, enabling parents to make mental health part of their family's day-to-day life.</t>
  </si>
  <si>
    <t>Application Software, Clinics/Outpatient Services*, Information Services (B2C), Social/Platform Software</t>
  </si>
  <si>
    <t>behavioral health, child therapy services, family connection platform, family therapy, mental health tech, mental health treatment, mental wellness, telatherapy, telehealth, therapy app</t>
  </si>
  <si>
    <t>Mental Health Tech</t>
  </si>
  <si>
    <t>www.getmanatee.com</t>
  </si>
  <si>
    <t>http://www.linkedin.com/company/getmanatee</t>
  </si>
  <si>
    <t>2021: 20, 2022: 33, 2023: 65, 2024: 60</t>
  </si>
  <si>
    <t>The company raised $5.00 million of seed funding from Techstars and other undisclosed investors on June 3, 2024.</t>
  </si>
  <si>
    <t>Danish Munir, Divergent Investments, Grand Ventures, GreyMatter (US), Hopelab, Jonathan Weiner, Luke Leninger, Progression Fund, SpringTime Ventures, Stone Mountain Ventures (Texas), Techstars, Telosity, Texas Medical Center, The American Family Insurance Institute for Corporate and Social Impact</t>
  </si>
  <si>
    <t>Divergent Investments (www.investdivergent.com), Grand Ventures (www.grandvcp.com), GreyMatter (US) (www.greymattercapital.com), Hopelab (www.hopelab.org), Progression Fund (www.progression.fund), SpringTime Ventures (www.springtimeventures.com), Stone Mountain Ventures (Texas) (www.stonemountainventures.com), Techstars (www.techstars.com), Telosity (telosity.co), Texas Medical Center (www.tmc.edu), The American Family Insurance Institute for Corporate and Social Impact (www.amfaminstitute.com)</t>
  </si>
  <si>
    <t>Orrick(Legal Advisor), Sheppard Mullin(Legal Advisor)</t>
  </si>
  <si>
    <t>215833-96P</t>
  </si>
  <si>
    <t>Damayanti Dipayana</t>
  </si>
  <si>
    <t>dama@getmanatee.com</t>
  </si>
  <si>
    <t>+1 (213) 558-4348</t>
  </si>
  <si>
    <t>2645 Ivanhoe Street</t>
  </si>
  <si>
    <t>80207</t>
  </si>
  <si>
    <t>hello@getmanatee.com</t>
  </si>
  <si>
    <t>484438-24</t>
  </si>
  <si>
    <t>Mappy (Business/Productivity Software)</t>
  </si>
  <si>
    <t>Mappy</t>
  </si>
  <si>
    <t>Mappy, Inc.</t>
  </si>
  <si>
    <t>Developer of mobile applications and data analytics platforms designed to offer analysis and socialization of geospatial movement. The company enhances guest experience with amenity search, turn-by-turn navigation, and connecting people with group location sharing on interactive two-dimensional and three-dimensional maps, and also offers an application to help snow enthusiasts explore resorts, helping users plan their route and navigate their journey with turn-by-turn directions.</t>
  </si>
  <si>
    <t>data analytics, developer tools, mapping app, mobile application, navigation app, navigation product</t>
  </si>
  <si>
    <t>www.bemappy.io</t>
  </si>
  <si>
    <t>http://www.linkedin.com/company/bemappy</t>
  </si>
  <si>
    <t>2021: 2, 2022: 2, 2023: 4, 2024: 3</t>
  </si>
  <si>
    <t>The company raised $1.23 million of seed funding from Scout Ventures, Maschmeyer Group Ventures and Hatcher+ on June 30, 2023, putting the company's pre-money valuation at $4 million. Blue Startups also participated in the round.</t>
  </si>
  <si>
    <t>Blue Startups, Hatcher+, MGV, Scout Ventures</t>
  </si>
  <si>
    <t>Blue Startups (www.bluestartups.com), Hatcher+ (hq.hatcher.com), MGV (www.mgv.vc), Scout Ventures (www.scout.vc)</t>
  </si>
  <si>
    <t>283712-05P</t>
  </si>
  <si>
    <t>Karyn Nolan</t>
  </si>
  <si>
    <t>+1 (808) 556-2919</t>
  </si>
  <si>
    <t>Honolulu, HI</t>
  </si>
  <si>
    <t>4348 Waialae Avenue</t>
  </si>
  <si>
    <t>Suite 532</t>
  </si>
  <si>
    <t>Honolulu</t>
  </si>
  <si>
    <t>Hawaii</t>
  </si>
  <si>
    <t>96816</t>
  </si>
  <si>
    <t>info@bemappy.io</t>
  </si>
  <si>
    <t>458778-07</t>
  </si>
  <si>
    <t>Maro</t>
  </si>
  <si>
    <t>BeforeWeBegin</t>
  </si>
  <si>
    <t>BeforeWeBegin, Inc.</t>
  </si>
  <si>
    <t>Developer of an information tech platform designed to spread awareness about reproductive and mental health. The company's platform leverages digital media and data for good to prevent avoidable, public health crises and to support early intervention and risk detection starting with school-based mental health screening and triaged interventions, enabling clients to partner with schools and districts to support student success through screening and family engagement.</t>
  </si>
  <si>
    <t>child development technologies, digital health platform, family engagement, health information, mental health awareness, mental health screening</t>
  </si>
  <si>
    <t>www.meetmaro.com</t>
  </si>
  <si>
    <t>http://www.linkedin.com/company/meetmaro</t>
  </si>
  <si>
    <t>2021: 16, 2022: 23, 2023: 17, 2024: 16</t>
  </si>
  <si>
    <t>The company raised an undisclosed amount of seed funding from Everywhere Ventures on September 30, 2024. Previously, the company joined Wireless Foundation on August 13, 2024. No equity or funding was exchanged as a result of this program.</t>
  </si>
  <si>
    <t>100 Ventures, AlleyCorp, Copper Wire Ventures, Everywhere Ventures, gBETA, GrowthX Capital, How Women Invest, JFFVentures, Jumpstart Foundry, Kapor Capital, Right Side Capital Management, Sagamore BioVentures, VEST Her Ventures, Winterpoint Capital, Wireless Foundation</t>
  </si>
  <si>
    <t>100 Ventures (www.100ventures.fund), AlleyCorp (www.alleycorp.com), Copper Wire Ventures (www.copperwire.ventures), Everywhere Ventures (everywhere.vc), gBETA (gbetastartups.com), GrowthX Capital (www.growthx.com), How Women Invest (www.howwomeninvest.com), JFFVentures (www.jff.org/what-we-do), Jumpstart Foundry (www.jsf.co), Kapor Capital (www.kaporcapital.com), Right Side Capital Management (www.rightsidecapital.com), Sagamore BioVentures (www.sagamorebioventures.net), VEST Her Ventures (www.vesther.co), Winterpoint Capital (www.winterpointcapital.com), Wireless Foundation (wirelessfoundation.org)</t>
  </si>
  <si>
    <t>250697-80P</t>
  </si>
  <si>
    <t>Kenzie Butera Davis</t>
  </si>
  <si>
    <t>Chattanooga, TN</t>
  </si>
  <si>
    <t>1489 Sinclair Avenue</t>
  </si>
  <si>
    <t>Chattanooga</t>
  </si>
  <si>
    <t>37402</t>
  </si>
  <si>
    <t>hello@meetmaro.com</t>
  </si>
  <si>
    <t>465690-70</t>
  </si>
  <si>
    <t>Maxwell (Omaha)</t>
  </si>
  <si>
    <t>Maxwell</t>
  </si>
  <si>
    <t>Maxwell Solutions, Inc.</t>
  </si>
  <si>
    <t>Developer of work-life management application designed for healthcare employers to prioritize their team's well-being and retain employees. The company's application allows employers to provide their workforces with a monthly lifestyle benefits budget, or ad-hoc rewards/recognition, that puts the choice in their hands and creates a connection, enabling companies to leverage artificial intelligence, behavioral science, and a consumer-brand approach to treat employees as customers of the workplace.</t>
  </si>
  <si>
    <t>Business/Productivity Software*, Human Capital Services, Media and Information Services (B2B), Other Hardware</t>
  </si>
  <si>
    <t>artificial intelligence engine, employee data, employee retention, hr saas, lifestyle needs, mobile -based app, productivity software system, work management software, work management system</t>
  </si>
  <si>
    <t>www.maxwell.app</t>
  </si>
  <si>
    <t>http://www.linkedin.com/company/maxwell-app</t>
  </si>
  <si>
    <t>The company joined Google for Startups on an undisclosed date and received $150,000 funding in the form of grant.</t>
  </si>
  <si>
    <t>gBETA, Google for Startups, Husker Venture Fund, Invest Nebraska, Techstars</t>
  </si>
  <si>
    <t>gBETA (gbetastartups.com), Google for Startups (startup.google.com), Invest Nebraska (www.investnebraska.com), Techstars (www.techstars.com)</t>
  </si>
  <si>
    <t>261543-79P</t>
  </si>
  <si>
    <t>Adriana Basulto</t>
  </si>
  <si>
    <t>Co-Founder, Chief Executive Officer &amp; Chief Human Resources Officer</t>
  </si>
  <si>
    <t>adriana.cisneros@maxwell.app</t>
  </si>
  <si>
    <t>+1 (402) 540-7830</t>
  </si>
  <si>
    <t>1402 Jones Street</t>
  </si>
  <si>
    <t>472538-17</t>
  </si>
  <si>
    <t>MEandMine</t>
  </si>
  <si>
    <t>MEandMine, Inc.</t>
  </si>
  <si>
    <t>Developer of educational games designed to make social-emotional learning accessible to every child and family. The company offers interactive learning tools and its learning plan is customized to support your kid's development needs, meeting them where they are, enabling teachers and parents to help their children in their intellectual and emotional development.</t>
  </si>
  <si>
    <t>Education and Training Services (B2B), Educational and Training Services (B2C), Educational Software*, Information Services (B2C)</t>
  </si>
  <si>
    <t>EdTech, Gaming</t>
  </si>
  <si>
    <t>child development, children growth, education tool, educational games, gaming content, gaming platform, kids games, kids interaction, mental health, self improvement skills, social-emotional learning</t>
  </si>
  <si>
    <t>www.meandmine.com</t>
  </si>
  <si>
    <t>http://www.linkedin.com/company/meandmine</t>
  </si>
  <si>
    <t>2021: 15, 2023: 16</t>
  </si>
  <si>
    <t>The company raised $4.5 million of Series 2 seed funding in a deal led by K5 Global on May 31, 2024, putting the company's pre-money valuation at $10.5 million. Claritas Capital also participated in the round. Claritas Capital and other undisclosed investors also participated in the round.</t>
  </si>
  <si>
    <t>Amazon.com, Claritas Capital, K5 Global, KBS Angels, Magic Bridge Foundation, Smart Capital, Wistron</t>
  </si>
  <si>
    <t>Amazon Smbhav Venture Fund</t>
  </si>
  <si>
    <t>Amazon.com (www.amazon.com), Claritas Capital (www.claritascapital.com), K5 Global (www.k5global.com), Smart Capital (smartcapitalmgmt.com), Wistron (www.wistron.com)</t>
  </si>
  <si>
    <t>274669-21P</t>
  </si>
  <si>
    <t>Elinor Huang</t>
  </si>
  <si>
    <t>elinor@meandmine.com</t>
  </si>
  <si>
    <t>+1 (608) 338-5324</t>
  </si>
  <si>
    <t>622 Fairmont Avenue</t>
  </si>
  <si>
    <t>94041</t>
  </si>
  <si>
    <t>info@meandmine.com</t>
  </si>
  <si>
    <t>433115-38</t>
  </si>
  <si>
    <t>MeBeBot</t>
  </si>
  <si>
    <t>MeBeBot, Inc.</t>
  </si>
  <si>
    <t>Espressive, Leena AI, Glean</t>
  </si>
  <si>
    <t>Developer of a virtual assistant application intended to assist employee queries. The company's application provides the ability to offer answers from its knowledge base or custom content and uses artificial intelligence to learn the frequently used words, enabling employees to get their questions answered without having to wait for superiors at any time and anywhere and assist the human resource in the automated recruitment process.</t>
  </si>
  <si>
    <t>ai platform service, ai platform technology, chatbot assistant, digital employee experience, digital transformation, employee engagement, hr chatbot, intelligent virtual agent, virtual assistant software, work automation tools</t>
  </si>
  <si>
    <t>www.mebebot.com</t>
  </si>
  <si>
    <t>http://www.linkedin.com/company/mebebot</t>
  </si>
  <si>
    <t>2020: 5, 2021: 18, 2022: 16, 2024: 17</t>
  </si>
  <si>
    <t>The company raised $225,000 of venture funding from Team Ignite Ventures on December 1, 2022.</t>
  </si>
  <si>
    <t>Capital Factory, Team Ignite Ventures</t>
  </si>
  <si>
    <t>Capital Factory (www.capitalfactory.com), Team Ignite Ventures (www.teamignite.ventures)</t>
  </si>
  <si>
    <t>Altus Alliance(Advisor: General), Chase Bank(General Business Banking)</t>
  </si>
  <si>
    <t>213744-88P</t>
  </si>
  <si>
    <t>Anthony Nolte</t>
  </si>
  <si>
    <t>Fractional Chief Financial Officer, Fractional General Counsel &amp; Advisor</t>
  </si>
  <si>
    <t>anthony.nolte@mebebot.com</t>
  </si>
  <si>
    <t>+1 (726) 999-0151</t>
  </si>
  <si>
    <t>P.O. Box 41677</t>
  </si>
  <si>
    <t>78704</t>
  </si>
  <si>
    <t>info@mebebot.com</t>
  </si>
  <si>
    <t>Bridge Loan - $0.23M (Convertible)</t>
  </si>
  <si>
    <t>181585-36</t>
  </si>
  <si>
    <t>MedHaul</t>
  </si>
  <si>
    <t>MedHaul, Inc.</t>
  </si>
  <si>
    <t>Operator of a cloud-based patient transportation management platform intended to address and eliminate transportation barriers in distressed and rural communities. The company's platform is a two-sided marketplace, connecting hospitals and clinics to quality transporting providers in communities and offers a single place, for healthcare providers to schedule and manage rides for any patient, enabling patients to easily access safe and reliable transportation.</t>
  </si>
  <si>
    <t>Application Software, Automotive*, Other Healthcare Services</t>
  </si>
  <si>
    <t>Mobility Tech, SaaS</t>
  </si>
  <si>
    <t>clinicians workflow, healthcare transportation, healthcare transportation services, information technology, patient transportation management, population health, transportation management, transportation software</t>
  </si>
  <si>
    <t>www.gomedhaul.com</t>
  </si>
  <si>
    <t>http://www.linkedin.com/company/medhaul</t>
  </si>
  <si>
    <t>2017: 2, 2020: 7, 2021: 8, 2022: 7, 2023: 10, 2024: 13</t>
  </si>
  <si>
    <t>1863 Ventures, Citi Impact Fund, Citigroup Alternative Investments, Entrepreneurship-Powered Innovation Center, Five Two Five, Google for Startups, Impact Assets, Innova Memphis, Launch Tennessee, Morgan Stanley, Morgan Stanley Inclusive Ventures Lab, Outlander VC, Reform Ventures, Silicon Valley Social Venture Fund, StartUp Health, Unseen Capital, Verizon Forward for Good, Zaffre Investments</t>
  </si>
  <si>
    <t>1863 Ventures (www.1863.fund), Entrepreneurship-Powered Innovation Center (www.epicentermemphis.org), Five Two Five (www.525.vc), Google for Startups (startup.google.com), Impact Assets (www.impactassets.org), Innova Memphis (www.innovamemphis.com), Launch Tennessee (launchtn.org), Morgan Stanley (www.morganstanley.com), Outlander VC (www.outlander.vc), Reform Ventures (www.reformventures.com), Silicon Valley Social Venture Fund (www.sv2.org), StartUp Health (www.startuphealth.com), Unseen Capital (www.unseen.capital), Verizon Forward for Good (www.verizonforwardforgood.com), Zaffre Investments (www.zaffreinvestments.com)</t>
  </si>
  <si>
    <t>164074-06P</t>
  </si>
  <si>
    <t>Erica Plybeah</t>
  </si>
  <si>
    <t>erica@gomedhaul.com</t>
  </si>
  <si>
    <t>+1 (662) 374-3560</t>
  </si>
  <si>
    <t>Memphis, TN</t>
  </si>
  <si>
    <t>150 Peabody Place</t>
  </si>
  <si>
    <t>Memphis</t>
  </si>
  <si>
    <t>38103</t>
  </si>
  <si>
    <t>info@gomedhaul.com</t>
  </si>
  <si>
    <t>Expected 23-May-2029</t>
  </si>
  <si>
    <t>361868-95</t>
  </si>
  <si>
    <t>Medley (Educational and Training Services)</t>
  </si>
  <si>
    <t>Medley</t>
  </si>
  <si>
    <t>Medley Living, Inc.</t>
  </si>
  <si>
    <t>Developer of a training platform intended to help young professionals to improve their skills. The company's platform offers membership for curious, growth-minded people who want a structured, social, and accessible way to invest in themselves and gain the skills needed to bring out their authentic selves to work, enabling members to get a space to learn and grow with others.</t>
  </si>
  <si>
    <t>digital learning, learning community, online learning, skills development, training platform, upskilling courses</t>
  </si>
  <si>
    <t>www.withmedley.com</t>
  </si>
  <si>
    <t>http://www.linkedin.com/company/withmedley</t>
  </si>
  <si>
    <t>2020: 13, 2021: 36, 2022: 43, 2023: 70</t>
  </si>
  <si>
    <t>The company raised an undisclosed amount of seed funding from Zeal Capital Partners in 2024.</t>
  </si>
  <si>
    <t>Aglaé Ventures, Andreessen Horowitz, Ciara Wilson, Damien Dwin, Dara Treseder, Foundation Capital, Jennifer Rubio, Sanyin Siang, Tim Armstrong, Zeal Capital Partners</t>
  </si>
  <si>
    <t>Aglaé Ventures (www.aglaeventures.com), Andreessen Horowitz (www.a16z.com), Foundation Capital (www.foundationcapital.com), Zeal Capital Partners (www.zealvc.co)</t>
  </si>
  <si>
    <t>41238-01P</t>
  </si>
  <si>
    <t>Edith Cooper</t>
  </si>
  <si>
    <t>edith@withmedley.com</t>
  </si>
  <si>
    <t>+1 (212) 902-1000</t>
  </si>
  <si>
    <t>401 Park Avenue</t>
  </si>
  <si>
    <t>Second Floor 10</t>
  </si>
  <si>
    <t>+1 (646) 927-5511</t>
  </si>
  <si>
    <t>hello@withmedley.com</t>
  </si>
  <si>
    <t>525645-73</t>
  </si>
  <si>
    <t>Meeno</t>
  </si>
  <si>
    <t>Meeno Technologies Inc.</t>
  </si>
  <si>
    <t>Developer of relationship mentoring platform intended for people those seeking to improve their close relationships. The company's platform utilizes AI to provide personalized feedback and guidance on various aspects of relationships, enabling users to develop stronger social connections and enhance their overall well-being.</t>
  </si>
  <si>
    <t>Application Software*, Information Services (B2C), Social Content</t>
  </si>
  <si>
    <t>artifical intellegence, generative ai, human connection, mental health, mobile apps, relationship coaching, relationship coaching services, social media</t>
  </si>
  <si>
    <t>meeno.com</t>
  </si>
  <si>
    <t>http://www.linkedin.com/company/meeno-official</t>
  </si>
  <si>
    <t>The company raised $3.9 million through a combination of Seed 1, and Seed 2 funding in a deal led by AI Fund and Sequoia Capital on September 26, 2023, putting the company's pre-money valuation at $10 million. Megan Jones Bell, Build Collective and 6 other investors participated in the round.</t>
  </si>
  <si>
    <t>AI Fund, André Heinz, Balance Pilot Capital, Build Collective, Eileen Burbidge, James Lanzone, Joseph Zadeh, Megan Bell, Peter Rojas, Sequoia Capital</t>
  </si>
  <si>
    <t>AI Fund (www.aifund.ai), Build Collective (www.buildc.com), Peter Rojas (roj.as), Sequoia Capital (www.sequoiacap.com)</t>
  </si>
  <si>
    <t>345359-26P</t>
  </si>
  <si>
    <t>Renate Nyborg</t>
  </si>
  <si>
    <t>232914-34</t>
  </si>
  <si>
    <t>Member Marketplace</t>
  </si>
  <si>
    <t>Shop Where I live</t>
  </si>
  <si>
    <t>Member Marketplace, Inc.</t>
  </si>
  <si>
    <t>Operator of an e-commerce marketplace intended to use consumer preference for local businesses. The company's marketplace creates online platforms for communities that empower local small businesses to sell products and services, enabling businesses with support and training and offering customer service to shoppers without leaving their homes.</t>
  </si>
  <si>
    <t>Internet Retail, IT Consulting and Outsourcing, Media and Information Services (B2B)*</t>
  </si>
  <si>
    <t>AdTech, E-Commerce</t>
  </si>
  <si>
    <t>community commerce, ecommerce marketplace, local advertising, marketplace application, marketplace website, online learning, online store platform, small business development</t>
  </si>
  <si>
    <t>www.membermarketplaceinc.com</t>
  </si>
  <si>
    <t>http://www.linkedin.com/company/member-marketplace-inc</t>
  </si>
  <si>
    <t>2018: 2, 2020: 5, 2021: 6, 2022: 7, 2023: 8, 2024: 7</t>
  </si>
  <si>
    <t>The company raised $500,000 of pre-seed funding in the combination of convertible debt and equity from ISA Ventures on November 15, 2021.</t>
  </si>
  <si>
    <t>ISA Ventures, New Bohemian Innovation Collaborative</t>
  </si>
  <si>
    <t>ISA Ventures (www.isaventures.com), New Bohemian Innovation Collaborative (www.newbo.co)</t>
  </si>
  <si>
    <t>193519-81P</t>
  </si>
  <si>
    <t>Cherie Edilson</t>
  </si>
  <si>
    <t>cherie@membermarketplaceinc.com</t>
  </si>
  <si>
    <t>+1 (833) 278-2742</t>
  </si>
  <si>
    <t>Marion, IA</t>
  </si>
  <si>
    <t>PO Box 1008</t>
  </si>
  <si>
    <t>Marion</t>
  </si>
  <si>
    <t>52302</t>
  </si>
  <si>
    <t>info@membermarketplaceinc.com</t>
  </si>
  <si>
    <t>Bridge Loan - $0.35M (Convertible)</t>
  </si>
  <si>
    <t>166160-44</t>
  </si>
  <si>
    <t>MentalHappy</t>
  </si>
  <si>
    <t>MentalHappy Inc</t>
  </si>
  <si>
    <t>Heka (Information Services (B2C)), Zeera, MyLife (US), Manatee, Vida Health, Modern Health, Lyra Health, Twill, Omada, Spring Health, Lark, uMore, OOTify, Big Health, Meru Health, myStrength</t>
  </si>
  <si>
    <t>Operator of a social networking platform intended to help people improve their emotional well-being through peer support. The company's platform offers a safe space to talk about emotional health and the challenges faced in daily life and receive support, enabling users to get the inspirational help they deserve without financial or physical limitations.</t>
  </si>
  <si>
    <t>Information Services (B2C), Other Healthcare Services, Social/Platform Software*</t>
  </si>
  <si>
    <t>LOHAS &amp; Wellness, Mobile, TMT</t>
  </si>
  <si>
    <t>emotional health support, emotional wellness, mental health platform, mental health system, social networking platform, wellness consultancy platform</t>
  </si>
  <si>
    <t>www.mentalhappy.com</t>
  </si>
  <si>
    <t>http://www.linkedin.com/company/mentalhappy</t>
  </si>
  <si>
    <t>2020: 4, 2021: 9, 2022: 10, 2023: 10</t>
  </si>
  <si>
    <t>The company raised $500,000 of venture funding from undisclosed investors on August 6, 2024.</t>
  </si>
  <si>
    <t>Chai Ventures NYC, Daniel Hu, Daniel Yoo, Francisco Malafaya, Holly Liu, MergeLane, Northwestern Mutual Future Ventures, Peter Reinhardt, Samuel Oppong, Social Impact Capital, The Mill Accelerator, Tim Wagner, Y Combinator</t>
  </si>
  <si>
    <t>Chai Ventures NYC (www.chai-ventures.com), MergeLane (www.mergelane.com), Northwestern Mutual Future Ventures (venture.northwesternmutual.com/future-ventures.html), Social Impact Capital (www.social-impact-capital.com), The Mill Accelerator (www.themill.vc), Y Combinator (www.ycombinator.com)</t>
  </si>
  <si>
    <t>StartEngine(Lead Manager or Arranger), Wefunder(Lead Manager or Arranger)</t>
  </si>
  <si>
    <t>144849-16P</t>
  </si>
  <si>
    <t>Tamar Blue</t>
  </si>
  <si>
    <t>tamar@mentalhappy.com</t>
  </si>
  <si>
    <t>2193 Fillmore Street</t>
  </si>
  <si>
    <t>Suite 15</t>
  </si>
  <si>
    <t>+1 (415) 506-7790</t>
  </si>
  <si>
    <t>hi@mentalhappy.com</t>
  </si>
  <si>
    <t>433392-85</t>
  </si>
  <si>
    <t>Mento</t>
  </si>
  <si>
    <t>Mento Inc</t>
  </si>
  <si>
    <t>Developer of a career platform intended to help people advance in the workplace through a combination of coaching, tools, content, and data. The company's platform offers a career support system with tools and resources to organize and execute job searches, market salary data, and negotiation strategies, enabling employees to manage their careers, salaries, and daily work.</t>
  </si>
  <si>
    <t>Business/Productivity Software, Education and Training Services (B2B)*, Media and Information Services (B2B)</t>
  </si>
  <si>
    <t>career planning, career platform, management coaching, professional training, promotion strategy, training and coaching</t>
  </si>
  <si>
    <t>www.mento.co</t>
  </si>
  <si>
    <t>http://www.linkedin.com/company/mentoteam</t>
  </si>
  <si>
    <t>2021: 7, 2022: 22, 2023: 57</t>
  </si>
  <si>
    <t>The company raised an estimated $3.50 million of Seed-2 funding from NextGen Venture Partners, Twelve Below, and other undisclosed investors on March 18, 2022, putting the company's pre-money valuation at $14 million.</t>
  </si>
  <si>
    <t>186 Ventures, Bossa Invest, Edward Frindt, M13, NextGen Venture Partners, Raymond Colletti, Slow Ventures, Taylor Greene, Tonio DeSorrento, Twelve Below, Zag Capital</t>
  </si>
  <si>
    <t>186 Ventures (186ventures.com), Bossa Invest (www.bossainvest.com), M13 (www.m13.co), NextGen Venture Partners (www.nextgenvp.com), Slow Ventures (www.slow.co), Twelve Below (www.twelvebelow.co), Zag Capital (zagcapital.com)</t>
  </si>
  <si>
    <t>250291-54P</t>
  </si>
  <si>
    <t>Alex Marcus</t>
  </si>
  <si>
    <t>Co-Founder and Co-Chief Executive Officer</t>
  </si>
  <si>
    <t>alex@mento.co</t>
  </si>
  <si>
    <t>484268-86</t>
  </si>
  <si>
    <t>Mentra</t>
  </si>
  <si>
    <t>Mentra, Inc.</t>
  </si>
  <si>
    <t>Developer of a mentorship application designed to support job seekers with autism. The company is engaged in developing a neurodivergent-friendly talent platform that intelligently matches neurodiverse individuals with employers that value their strengths, helping clients get their dream job and stay in touch after their start date to make sure their new position is everything they want it to be.</t>
  </si>
  <si>
    <t>Business/Productivity Software*, Human Capital Services, Other Services (B2C Non-Financial)</t>
  </si>
  <si>
    <t>career development, dyslexia, inclusive hiring program, job seekers portal, mentorship platform, mentorship service, neurodiverse workforce, talent development</t>
  </si>
  <si>
    <t>www.mentra.com</t>
  </si>
  <si>
    <t>http://www.linkedin.com/company/mymentra</t>
  </si>
  <si>
    <t>2021: 26, 2022: 23, 2023: 22, 2024: 21</t>
  </si>
  <si>
    <t>The company raised $3.5 million of seed funding in a deal led by Shine Capital on March 1, 2023. FullCircle and 5 other investors also participated in the round.</t>
  </si>
  <si>
    <t>Apollo Projects, Charlotte Fund, FullCircle (New York), Georgia Tech Foundation, Hydrazine Capital, MPG Fund, National Institute for Disability and Rehabilitation Research, New Era Ventures (New York), Scott Belsky, Shine Capital, Skyhook Ventures, Verissimo Ventures</t>
  </si>
  <si>
    <t>Apollo Projects (www.apolloprojects.com), Charlotte Fund (www.charlottefund.com), FullCircle (New York) (www.fullcirclefund.io), Georgia Tech Foundation (www.gtf.gatech.edu), MPG Fund (www.mpgfund.com), National Institute for Disability and Rehabilitation Research (acl.gov), New Era Ventures (New York) (www.neweraventures.com), Scott Belsky (www.scottbelsky.com), Shine Capital (www.shine.vc), Skyhook Ventures (www.skyhook.ventures), Verissimo Ventures (verissimo.vc)</t>
  </si>
  <si>
    <t>283052-44P</t>
  </si>
  <si>
    <t>Jhillika Kumar</t>
  </si>
  <si>
    <t>Charlotte, NC</t>
  </si>
  <si>
    <t>9805 Statesville Road</t>
  </si>
  <si>
    <t>Suite 6169</t>
  </si>
  <si>
    <t>Charlotte</t>
  </si>
  <si>
    <t>28269</t>
  </si>
  <si>
    <t>info@mentra.me</t>
  </si>
  <si>
    <t>223768-36</t>
  </si>
  <si>
    <t>Meowtel</t>
  </si>
  <si>
    <t>Meowtel, Inc.</t>
  </si>
  <si>
    <t>Rover Group</t>
  </si>
  <si>
    <t>Developer of a cat-sitting application designed to connect cat parents with trusted and insured cat sitters. The company's platform offers a curated list of all available local cat sitters who are verified and have a sound professional experience based on customers' individual pet healthcare requirements, enabling cat owners to find and book reliable cat sitters while on the go.</t>
  </si>
  <si>
    <t>Mobile, Pet Technology, SaaS</t>
  </si>
  <si>
    <t>animal specialties, booking app, consumer services, pet care platform, pet healthcare, sitting services</t>
  </si>
  <si>
    <t>www.meowtel.com</t>
  </si>
  <si>
    <t>http://www.linkedin.com/company/meowtel-com</t>
  </si>
  <si>
    <t>2018: 3, 2019: 7, 2020: 12, 2021: 40, 2022: 60</t>
  </si>
  <si>
    <t>The company raised venture funding from Hustle Fund, SaaSCraft Ventures, and Hands On Angel on an undisclosed date. Previously, the company raised $500,000 in venture funding through a deal led by LAUNCH Fund on January 27, 2020. Tech Wildcatters, Hustle Fund, Jason Calacanis, and Sputnik ATX also participated in the round.</t>
  </si>
  <si>
    <t>Hands On Angel, Hustle Fund, Institute for Innovation &amp; Entrepreneurship at UTD, Jason Calacanis, LAUNCH Fund, SaaSCraft Ventures, Sputnik ATX, Tech Wildcatters</t>
  </si>
  <si>
    <t>Hands On Angel (www.handsonangel.com), Hustle Fund (www.hustlefund.vc), Institute for Innovation &amp; Entrepreneurship at UTD (innovation.utdallas.edu), LAUNCH Fund (www.launch.co), SaaSCraft Ventures (www.saascraft.vc), Sputnik ATX (www.sputnikatx.com), Tech Wildcatters (www.techwildcatters.com)</t>
  </si>
  <si>
    <t>Venturous Counsel(Legal Advisor)</t>
  </si>
  <si>
    <t>259395-40P</t>
  </si>
  <si>
    <t>Bruno Leveque</t>
  </si>
  <si>
    <t>bruno@meowtel.com</t>
  </si>
  <si>
    <t>+1 (844) 636-9835</t>
  </si>
  <si>
    <t>44 Tehama Street</t>
  </si>
  <si>
    <t>459033-58</t>
  </si>
  <si>
    <t>Merge</t>
  </si>
  <si>
    <t>Merge API Inc.</t>
  </si>
  <si>
    <t>Redwood Software, Jitterbit, Adeptia, Tray.io, Salesforce, SnapLogic, Kore.ai, TIBCO Software, Apideck, Workato, Paylocity, RoboMQ, Appian, Cloud Elements, Tealium, Registria, SolarWinds, Qubole, ElectroNeek, Thoughtonomy, Presail, Tungsten Automation, WorkFusion, PrismHR, Bedrock Data, SyncHR, Automation Anywhere, OneSaas, Oracle NetSuite, Integrate.io, Hull, Kryon, Nintex, Cleo Communications, SS&amp;C Blue Prism, MuleSoft, Fortra, Chartio, WinAutomation, MicroStrategy (Business/Productivity Software), Astronomer, Elastic.io, Celonis, Celigo, Alteryx, UiPath, SmartBear, Avaamo, Scribe Software, Zapier, Boomi, Rasa (Business/Productivity Software), Tableau Software, Datameer, Vibe HCM, Attunity, Tamr, Cyclr, Testim, Stringify, Leapwork, Talend, Mixpanel, Swrve, Fivetran, Periscope Data, Oracle, MetaMind (Software Development Applications), Zenefits, APImetrics, Datadog, Cazoomi, Automatic Data Processing, Cognigy, FortressIQ, CareerPlug, Twilio Segment, PieSync, Amplitude, Paxata, HiBob, Edgeverve Systems</t>
  </si>
  <si>
    <t>Developer of application programming interfaces and integration tools designed to transform how B2B companies realize customer-facing integrations. The company offers one application programming interface to integrate with all human resources, payroll, recruiting, accounting, and other platforms, enabling businesses to manage their integrations through a unified platform.</t>
  </si>
  <si>
    <t>FinTech, HR Tech, SaaS, TMT</t>
  </si>
  <si>
    <t>api integration, api-first, application infrastructure, cfo stack, developer tools, enterprise resource planning, erp, human capital management, integration platform, integration software, integration software developer, unified platform</t>
  </si>
  <si>
    <t>www.merge.dev</t>
  </si>
  <si>
    <t>http://www.linkedin.com/company/merge-api</t>
  </si>
  <si>
    <t>2021: 27, 2022: 60, 2023: 88, 2024: 118</t>
  </si>
  <si>
    <t>Competitor (New) Automatic Data Processing, Competitor (New) Oracle</t>
  </si>
  <si>
    <t>The company raised $55 million of Series B venture funding in a deal led by Accel on September 14, 2022, putting the company's pre-money valuation at $260 million. New Enterprise Associates, Addition, Browder Capital, DarkMode Ventures, and ASDF Ventures also participated in the round. The funds will be used to expand the team from 60 today to over 100 next year, investing in both R&amp;D and GTM teams.</t>
  </si>
  <si>
    <t>20VC, Accel, Addition, Alexandru Solomon, ASDF Ventures, Benjamin Herman, Browder Capital, Cristina Cordova, Daniel Marashlian, DarkMode Ventures, Eric Glyman, Gregory Schott, Harry Stebbings, Jean-Denis Greze, Joshua Browder, Matthew Kraning, Matthew Prince, Michael Martocci, Mischief, New Enterprise Associates, Oliver Jay, Patrick McCormick, Tim Junio</t>
  </si>
  <si>
    <t>20VC (20vc.fund), Accel (www.accel.com), Addition (www.addition.com), ASDF Ventures (www.asdfventures.com), Browder Capital (www.browdercapital.com), Cristina Cordova (www.cristinajcordova.com), DarkMode Ventures (www.darkmode.vc), Mischief (www.mischief.xyz), New Enterprise Associates (www.nea.com)</t>
  </si>
  <si>
    <t>262874-53P</t>
  </si>
  <si>
    <t>Gilbert Feig</t>
  </si>
  <si>
    <t>gfeig@merge.dev</t>
  </si>
  <si>
    <t>Two Embarcadero Center</t>
  </si>
  <si>
    <t>WeWork, 8th Floor</t>
  </si>
  <si>
    <t>hello@merge.dev</t>
  </si>
  <si>
    <t>571565-35</t>
  </si>
  <si>
    <t>Mesa Quantum</t>
  </si>
  <si>
    <t>Mesa Quantum Systems, Inc</t>
  </si>
  <si>
    <t>Miraex</t>
  </si>
  <si>
    <t>Developer of a photonic quantum computing hardware designed to revolutionize computing power. The company offers an integrated photonic quantum computing chip to encode and manipulate quantum information, potentially leading to significant advantages in scalability and stability compared to other approaches, enabling customers to harness the power of quantum computing for solving complex problems intractable by classical computers.</t>
  </si>
  <si>
    <t>Semiconductors</t>
  </si>
  <si>
    <t>Application Specific Semiconductors</t>
  </si>
  <si>
    <t>Application Specific Semiconductors*, Electronic Equipment and Instruments, Other Semiconductors</t>
  </si>
  <si>
    <t>Manufacturing</t>
  </si>
  <si>
    <t>atomic clocks manufacturer, cell technology, computing chips, gps satellite tracking, infrastructure monitoring, portable electronics, quantum information technology</t>
  </si>
  <si>
    <t>Quantum Computing</t>
  </si>
  <si>
    <t>mesaquantum.com</t>
  </si>
  <si>
    <t>http://www.linkedin.com/company/mesa-quantum</t>
  </si>
  <si>
    <t>The company joined Venture Partners at CU Boulder on an undisclosed date. No equity or funding was exchanged as a result of this program.</t>
  </si>
  <si>
    <t>Harvard Innovation Launch Lab, HAX, J2 Ventures, Ripple Impact Investments, SOSV, SpaceWERX, TFX Capital, Venture Partners at CU Boulder</t>
  </si>
  <si>
    <t>Harvard Innovation Launch Lab (www.innovationlabs.harvard.edu), HAX (hax.co), J2 Ventures (www.j2vp.com), Ripple Impact Investments (www.rippleimpactinvestments.com), SOSV (www.sosv.com), SpaceWERX (www.spacewerx.us), TFX Capital (www.tfxcap.com)</t>
  </si>
  <si>
    <t>395760-52P</t>
  </si>
  <si>
    <t>Sristy Agrawal</t>
  </si>
  <si>
    <t>sristy@mesaquantum.com</t>
  </si>
  <si>
    <t>3795 Table Mesa Drive</t>
  </si>
  <si>
    <t>Suite 9D</t>
  </si>
  <si>
    <t>80305</t>
  </si>
  <si>
    <t>contact@mesaquantum.com</t>
  </si>
  <si>
    <t>501546-88</t>
  </si>
  <si>
    <t>Metaintro</t>
  </si>
  <si>
    <t>Metaintro, Inc.</t>
  </si>
  <si>
    <t>Developer of a professional multi-chain custodian wallet for web3 designed to search for job opportunities. The company's multi-chain custodial wallet holds proof of employment, proof of skill, and proof of education, replacing the portable document file (PDF) resume and newsletter dedicated to web3 jobs, enabling job seekers and job posters to connect in a faster and more efficient manner.</t>
  </si>
  <si>
    <t>Cryptocurrency/Blockchain, HR Tech, SaaS</t>
  </si>
  <si>
    <t>blockchain data, blockchain platform, blockchain technology, nft technology, recruitment platform, resume platform, web3 app</t>
  </si>
  <si>
    <t>www.metaintro.com</t>
  </si>
  <si>
    <t>http://www.linkedin.com/company/metaintro</t>
  </si>
  <si>
    <t>2022: 9, 2023: 10</t>
  </si>
  <si>
    <t>The company was in talks to receive Series A venture funding on an undisclosed date. Subsequently, the deal was canceled. Previously, the company raised $5 million of equity crowdfunding in the form of SAFE notes via Republic on September 29, 2022, putting the company's pre-money valuation at $12.6 million.</t>
  </si>
  <si>
    <t>Avara, Druid Ventures, Legacy Research Grant, NEAR, Untapped Ventures, Ziba Capital Management</t>
  </si>
  <si>
    <t>Avara (aave.com), Druid Ventures (www.druidventures.com), Legacy Research Grant (www.ns.lung.ca), NEAR (www.near.org), Untapped Ventures (www.untapped.ventures), Ziba Capital Management (www.zibacapital.com)</t>
  </si>
  <si>
    <t>247737-52P</t>
  </si>
  <si>
    <t>Lacey Kaelani</t>
  </si>
  <si>
    <t>lacey@metaintro.com</t>
  </si>
  <si>
    <t>+1 (805) 683-1619</t>
  </si>
  <si>
    <t>Sanibel, FL</t>
  </si>
  <si>
    <t>2138 Leather Fern Place</t>
  </si>
  <si>
    <t>Sanibel</t>
  </si>
  <si>
    <t>33957</t>
  </si>
  <si>
    <t>+1 (805) 861-4616</t>
  </si>
  <si>
    <t>466978-06</t>
  </si>
  <si>
    <t>MetroSpeedy</t>
  </si>
  <si>
    <t>Metro</t>
  </si>
  <si>
    <t>MetroSpeedy Technologies, Inc.</t>
  </si>
  <si>
    <t>Deliverr, ShipHero, OneRail</t>
  </si>
  <si>
    <t>Operator of a logistics software and services company intended to power deliveries and drives cost-efficient last-mile key built for business. The company partners with startups, aggregators, and enterprise clients along with other SaaS and PaaS companies seeking a robust same-day or next-day last-mile solution, connecting businesses to a driver network, providing reattempts and returns via an all-in-one dashboard for customer retention through visibility and automation.</t>
  </si>
  <si>
    <t>Business/Productivity Software, Logistics*, Other Commercial Services</t>
  </si>
  <si>
    <t>delivery management solutions, delivery on demand, delivery solutions, eco-friendly delivery, food ecommerce, hyper local delivery, last mile delivery, last mile solution, local commerce, local delivery application, local delivery service, logistics and packaging, logistics platform software, one hour delivery, online grocer, same day delivery, same day delivery service, scm, supply chain management</t>
  </si>
  <si>
    <t>www.metrospeedy.com</t>
  </si>
  <si>
    <t>http://www.linkedin.com/company/metrospeedy</t>
  </si>
  <si>
    <t>2021: 14, 2022: 21, 2023: 22, 2024: 26</t>
  </si>
  <si>
    <t>Crosesell sold its stake in the company to an undisclosed buyer on February 17, 2023.</t>
  </si>
  <si>
    <t>AddVenture, Fores Ventures, Joint Journey Intelligent Investments, Smart Partnership Capital, TA Ventures, TMT Investments, Vershina Capital</t>
  </si>
  <si>
    <t>AddVenture (www.addventure.vc), Fores Ventures (www.fores.vc), Joint Journey Intelligent Investments (jj.capital), Smart Partnership Capital (www.spc-vc.com), TA Ventures (www.taventures.vc), TMT Investments (www.tmtinvestments.com), Vershina Capital (www.vershina.vc)</t>
  </si>
  <si>
    <t>264414-70P</t>
  </si>
  <si>
    <t>Nancy Korayim</t>
  </si>
  <si>
    <t>nancy@metrospeedy.com</t>
  </si>
  <si>
    <t>+1 (800) 976-0994</t>
  </si>
  <si>
    <t>230 West 39th</t>
  </si>
  <si>
    <t>info@metrospeedy.com</t>
  </si>
  <si>
    <t>491598-10</t>
  </si>
  <si>
    <t>Midi Health</t>
  </si>
  <si>
    <t>Midi</t>
  </si>
  <si>
    <t>Midi Health, Inc.</t>
  </si>
  <si>
    <t>Elda Health, Ovia Health, Evernow, Gennev</t>
  </si>
  <si>
    <t>Developer of virtual care clinical platform designed to treat women with menopause and other health issues. The company's platform offers personalized expert protocols delivered by clinicians trained in female midlife health and leverages specialized at-home labs, prescription medications, supplements and lifestyle coaching, enabling women to manage the challenges faced in the critical stages of their lives and careers.</t>
  </si>
  <si>
    <t>Application Software, Clinics/Outpatient Services*, Other Healthcare Technology Systems</t>
  </si>
  <si>
    <t>Digital Health, FemTech, HealthTech, Life Sciences, Oncology</t>
  </si>
  <si>
    <t>breast cancer care, depression cure, female health, gynecological cancer, joint pain relief, menopause advice, menopause care, specialty telemedicine, telehealth, virtual care platform, women care services</t>
  </si>
  <si>
    <t>www.joinmidi.com</t>
  </si>
  <si>
    <t>http://www.linkedin.com/company/midi-health</t>
  </si>
  <si>
    <t>2021: 5, 2022: 28, 2023: 37, 2024: 250</t>
  </si>
  <si>
    <t>The company raised $63 million of Series B venture funding in a deal led by Operator Collective on March 7, 2024. GV, Memorial Hermann, F7 Ventures, Ingeborg Investments, Muse Capital, K50 Ventures, SteelSky Ventures, 1843 Capital, SemperVirens Venture Capital, Blue Cross Blue Shield Global, Avestria Ventures, G9 Ventures, Able Partners, Icon Ventures, Felicis, Susan Wojcicki, Anne Wojcicki, Black Angel Group, GingerBread Capital, Amy Schumer, Tory Burch, Brandi Chastain and Emerson Collective also participated in the round. The funds will be used to expand insurance coverage (already established nationwide), hire and upskill an additional 150 clinicians by the end of the year, diversify service lines, amplify the conversation around midlife women's healthcare, and scale to care for 1 million+ women per year by 2029. Previously, the company raised $25 million of Series A venture funding in a deal led by GV on September 27, 2023, putting the company's pre-money valuation at $50 million. SemperVirens Venture Capital, Icon Ventures, Operator Collective, Felicis, 25m Health and 25madison also participated in the round. The funds will be used to expand operations nationwide and to launch additional partnerships with some of the largest hospital systems in the country, as well as major U.S. employers.</t>
  </si>
  <si>
    <t>1843 Capital, 25m Health, 25madison, Able Partners, Amy Schumer, Anne Wojcicki, Avestria Ventures, Black Angel Group, Blue Cross Blue Shield Global, Brandi Chastain, City Light Capital, Emerson Collective, F7 Ventures, Felicis, G9 Ventures, GingerBread Capital, Gus Tai, GV, Icon Ventures, Ingeborg Investments, K50 Ventures, Memorial Hermann, Muse Capital, Operator Collective, Peter Moran, SemperVirens Venture Capital, SteelSky Ventures, Susan Wojcicki, Tory Burch, UCSF Rosenman Institute</t>
  </si>
  <si>
    <t>1843 Capital (www.1843capital.com), 25madison (www.25madison.com), Able Partners (www.ablepartners.nyc), Avestria Ventures (www.avestria.vc), Black Angel Group (www.blackangelgroup.com), Blue Cross Blue Shield Global (www.bcbsglobal.com), City Light Capital (www.citylight.vc), Emerson Collective (www.emersoncollective.com), F7 Ventures (www.f7ventures.com), Felicis (www.felicis.com), G9 Ventures (www.g9.ventures), GingerBread Capital (www.gingerbreadcap.com), GV (www.gv.com), Icon Ventures (www.iconventures.com), Ingeborg Investments (Ingeborginvestments.com), K50 Ventures (www.k50ventures.com), Memorial Hermann (www.memorialhermann.org), Muse Capital (www.musecapital.vc), Operator Collective (www.operatorcollective.com), SemperVirens Venture Capital (www.sempervirensvc.com), SteelSky Ventures (www.steelskyventures.com), Tory Burch (www.toryburch.com), UCSF Rosenman Institute (rosenmaninstitute.org)</t>
  </si>
  <si>
    <t>Fenwick &amp; West(Legal Advisor), Perkins Coie(Legal Advisor)</t>
  </si>
  <si>
    <t>54504-55P</t>
  </si>
  <si>
    <t>Joanna Strober</t>
  </si>
  <si>
    <t>joanna@joinmidi.com</t>
  </si>
  <si>
    <t>+1 (650) 954-8683</t>
  </si>
  <si>
    <t>445 South Figueroa Street</t>
  </si>
  <si>
    <t>31st Floor</t>
  </si>
  <si>
    <t>90071</t>
  </si>
  <si>
    <t>+1 (888) 731-8994</t>
  </si>
  <si>
    <t>hello@joinmidi.com</t>
  </si>
  <si>
    <t>494801-74</t>
  </si>
  <si>
    <t>MikoVerse</t>
  </si>
  <si>
    <t>MikoVerse, Inc.</t>
  </si>
  <si>
    <t>Developer of VTuber technology intended for enhancing content creation. The company's platform provides connections between creators and their fans by unlocking engagement in the virtual world, enabling viewers to participate, create, spend, and play all on the same platform.</t>
  </si>
  <si>
    <t>content creation, content creation platform, creators community, virtual avatar, virtual world, vtuber technology</t>
  </si>
  <si>
    <t>www.mikoverse.com</t>
  </si>
  <si>
    <t>http://www.linkedin.com/company/mikoverse</t>
  </si>
  <si>
    <t>2021: 3, 2022: 4, 2023: 6, 2024: 6</t>
  </si>
  <si>
    <t>The company raised an estimated $2.5 million of seed funding from Oceans Ventures, Corner3, and other undisclosed investors on April 1, 2022, putting the company's pre-money valuation at $6 million.</t>
  </si>
  <si>
    <t>Corner3 Ventures, Oceans Ventures</t>
  </si>
  <si>
    <t>Corner3 Ventures (www.corner3.vc), Oceans Ventures (www.oceans.ventures)</t>
  </si>
  <si>
    <t>Johnson &amp; Oshan Law(Legal Advisor)</t>
  </si>
  <si>
    <t>298206-64P</t>
  </si>
  <si>
    <t>Youna Kang</t>
  </si>
  <si>
    <t>ykang@mikoverse.com</t>
  </si>
  <si>
    <t>Commerce, CA</t>
  </si>
  <si>
    <t>5800 South Eastern Avenue</t>
  </si>
  <si>
    <t>Commerce</t>
  </si>
  <si>
    <t>90040</t>
  </si>
  <si>
    <t>+1 (910) 444-2024</t>
  </si>
  <si>
    <t>500001-13</t>
  </si>
  <si>
    <t>Mindist</t>
  </si>
  <si>
    <t>Mindist Inc.</t>
  </si>
  <si>
    <t>Developer of meditation application intended to provide mindfulness. The company's app offers a tool to record quality audio meditations, talks, and courses that are easy and interact with listeners, enabling creators to earn directly from them.</t>
  </si>
  <si>
    <t>Application Software, Entertainment Software*, Information Services (B2C)</t>
  </si>
  <si>
    <t>creators platform, meditation app, meditation application, meditation firm, record audio, wellness product</t>
  </si>
  <si>
    <t>www.mindist.io</t>
  </si>
  <si>
    <t>http://www.linkedin.com/company/mindist-io</t>
  </si>
  <si>
    <t>2022: 3, 2023: 3</t>
  </si>
  <si>
    <t>Cubd Ventures sold its stake in the company to an undisclosed buyer in August 2024.</t>
  </si>
  <si>
    <t>Eddy Vaisberg, Ivan Alcibeev, Mike Nollett, MindEd Ventures, Oleksandr Khuda, Philip Jungen, SID Venture Partners</t>
  </si>
  <si>
    <t>Cubd Ventures</t>
  </si>
  <si>
    <t>MindEd Ventures (www.minded.ventures), SID Venture Partners (sid.fund)</t>
  </si>
  <si>
    <t>Cubd Ventures (www.cubd.ventures)</t>
  </si>
  <si>
    <t>534795-49</t>
  </si>
  <si>
    <t>Miri</t>
  </si>
  <si>
    <t>Miri Technologies, Inc.</t>
  </si>
  <si>
    <t>Developer of a wellness platform designed to empower health experts and coaches by leveraging artificial intelligence for personalized impact. The company's platform integrates advanced AI with coaching expertise, enabling coaches to provide tailored guidance and monetize their services effectively.</t>
  </si>
  <si>
    <t>Application Software, Other Healthcare Services*, Other Healthcare Technology Systems</t>
  </si>
  <si>
    <t>artificial intelligence, cutting edge, health experts, healthy lifestyle, personalized health, wellness platform</t>
  </si>
  <si>
    <t>www.miri.ai</t>
  </si>
  <si>
    <t>http://www.linkedin.com/company/mirihealth</t>
  </si>
  <si>
    <t>The company raised $1.2 million of pre-seed funding in a deal led by Sassafras Investments in approximately July 2023. 500 Global and other undisclosed investors also participated in the round.</t>
  </si>
  <si>
    <t>500 Global, Sassafras Investments</t>
  </si>
  <si>
    <t>362499-49P</t>
  </si>
  <si>
    <t>Amy Kelly</t>
  </si>
  <si>
    <t>66 Franklin Street</t>
  </si>
  <si>
    <t>94607</t>
  </si>
  <si>
    <t>+1 (916) 445-1254</t>
  </si>
  <si>
    <t>info@miri.health</t>
  </si>
  <si>
    <t>489951-82</t>
  </si>
  <si>
    <t>Miror</t>
  </si>
  <si>
    <t>Miror LLC</t>
  </si>
  <si>
    <t>Developer of social networking platform designed to connect with people on mental health topics through group discussions with certified mental health practitioners. The company's platform specializes in community connection through gatherings to connect with people going through a mental situation, enabling customers to overcome anxiety, find purpose and make positive changes within.</t>
  </si>
  <si>
    <t>Clinics/Outpatient Services, Social Content, Social/Platform Software*</t>
  </si>
  <si>
    <t>community connection platform, mental health assistance, mental health discussion, mental healthcare, social gathering platform, social media platform, social networking platform, social networking software, virtual community platform</t>
  </si>
  <si>
    <t>www.mymiror.com</t>
  </si>
  <si>
    <t>http://www.linkedin.com/company/miror-llc</t>
  </si>
  <si>
    <t>2022: 2</t>
  </si>
  <si>
    <t>The company raised $50,000 of seed funding from Innovation Works on November 4, 2021.</t>
  </si>
  <si>
    <t>Innovation Works</t>
  </si>
  <si>
    <t>Innovation Works (www.innovationworks.org)</t>
  </si>
  <si>
    <t>287780-14P</t>
  </si>
  <si>
    <t>Cassie Guerin</t>
  </si>
  <si>
    <t>cassie@mymiror.com</t>
  </si>
  <si>
    <t>5701 Stanton Avenue Apartment 6</t>
  </si>
  <si>
    <t>15206-2156</t>
  </si>
  <si>
    <t>266229-91</t>
  </si>
  <si>
    <t>MITH</t>
  </si>
  <si>
    <t>MITH, LLC</t>
  </si>
  <si>
    <t>Developer of community platform intended for independent content creation and distribution. The company's platform offers features including exclusive content gating, multimedia publishing tools, AI-powered analytics and collaboration tools, and fan reward systems, enabling creators to build stronger relationships with their audience and take control of their creative and financial success.</t>
  </si>
  <si>
    <t>Business/Productivity Software, Media and Information Services (B2B), Social/Platform Software*</t>
  </si>
  <si>
    <t>community site, creator tech, fans platform, ideas sharing, publishing data, rewards policy</t>
  </si>
  <si>
    <t>www.mith.io</t>
  </si>
  <si>
    <t>http://www.linkedin.com/company/only-with-mith</t>
  </si>
  <si>
    <t>2020: 14, 2024: 6</t>
  </si>
  <si>
    <t>The company raised $3.5 million of seed funding in a deal led by A&amp;E Television Networks and Point72 Ventures on December 30, 2023. Warner Music Group, CMT Digital, NEAR Foundation, Fourth Revolution Capital, Alpha Praetorian Capital, Synergis Capital, Sora Ventures and Winklevoss Capital Management also participated in the round.</t>
  </si>
  <si>
    <t>A&amp;E Television Networks, Alpha Praetorian Capital, CMT Digital, Fourth Revolution Capital, NEAR Foundation, Point72 Ventures, Sora Ventures, Synergis Capital, Warner Music Group, Winklevoss Capital Management</t>
  </si>
  <si>
    <t>A&amp;E Television Networks (www.aenetworks.com), Alpha Praetorian Capital (www.apvc.capital), CMT Digital (cmt.digital), Fourth Revolution Capital (www.fourthrevolution.capital), Point72 Ventures (www.p72.vc), Sora Ventures (www.sora.vc), Synergis Capital (www.synergiscap.xyz), Warner Music Group (www.wmg.com), Winklevoss Capital Management (www.winklevosscapital.com)</t>
  </si>
  <si>
    <t>206358-04P</t>
  </si>
  <si>
    <t>Licheng Huang</t>
  </si>
  <si>
    <t>493616-53</t>
  </si>
  <si>
    <t>MixLife</t>
  </si>
  <si>
    <t>MixLife, Inc.</t>
  </si>
  <si>
    <t>Developer of an online platform designed to promote well-being and resilience building through creativity. The company's platform offers classes that are based on well-being research that address everyday stress, anxiety and loneliness, enabling individuals to feel pleasant while doing a creative activity and to experience the positive effects of creativity and art on the body and brain.</t>
  </si>
  <si>
    <t>Educational and Training Services (B2C)*, Social/Platform Software</t>
  </si>
  <si>
    <t>corporate wellness, creativity platform, wellbeing education, wellbeing platform, wellbeing program, wellbeing workshops</t>
  </si>
  <si>
    <t>www.mixlife.com</t>
  </si>
  <si>
    <t>http://www.linkedin.com/company/mix-life</t>
  </si>
  <si>
    <t>The company joined FalconX (Financial Services) on an undisclosed date. No equity or funding was exchanged as a result of this program.</t>
  </si>
  <si>
    <t>BluePointe Ventures, Eileses Capital, Elefund, FalconX (Financial Services), Keerti Melkote</t>
  </si>
  <si>
    <t>BluePointe Ventures (bluepointe.vc), Eileses Capital (www.eileses.com), Elefund (www.elefund.com), FalconX (Financial Services) (www.falconx.vc)</t>
  </si>
  <si>
    <t>294973-21P</t>
  </si>
  <si>
    <t>Deepa Vivekanandan</t>
  </si>
  <si>
    <t>deepa@mixlife.com</t>
  </si>
  <si>
    <t>+1 (408) 480-6804</t>
  </si>
  <si>
    <t>4941 Hyde Park Drive</t>
  </si>
  <si>
    <t>94538</t>
  </si>
  <si>
    <t>team@mixlife.com</t>
  </si>
  <si>
    <t>481698-28</t>
  </si>
  <si>
    <t>Mnemonic (Software Development Applications)</t>
  </si>
  <si>
    <t>Mnemonic</t>
  </si>
  <si>
    <t>Mnemonic, Inc.</t>
  </si>
  <si>
    <t>IntoTheBlock, bitsCrunch</t>
  </si>
  <si>
    <t>Developer of Non-Funglible-Token intelligence platform designed for public companies and technology platforms to provide accurate, reliable, real-time data about the entire NFT data landscape. The company's platform simplifies the increasingly complex task of reading, searching, aggregating, and analyzing data on the chain, and helps to build a powerful collection of analytics dashboards for fans, brands, and investors, enabling creators and brands with new ways to analyze, understand, and market to their fans by giving them insight into collection owners.</t>
  </si>
  <si>
    <t>Financial Software, Software Development Applications*</t>
  </si>
  <si>
    <t>Big Data, CloudTech &amp; DevOps, Cryptocurrency/Blockchain</t>
  </si>
  <si>
    <t>application infrastructure, blockchain data center, data building platform, data storage and accessibility, information retrieval platform, machine learning, machine learning api, middleware, non-fungible tokens, real time data</t>
  </si>
  <si>
    <t>www.mnemonichq.com</t>
  </si>
  <si>
    <t>http://www.linkedin.com/company/mnemonichq</t>
  </si>
  <si>
    <t>The company raised $10.04 million of venture funding from Orange DAO and other undisclosed investors on August 28, 2023. Previously, the company raised $6 million of seed funding in a deal led by Salesforce Ventures on June 14, 2023, putting the company's pre-money valuation at $26 million. Monochrome Capital, FJ Labs, Fin Capital, P2 Ventures, and Orange DAO also participated in the round. The funds will be used to expand the suite of APIs.</t>
  </si>
  <si>
    <t>Coinbase Ventures, Fin Capital, FJ Labs, Hack VC, IntoTheBlock, Kenetic Capital, Monochrome Capital, Orange DAO, P2 Ventures, Salesforce Ventures, Sound Ventures, Tribe Capital</t>
  </si>
  <si>
    <t>Fin Capital (fin.capital), FJ Labs (www.fjlabs.com), Hack VC (www.hack.vc), IntoTheBlock (www.intotheblock.com), Kenetic Capital (www.kenetic.capital), Monochrome Capital (www.monochrome.vc), Orange DAO (orangedao.xyz), P2 Ventures (www.p2v.ventures), Salesforce Ventures (www.salesforceventures.com), Sound Ventures (www.soundventures.com), Tribe Capital (www.tribecap.co)</t>
  </si>
  <si>
    <t>276374-80P</t>
  </si>
  <si>
    <t>Andrii Yasinetsky</t>
  </si>
  <si>
    <t>andrii@mnemonichq.com</t>
  </si>
  <si>
    <t>+1 (650) 417-3202</t>
  </si>
  <si>
    <t>Suite 47</t>
  </si>
  <si>
    <t>+1 (415) 390-6122</t>
  </si>
  <si>
    <t>hello@mnemonichq.com</t>
  </si>
  <si>
    <t>463304-35</t>
  </si>
  <si>
    <t>ModernLoop</t>
  </si>
  <si>
    <t>ModernLoop, Inc.</t>
  </si>
  <si>
    <t>GoodTime, Spark Hire, Talview, LaunchPad Recruits, Yello, Ceipal, Automatic Payroll Systems, Interviewstream, Indivizo, TextRecruit, Personio, Modern Hire, Appcast, Jobvite, SmartRecruiters, Talemetry, Rival Technology., Avature, Toptal, RecruitLoop, Greenhouse Software, Workable, Cornerstone OnDemand, Betts Recruiting, Chili Piper, Ultimate Software Group, Lever (San Francisco), isolved HCM, TalentSoft, Agendize, Namely, HireVue, GoHire Technologies, ClearCompany, Loop Works, iCIMS, Justworks, Recruitee, JazzHR, Sapling, Beamery, HarQen, SmashFly Technologies, Rippling, Ascendify, Hired, BambooHR, CareerBuilder, Vibe HCM, Zenefits, CalendarHero, RampUp, Jibe(Human Capital Services), Brazen, Eightfold.ai, Triplebyte, BirdDogHR, Recruiterflow, Doodle (Communication Software), Fellow, Agave (Media and Information Services), SumTotal Systems, Gusto, JobMatch, GreenJobInterview.com</t>
  </si>
  <si>
    <t>Developer of an interview scheduling platform designed to provide the recruiting infrastructure that powers recruiting operations. The company's platform schedules interviews, resolves interview meeting conflicts, sends day-of reminders, coordinates interviewers, and delivers a quality candidate experience, enabling clients to automate and streamline recruiting operations and boost productivity.</t>
  </si>
  <si>
    <t>automated recruiting, candidate experience, enterprise resource planning, erp, human capital management, interview scheduling, interviewer training, recruiting operations, reporting &amp; dashboard</t>
  </si>
  <si>
    <t>www.modernloop.com</t>
  </si>
  <si>
    <t>http://www.linkedin.com/company/modernloop</t>
  </si>
  <si>
    <t>2021: 14, 2022: 26, 2023: 28, 2024: 33</t>
  </si>
  <si>
    <t>The company raised $9 million of Series A venture funding in a deal led by Accel on August 23, 2022, putting the company's pre-money valuation at $50 million. Webb Investment Network, Quiet Capital, PeopleTech Partners, Stewart Butterfield, and Eric Yuan also participated in the round. The funds will be used to automate the process of scheduling job candidate interviews. Previously, the company raised $3.3 million through a combination of Series A-1, Series A-2, and Series A-3 venture funding in a deal led by Accel on October 5, 2021, putting the company's pre-money valuation at $15 million. Webb Investment Network, Original Capital, and Wayfinder Ventures also participated in the round. The funds will be used towards building up a team of engineers and expanding the customer base.</t>
  </si>
  <si>
    <t>Accel, Eric Yuan, Original Capital, PeopleTech Partners, Quiet Capital, Stewart Butterfield, Wayfinder Ventures, Webb Investment Network, Y Combinator</t>
  </si>
  <si>
    <t>Accel (www.accel.com), Original Capital (www.originalcapital.com), PeopleTech Partners (peopletechpartners.com), Quiet Capital (www.quiet.com), Wayfinder Ventures (www.wayfinder.com), Webb Investment Network (www.winfunding.com), Y Combinator (www.ycombinator.com)</t>
  </si>
  <si>
    <t>257632-48P</t>
  </si>
  <si>
    <t>Lydia Han</t>
  </si>
  <si>
    <t>lydia@modernloop.io</t>
  </si>
  <si>
    <t>2261 Market Street 4247</t>
  </si>
  <si>
    <t>info@modernloop.io</t>
  </si>
  <si>
    <t>437715-73</t>
  </si>
  <si>
    <t>Monte Carlo</t>
  </si>
  <si>
    <t>Monte Carlo Data, Inc.</t>
  </si>
  <si>
    <t>New Relic, Dynatrace, PagerDuty, Datadog</t>
  </si>
  <si>
    <t>Developer of a digital data reliability platform intended to monitor and offer alerts for missing or inaccurate data. The company's platform resolves data problems, leading to stronger data teams and insights that deliver true business value, enabling clients to not settle for unreliable data and stop wasting time on data fire drills.</t>
  </si>
  <si>
    <t>ai automation platform, analytics platform, business intelligence platform, data analyst, data automation, data infrastructure, data input, data management software, data management system, data observability, data quality tools, data software &amp; systems, data software and systems, financial data</t>
  </si>
  <si>
    <t>www.montecarlodata.com</t>
  </si>
  <si>
    <t>http://www.linkedin.com/company/monte-carlo-data</t>
  </si>
  <si>
    <t>2020: 14, 2021: 50, 2022: 199</t>
  </si>
  <si>
    <t>The company raised $135 million of Series D venture funding through a combination of debt and equity on May 24, 2022, putting the company's pre-money valuation at $1.47 billion. $132. $1 million of Series D was led by IVP with participation from Salesforce Ventures and 5 other investors. $2.9 million of the loan was provided by an undisclosed lender. The funds will be used to continue improving experiences for the company's hundreds of customers, scale the data observability category to new verticals, and grow its U.S. and EMEA go-to-market and engineering teams. Previously, the company raised $64.25 million of Series C venture funding in a deal led by ICONIQ Growth on August 17, 2021, putting the company's pre-money valuation at $420 million. Salesforce Ventures, Notable Capital, Accel, and Redpoint Ventures also participated in the round. The funds will be used to fuel the growth of the data observability category, further develop the product offerings to serve customers better and support more use cases.</t>
  </si>
  <si>
    <t>Accel, DJ Patil, GIC Private, ICONIQ Growth, IVP, Notable Capital, Redpoint Ventures, Repoint Ventures, Salesforce Ventures, Webb Investment Network</t>
  </si>
  <si>
    <t>Accel (www.accel.com), GIC Private (www.gic.com.sg), ICONIQ Growth (www.iconiqgrowth.com), IVP (www.ivp.com), Notable Capital (notablecap.com), Redpoint Ventures (www.redpoint.com), Salesforce Ventures (www.salesforceventures.com), Webb Investment Network (www.winfunding.com)</t>
  </si>
  <si>
    <t>236980-99P</t>
  </si>
  <si>
    <t>Barr Moses</t>
  </si>
  <si>
    <t>bmoses@montecarlodata.com</t>
  </si>
  <si>
    <t>PMB 59994</t>
  </si>
  <si>
    <t>info@montecarlodata.com</t>
  </si>
  <si>
    <t>Series D</t>
  </si>
  <si>
    <t>501459-76</t>
  </si>
  <si>
    <t>Monterey AI</t>
  </si>
  <si>
    <t>Monterey</t>
  </si>
  <si>
    <t>Insomnia Labs, Inc.</t>
  </si>
  <si>
    <t>Enterpret (Business/Productivity Software), Zeda.io</t>
  </si>
  <si>
    <t>Developer of an AI software designed for product development. The company's product boosts product velocity for hyper-growing teams by replacing documents with use case-centric workflows that help product leads strategize, measure, and align, enabling clients to discover product dependency and interconnectivity.</t>
  </si>
  <si>
    <t>artificial intelligence, co-pilot product, generative ai, product development, product led, slack integration</t>
  </si>
  <si>
    <t>www.monterey.ai</t>
  </si>
  <si>
    <t>http://www.linkedin.com/company/monterey-ai</t>
  </si>
  <si>
    <t>2022: 3, 2023: 6, 2024: 12</t>
  </si>
  <si>
    <t>The company joined Plug and Play Tech Center as a part of its Batch 13 on April 4, 2024.</t>
  </si>
  <si>
    <t>Alumni Ventures, Andrew Liu, Antonia Martín, Ben Hsieh, Charles Bai, Chestnut Street Ventures, Comcast NBCUniversal LIFT Labs, Dean Shu, Decent Capital, Embedding VC, Exceptional Capital, Fred Zhang, Guido Maliandi, Guillermo Rauch, Hat-trick Capital, Holly Liu, Huey Kwik, Jeff Anderson, Kae Huynh, Lisa Mahapatra, Lisha Li, Manik Gupta, NKM Capital, Pioneer Fund, Plug and Play Tech Center, Roger Liu, Sancus Ventures, Sarup Banskota, Shan He, Siddharth Panigrahi, Soma Capital, Vercel AI Accelerator, Y Combinator, Yusuf Sherwani</t>
  </si>
  <si>
    <t>Alumni Ventures (www.av.vc), Chestnut Street Ventures (www.chestnutstreetventures.com), Comcast NBCUniversal LIFT Labs (lift.comcast.com), Decent Capital (www.decentcapital.com), Embedding VC (www.embedding.vc), Exceptional Capital (www.exceptionalcap.com), Hat-trick Capital (www.hat-trickcapital.com), NKM Capital (www.nkmcap.com), Pioneer Fund (www.pioneerfund.vc), Plug and Play Tech Center (www.plugandplaytechcenter.com), Sancus Ventures (www.sancus.vc), Soma Capital (somacap.com), Y Combinator (www.ycombinator.com)</t>
  </si>
  <si>
    <t>308970-55P</t>
  </si>
  <si>
    <t>Chun Jiang</t>
  </si>
  <si>
    <t>cjiang@monterey.ai</t>
  </si>
  <si>
    <t>+1 (724) 986-4445</t>
  </si>
  <si>
    <t>Dublin, CA</t>
  </si>
  <si>
    <t>7087 Utica Court</t>
  </si>
  <si>
    <t>Dublin</t>
  </si>
  <si>
    <t>94568</t>
  </si>
  <si>
    <t>contact@monterey.ai</t>
  </si>
  <si>
    <t>399075-58</t>
  </si>
  <si>
    <t>Moodbit</t>
  </si>
  <si>
    <t>Moodbit Inc.</t>
  </si>
  <si>
    <t>Developer of a generative artificial intelligence platform intended to focus on delivering advanced human resources technology. The company's platform uses advanced machine learning algorithms and natural language processing, in its interface, and delivers generated actionable insights and tailored interventions, enabling businesses to optimize workforce potential, improve productivity, and cultivate a data-driven, high-performance work environment using state-of-the-art regenerative technology and analytics.</t>
  </si>
  <si>
    <t>Artificial Intelligence &amp; Machine Learning, Big Data, HR Tech, SaaS</t>
  </si>
  <si>
    <t>artificial intelligence, employee engagement, employee experience, employee performance, generative ai, hr tech, machine learning, people analytics, talent management</t>
  </si>
  <si>
    <t>www.mymoodbit.com</t>
  </si>
  <si>
    <t>http://www.linkedin.com/company/moodbit</t>
  </si>
  <si>
    <t>2021: 5, 2024: 10</t>
  </si>
  <si>
    <t>The company joined Google for Startups as part of Women Founders program in North America and Europe on March 7, 2024. No equity or funding was exchanged as a result of this program.</t>
  </si>
  <si>
    <t>Alchemist Accelerator, Chloe Capital, Emerging Ventures, Expert DOJO, Google for Startups, Inventures (Canada), Lair East Labs</t>
  </si>
  <si>
    <t>Alchemist Accelerator (www.alchemistaccelerator.com), Chloe Capital (www.chloecapital.com), Emerging Ventures (www.emerging.vc), Expert DOJO (www.expertdojo.com), Google for Startups (startup.google.com), Inventures (Canada) (www.inventurescanada.com), Lair East Labs (www.laireastlabs.com)</t>
  </si>
  <si>
    <t>219339-73P</t>
  </si>
  <si>
    <t>Miho Shoji</t>
  </si>
  <si>
    <t>mshoji@mymoodbit.com</t>
  </si>
  <si>
    <t>+1 (917) 674-8054</t>
  </si>
  <si>
    <t>128 Thompson Street</t>
  </si>
  <si>
    <t>info@mymoodbit.com</t>
  </si>
  <si>
    <t>506928-16</t>
  </si>
  <si>
    <t>MoonHub</t>
  </si>
  <si>
    <t>Ever Careers, Inc.</t>
  </si>
  <si>
    <t>Findem, Hirefly, SeekOut, Entelo, Gem (Business/Productivity Software), Hireflow</t>
  </si>
  <si>
    <t>Provider of human capital services intended to help recruiters find candidates or agencies scale. The company combines AI technology and automation systems with recruiting expertise to deliver staffing services, enabling individuals to connect with job opportunities.</t>
  </si>
  <si>
    <t>Application Software, Business/Productivity Software, Human Capital Services*</t>
  </si>
  <si>
    <t>human capital service, jobs recruitment, recruiting platform, recruitment firm, recruitment services, talent recruitment</t>
  </si>
  <si>
    <t>www.moonhub.ai</t>
  </si>
  <si>
    <t>http://www.linkedin.com/company/moon-hub</t>
  </si>
  <si>
    <t>2022: 8, 2023: 22, 2024: 42</t>
  </si>
  <si>
    <t>The company raised $10 million through a combination of Series 1, Series 2, Series 3, and Series 4 seed funding in a deal led by GV and Khosla Ventures on October 11, 2023. Time Ventures, Day One Ventures, AIX Ventures, Susan Wojcicki, Mike Volpi, Ram Shriram and Christopher Ré also participated in the round.</t>
  </si>
  <si>
    <t>AIX Ventures, Christopher Ré, Day One Ventures, GV, Khosla Ventures, Michelangelo Volpi, Ram Shriram, Susan Wojcicki, The World Economic Forum, Time Ventures</t>
  </si>
  <si>
    <t>AIX Ventures (www.aixventures.com), Day One Ventures (dayoneventures.com), GV (www.gv.com), Khosla Ventures (www.khoslaventures.com), The World Economic Forum (widgets.weforum.org), Time Ventures (www.timevc.capital)</t>
  </si>
  <si>
    <t>Marriott Harrison(Legal Advisor), Mercury(General Business Banking)</t>
  </si>
  <si>
    <t>314720-92P</t>
  </si>
  <si>
    <t>Nancy Xu</t>
  </si>
  <si>
    <t>nancy@moonhub.ai</t>
  </si>
  <si>
    <t>+1 (917) 841-6128</t>
  </si>
  <si>
    <t>325 Sharon Park Drive</t>
  </si>
  <si>
    <t>contact@moonhub.com</t>
  </si>
  <si>
    <t>652522-33</t>
  </si>
  <si>
    <t>Mother Games</t>
  </si>
  <si>
    <t>Mother</t>
  </si>
  <si>
    <t>Maatru Inc</t>
  </si>
  <si>
    <t>Developer of a gaming studio designed to offer free-to-play multiplayer games. The company offers a hybrid 3D open-world and platform of mini-games and allow players to interact with the storyline, enabling players to awaken their own mental programming and expand their inner worlds through play.</t>
  </si>
  <si>
    <t>game developer, game publisher, game studio, gaming development studio, gaming experience platform, multiplayer games</t>
  </si>
  <si>
    <t>www.mothergames.com</t>
  </si>
  <si>
    <t>http://www.linkedin.com/company/mother-games</t>
  </si>
  <si>
    <t>2024: 12</t>
  </si>
  <si>
    <t>The company raised $5 million of pre-seed funding in a deal led by BoxGroup, Shine Capital and Lerer Hippeau on September 10, 2024. Other undisclosed investors also participated in the round. The funds will be used to support the continued development of Le Zoo and future productions.</t>
  </si>
  <si>
    <t>BoxGroup, Lerer Hippeau, Shine Capital</t>
  </si>
  <si>
    <t>BoxGroup (www.boxgroup.com), Lerer Hippeau (www.lererhippeau.com), Shine Capital (www.shine.vc)</t>
  </si>
  <si>
    <t>47556-46P</t>
  </si>
  <si>
    <t>Kelsey Falter</t>
  </si>
  <si>
    <t>281 North 7th Street</t>
  </si>
  <si>
    <t>Unit 7</t>
  </si>
  <si>
    <t>495509-86</t>
  </si>
  <si>
    <t>Mueshi</t>
  </si>
  <si>
    <t>Mueshi Inc.</t>
  </si>
  <si>
    <t>Operator of a fundraising platform intended for non-profits to raise capital through the sale of alternative assets. The company connects philanthropist organizations to brands across the U.S. to fundraise via. product-based fundraising campaigns, enabling nonprofits and their engaged communities to receive donations and raise money for their causes effectively.</t>
  </si>
  <si>
    <t>Media and Information Services (B2B)*, Other Business Products and Services, Social/Platform Software</t>
  </si>
  <si>
    <t>donation app, fine art product, fine arts, fundraising goal, fundraising help platform, fundraising site, nft marketplace, nonprofit firm, philanthropy service, product fundraising</t>
  </si>
  <si>
    <t>www.mueshi.com</t>
  </si>
  <si>
    <t>http://www.linkedin.com/company/mueshi-io</t>
  </si>
  <si>
    <t>2022: 3, 2023: 2, 2024: 6</t>
  </si>
  <si>
    <t>The company raised $3.3 million of seed funding from Harlem Capital, Presight Capital and CapitalT on April 19, 2022. Black Venture Capital Consortium, Alexandra Wilkis Wilson and Ted Lucas also participated in the round.</t>
  </si>
  <si>
    <t>Alexandra Wilson, Black Venture Capital Consortium, CapitalT, Harlem Capital, Presight Capital, Ted Lucas</t>
  </si>
  <si>
    <t>Black Venture Capital Consortium (www.bvcc.vc), CapitalT (www.capitaltvc.com), Harlem Capital (harlem.capital), Presight Capital (www.presight.vc)</t>
  </si>
  <si>
    <t>298764-82P</t>
  </si>
  <si>
    <t>Ariana Waller</t>
  </si>
  <si>
    <t>Founder, Chief Executive Officer and Board Member</t>
  </si>
  <si>
    <t>ariana@mueshi.io</t>
  </si>
  <si>
    <t>+1 (312) 236-4733</t>
  </si>
  <si>
    <t>1250 South Miami Avenue</t>
  </si>
  <si>
    <t>Suite 1708</t>
  </si>
  <si>
    <t>533109-97</t>
  </si>
  <si>
    <t>Multiplayer</t>
  </si>
  <si>
    <t>Multiplayer Software, Inc</t>
  </si>
  <si>
    <t>Perforce Software, Anyscale, Jenkins (London), Pivotal Software, Monday.com, Airtable, Freedcamp, ProofHub, IncrediBuild, Notion, ProjectManager, GanttPRO, CircleCI, Particle, Clarizen, Smartsheet, The MathWorks, Teamwork, Asana, Coda (Business/Productivity Software), MeisterLabs Software, Dataiku, Grow, Workfront, Stormboard, Ayla Networks, Sisense, Qubole, Firebase, Panoply (Database Software), Wrike, Platfora, Paymo(Oradea), Clickup, Cloudera, Vertica Systems, Witkit, Transpose (Network Management Software), Trello, SmartFile, Birst, Slack, ShareFile, Databricks, LiquidPlanner, ConnectWise, MapR, Exasol, Instaclustr, Acquire, MarkLogic, Tableau Software, Google UK, Alteryx, Time Doctor, Datameer, Quire (Business/Productivity Software), SAS Institute, C3.ai, Project Insight, Astronomer, Atlassian, Quip (Business/Productivity Software), Hortonworks, Crossbeam, Taskade, Avathon, RedBooth, Incorta, Periscope Data, Gretel (Barcelona), Neo4j, Domo, CognitiveScale, Stride (Communication Software), Box (IT Services)</t>
  </si>
  <si>
    <t>Developer of a collaborative platform intended to make it easier for teams to work on distributed software. The company's platform offers visual collaboration on backend software development at a professional level, enabling engineering teams to design, develop, visualize, and manage software in one place.</t>
  </si>
  <si>
    <t>architecture visualization, backend integration, collaborative platform, deep integrations, developer tools, distributing software, platform version control, system architecture</t>
  </si>
  <si>
    <t>www.multiplayer.app</t>
  </si>
  <si>
    <t>http://www.linkedin.com/company/multiplayer-app</t>
  </si>
  <si>
    <t>The company raised $3 million of Seed funding in a deal led by Bowery Capital on August 9, 2023, putting the company's pre-money valuation at $7 million. Okapi Venture Capital, Alumni Ventures, Armory Square Ventures, Mitch Wainer and Edith Harbaugh also participated in the round. The funds will be used to further enhance collaborative and visual tool for distributed software development.</t>
  </si>
  <si>
    <t>Alumni Ventures, Armory Square Ventures, Bowery Capital, Edith Harbaugh, Mitch Wainer, Okapi Venture Capital</t>
  </si>
  <si>
    <t>Alumni Ventures (www.av.vc), Armory Square Ventures (www.armorysv.com), Bowery Capital (www.bowerycap.com), Okapi Venture Capital (www.okapivc.com)</t>
  </si>
  <si>
    <t>358949-71P</t>
  </si>
  <si>
    <t>Steph Johnson</t>
  </si>
  <si>
    <t>steph@multiplayer.app</t>
  </si>
  <si>
    <t>hello@multiplayer.app</t>
  </si>
  <si>
    <t>467721-19</t>
  </si>
  <si>
    <t>Musicasa (Other Services (B2C Non-Financial))</t>
  </si>
  <si>
    <t>Musicasa</t>
  </si>
  <si>
    <t>Musicasa Corp.</t>
  </si>
  <si>
    <t>Operator of a live music community intended to connect musicians to community members and music lovers through intimate concerts. The company's platform offers virtual and in-person concerts, enabling musicians to gain exposure and new monetization opportunities.</t>
  </si>
  <si>
    <t>Information Services (B2C)*, Other Services (B2C Non-Financial), Social/Platform Software</t>
  </si>
  <si>
    <t>live concerts, live music platform, music community, music concerts organizer, musicians community, musicians network</t>
  </si>
  <si>
    <t>www.musicasalive.com</t>
  </si>
  <si>
    <t>http://www.linkedin.com/company/musicasalive</t>
  </si>
  <si>
    <t>2021: 8, 2022: 11, 2024: 8</t>
  </si>
  <si>
    <t>TheVentureCity sold a stake in the company to an undisclosed buyer on November 1, 2023.</t>
  </si>
  <si>
    <t>11-11 Ventures, Adriana Cisneros, Borderless Capital, Carlos Martin, Concord Music, Goodwater Capital, Sarah Haynes, Techstars, Trip Ventures, Warner Music Group, Wynwood Ventures</t>
  </si>
  <si>
    <t>11-11 Ventures (www.11-11ventures.com), Borderless Capital (www.borderlesscapital.io), Concord Music (www.concord.com), Goodwater Capital (www.goodwatercap.com), Techstars (www.techstars.com), Trip Ventures (www.tripventures.com), Warner Music Group (www.wmg.com)</t>
  </si>
  <si>
    <t>213449-05P</t>
  </si>
  <si>
    <t>Sarah Haynes</t>
  </si>
  <si>
    <t>Advisor, Investor, Board Advisory Member, &amp; Executive Coach</t>
  </si>
  <si>
    <t>shaynes@musicasalive.com</t>
  </si>
  <si>
    <t>info@musicasaa.com</t>
  </si>
  <si>
    <t>483370-75</t>
  </si>
  <si>
    <t>Mustard (Media and Information Services (B2B))</t>
  </si>
  <si>
    <t>Mustard</t>
  </si>
  <si>
    <t>Mustard, Inc.</t>
  </si>
  <si>
    <t>Developer of interactive video-based food discovery and ordering software designed to change the way people discover and order food. The company's interactive application displays an individual dish, its price, and a link to order in each video, enabling customers to find food via video content and order or book directly from the video.</t>
  </si>
  <si>
    <t>Application Software, Information Services (B2C), Media and Information Services (B2B)*, Other Restaurants, Hotels and Leisure</t>
  </si>
  <si>
    <t>FoodTech, Mobile</t>
  </si>
  <si>
    <t>discovery &amp; review, discovery and review, food and beverage discovery, food beverage discovery, food delivery application, food delivery platform, food discovery platform, food odering application, food ordering platform, food ordering services</t>
  </si>
  <si>
    <t>www.mustard.love</t>
  </si>
  <si>
    <t>http://www.linkedin.com/company/mustardlove</t>
  </si>
  <si>
    <t>2021: 13, 2022: 16, 2023: 18, 2024: 17</t>
  </si>
  <si>
    <t>The company raised $1 million of pre-seed funding from Great North Ventures, Everywhere Ventures and Newfund Management on October 13, 2021. Operate and Corazon Capital also participated in the round.</t>
  </si>
  <si>
    <t>Corazon Group, Everywhere Ventures, Great North Ventures, Newfund Management, Operate (Investor)</t>
  </si>
  <si>
    <t>Corazon Group (www.corazon.com), Everywhere Ventures (everywhere.vc), Great North Ventures (www.greatnorthventures.com), Newfund Management (www.newfundcap.com), Operate (Investor) (operatestudio.com)</t>
  </si>
  <si>
    <t>280929-52P</t>
  </si>
  <si>
    <t>Diana Might</t>
  </si>
  <si>
    <t>Co-Founder, Co-Chief Executive Officer &amp; Chief Content Officer</t>
  </si>
  <si>
    <t>dmight@mustard.love</t>
  </si>
  <si>
    <t>1290 Howard Avenue</t>
  </si>
  <si>
    <t>Suite 323</t>
  </si>
  <si>
    <t>contact@mustard.love</t>
  </si>
  <si>
    <t>431696-26</t>
  </si>
  <si>
    <t>MustDeliver</t>
  </si>
  <si>
    <t>MustDeliver, Inc.</t>
  </si>
  <si>
    <t>Uber Freight, Convoy (Road)</t>
  </si>
  <si>
    <t>Operator of a digital freight matching platform intended to connect independent carriers with shippers and API integration of shippers. The company's platform offers market picks price and matching, price transparency, real-time shipment alerts, driver preferences, and paperless documentation leading to clarity, control, and communication and the drivers have personal profiles and scores, enabling freight brokers to facilitate complete pricing transparency and direct communication between shippers and drivers, which allows for better matching between both parties.</t>
  </si>
  <si>
    <t>digital marketplace, digital reporting tool, freight booking marketplace, freight platform, freight technology, freight tracking, price transparency, shippers platform, trucking logistics</t>
  </si>
  <si>
    <t>www.mustdeliver.com</t>
  </si>
  <si>
    <t>http://www.linkedin.com/company/mustdeliver</t>
  </si>
  <si>
    <t>2019: 4, 2020: 9, 2021: 7, 2022: 12</t>
  </si>
  <si>
    <t>The company raised $325,000 through a combination of debt and equity on October 31, 2021. $275,00 of seed funding was provided by Portland Seed Fund, Lori Heino Royer, Renato Grandmont, and other undisclosed investors. A $50,000 convertible debt was provided by undisclosed lenders.</t>
  </si>
  <si>
    <t>Lori Heino-Royer, Portland Seed Fund, Renato Grandmont</t>
  </si>
  <si>
    <t>222671-80P</t>
  </si>
  <si>
    <t>Carrie Love</t>
  </si>
  <si>
    <t>carrie@mustdeliver.com</t>
  </si>
  <si>
    <t>+1 (833) 933-1833</t>
  </si>
  <si>
    <t>Bangor, ME</t>
  </si>
  <si>
    <t>6 State Street</t>
  </si>
  <si>
    <t>Suite 308</t>
  </si>
  <si>
    <t>Bangor</t>
  </si>
  <si>
    <t>04401</t>
  </si>
  <si>
    <t>info@mustdeliver.com</t>
  </si>
  <si>
    <t>232144-21</t>
  </si>
  <si>
    <t>Mutiny</t>
  </si>
  <si>
    <t>Mutiny HQ Corporation</t>
  </si>
  <si>
    <t>Clicktale, Batch (Business/Productivity Software), Lucky Orange, Certona, Klevu, Privy, Instapage, Leadpages, Monetate, Convert, PathFactory, Mixpanel, GroupBy, Kapost, Constructor (Business/Productivity Software), AB Tasty, Evergage, Dynamic Yield, Go Squared, Algolia, Zoovu, Insider, Bloomreach, Flocktory, Optimizely, Reflektion, Nosto, Insightly, Yieldify, Mouseflow, Terminus Software, Ometria, RichRelevance, CustomFit.ai, Intellimize, RedEye International, Adobe Marketo Engage, Pipedrive, UserZoom, Parse.ly, Contently, Inspectlet, Segmentify, Ion Interactive, Uberflip, AgilOne, 6Sense, WebEngage, Percolate, UnDelay (Business/Productivity Software), Nexsales, TapInfluence, Skyword, Ceros, Vendasta Technologies, Click Funnels, Salsify, Conductrics, Fanplayr, Obviyo, Engagio, Maxymiser, Depict, Eppo, OptiMonk, Granify, HG Insights, Swiftype, Act-On Software, Evolv AI, Justuno, Unbounce, Apptimize, Zendesk, Demandbase, Unbxd, Salesboom, Datanyze, ClinchPad, Q-Sensei, Peerius, Ninetailed, Marigold Engage by Sailthru, ReadyCloud, The Loop54 Group, Keap, Callbox, Kameleoon, Hawksearch, AddSearch, Inbenta, Cxense, Salesfusion, Agile CRM, HubSpot, Clerk.io, Bitrix24, SiteSpect, Neeva, Harmonya, Tooso, Quantum Metric, SaleCycle, SnapApp, Celebros, PureB2B, OmniConvert, Kayako, Udesk, Velou, Akanoo, Elastic (Database Software), Feedburner, Userlytics, IntraFind, Kibo Software, HotJar</t>
  </si>
  <si>
    <t>Developer of an activity-based management and website personalization platform designed to help marketers convert their top-of-funnel demand into revenue without engineers. The company's platform features a graphical interface that permits the creation of personalized elements of the webpage for each segment based on users' search terms, enabling clients to understand their site visitor's intent and goals and tailor the existing landing pages.</t>
  </si>
  <si>
    <t>account based marketing, account based marketing software, audience intelligence, audience intelligent analysis, crm, customer relationship management, ecommerce personalization, generative ai, personalization services, website customization, website personalization</t>
  </si>
  <si>
    <t>www.mutinyhq.com</t>
  </si>
  <si>
    <t>http://www.linkedin.com/company/mutinyhq</t>
  </si>
  <si>
    <t>2021: 22, 2022: 76, 2023: 109, 2024: 96</t>
  </si>
  <si>
    <t>The company raised $50 million of Series B venture funding in a deal led by Tiger Global Management and Insight Partners on April 20, 2022, putting the company's pre-money valuation at $565 million. Cowboy Ventures and other undisclosed investors also participated in the round. Previously, the company raised $22.49 million through a combination of Series A, Series A-1, and Series A-2 venture funding in a deal led by Cowboy Ventures and Uncork Capital on September 15, 2021, putting the company's pre-money valuation at $72.51 million. Hack VC and other undisclosed investors also participated in the round.</t>
  </si>
  <si>
    <t>Aileen Lee, Andrew McLoughlin, Blue Trail Partners, Cowboy Ventures, Earl Grey Capital, Emily Kramer, Firebolt Ventures, GTMFund, Hack VC, Insight Partners, John Adractas, Liquid 2 Ventures, Michael Stoppelman, MKT1, Paul Buchheit, Sequoia Capital, Tiger Global Management, Uncork Capital, Y Combinator</t>
  </si>
  <si>
    <t>Andrew McLoughlin (www.andymcloughlin.co), Blue Trail Partners (www.bluetrailpartners.com), Cowboy Ventures (www.cowboy.vc), Earl Grey Capital (earlgrey.capital), Firebolt Ventures (www.fireboltventures.com), GTMFund (www.gtmfund.com), Hack VC (www.hack.vc), Insight Partners (www.insightpartners.com), Liquid 2 Ventures (www.liquid2.vc), MKT1 (www.mkt1.co), Sequoia Capital (www.sequoiacap.com), Tiger Global Management (www.tigerglobal.com), Uncork Capital (www.uncorkcapital.com), Y Combinator (www.ycombinator.com)</t>
  </si>
  <si>
    <t>123375-16P</t>
  </si>
  <si>
    <t>Jaleh Rezaei</t>
  </si>
  <si>
    <t>jaleh@mutinyhq.com</t>
  </si>
  <si>
    <t>298 Alabama Street</t>
  </si>
  <si>
    <t>mutinylovesyou@mutinyhq.com</t>
  </si>
  <si>
    <t>510397-57</t>
  </si>
  <si>
    <t>Muus Collective</t>
  </si>
  <si>
    <t>Muus Collective, Inc.</t>
  </si>
  <si>
    <t>Provider of digital entertainment studio services intended to develop mobile game applications. The company offers its services by bringing together minds in fashion, gaming, and web3 to create fashion experiences spanning mobile games, entertainment, and digital collectibles, helping creators, gamers, and meta-visionaries to go beyond physical reality, express themselves, and earn while they play.</t>
  </si>
  <si>
    <t>Entertainment Software*, Other Services (B2C Non-Financial)</t>
  </si>
  <si>
    <t>digital collectibles, digital studio, digital studio service, entertainment studio, gaming application, mobile game, mobile game application, web3 application</t>
  </si>
  <si>
    <t>muuscollective.com</t>
  </si>
  <si>
    <t>http://www.linkedin.com/company/muus-collective</t>
  </si>
  <si>
    <t>2022: 8, 2024: 29</t>
  </si>
  <si>
    <t>The company joined Warner Music Group Web3 Music Accelerator as a part of its First Class on February 1, 2024. No equity or funding was exchanged as a result of this program.</t>
  </si>
  <si>
    <t>Griffin Gaming Partners, Versus Ventures, Warner Music Group</t>
  </si>
  <si>
    <t>Griffin Gaming Partners (www.griffingp.com), Versus Ventures (www.versusvc.com), Warner Music Group (www.wmg.com)</t>
  </si>
  <si>
    <t>130447-00P</t>
  </si>
  <si>
    <t>Sarah Fuchs</t>
  </si>
  <si>
    <t>Co-Founder, Co-Chief Executive Officer, President &amp; Chairman</t>
  </si>
  <si>
    <t>sarah@muuscollective.com</t>
  </si>
  <si>
    <t>1501 Colorado Avenue</t>
  </si>
  <si>
    <t>hello@muuscollective.com</t>
  </si>
  <si>
    <t>513156-52</t>
  </si>
  <si>
    <t>MyPocketCFO</t>
  </si>
  <si>
    <t>MyPocketCFO Ltd.</t>
  </si>
  <si>
    <t>Developer of an all-in-one platform intended to simplify financial management for small and medium eCommerce companies. The company's platform understands the full financial picture of the company and manages accounting, analysis, financing, and fundraising with ease, enabling businesses to automate bookkeeping and generate insight reports and financial statements in real time.</t>
  </si>
  <si>
    <t>all-in-one platform, bookkeeping firm, cfo stack, ecommerce company, finance management, financial management, financial management system, fundraising platform service</t>
  </si>
  <si>
    <t>www.mypocketcfo.com</t>
  </si>
  <si>
    <t>http://www.linkedin.com/company/mypocketcfo</t>
  </si>
  <si>
    <t>2022: 3, 2023: 7, 2024: 10</t>
  </si>
  <si>
    <t>The company raised $1.25 million of pre-seed funding from 2048 Ventures, First Row Partners and Imagination Capital on November 8, 2022.</t>
  </si>
  <si>
    <t>2048 Ventures, Andrew Wilkinson, First Row Partners, Imagination Capital, Zelkova Ventures</t>
  </si>
  <si>
    <t>2048 Ventures (www.2048.vc), First Row Partners (www.firstrowpartners.vc), Imagination Capital (www.imaginationvc.com), Zelkova Ventures (www.zelkovavc.com)</t>
  </si>
  <si>
    <t>323409-07P</t>
  </si>
  <si>
    <t>Alice Zhang</t>
  </si>
  <si>
    <t>alice.zhang@mypocketcfo.com</t>
  </si>
  <si>
    <t>+1 (408) 239-7280</t>
  </si>
  <si>
    <t>420 Mission Bay Boulevard</t>
  </si>
  <si>
    <t>North, Unit 406</t>
  </si>
  <si>
    <t>hello@mypocketcfo.com</t>
  </si>
  <si>
    <t>595881-55</t>
  </si>
  <si>
    <t>N-ERGY</t>
  </si>
  <si>
    <t>N-ERGY AI Solutions, Inc.</t>
  </si>
  <si>
    <t>Developer of an autonomous factory designed to create next-generation radiation-resistant materials. The company's factory utilizes machine learning and artificial intelligence to automate the process of designing, testing, and supplying these materials, enabling companies to improve the speed, cost, and effectiveness of material development for the nuclear and space industries.</t>
  </si>
  <si>
    <t>Exploration, Production and Refining</t>
  </si>
  <si>
    <t>Energy Production</t>
  </si>
  <si>
    <t>Business/Productivity Software, Energy Production*</t>
  </si>
  <si>
    <t>Artificial Intelligence &amp; Machine Learning, CleanTech</t>
  </si>
  <si>
    <t>ai platform, autonomous software, nuclear energy, radiation detector, radiation resistance, radiation safety, resistant materials</t>
  </si>
  <si>
    <t>www.nergyai.com</t>
  </si>
  <si>
    <t>http://www.linkedin.com/company/nergyai</t>
  </si>
  <si>
    <t>The company raised $1.5 million of pre-seed funding in a deal led by Boost VC and BEE Ventures on June 20, 2024. Other undisclosed investors also participated in this round.</t>
  </si>
  <si>
    <t>BEE Ventures, Boost VC</t>
  </si>
  <si>
    <t>Boost VC (www.boost.vc)</t>
  </si>
  <si>
    <t>419347-72P</t>
  </si>
  <si>
    <t>Madhumitha Ravichandran</t>
  </si>
  <si>
    <t>mravichandran@nergyai.com</t>
  </si>
  <si>
    <t>45 Hayward Street</t>
  </si>
  <si>
    <t>Building E37, Apartment 2335</t>
  </si>
  <si>
    <t>info@nergyai.com</t>
  </si>
  <si>
    <t>136334-35</t>
  </si>
  <si>
    <t>NAILBITER</t>
  </si>
  <si>
    <t>Nailbiter Inc.</t>
  </si>
  <si>
    <t>Operator of a market research platform intended to help marketers understand how consumers make product purchases and usage decisions. The company's platform allows consumers to make videos and take surveys in-store and at home and quantitatively codes stated, latent and emotional decisions, revealing hidden barriers to product success, enabling clients to make immediate decisions that drive market success.</t>
  </si>
  <si>
    <t>category management platform, consumer insights, crm, customer relationship management, customer research, market research, market research firm, quantitative research platform</t>
  </si>
  <si>
    <t>www.nailbiter.com</t>
  </si>
  <si>
    <t>http://www.linkedin.com/company/nailbiter</t>
  </si>
  <si>
    <t>2021: 110, 2022: 177, 2023: 168, 2024: 159</t>
  </si>
  <si>
    <t>The company raised $13.3 million of Series A1 venture funding through a combination of debt and equity from US Boston Capital and other undisclosed investors on December 23, 2021, putting the company's pre-money valuation at $65 million.</t>
  </si>
  <si>
    <t>US Boston Capital</t>
  </si>
  <si>
    <t>US Boston Capital (www.usboston.com)</t>
  </si>
  <si>
    <t>East Asset Management(Debt Financing)</t>
  </si>
  <si>
    <t>44222-68P</t>
  </si>
  <si>
    <t>Amit Dhand</t>
  </si>
  <si>
    <t>Co-Founder, Executive Vice President, Client Services &amp; Chairman</t>
  </si>
  <si>
    <t>amit.dhand@nail-biter.com</t>
  </si>
  <si>
    <t>+1 (732) 705-4272</t>
  </si>
  <si>
    <t>Herndon, VA</t>
  </si>
  <si>
    <t>13221 Woodland Park Road</t>
  </si>
  <si>
    <t>Suite 360</t>
  </si>
  <si>
    <t>Herndon</t>
  </si>
  <si>
    <t>20171</t>
  </si>
  <si>
    <t>info@nailbiter.com</t>
  </si>
  <si>
    <t>515741-77</t>
  </si>
  <si>
    <t>Narratize</t>
  </si>
  <si>
    <t>Narratize, Inc.</t>
  </si>
  <si>
    <t>Writer, Jasper, Copy.ai</t>
  </si>
  <si>
    <t>Developer of generative artificial intelligence-based management tool designed to provide a tech-enabled writing experience. The company's platform is designed specifically to help product development teams nail the technical and business narrative, both internally and for message-market fit, it coauthors product requirements documents, pitches, briefs, user stories, epics, project plans, press releases of the Future (PRFAQs), plus enables users to rapidly capture customer insights for front-end innovation, concept notes, and product reviews at scale with AI, enabling clients with corporate storytelling and insights and crafting them into high-impact, long-form content.</t>
  </si>
  <si>
    <t>ai communication platform, ai writing platform, natural language processing, productivity tool, research and development, storytelling platform</t>
  </si>
  <si>
    <t>www.narratize.com</t>
  </si>
  <si>
    <t>http://www.linkedin.com/company/narratize</t>
  </si>
  <si>
    <t>2023: 12, 2024: 16</t>
  </si>
  <si>
    <t>The company raised an undisclosed amount of seed funding from Keyhorse Capital (KSTC) on May 29, 2024.</t>
  </si>
  <si>
    <t>Anamika Ventures, Cintrifuse Capital, Comcast NBCUniversal LIFT Labs, Connetic Ventures, Fab5 Micro Fund, Fireroad, HearstLab, How Women Invest, Keyhorse Capital, Kubera Venture Capital, North Coast Ventures, Nvidia</t>
  </si>
  <si>
    <t>Cintrifuse Capital (www.cintrifusecapital.com), Comcast NBCUniversal LIFT Labs (lift.comcast.com), Connetic Ventures (www.conneticventures.com), Fireroad (www.fireroad.io), HearstLab (www.hearstlab.com), How Women Invest (www.howwomeninvest.com), Keyhorse Capital (www.keyhorse.vc), Kubera Venture Capital (www.kubera.vc), North Coast Ventures (www.northcoast.vc), Nvidia (www.nvidia.com/en-us)</t>
  </si>
  <si>
    <t>Dinsmore &amp; Shohl(Legal Advisor), Frost Brown Todd(Legal Advisor)</t>
  </si>
  <si>
    <t>350033-50P</t>
  </si>
  <si>
    <t>Katie Taylor</t>
  </si>
  <si>
    <t>katie@narratize.com</t>
  </si>
  <si>
    <t>+1 (859) 866-1916</t>
  </si>
  <si>
    <t>Covington, KY</t>
  </si>
  <si>
    <t>112 West Pike Street</t>
  </si>
  <si>
    <t>Covington</t>
  </si>
  <si>
    <t>41011</t>
  </si>
  <si>
    <t>hello@narratize.com</t>
  </si>
  <si>
    <t>489547-90</t>
  </si>
  <si>
    <t>Nave Analytics</t>
  </si>
  <si>
    <t>Nave</t>
  </si>
  <si>
    <t>Nave Analytics, Inc.</t>
  </si>
  <si>
    <t>Operator of a data coherence hub intended to provide a cost-effective and data-driven system for irrigation advisors. The company helps agriculture professionals recommend the correct amount of water at the correct time to their clients by fusing satellite, weather, and telemetry data into a singular data stream, enabling farmers to become deliberate with their irrigation decisions.</t>
  </si>
  <si>
    <t>AgTech, Big Data, SaaS</t>
  </si>
  <si>
    <t>crop data, data driven system, irrigation operations, irrigation system, scalable data platform, sustainable irrigation operations, value-added information</t>
  </si>
  <si>
    <t>www.naveanalytics.com</t>
  </si>
  <si>
    <t>http://www.linkedin.com/company/nave-analytics-inc</t>
  </si>
  <si>
    <t>The company raised $400,000 of seed funding from Nelnet Ventures and Invest Nebraska on April 12, 2024. Other undisclosed investors also participated in this round.</t>
  </si>
  <si>
    <t>gener8tor, Husker Venture Fund, Invest Nebraska, Lincoln Partnership for Economic Development, MOVE Venture Capital, Nebraska Angels, Nelnet Ventures, NMotion</t>
  </si>
  <si>
    <t>gener8tor (www.gener8tor.com), Invest Nebraska (www.investnebraska.com), Lincoln Partnership for Economic Development (www.selectlincoln.org), MOVE Venture Capital (www.movene.vc), Nebraska Angels (www.nebraskaangels.org), NMotion (www.nmotion.co)</t>
  </si>
  <si>
    <t>344775-97P</t>
  </si>
  <si>
    <t>Jessica Korinek</t>
  </si>
  <si>
    <t>jessi@naveanalytics.com</t>
  </si>
  <si>
    <t>+1 (308) 529-7296</t>
  </si>
  <si>
    <t>Lincoln, NE</t>
  </si>
  <si>
    <t>2125 Transformation Drive</t>
  </si>
  <si>
    <t>Suite 1000</t>
  </si>
  <si>
    <t>Lincoln</t>
  </si>
  <si>
    <t>68508</t>
  </si>
  <si>
    <t>info@naveanalytics.com</t>
  </si>
  <si>
    <t>538850-89</t>
  </si>
  <si>
    <t>Nectar (Bellevue)</t>
  </si>
  <si>
    <t>Nectar, Nectar Social</t>
  </si>
  <si>
    <t>Mihafa, Inc.</t>
  </si>
  <si>
    <t>Developer of a social conversational commerce platform intended to transform social engagement into a source of revenue. The company uses artificial intelligence to scale across channels and use cases such as campaigns, influencers, customer support, and proprietary commerce LLM (large language model)engine to engage with leads, helping brands scale communication and drive conversions through messaging.</t>
  </si>
  <si>
    <t>Artificial Intelligence &amp; Machine Learning, E-Commerce, Marketing Tech</t>
  </si>
  <si>
    <t>ai agent, brand empowerment, brand marketing, commerce platform, conversational agent, conversational commerce platform, generative ai, social commerce, social engagement, social media campaign</t>
  </si>
  <si>
    <t>www.nectarsocial.ai</t>
  </si>
  <si>
    <t>http://www.linkedin.com/company/nectar-ai</t>
  </si>
  <si>
    <t>The company joined New York Fashion Tech Lab as a part of 2024 cohort on March 26, 2024. No equity or funding was exchanged as a result of this program.</t>
  </si>
  <si>
    <t>BAM Ventures, CMDN, Dash VC, Fab Co-Creation Studio, Flying Fish Partners, Jennifer Dulski, New York Fashion Tech Lab, Trust Fund, XRC Ventures, Yale Index Ventures</t>
  </si>
  <si>
    <t>BAM Ventures (www.bam.vc), Dash VC (www.dash-vc.com), Fab Co-Creation Studio (www.fabcocreationstudio.com), Flying Fish Partners (www.flyingfish.vc), New York Fashion Tech Lab (www.nyftlab.com), Trust Fund (www.trustfund.vc), XRC Ventures (www.xrcventures.com)</t>
  </si>
  <si>
    <t>371527-30P</t>
  </si>
  <si>
    <t>Misbah Uraizee</t>
  </si>
  <si>
    <t>muraizee@nectarsocial.com</t>
  </si>
  <si>
    <t>2018 156th Avenue North East</t>
  </si>
  <si>
    <t>471925-99</t>
  </si>
  <si>
    <t>Nectir</t>
  </si>
  <si>
    <t>Nectir, Inc.</t>
  </si>
  <si>
    <t>Developer of a social platform designed to encourage collaborative learning by connecting students in the same classes. The company's platform focuses on the needs of the student and offers a class learning and communication tool to keep students engaged as well as create lines of communication throughout an entire school, enabling students to better connect the student body as well as with their professors.</t>
  </si>
  <si>
    <t>Communication Software, Educational Software*, Media and Information Services (B2B)</t>
  </si>
  <si>
    <t>communication tool, education management, education management company, educational guidance, educational institution, educational software, student learning</t>
  </si>
  <si>
    <t>www.nectir.io</t>
  </si>
  <si>
    <t>http://www.linkedin.com/company/nectirchat</t>
  </si>
  <si>
    <t>2021: 3, 2024: 11</t>
  </si>
  <si>
    <t>The company raised $3.65 million of Seed-1 funding in a deal led by Long Journey Ventures on August 1, 2024, putting the company's pre-money valuation at $12.35 million. Entrada Ventures, Edventure Capital Group, Tappan Hill Ventures, Precursor Ventures, The Pitch Fund &amp; Syndicate, Behind Genius Ventures and Pasadena Private Financial Group also participated in the round.</t>
  </si>
  <si>
    <t>Behind Genius Ventures, Edventure Capital Group, Entrada Ventures, Long Journey Ventures, Pasadena Private Financial Group, Precursor Ventures, Tappan Hill Ventures, The Pitch Fund &amp; Syndicate</t>
  </si>
  <si>
    <t>Behind Genius Ventures (www.behindgeniusventures.com), Entrada Ventures (www.entradaventures.com), Long Journey Ventures (www.longjourney.vc), Pasadena Private Financial Group (www.pasadena-private.com), Precursor Ventures (precursorvc.com), Tappan Hill Ventures (www.tappanhillventures.com)</t>
  </si>
  <si>
    <t>273285-55P</t>
  </si>
  <si>
    <t>Kavitta Ghai</t>
  </si>
  <si>
    <t>Co-Founder, Chief Executive Officer, and Board Member</t>
  </si>
  <si>
    <t>kavitta@nectir.io</t>
  </si>
  <si>
    <t>+1 (703) 860-5000</t>
  </si>
  <si>
    <t>8704 South Sepulveda Boulevard</t>
  </si>
  <si>
    <t>Suite 1064, Westchester</t>
  </si>
  <si>
    <t>+1 (213) 302-8364</t>
  </si>
  <si>
    <t>608839-75</t>
  </si>
  <si>
    <t>Neptune (New York)</t>
  </si>
  <si>
    <t>Bedelia</t>
  </si>
  <si>
    <t>Bedelia Inc.</t>
  </si>
  <si>
    <t>Developer of a business software platform designed to provide an Artificial Intelligence (AI) based chatbot for navigating prenups. The company's platform provides an AI-powered chatbot that walks users through prenuptial topics to reduce the need for expensive lawyer time, enabling couples to understand prenuptial agreements and make informed decisions</t>
  </si>
  <si>
    <t>Business/Productivity Software, Communication Software, Legal Services (B2B)*</t>
  </si>
  <si>
    <t>chatbot app, conversation app, lawyer app, personalized guidance, prenup platform, prenuptial services</t>
  </si>
  <si>
    <t>www.bedelia.ai</t>
  </si>
  <si>
    <t>The company raised $2.64 million through a combination of Pre-Seed and Pre-Seed-1 funding from Calm Ventures and other undisclosed investors on September 19, 2024, putting the company's pre-money valuation at $10.36 million.</t>
  </si>
  <si>
    <t>Calm Ventures</t>
  </si>
  <si>
    <t>Calm Ventures (www.calmvc.com)</t>
  </si>
  <si>
    <t>413700-94P</t>
  </si>
  <si>
    <t>Sol Lee</t>
  </si>
  <si>
    <t>50 Greene Avenue 2A</t>
  </si>
  <si>
    <t>hello@bedelia.ai</t>
  </si>
  <si>
    <t>453552-67</t>
  </si>
  <si>
    <t>Nestlings</t>
  </si>
  <si>
    <t>Nestlings, Inc.</t>
  </si>
  <si>
    <t>Developer of an artificial intelligence-based educational platform intended to help students easily apply to universities internationally. The company's platform features a database of North American Universities, a student community whose profiles include academic interests and achievements as well as third-party services like student lending, textbook rental, insurance, transportation, and housing, enabling students to achieve their dreams of studying abroad.</t>
  </si>
  <si>
    <t>Application Software, Educational and Training Services (B2C)*, Information Services (B2C)</t>
  </si>
  <si>
    <t>Artificial Intelligence &amp; Machine Learning, EdTech, SaaS, TMT</t>
  </si>
  <si>
    <t>academic counseling, college information, education assistance, education portal, student community, student lending, textbooks rental, university search</t>
  </si>
  <si>
    <t>www.nestlings.com</t>
  </si>
  <si>
    <t>http://www.linkedin.com/company/nestlings-inc</t>
  </si>
  <si>
    <t>2020: 6, 2021: 12, 2022: 23, 2023: 25, 2024: 28</t>
  </si>
  <si>
    <t>The company raised an undisclosed amount of venture funding from Goodwater Capital on May 5, 2022.</t>
  </si>
  <si>
    <t>Candid Ventures, Goodwater Capital</t>
  </si>
  <si>
    <t>Goodwater Capital (www.goodwatercap.com)</t>
  </si>
  <si>
    <t>246372-85P</t>
  </si>
  <si>
    <t>Sowmya Satish</t>
  </si>
  <si>
    <t>ssatish@nestlings.com</t>
  </si>
  <si>
    <t>+1 (949) 394-0276</t>
  </si>
  <si>
    <t>983 Corporate Way</t>
  </si>
  <si>
    <t>94539</t>
  </si>
  <si>
    <t>info@nestlings.com</t>
  </si>
  <si>
    <t>463343-05</t>
  </si>
  <si>
    <t>Neura Health</t>
  </si>
  <si>
    <t>Gezunt Inc.</t>
  </si>
  <si>
    <t>Migrevention</t>
  </si>
  <si>
    <t>Developer of a virtual neurology clinic platform intended to provide improved access to care for patients suffering from neurological disorders. The company's platform helps people to track their symptoms, seamlessly share them with a licensed doctor and get personalized care from the comfort of their home, enabling users to easily get improved treatments for migraine and chronic headaches.</t>
  </si>
  <si>
    <t>Digital Health, Mobile, SaaS</t>
  </si>
  <si>
    <t>headaches treatment, migraine care, migraine treatment, neurological disorder, neurology care, neurology clinic, specialty telemedicine, telehealth, telemedical service</t>
  </si>
  <si>
    <t>www.neurahealth.co</t>
  </si>
  <si>
    <t>http://www.linkedin.com/company/neurahealth</t>
  </si>
  <si>
    <t>2021: 7, 2022: 14, 2023: 22, 2024: 29</t>
  </si>
  <si>
    <t>The company joined UCSF Rosenman Institute on February 27, 2024 and received $100,000 in grant funding.</t>
  </si>
  <si>
    <t>Correlation Ventures, Global Founders Capital, GoingVC Partners, Index Ventures, JCurve, Jeffrey Weiner, Koch Disruptive Technologies, Next Play Ventures, Nikhil Krishnan, Norwest Venture Partners, Pear (California), Plug and Play Tech Center, UCSF Rosenman Institute</t>
  </si>
  <si>
    <t>Correlation Ventures (www.correlationvc.com), Global Founders Capital (www.globalfounderscapital.com), Index Ventures (www.indexventures.com), JCurve (jcurve.co), Koch Disruptive Technologies (kochdisruptivetechnologies.com), Next Play Ventures (www.nextplayventures.com), Norwest Venture Partners (www.nvp.com), Pear (California) (www.pear.vc), Plug and Play Tech Center (www.plugandplaytechcenter.com), UCSF Rosenman Institute (rosenmaninstitute.org)</t>
  </si>
  <si>
    <t>257767-84P</t>
  </si>
  <si>
    <t>Sameer Madan</t>
  </si>
  <si>
    <t>sameer.madan@neurahealth.co</t>
  </si>
  <si>
    <t>+1 (313) 887-0960</t>
  </si>
  <si>
    <t>Care of Grand Central Tech</t>
  </si>
  <si>
    <t>335 Madison Avenue, 4th Floor</t>
  </si>
  <si>
    <t>+1 (212) 214-0885</t>
  </si>
  <si>
    <t>info@neurahealth.co</t>
  </si>
  <si>
    <t>343686-61</t>
  </si>
  <si>
    <t>Neutronian</t>
  </si>
  <si>
    <t>Neutronian Inc.</t>
  </si>
  <si>
    <t>Developer of a SaaS platform designed to provide data privacy ratings and quality certification to improve campaign performance. The company's standard evaluation framework produces independent data privacy credit scores which can be used to comply with the regulations and standards, enabling clients to maintain transparency to confirm their data and inventory partners are privacy compliant and to ensure that their campaigns are running in privacy-safe environments.</t>
  </si>
  <si>
    <t>Big Data, SaaS, TMT</t>
  </si>
  <si>
    <t>campaign optimization, data privacy, data quality, data quality verification, data transparency, performance analysis, performance evaluation, privacy platform, privacy protection, risk evaluation, verification platform</t>
  </si>
  <si>
    <t>neutronian.com</t>
  </si>
  <si>
    <t>http://www.linkedin.com/company/neutronian</t>
  </si>
  <si>
    <t>2020: 8, 2021: 12, 2022: 10, 2023: 10, 2024: 10</t>
  </si>
  <si>
    <t>The company raised $600,000 of venture funding in the form of convertible debt from Aperiam Ventures, Anneka Gupta, and Hans Tung on January 1, 2021. Amar Goel and 4 other investors also participated in the round.</t>
  </si>
  <si>
    <t>Amar Goel, Anneka Gupta, Aperiam Ventures, Auren Hoffman, Colin Digiaro, Deven Sharma, Hans Tung, Jay Eum</t>
  </si>
  <si>
    <t>Aperiam Ventures (www.aperiam.vc)</t>
  </si>
  <si>
    <t>56381-14P</t>
  </si>
  <si>
    <t>Timur Yarnall</t>
  </si>
  <si>
    <t>tyarnall@neutronian.com</t>
  </si>
  <si>
    <t>6469 Almaden Expressway</t>
  </si>
  <si>
    <t>Suite 80 391, Silicon Valley</t>
  </si>
  <si>
    <t>95120</t>
  </si>
  <si>
    <t>539458-30</t>
  </si>
  <si>
    <t>New Computer</t>
  </si>
  <si>
    <t>Foobarbaz Inc.</t>
  </si>
  <si>
    <t>Character.ai, Inflection AI, OpenAI</t>
  </si>
  <si>
    <t>Developer of an artificial intelligence-powered personal application designed to truly understand ideas, prioritize, and prepare a day schedule. The company's application ingests notes, images, audio, files, and links to productively brainstorm and proactively surface information that meets specific tastes and needs, enabling users to manage their daily work in an efficient manner.</t>
  </si>
  <si>
    <t>ai assistant, ai companion, contextual understanding, intelligence application, personal assistant</t>
  </si>
  <si>
    <t>www.new.computer</t>
  </si>
  <si>
    <t>The company raised $3.7 million of pre-seed funding from OpenAI Startup Fund, Moth Fund, and South Park Commons on June 25, 2024. Lachy Groom and other undisclosed investors also participated in the round.</t>
  </si>
  <si>
    <t>Lachy Groom, Moth Fund, OpenAI Startup Fund, South Park Commons</t>
  </si>
  <si>
    <t>Moth Fund (www.mothfund.com), OpenAI Startup Fund (www.openai.fund), South Park Commons (www.southparkcommons.com)</t>
  </si>
  <si>
    <t>257176-63P</t>
  </si>
  <si>
    <t>Samantha Whitmore</t>
  </si>
  <si>
    <t>sam@new.computer</t>
  </si>
  <si>
    <t>contact@new.computer</t>
  </si>
  <si>
    <t>528269-23</t>
  </si>
  <si>
    <t>Nextdata</t>
  </si>
  <si>
    <t>NextData Technologies Inc.</t>
  </si>
  <si>
    <t>1010data, Datameer, Twilio Segment, Metabase, Neo4j, Databricks, Stitch (Database Software), MarkLogic, Chartio, Last Call Analytics, Qlik Technologies, Aiven, Dremio, Birst, Cursor ( Database Software), GoodData, Fivetran, Qubole, DataRobot, MapR, Teradata, Panoply (Database Software), Count, Tableau Software, Denodo Technologies, Crossbeam, Klipfolio, SnapLogic, Astronomer, Mixpanel, Instaclustr, Alteryx, Periscope Data, Redis, Vertica Systems, Talend, Zepl, Grow, Incorta, Hortonworks, Platfora, Yellowbrick Data, Sisense, Snowflake, Slemma, Riak, Firebolt, Urchin Software, Looker, CognitiveScale, Ab Initio, TIBCO Software, SAS Institute, Cloudera, Aerospike, Teraki, ScyllaDB, MySQL, Domo, Dataiku, DataStax, Informatica, Firebase, DataMesh, Avathon, Confluent, Emailage, Pivotal Software, Splunk, Signifyd</t>
  </si>
  <si>
    <t>Developer of a data mesh platform intended to meet the challenge of decentralizing data at scale. The company provides analytical-data-first APIs to make data products discoverable, interoperable, and efficiently usable, enabling businesses to gain insights from their data and make decisions about their operations.</t>
  </si>
  <si>
    <t>application programming interface, data analysis, data collection, data infrastructure, data management software, data pipelines, data products platform, data software &amp; systems, data software and systems, data storage, data visualization, decentralized data, decentralized data storage</t>
  </si>
  <si>
    <t>www.nextdata.com</t>
  </si>
  <si>
    <t>http://www.linkedin.com/company/nextdata-technologies</t>
  </si>
  <si>
    <t>2023: 10, 2024: 23</t>
  </si>
  <si>
    <t>The company raised $12 million of seed funding through a combination of Seed 1, and Seed 2 funding in a deal led by Acrew Capital and Greycroft on May 1, 2023, putting the company's pre-money valuation at $28 million. Other undisclosed investors also participated in the round. The funds will be used to advance the development of the company's proprietary data mesh technology and expand its teams in product, engineering, and go-to-market efforts.</t>
  </si>
  <si>
    <t>Acrew Capital, Greycroft</t>
  </si>
  <si>
    <t>Acrew Capital (www.acrewcapital.com), Greycroft (www.greycroft.com)</t>
  </si>
  <si>
    <t>349566-94P</t>
  </si>
  <si>
    <t>Zhamak Dehghani</t>
  </si>
  <si>
    <t>+1 (415) 630-0468</t>
  </si>
  <si>
    <t>San Anselmo, CA</t>
  </si>
  <si>
    <t>1408 Sir Francis Drake Boulevard</t>
  </si>
  <si>
    <t>San Anselmo</t>
  </si>
  <si>
    <t>94960</t>
  </si>
  <si>
    <t>+1 (506) 962-8508</t>
  </si>
  <si>
    <t>hello@nextdata.com</t>
  </si>
  <si>
    <t>571975-21</t>
  </si>
  <si>
    <t>Nicer.</t>
  </si>
  <si>
    <t>Developer of travel advertising software designed to connect travel advisers and well-known brands to discerning travelers. The company's travel planning platform and agency help blend traditional travel advising with AI technology, enabling clients with artificial intelligence and modern technology to elevate travel experiences.</t>
  </si>
  <si>
    <t>personalization tools, travel advertising, travel advisor, travel booking, travel collection, travel experience, travel planning, travel technology</t>
  </si>
  <si>
    <t>nicer.travel</t>
  </si>
  <si>
    <t>http://www.linkedin.com/company/nicertravel</t>
  </si>
  <si>
    <t>The company raised $2 million of pre-seed funding in a deal led by Trip Ventures on February 8, 2024. Other undisclosed investors also participated in the round. The funds will be used to scale travel advisors with the company's underlying technology.</t>
  </si>
  <si>
    <t>Trip Ventures</t>
  </si>
  <si>
    <t>Trip Ventures (www.tripventures.com)</t>
  </si>
  <si>
    <t>384121-63P</t>
  </si>
  <si>
    <t>Ragan Stone</t>
  </si>
  <si>
    <t>ragan@nicer.travel</t>
  </si>
  <si>
    <t>923 Avenue De Diego</t>
  </si>
  <si>
    <t>00921</t>
  </si>
  <si>
    <t>contact@nicer.travel</t>
  </si>
  <si>
    <t>513048-43</t>
  </si>
  <si>
    <t>Niural</t>
  </si>
  <si>
    <t>Niural Inc.</t>
  </si>
  <si>
    <t>Deel, Papaya Global, Gusto, Rippling</t>
  </si>
  <si>
    <t>Operator of payments and compliance platform intended for a global workforce. The company's platform offers to hire contractors, minimize legal risks, and handle all the tax and compliance documents, helping companies streamline their hiring process, manage global payroll, and keep tabs on compliance.</t>
  </si>
  <si>
    <t>FinTech, Legal Tech, SaaS</t>
  </si>
  <si>
    <t>compliance document, compliance platform, crypto corporation management and finance, erp, global workforce, hr compliances, human capital management, payroll payment, tax handles</t>
  </si>
  <si>
    <t>www.niural.com</t>
  </si>
  <si>
    <t>http://www.linkedin.com/company/niural</t>
  </si>
  <si>
    <t>2023: 27, 2024: 32</t>
  </si>
  <si>
    <t>The company raised $5 million of seed funding from GS Futures, Inspired Capital (New York) and New Form Capital on November 10, 2022. Hustle Fund, Untamed Ventures, M13 and Alliance DAO also participated in the round.</t>
  </si>
  <si>
    <t>Alliance DAO, GS Futures, Hustle Fund, Inspired Capital (New York), M13, New Form Capital, Untamed Ventures</t>
  </si>
  <si>
    <t>Alliance DAO (www.alliance.xyz), GS Futures (www.gsfutures.vc), Hustle Fund (www.hustlefund.vc), Inspired Capital (New York) (www.inspiredcapital.com), M13 (www.m13.co), New Form Capital (www.newformcap.com), Untamed Ventures (www.untamedvc.com)</t>
  </si>
  <si>
    <t>195415-66P</t>
  </si>
  <si>
    <t>Namrata Baral</t>
  </si>
  <si>
    <t>442312-48</t>
  </si>
  <si>
    <t>Nivelo (Financial Software)</t>
  </si>
  <si>
    <t>Nivelo</t>
  </si>
  <si>
    <t>Nivelo Tech, Inc.</t>
  </si>
  <si>
    <t>Developer of adaptive threat detection technology designed to manage credit and debit payment risk in real-time. The company's technology leverages machine learning techniques to identify the likelihood of cybercriminal threats and processing errors, enabling organizations to avoid account takeover, synthetic identity fraud, admin errors, and business email compromise risks.</t>
  </si>
  <si>
    <t>Financial Software*, IT Consulting and Outsourcing, Network Management Software</t>
  </si>
  <si>
    <t>Cybersecurity, FinTech, SaaS</t>
  </si>
  <si>
    <t>cfo stack, digital payment security, earned wage access, fraud detection, fraud prevention, identity &amp; access management, identity and access management, payment fraud detection, payment risk management, payment security, payment technology, secure payment</t>
  </si>
  <si>
    <t>www.nivelo.io</t>
  </si>
  <si>
    <t>http://www.linkedin.com/company/nivelofi</t>
  </si>
  <si>
    <t>2020: 2, 2021: 7, 2022: 9, 2023: 8</t>
  </si>
  <si>
    <t>The company raised $1 million of venture funding from Irregular Expressions and other undisclosed investors on February 23, 2022.</t>
  </si>
  <si>
    <t>Anthemis, Barclays, Dash Fund, FirstMark Capital, Google for Startups, Irregular Expressions</t>
  </si>
  <si>
    <t>Anthemis (www.anthemis.com), Barclays (www.home.barclays), Dash Fund (www.dashfund.co), FirstMark Capital (www.firstmark.com), Google for Startups (startup.google.com), Irregular Expressions (www.irregex.vc)</t>
  </si>
  <si>
    <t>242739-10P</t>
  </si>
  <si>
    <t>Elizabeth Polanco</t>
  </si>
  <si>
    <t>eli.polanco@nivelo.io</t>
  </si>
  <si>
    <t>142 Greene Street</t>
  </si>
  <si>
    <t>+1 (917) 704-4969</t>
  </si>
  <si>
    <t>info@nivelo.io</t>
  </si>
  <si>
    <t>539007-22</t>
  </si>
  <si>
    <t>Noble</t>
  </si>
  <si>
    <t>NASD Inc.</t>
  </si>
  <si>
    <t>Operator of a digital asset issuance company intended to broaden the breadth and depth of usage of assets within the blockchain ecosystem. The company's platform leverages core blockchain primitives and interoperability protocols such as inter-blockchain communication, enabling asset issuers to securely and seamlessly flow between multiple blockchain applications.</t>
  </si>
  <si>
    <t>Asset Management, Business/Productivity Software, Other Financial Services*</t>
  </si>
  <si>
    <t>assets ownership, assets rights, assets safety, blockchain model, cosmos ecosystem, digital asset trading</t>
  </si>
  <si>
    <t>www.noble.xyz</t>
  </si>
  <si>
    <t>http://www.linkedin.com/company/noblexyz</t>
  </si>
  <si>
    <t>2023: 3, 2024: 9</t>
  </si>
  <si>
    <t>Primary Office (Update) Dover, DE</t>
  </si>
  <si>
    <t>The company raised $15 million of Series A venture funding in a deal led by Paradigm on November 19, 2024. Wintermute Ventures, Polychain Capital, Informal Systems, Foresight Ventures and other undisclosed investors also participated in the round. The funds will be used to help accelerate the build out of the company's blockchain and continue to service a burgeoning ecosystem of builders and end users who leverage the company for deep stablecoin and real world asset (RWA) liquidity.</t>
  </si>
  <si>
    <t>Borderless Capital, Circle (Financial Services), CMCC Global, Foresight Ventures, Hustle Fund, Informal Systems, Interop Ventures, Paradigm, Polychain Capital, Wintermute Ventures</t>
  </si>
  <si>
    <t>Borderless Capital (www.borderlesscapital.io), Circle (Financial Services) (www.circle.com), CMCC Global (www.cmcc.vc), Foresight Ventures (www.foresight.vc), Hustle Fund (www.hustlefund.vc), Informal Systems (www.informal.systems), Interop Ventures (www.interop.ventures), Paradigm (www.pdgm.com), Polychain Capital (polychain.capital)</t>
  </si>
  <si>
    <t>371573-29P</t>
  </si>
  <si>
    <t>Jelena Djuric</t>
  </si>
  <si>
    <t>jdjuric@nobleassets.xyz</t>
  </si>
  <si>
    <t>850 New Burton Road</t>
  </si>
  <si>
    <t>Suite 201, Kent</t>
  </si>
  <si>
    <t>19904</t>
  </si>
  <si>
    <t>hello@nobleassets.xyz</t>
  </si>
  <si>
    <t>438142-06</t>
  </si>
  <si>
    <t>Nodat</t>
  </si>
  <si>
    <t>Nodat Inc.</t>
  </si>
  <si>
    <t>Yelp, Groupon, Fivestar (Commercial Services), CouponsDaily.com</t>
  </si>
  <si>
    <t>Operator of a community marketing platform intended to promote businesses with real customer influencers. The company's platform utilizes gamification and fungible loyalty points to drive desired customer actions like trendy user-generated content, reviews, and social shares to increase awareness, engagement, and repeat customers to a business, enabling small firms to compete with big box brands locally and drive repeat revenues.</t>
  </si>
  <si>
    <t>community platform, engagement tool, geo-targeting, influencer marketing technology, local marketing tech, loyalty technology, marketing technology</t>
  </si>
  <si>
    <t>www.nodatplace.com</t>
  </si>
  <si>
    <t>http://www.linkedin.com/company/nodat-inc</t>
  </si>
  <si>
    <t>2020: 4, 2021: 4, 2022: 6, 2023: 3, 2024: 3</t>
  </si>
  <si>
    <t>The company raised $ 43,600 of equity crowdfunding in the form of SAFE notes via Wefunder in August 2023.</t>
  </si>
  <si>
    <t>AWS Startups, Beta Boom, Sunset Ventures</t>
  </si>
  <si>
    <t>AWS Startups (aws-startup-lofts.com), Beta Boom (betaboom.com)</t>
  </si>
  <si>
    <t>Collins Legal(Legal Advisor)</t>
  </si>
  <si>
    <t>Collins Legal(Legal Advisor), Wefunder(Lead Manager or Arranger)</t>
  </si>
  <si>
    <t>238243-42P</t>
  </si>
  <si>
    <t>Aireka Harvell</t>
  </si>
  <si>
    <t>aireka.harvell@nodatplace.com</t>
  </si>
  <si>
    <t>6339 Charlotte Pike Box 904</t>
  </si>
  <si>
    <t>37209</t>
  </si>
  <si>
    <t>info@nodatplace.com</t>
  </si>
  <si>
    <t>537526-00</t>
  </si>
  <si>
    <t>Northwood</t>
  </si>
  <si>
    <t>Surrey Satellite Technology</t>
  </si>
  <si>
    <t>Developer of ultra-wideband gateway technology designed to enable fast satellite backhaul. The company aims to revolutionize satellite data transmission by mass-producing ground stations, also known as teleports, which connect to satellites in space, enabling the space industry to spend significant time reconfiguring their networks, making the process more efficient and cost-effective.</t>
  </si>
  <si>
    <t>Aerospace and Defense*, Other Communications and Networking</t>
  </si>
  <si>
    <t>satellite communication, satellite communication antenna, satellite communication system, satellite data, ultra wideband, wideband antenna</t>
  </si>
  <si>
    <t>www.northwoodspace.io</t>
  </si>
  <si>
    <t>http://www.linkedin.com/company/northwood-space</t>
  </si>
  <si>
    <t>The company raised an estimated $6 million of venture funding led by Founders Fund, Andreessen Horowitz with participation of Also Capital and Long Journey on February 19, 2024. The funds will be used to build satellite ground stations that are designed with mass production and customer flexibility first in mind. Humba Ventures and BoxGroup has also participated in the round.</t>
  </si>
  <si>
    <t>Also Capital, Andreessen Horowitz, BoxGroup, Founders Fund, Humba Ventures, Long Journey Ventures</t>
  </si>
  <si>
    <t>Also Capital (www.alsocapital.com), Andreessen Horowitz (www.a16z.com), BoxGroup (www.boxgroup.com), Founders Fund (www.foundersfund.com), Long Journey Ventures (www.longjourney.vc)</t>
  </si>
  <si>
    <t>385756-84P</t>
  </si>
  <si>
    <t>Griffin Cleverly</t>
  </si>
  <si>
    <t>El Segundo, CA</t>
  </si>
  <si>
    <t>El Segundo</t>
  </si>
  <si>
    <t>493919-11</t>
  </si>
  <si>
    <t>NOTICENINJA</t>
  </si>
  <si>
    <t>ANTS</t>
  </si>
  <si>
    <t>Notice Ninja, Inc.</t>
  </si>
  <si>
    <t>Black Duck Software, Zylo, 1E, Snow Software, Thru (Business/Productivity Software), Aspera (Germany), Tanium, Automox, NTT Application Security, Ivanti, Spectral (Network Management Software), Lansweeper, Code Climate, Salesforce, Auth0, AppOmni, Scalable Software, Corsa, SecurityMatters, Druva, Tripwire, Votiro, Promisec, NextNine, SolarWinds, Axonius, SonicWall, Acunetix, Invicti Security, BluBracket, Armis, Trustwave, Secure64, CyberX (Network Management Software), Canopy (Singapore), Kaspersky Lab, Freshworks, Microsoft Exchange Hosted Services, Clear (Financial Software), BMC Software</t>
  </si>
  <si>
    <t>Developer of a digital notice compliance platform designed to streamline back-office tax operations. The company's platform automates notice entry with an optical character recognition scan to capture technology, ensures distribution to the proper departments, allows tracking and oversight of all documents and communications, and manages documents, user links, credentials, contacts, and addresses integrated through a communication platform, enabling clients to digitize and optimize their notice compliance processes, reducing penalties through guided resolution pathways and real-time insights.</t>
  </si>
  <si>
    <t>Artificial Intelligence &amp; Machine Learning, Big Data, FinTech, HR Tech, SaaS</t>
  </si>
  <si>
    <t>api interface, artificial intelligence platform, digital application platform, digital concepts, machine learning, saas analytics, tax compliance</t>
  </si>
  <si>
    <t>www.noticeninja.com</t>
  </si>
  <si>
    <t>http://www.linkedin.com/company/noticeninja</t>
  </si>
  <si>
    <t>2020: 2, 2021: 5, 2022: 10, 2023: 20, 2024: 17</t>
  </si>
  <si>
    <t>Competitor (New) BMC Software</t>
  </si>
  <si>
    <t>The company raised an undisclosed amount of venture funding from Seventy30 Solutions, BrightSol and Prospero Capital Ventures on January 11, 2024.</t>
  </si>
  <si>
    <t>BrightSol, Google for Startups, Jack Nolan, Morgan Stanley Inclusive Ventures Lab, Prospero Capital Ventures, Seventy30 Solutions, Tampa Bay Wave</t>
  </si>
  <si>
    <t>BrightSol (www.brightsol.co), Google for Startups (startup.google.com), Seventy30 Solutions (www.s30build.com), Tampa Bay Wave (www.tampabaywave.org)</t>
  </si>
  <si>
    <t>California Business Law Group(Legal Advisor)</t>
  </si>
  <si>
    <t>Pivotal Law Group(Legal Advisor), Sheppard Mullin(Legal Advisor)</t>
  </si>
  <si>
    <t>300289-42P</t>
  </si>
  <si>
    <t>Amanda Reineke</t>
  </si>
  <si>
    <t>amanda@noticeninja.com</t>
  </si>
  <si>
    <t>+1 (949) 629-4395</t>
  </si>
  <si>
    <t>107 North 11th Street</t>
  </si>
  <si>
    <t>Unit 554</t>
  </si>
  <si>
    <t>+1 (800) 254-0306</t>
  </si>
  <si>
    <t>489023-02</t>
  </si>
  <si>
    <t>Notus</t>
  </si>
  <si>
    <t>Notus Inc.</t>
  </si>
  <si>
    <t>Provider of lead nurturing services intended for companies to attract their target customers. The company analyzes an audience by looking at the interactions of its audience members, through retweets, mentions, likes and replies and interprets the social touchpoints, enabling clients to engage with customers effectively.</t>
  </si>
  <si>
    <t>customer conversations, customer engagement, customer engagement firm, customer engagement system, social web browser, target customer</t>
  </si>
  <si>
    <t>www.getnotus.io</t>
  </si>
  <si>
    <t>http://www.linkedin.com/company/getnotus</t>
  </si>
  <si>
    <t>2021: 4, 2022: 5, 2023: 5, 2024: 4</t>
  </si>
  <si>
    <t>The company raised $1.25 million of seed funding in a deal led by Seven Seven Six on December 13, 2021, putting the company's pre-money valuation at $3 million. Jimmy Douglas and other undisclosed investors also participated in the round. Earlier, the company joined Good For Her as a part of its Cohort Four on August 4, 2021.</t>
  </si>
  <si>
    <t>Good For Her, Jimmy Douglas, Seven Seven Six</t>
  </si>
  <si>
    <t>Good For Her (www.goodforher.co), Seven Seven Six (www.sevensevensix.com)</t>
  </si>
  <si>
    <t>285434-47P</t>
  </si>
  <si>
    <t>Yuliya Bel</t>
  </si>
  <si>
    <t>ybel@getnotus.io</t>
  </si>
  <si>
    <t>489071-44</t>
  </si>
  <si>
    <t>Noty.ai</t>
  </si>
  <si>
    <t>Noty</t>
  </si>
  <si>
    <t>Noty.ai, Inc</t>
  </si>
  <si>
    <t>Fireflies.ai, Otter.ai, Loom, Supernormal (Business/Productivity Software)</t>
  </si>
  <si>
    <t>Developer of workplace AGI (artificial general intelligence) assistant designed to detect, track and automate to-do's to boost performance of knowledge workers.
The company's software transcribes each word said during meetings and stores them on the device or in the cloud, keeps track of all meetings with its conversational intelligence, and can share meeting insights with their team and clients right after the call via link or email, enabling companies to increase meeting productivity, prevent information loss, and save time by automating digital routines record.</t>
  </si>
  <si>
    <t>ai assistant, conversational intelligence, meeting insights, meeting summaries, note taking software, to-do tracker</t>
  </si>
  <si>
    <t>www.noty.ai</t>
  </si>
  <si>
    <t>http://www.linkedin.com/company/notyai</t>
  </si>
  <si>
    <t>2021: 6, 2023: 17, 2024: 14</t>
  </si>
  <si>
    <t>The company is reportedly seeking $1 million of seed funding as of an undisclosed date. Previously, the company was in talks to receive seed funding in approximately March 2022. Subsequently, the deal was cancelled. The company is actively tracked by PitchBook.</t>
  </si>
  <si>
    <t>Adrian Slywotzky, Aleksander Maidanyuk, Elias Veris, Geek Ventures, Ihar Mahaniok, Murat Abdrakhmanov, Vadim Rogovskiy</t>
  </si>
  <si>
    <t>Geek Ventures (geek.vc)</t>
  </si>
  <si>
    <t>285469-66P</t>
  </si>
  <si>
    <t>Natalia Marina</t>
  </si>
  <si>
    <t>natalia@noty.ai</t>
  </si>
  <si>
    <t>info@noty.ai</t>
  </si>
  <si>
    <t>432809-65</t>
  </si>
  <si>
    <t>Novi Connect</t>
  </si>
  <si>
    <t>Novi</t>
  </si>
  <si>
    <t>Novi Connect, Inc.</t>
  </si>
  <si>
    <t>Rithum (Media and Information Services), NuOrder, Salsify, Jazva, GoDataFeed, Feedonomics, Magento Commerce, Momentis, Optimizely, Productsup, Mercent, Contently, Contentful, Volusion, Channable, ShipStation, WakeupData, BigCommerce, Mediaspectrum, Zesty (Business/Productivity Software), Volo Commerce, Solid Commerce, Zentail, Worldfavor, iFoodDS, Cazoomi, Stitch Labs, DataFeedWatch, Bamboo Rose, Elastic.io, Sitecore, SkuVault, Twilio Segment, Syndigo, Squarespace, Dsco, Mi9 Retail, Increff, TradeBeyond, MuleSoft, OTHRSource, DeSL, Omnify Software, SupplyCompass, SPS Commerce, SellerCloud, ChannelAdvisor, Centric Software, GT Nexus</t>
  </si>
  <si>
    <t>Operator of a digital marketplace designed to connect brands, manufacturers, and suppliers. The company's platform partners with emerging brands, established retailers, and other involved parties in between to help streamline product development and certification, enabling businesses to increase visibility, and reach and make it faster and easier to develop products.</t>
  </si>
  <si>
    <t>chemical supplier listings, crm, customer relationship management, ecommerce personalization, personal care ingredients, retailer chain, supply chain system, supply chain technology, supply chain technology platform</t>
  </si>
  <si>
    <t>www.noviconnect.com</t>
  </si>
  <si>
    <t>http://www.linkedin.com/company/noviconnect</t>
  </si>
  <si>
    <t>2021: 33, 2022: 33, 2023: 35, 2024: 46</t>
  </si>
  <si>
    <t>The company raised $40 million of Series B venture funding in a deal led by Tiger Global Management on February 4, 2022, putting the company's pre-money valuation at $265 million. Defy Partners Management, Greylock, Marin Sonoma Impact Ventures, and RenderNet also participated in the round. The funds will be used to build additional technology sustainability claims, grow its selection of ingredients, fragrances, and packaging, as well as expand into new verticals like home care and food. Previously, the company raised $10.28 million of Series A venture funding in a deal led by Greylock Partners on September 7, 2021, putting the company's pre-money valuation at $24.72 million. Defy Partners Management, Thomas Layton, Walrus, and Yannis Skoufalos also participated in the round. The funds will be used for further building out the platform and for future expansion into verticals like home goods and food.</t>
  </si>
  <si>
    <t>Cowboy Ventures, Defy Partners Management, Felicis, Greylock, Julia Hartz, Kevin Hartz, Khosla Ventures, Marin Sonoma Impact Ventures, Maveron, Polaris Partners, Slow Ventures, Thomas Layton, Tiger Global Management, Walrus Tech, Yannis Skoufalos</t>
  </si>
  <si>
    <t>Cowboy Ventures (www.cowboy.vc), Defy Partners Management (www.defy.vc), Felicis (www.felicis.com), Greylock (www.greylock.com), Khosla Ventures (www.khoslaventures.com), Marin Sonoma Impact Ventures (www.msivfund.com), Maveron (www.maveron.com), Polaris Partners (www.polarispartners.com), Slow Ventures (www.slow.co), Tiger Global Management (www.tigerglobal.com), Walrus Tech (walrus.club)</t>
  </si>
  <si>
    <t>191785-42P</t>
  </si>
  <si>
    <t>Kimberly Shenk</t>
  </si>
  <si>
    <t>kimberly@noviconnect.com</t>
  </si>
  <si>
    <t>+1 (415) 578-0449</t>
  </si>
  <si>
    <t>Larkspur, CA</t>
  </si>
  <si>
    <t>700 Larkspur Lane</t>
  </si>
  <si>
    <t>Suite 199</t>
  </si>
  <si>
    <t>Larkspur</t>
  </si>
  <si>
    <t>94939</t>
  </si>
  <si>
    <t>268571-53</t>
  </si>
  <si>
    <t>Ntropy</t>
  </si>
  <si>
    <t>Ntropy Inc.</t>
  </si>
  <si>
    <t>ProfitWell</t>
  </si>
  <si>
    <t>Developer of enterprise software designed to automate data for categorization. The company's software assesses borrower risk leveraging, open banking, and transaction data turning raw information into accurate categories and labels, enabling clients to catch fraud without sacrificing user experience and bringing models to production at minimum cost.</t>
  </si>
  <si>
    <t>api coding, api design, autonomous data collection, data categorization, data labeling platform, data labeling tools, enterprise resource planning, erp</t>
  </si>
  <si>
    <t>www.ntropy.com</t>
  </si>
  <si>
    <t>http://www.linkedin.com/company/ntropy</t>
  </si>
  <si>
    <t>2019: 2, 2020: 6, 2021: 21, 2022: 31, 2023: 33</t>
  </si>
  <si>
    <t>The company raised $11 million of Series A venture funding in a deal led by Lakestar on October 12, 2022, putting the company's pre-money valuation at $30 million. MoonPay and 5 other investors also participated in the round. The funds will be used by the company to develop and launch releases on its roadmap including higher-level insights on top of transaction data, such as Income Checks, Subscription Management, Affordability, and more.</t>
  </si>
  <si>
    <t>Ahmed Medhat, AI Seed, Broslyn Capital, Claire Diaz-Ortiz, ComplyAdvantage, Fabric Ventures, January Ventures, Lakestar, MoonPay, QED Investors, Ramp, Thomas Stone, Twilio</t>
  </si>
  <si>
    <t>AI Seed (aiseedfund.com), Broslyn Capital (www.broslyncapital.com), Claire Diaz-Ortiz (clairediazortiz.com), ComplyAdvantage (www.complyadvantage.com), Fabric Ventures (www.fabric.vc), January Ventures (january.ventures), Lakestar (www.lakestar.com), MoonPay (www.moonpay.com), QED Investors (www.qedinvestors.com), Ramp (www.ramp.com), Twilio (www.twilio.com)</t>
  </si>
  <si>
    <t>188150-41P</t>
  </si>
  <si>
    <t>Nare Vardanyan</t>
  </si>
  <si>
    <t>nare@ntropy.network</t>
  </si>
  <si>
    <t>2035, Sunset Lake Road</t>
  </si>
  <si>
    <t>Suite B-2</t>
  </si>
  <si>
    <t>hello@ntropy.com</t>
  </si>
  <si>
    <t>Other - $0.39M</t>
  </si>
  <si>
    <t>498324-16</t>
  </si>
  <si>
    <t>Nume Crypto</t>
  </si>
  <si>
    <t>Nume</t>
  </si>
  <si>
    <t>Nume Crypto Inc.</t>
  </si>
  <si>
    <t>Coinbase Global, SpectroCoin, CoinGate</t>
  </si>
  <si>
    <t>Developer of an online payment system designed for financial inclusivity using cryptocurrency and blockchain-based technologies. The company's platform will process cryptocurrency payments powered by its platform, which is built on Ethereum, enabling businesses and retail customers to process crypto payments efficiently and economically.</t>
  </si>
  <si>
    <t>B2B Payments, Cryptocurrency/Blockchain, FinTech</t>
  </si>
  <si>
    <t>block chain technology, blockchain setup, crypto payment, crypto payment platform, crypto payment service, crypto payment system, onboarding and payment</t>
  </si>
  <si>
    <t>www.numecrypto.com</t>
  </si>
  <si>
    <t>http://www.linkedin.com/company/nume-crypto</t>
  </si>
  <si>
    <t>2022: 7, 2023: 8, 2024: 6</t>
  </si>
  <si>
    <t>The company raised $2 million of pre-seed funding in a deal led by Sequoia Capital on June 14, 2022, putting the company's pre-money valuation at $6 million. BEENEXT Capital Management and 14 other investors also participated in the round. The funds will be used to launch the company's payments platform in the fourth quarter of this year.</t>
  </si>
  <si>
    <t>Alex Svanevik, Arjuna Sathiaseelan, Arun Samudrala, Balaji Srinivasan, BEENEXT Capital Management, Eden Ventures, Eric Yang, Gabby Dizon, Gautam Seshadri, Jaynti Kanani, Rahul Rai, Ramanan Iyer, Sanat Rao, Sequoia Capital, Teck Chia, Whiteboard Capital</t>
  </si>
  <si>
    <t>Balaji Srinivasan (balajis.com), BEENEXT Capital Management (www.beenext.com), Eden Ventures (www.edenventures.co.uk), Sequoia Capital (www.sequoiacap.com), Whiteboard Capital (whiteboardcap.com)</t>
  </si>
  <si>
    <t>304938-10P</t>
  </si>
  <si>
    <t>Madhumitha Harishankar</t>
  </si>
  <si>
    <t>mharishankar@numecrypto.com</t>
  </si>
  <si>
    <t>+1 (609) 902-3711</t>
  </si>
  <si>
    <t>Florence, NJ</t>
  </si>
  <si>
    <t>402 Szypulski Lane</t>
  </si>
  <si>
    <t>Florence</t>
  </si>
  <si>
    <t>08518</t>
  </si>
  <si>
    <t>team@numecrypto.com</t>
  </si>
  <si>
    <t>442829-08</t>
  </si>
  <si>
    <t>NyquistAI</t>
  </si>
  <si>
    <t>Nyquist</t>
  </si>
  <si>
    <t>Nyquist Data, Inc.</t>
  </si>
  <si>
    <t>Developer of a global data platform designed to unlock hidden insights from unstructured life science data. The company's platform uses machine learning technology to connect the dots from clinical trials to real-world data to generate a full life cycle Medtech perspective, enabling healthcare professionals to find the right information to make the right decisions.</t>
  </si>
  <si>
    <t>Business/Productivity Software, Database Software*, Enterprise Systems (Healthcare)</t>
  </si>
  <si>
    <t>Artificial Intelligence &amp; Machine Learning, Big Data, Life Sciences, SaaS</t>
  </si>
  <si>
    <t>abi custom application, analytics platform, critical data, data insights, global data, healthcare data analytics, insights analysis, life science data, medical device company, strategy development, vertical application</t>
  </si>
  <si>
    <t>www.nyquistai.com</t>
  </si>
  <si>
    <t>http://www.linkedin.com/company/nyquistdata</t>
  </si>
  <si>
    <t>2021: 5, 2022: 8, 2023: 14, 2024: 14</t>
  </si>
  <si>
    <t>CatchLight Capital Partners, Five Two Five, Google for Startups, GSR Ventures, Ignite Healthcare Network, Kevin Moore, Lightspeed Venture Partners, Mentors Fund, Peterson Partners, TA Ventures, Village Global, Worm Capital</t>
  </si>
  <si>
    <t>CatchLight Capital Partners (www.catchlightcap.com), Five Two Five (www.525.vc), Google for Startups (startup.google.com), GSR Ventures (www.gsrventuresus.com), Ignite Healthcare Network (www.ignitehealthcare.org), Kevin Moore (www.agileangel.com), Lightspeed Venture Partners (www.lsvp.com), Mentors Fund (www.mentors.fund), Peterson Partners (www.petersonpartners.com), TA Ventures (www.taventures.vc), Village Global (www.villageglobal.vc), Worm Capital (www.nightviewcapital.com)</t>
  </si>
  <si>
    <t>244017-10P</t>
  </si>
  <si>
    <t>Qiang Kou</t>
  </si>
  <si>
    <t>Co-Founder &amp; Tech Lead</t>
  </si>
  <si>
    <t>qk@nyquistdata.com</t>
  </si>
  <si>
    <t>+1 (317) 529-6889</t>
  </si>
  <si>
    <t>855 El Camino Real</t>
  </si>
  <si>
    <t>Suite 13A - 286</t>
  </si>
  <si>
    <t>+1 (833) 536-6888</t>
  </si>
  <si>
    <t>info@nyquistdata.com</t>
  </si>
  <si>
    <t>186333-13</t>
  </si>
  <si>
    <t>Odyssey (Business/Productivity Software)</t>
  </si>
  <si>
    <t>Odyssey</t>
  </si>
  <si>
    <t>Odyssey Energy Solutions, Inc.</t>
  </si>
  <si>
    <t>MasterControl, CLDigital, Cube Dev, DueDil, CryptoNumerics, Allgress, Arachnys, Rsam, LeapYear, InsideView, PowerHub, ZoomInfo Technologies, Venminder, ActiveOps, 360factors, AppOmni, Behavox, LexisNexis Group, SimpleLegal, SAP, Anonos, ComplySci, Zaloni, CB Insights, WireWheel, FactSet Research Systems, Riskonnect</t>
  </si>
  <si>
    <t>Developer of a fintech platform designed for scaling capital deployment to distribute renewable energy. The company's platform provides an end-to-end solution for every phase of project investment, development, and management, enabling clients to aggregate and scale investment in distributed renewable energy.</t>
  </si>
  <si>
    <t>asset management firm, asset management platform, data analytics, energy data, energy services, enterprise asset management, enterprise resource planning, erp, mini-grid application</t>
  </si>
  <si>
    <t>www.odysseyenergysolutions.com</t>
  </si>
  <si>
    <t>http://www.linkedin.com/company/odyssey-energy-solutions</t>
  </si>
  <si>
    <t>2017: 4, 2018: 7, 2020: 12, 2021: 24, 2022: 31, 2023: 40, 2024: 50</t>
  </si>
  <si>
    <t>The company joined The World Economic Forum as a part of its 2023 Technology Pioneers Cohort on June 21, 2023. No equity or funding was exchanged as a result of this program.</t>
  </si>
  <si>
    <t>Abstract Ventures, Climate Capital, Equal Ventures Management, Equator VC, Factor[e] Ventures, FJ Labs, Founder Collective, Keeling Curve Prize, MCJ, Rockefeller Foundation, Standish Spring Investments, The World Economic Forum, Transition Global, Twelve Below, Union Square Ventures</t>
  </si>
  <si>
    <t>Abstract Ventures (abstract.vc), Climate Capital (www.climatecapital.co), Equal Ventures Management (www.equal.vc), Equator VC (equator.vc), Factor[e] Ventures (www.factore.com), FJ Labs (www.fjlabs.com), Founder Collective (www.foundercollective.com), Keeling Curve Prize (www.kcurveprize.org), MCJ (www.mcj.vc), Rockefeller Foundation (www.rockefellerfoundation.org), Standish Spring Investments (standishspring.com), The World Economic Forum (widgets.weforum.org), Transition Global (transition.vc), Twelve Below (www.twelvebelow.co), Union Square Ventures (www.usv.com)</t>
  </si>
  <si>
    <t>170778-52P</t>
  </si>
  <si>
    <t>Emily McAteer</t>
  </si>
  <si>
    <t>emily@odysseyenergysolutions.com</t>
  </si>
  <si>
    <t>+1 (978) 505-9423</t>
  </si>
  <si>
    <t>1519 Pine Street</t>
  </si>
  <si>
    <t>80302</t>
  </si>
  <si>
    <t>info@odysseyenergysolutions.com</t>
  </si>
  <si>
    <t>458215-30</t>
  </si>
  <si>
    <t>Office Otter</t>
  </si>
  <si>
    <t>Left</t>
  </si>
  <si>
    <t>Office Otter Incorporated</t>
  </si>
  <si>
    <t>Developer of a task management tool designed to integrate with email and text to help busy professionals to create tasks on the go. The company's tool turns conversations into functions in one click and allows sending to-dos from a phone or computer using text and email, enabling busy professionals to save time and improve productivity.</t>
  </si>
  <si>
    <t>productivity software, task creation, task creation platform, task management, task management platform, task management system</t>
  </si>
  <si>
    <t>www.officeotter.com</t>
  </si>
  <si>
    <t>http://www.linkedin.com/company/office-otter</t>
  </si>
  <si>
    <t>2020: 2, 2021: 3, 2022: 6, 2023: 7, 2024: 3</t>
  </si>
  <si>
    <t>The company raised an undisclosed amount of venture funding from Invariantes Fund, Root and Shoot Ventures and 1517 Fund on April 1, 2021. Alumni Ventures, OSEA Angel Investors and Titan Angels also participated in the round. Other undisclosed investors also participated in the round.</t>
  </si>
  <si>
    <t>1517 Fund, Alumni Ventures, Beresford Ventures, Hatcher+, Invariantes Fund, OSEA Angel Investors, Quake Capital, Root and Shoot Ventures, Semapa Next, Techstars, Titan Angels</t>
  </si>
  <si>
    <t>1517 Fund (www.1517fund.com), Alumni Ventures (www.av.vc), Beresford Ventures (www.beresfordventures.com), Hatcher+ (hq.hatcher.com), Invariantes Fund (www.invariantes.com), OSEA Angel Investors (www.oseaangelinvestors.com), Quake Capital (www.quakecapital.com), Root and Shoot Ventures (www.rs.ventures), Semapa Next (www.semapanext.com), Techstars (www.techstars.com), Titan Angels (www.titanangels.com)</t>
  </si>
  <si>
    <t>249362-74P</t>
  </si>
  <si>
    <t>Jordan Boudreau</t>
  </si>
  <si>
    <t>jordan@officeotter.co</t>
  </si>
  <si>
    <t>1149 Third Street</t>
  </si>
  <si>
    <t>info@officeotter.co</t>
  </si>
  <si>
    <t>553181-59</t>
  </si>
  <si>
    <t>Ohai.ai</t>
  </si>
  <si>
    <t>Ohai</t>
  </si>
  <si>
    <t>Ohai.ai, Inc.</t>
  </si>
  <si>
    <t>Developer of an artificial intelligence support assistant designed to improve the lives of families. The company's platform helps with managing schedules, coordinating family tasks, booking appointments, setting reminders and sorting through emails, enabling parents to manage their daily work.</t>
  </si>
  <si>
    <t>ai assistant, ai assistant tools, data management, household assistant, to-do list tracker, virtual assistant</t>
  </si>
  <si>
    <t>www.ohai.ai</t>
  </si>
  <si>
    <t>http://www.linkedin.com/company/ohaidotai</t>
  </si>
  <si>
    <t>2024: 40</t>
  </si>
  <si>
    <t>The company raised $6 million of seed funding in the form of SAFE notes in a deal led by Eniac Ventures and Life Extension Ventures on January 22, 2024. Wavemaker Partners, New Enterprise Associates, Learn Capital, and Rethink Capital Partners also participated in the round. The funds will be used to revolutionize home and personal organization, alleviating the mental load of Chief Household Officers.</t>
  </si>
  <si>
    <t>Eniac Ventures, K5 Global, Learn Capital, Life Extension Ventures, New Enterprise Associates, Rethink Capital Partners, Wavemaker Partners</t>
  </si>
  <si>
    <t>Eniac Ventures (www.eniac.vc), K5 Global (www.k5global.com), Learn Capital (www.learn.vc), Life Extension Ventures (www.lifex.vc), New Enterprise Associates (www.nea.com), Rethink Capital Partners (www.rethink-capital.com), Wavemaker Partners (www.wavemaker.vc)</t>
  </si>
  <si>
    <t>167656-06P</t>
  </si>
  <si>
    <t>Kelly Wahlberg</t>
  </si>
  <si>
    <t>kwahlberg@ohai.ai</t>
  </si>
  <si>
    <t>Pembroke, MA</t>
  </si>
  <si>
    <t>125 Church Street</t>
  </si>
  <si>
    <t>Suite 170</t>
  </si>
  <si>
    <t>Pembroke</t>
  </si>
  <si>
    <t>02359</t>
  </si>
  <si>
    <t>o@ohai.ai</t>
  </si>
  <si>
    <t>528787-27</t>
  </si>
  <si>
    <t>Ohanafy</t>
  </si>
  <si>
    <t>Ohanafy, Inc.</t>
  </si>
  <si>
    <t>Developer of a beverage supply chain technology software platform designed to provide a cloud-based operating system for craft beverage businesses. The company's platform helps craft beverage businesses to manage their operations, including sales, production and inventory and is purposefully built to grow revenue, enabling businesses to improve their operations and increase their sales.</t>
  </si>
  <si>
    <t>beverage management platform, beverage management services, beverage management software, beverage management solutions, beverage management system, supply chain management</t>
  </si>
  <si>
    <t>www.ohanafy.com</t>
  </si>
  <si>
    <t>http://www.linkedin.com/company/ohanafy</t>
  </si>
  <si>
    <t>2023: 30, 2024: 39</t>
  </si>
  <si>
    <t>The company raised $2.90 million of venture funding from undisclosed investors on March 8, 2024.</t>
  </si>
  <si>
    <t>Cape Fear Ventures</t>
  </si>
  <si>
    <t>Cape Fear Ventures (www.capefear.vc)</t>
  </si>
  <si>
    <t>350528-05P</t>
  </si>
  <si>
    <t>Ian Padrick</t>
  </si>
  <si>
    <t>ian@ohanafy.com</t>
  </si>
  <si>
    <t>+1 (910) 547-1565</t>
  </si>
  <si>
    <t>Wilmington, NC</t>
  </si>
  <si>
    <t>21 South Front Street</t>
  </si>
  <si>
    <t>28401</t>
  </si>
  <si>
    <t>521415-01</t>
  </si>
  <si>
    <t>Ola Invierte</t>
  </si>
  <si>
    <t>Ola</t>
  </si>
  <si>
    <t>Ola Financial Technologies, Inc.</t>
  </si>
  <si>
    <t>Developer of a financial app intended to provide financial independence to everyone. The company provides smart portfolios, educational content, security, fractional shares, and ETFs, enabling users to gain financial literacy with their app.</t>
  </si>
  <si>
    <t>digital advisory, financial literacy, financial planning, financial security, fractional shares, wealthtech</t>
  </si>
  <si>
    <t>siguelaola.com</t>
  </si>
  <si>
    <t>http://www.linkedin.com/company/olainvierte</t>
  </si>
  <si>
    <t>2023: 5, 2024: 2</t>
  </si>
  <si>
    <t>The company joined Techstars on January 10, 2023 and received $120,000 in funding.</t>
  </si>
  <si>
    <t>Astir Ventures, Latitud, Techstars</t>
  </si>
  <si>
    <t>Astir Ventures (www.astir.vc), Latitud (www.latitud.com), Techstars (www.techstars.com)</t>
  </si>
  <si>
    <t>339692-32P</t>
  </si>
  <si>
    <t>Isabel Penzini</t>
  </si>
  <si>
    <t>isabel@siguelaola.com</t>
  </si>
  <si>
    <t>+1 (305) 493-8587</t>
  </si>
  <si>
    <t>contact@olainvierte.com</t>
  </si>
  <si>
    <t>522128-89</t>
  </si>
  <si>
    <t>Olympix</t>
  </si>
  <si>
    <t>Olympix Inc.</t>
  </si>
  <si>
    <t>Quantstamp, AnChain.AI, Halborn</t>
  </si>
  <si>
    <t>Developer of web3 security tool designed to find and automatically fix vulnerabilities in clients' code in real time. The company's platform has security intelligence and a vulnerability database to deploy and avoid costly smart contract rewrites or irreparable damage, enabling clients to maintain security at scale without compromising the web3 environment.</t>
  </si>
  <si>
    <t>Artificial Intelligence &amp; Machine Learning, Big Data, Cryptocurrency/Blockchain</t>
  </si>
  <si>
    <t>attack prevention, coding security, crypto compliance, crypto security, database security, security intelligence, vertical application, web3 based, web3 environment</t>
  </si>
  <si>
    <t>www.olympix.ai</t>
  </si>
  <si>
    <t>http://www.linkedin.com/company/olympix</t>
  </si>
  <si>
    <t>2022: 2, 2023: 7, 2024: 9</t>
  </si>
  <si>
    <t>The company raised an undisclosed amount of venture funding from Coalition Operators in approximately October 2024.</t>
  </si>
  <si>
    <t>Aleksandr Yampolskiy, Blockdaemon, Boldstart Ventures, Coalition Operators, Gauntlet, Guy Podjarny, Ian Andrews, Konstantin Richter, Picks and Shovels, Robot Ventures, Sam Kassoumeh, Shrug Capital</t>
  </si>
  <si>
    <t>Blockdaemon (www.blockdaemon.com), Boldstart Ventures (www.boldstart.vc), Coalition Operators (www.coalitionoperators.com), Gauntlet (www.gauntlet.xyz), Picks and Shovels (www.picksandshovelsvc.com), Robot Ventures (robvc.com), Shrug Capital (www.shrug.vc)</t>
  </si>
  <si>
    <t>340749-55P</t>
  </si>
  <si>
    <t>Channi Greenwall</t>
  </si>
  <si>
    <t>channi@olympix.ai</t>
  </si>
  <si>
    <t>+1 (510) 414-2492</t>
  </si>
  <si>
    <t>233 Spring Street</t>
  </si>
  <si>
    <t>New Paltz</t>
  </si>
  <si>
    <t>contact@olympix.ai</t>
  </si>
  <si>
    <t>321164-11</t>
  </si>
  <si>
    <t>On the Goga</t>
  </si>
  <si>
    <t>On the Goga, Inc.</t>
  </si>
  <si>
    <t>Developer of a no-code platform designed to allow human resource teams to build their own wellness and benefits portals. The company's platform offers flexibly customizing employee wellness programs with human-centered well-being workshops, challenges, and content and creates and delivers wellness programs that help employees feel valued and supported, enabling customers to have a platform for organizational well-being programs.</t>
  </si>
  <si>
    <t>Business/Productivity Software*, Clinics/Outpatient Services, Media and Information Services (B2B)</t>
  </si>
  <si>
    <t>cultural development market, cultural development services, organizational wellbeing, wellbeing program, wellbeing program organizer, wellness company, wellness platform</t>
  </si>
  <si>
    <t>www.onthegoga.com</t>
  </si>
  <si>
    <t>http://www.linkedin.com/company/on-the-goga</t>
  </si>
  <si>
    <t>2023: 13, 2024: 22</t>
  </si>
  <si>
    <t>The company raised $405,000 of pre-seed funding in a combination of SAFE notes and equity from Ben Franklin Technology Partners of Southeastern Pennsylvania, Techstars and Westchester Angels on April 30, 2024, putting the company's post-valuation at $7 million.</t>
  </si>
  <si>
    <t>Ben Franklin Technology Partners of Southeastern Pennsylvania, Techstars, Westchester Angels</t>
  </si>
  <si>
    <t>Ben Franklin Technology Partners of Southeastern Pennsylvania (www.sep.benfranklin.org), Techstars (www.techstars.com), Westchester Angels (www.westchesterangels.com)</t>
  </si>
  <si>
    <t>Ballard Spahr(Legal Advisor)</t>
  </si>
  <si>
    <t>333004-33P</t>
  </si>
  <si>
    <t>Anna Greenwald</t>
  </si>
  <si>
    <t>anna@onthegoga.com</t>
  </si>
  <si>
    <t>+1 (267) 277-3063</t>
  </si>
  <si>
    <t>21 South 11th Street</t>
  </si>
  <si>
    <t>19107</t>
  </si>
  <si>
    <t>info@onthegoga.com</t>
  </si>
  <si>
    <t>Bridge Loan - $0.41M (Convertible)</t>
  </si>
  <si>
    <t>228061-27</t>
  </si>
  <si>
    <t>OneEleven</t>
  </si>
  <si>
    <t>Invibed</t>
  </si>
  <si>
    <t>One.Eleven</t>
  </si>
  <si>
    <t>OneEleven Financial Wellness, Inc.</t>
  </si>
  <si>
    <t>Developer of financial wellness platform designed to develop healthy money habits that maximize happiness and reduce stress. The company's platform delivers financial education and personalized planning tools which include money management through video lessons, custom financial plans, and one-on-one coaching, enabling young professionals to spend wisely and get advice from professionals.</t>
  </si>
  <si>
    <t>Educational and Training Services (B2C), Educational Software*, Financial Software, Other Financial Services</t>
  </si>
  <si>
    <t>EdTech, FinTech</t>
  </si>
  <si>
    <t>financial education, financial literacy, financial literacy service, personal finance, personal financial management, progress tracker</t>
  </si>
  <si>
    <t>www.oneeleven.co</t>
  </si>
  <si>
    <t>http://www.linkedin.com/company/getoneeleven</t>
  </si>
  <si>
    <t>2021: 14, 2022: 19, 2023: 18, 2024: 17</t>
  </si>
  <si>
    <t>The company graduated from gener8tor as a part of its Insurance &amp; Wealth Accelerator on October 18, 2024 and received an undisclosed amount of funding.</t>
  </si>
  <si>
    <t>gener8tor, Inspiration Ventures, StartEd, U.S. News Digital Ventures LLC, Village Capital</t>
  </si>
  <si>
    <t>gener8tor (www.gener8tor.com), Inspiration Ventures (www.inspirationvc.com), StartEd (www.started.com), Village Capital (www.vilcap.com)</t>
  </si>
  <si>
    <t>Foley Hoag(Legal Advisor)</t>
  </si>
  <si>
    <t>184253-95P</t>
  </si>
  <si>
    <t>Danielle Pascarella</t>
  </si>
  <si>
    <t>Co-founder, Chief Executive Officer, President &amp; Board Member</t>
  </si>
  <si>
    <t>dani@invibed.com</t>
  </si>
  <si>
    <t>+1 (646) 786-8472</t>
  </si>
  <si>
    <t>244 5th Avenue</t>
  </si>
  <si>
    <t>Suite D299</t>
  </si>
  <si>
    <t>+1 (561) 376-5198</t>
  </si>
  <si>
    <t>hello@oneeleven.co</t>
  </si>
  <si>
    <t>484579-45</t>
  </si>
  <si>
    <t>OneSchema</t>
  </si>
  <si>
    <t>OneSchema AI, Inc.</t>
  </si>
  <si>
    <t>Square 9 Softworks, Rossum, Chartio, Datawatch, Panoply (Database Software), ClearStory Data, Mindee, Astronomer, Vertica Systems, Flatfile, Tealium, Qubole, Quest Software, DocuWare, Delphix, TIBCO Software, Nuxeo, Xtracta, Arcserve, Actifio, Trifacta, Alfresco Software, Denodo Technologies, Dataiku, RedGate (Database Software), Veeam, Appian, Datameer, Talend, Docsumo, Fivetran, Salesforce, Tableau Software, GoodData, Birst, Periscope Data, Yellowbrick Data, Bynder, Incorta, Datadog, Cloudera, M-Files, Looker, RingLead, Qlik Technologies, Twilio Segment, Osmos (Business/Productivity Software), Zuva (Business/Productivity Software), Improvado, Anvil, Hull, Mixpanel, Docparser, Crozdesk, Rubrik</t>
  </si>
  <si>
    <t>Developer of a cloud-based platform intended for enterprise data quality management. The company's platform provides data cleansing software to detect and rectify errors, fix and validate data, and offers address validation and application programming interface integration for data export, enabling product and engineering teams to save development time building a comma-separated values importer.</t>
  </si>
  <si>
    <t>Business/Productivity Software*, Information Services (B2C)</t>
  </si>
  <si>
    <t>ai cores, analytics platform, cloud network, cloud server, content services, data management software, data quality management, data security, data software &amp; systems, data software and systems, engineering industry, kms, knowledge management system, saas product, saas software</t>
  </si>
  <si>
    <t>www.oneschema.co</t>
  </si>
  <si>
    <t>http://www.linkedin.com/company/oneschema</t>
  </si>
  <si>
    <t>2021: 6, 2023: 15, 2024: 18</t>
  </si>
  <si>
    <t>The company raised $6.3 million of seed funding in a deal led by General Catalyst on November 16, 2022. Xoogler Ventures ad 14 other investors also participated in the round. The funds will be used to make substantial investments in its engineering team.</t>
  </si>
  <si>
    <t>BoxGroup, Comma Capital, Contrary (San Francisco), Deepika Bodapati, Dennis Steele, Elad Gil, Epakon Capital Management, Eric Rea, General Catalyst, Julianna Lamb, Sequoia Capital, Steve Bartel, Tanay Tandon, Wade Foster, Xoogler Ventures, Y Combinator</t>
  </si>
  <si>
    <t>BoxGroup (www.boxgroup.com), Comma Capital (comma.vc), Contrary (San Francisco) (www.contrary.com), Elad Gil (www.eladgil.com), Epakon Capital Management (www.epakon.com), General Catalyst (www.generalcatalyst.com), Sequoia Capital (www.sequoiacap.com), Y Combinator (www.ycombinator.com)</t>
  </si>
  <si>
    <t>284073-58P</t>
  </si>
  <si>
    <t>Andrew Luo</t>
  </si>
  <si>
    <t>andrew@oneschema.co</t>
  </si>
  <si>
    <t>466 Geary Street</t>
  </si>
  <si>
    <t>founders@oneschema.co</t>
  </si>
  <si>
    <t>439696-99</t>
  </si>
  <si>
    <t>OnShore Technology Group</t>
  </si>
  <si>
    <t>OTG</t>
  </si>
  <si>
    <t>OnShore Technology Group, Inc.</t>
  </si>
  <si>
    <t>Developer of validation and verification software designed to deliver products and services that power lean validation processes. The company's software specializes in developing and delivering products and services to optimize and streamline the validation process and also the proprietary software suite combines OnShore IP with technologies to deliver robust alternatives for time-saving, cost-effective validation and verification of literally any enterprise system or process, enabling agencies to eliminate waste throughout the validation process while ensuring sustained compliance.</t>
  </si>
  <si>
    <t>Industrials</t>
  </si>
  <si>
    <t>risk management service, risk management system, validation process, validation services, verification software, verification software platform</t>
  </si>
  <si>
    <t>www.onshoretech.com</t>
  </si>
  <si>
    <t>http://www.linkedin.com/company/onshore-technology-group</t>
  </si>
  <si>
    <t>2020: 9, 2021: 9, 2022: 9, 2023: 9</t>
  </si>
  <si>
    <t>The company raised $250,000 of venture funding through a combination of debt and equity on September 25, 2020. $225,000 of equity was raised from Founders First Capital Partners and other undisclosed investors. $25,000 of debt was provided by undisclosed lenders.</t>
  </si>
  <si>
    <t>Founders First Capital Partners (www.foundersfirstcapitalpartners.com)</t>
  </si>
  <si>
    <t>Novel Capital(Debt Financing)</t>
  </si>
  <si>
    <t>242034-40P</t>
  </si>
  <si>
    <t>Valarie King-Bailey</t>
  </si>
  <si>
    <t>vkingbailey@onshoretech.com</t>
  </si>
  <si>
    <t>+1 (312) 321-6400</t>
  </si>
  <si>
    <t>Lake Point Tower Renaissance Plaza, 505 North Lake Shore Drive</t>
  </si>
  <si>
    <t>60611</t>
  </si>
  <si>
    <t>info@onshoretech.com</t>
  </si>
  <si>
    <t>Term Loan - $0.03M</t>
  </si>
  <si>
    <t>Expected 04-Feb-2027</t>
  </si>
  <si>
    <t>463615-66</t>
  </si>
  <si>
    <t>Onward (Financial Software)</t>
  </si>
  <si>
    <t>Ensemble Technologies, Together</t>
  </si>
  <si>
    <t>Onward</t>
  </si>
  <si>
    <t>Onward Solutions, Inc.</t>
  </si>
  <si>
    <t>Ittavi</t>
  </si>
  <si>
    <t>Developer of an expense tracking platform designed to help divorced and separated parents track and manage shared expenses for their children. The company offers to streamline communication about finances, quickly share past or future expenses, suggest expense splits, upload receipts, export spending records for court documentation and review an activity feed, enabling co-parents to improve the lives of their children.</t>
  </si>
  <si>
    <t>Application Software, Financial Software*, Information Services (B2C), Other Financial Services</t>
  </si>
  <si>
    <t>expense sharing, expense tracking, expense tracking app, expense tracking platform, expenses tracker, personal financial management, streamline communication, wealthtech</t>
  </si>
  <si>
    <t>www.onwardapp.com</t>
  </si>
  <si>
    <t>http://www.linkedin.com/company/theonwardapp</t>
  </si>
  <si>
    <t>2021: 8, 2022: 10, 2024: 10</t>
  </si>
  <si>
    <t>The company raised an undisclosed amount of venture funding from Global Venture Bridge in May 2024.</t>
  </si>
  <si>
    <t>Citi Ventures, Correlation Ventures, GingerBread Capital, Global Venture Bridge, Kube VC, Lerer Hippeau, TTV Capital</t>
  </si>
  <si>
    <t>Correlation Ventures (www.correlationvc.com), GingerBread Capital (www.gingerbreadcap.com), Global Venture Bridge (globalventurebridge.com), Kube VC (www.kubevc.com), Lerer Hippeau (www.lererhippeau.com), TTV Capital (www.ttvcapital.com)</t>
  </si>
  <si>
    <t>40764-34P</t>
  </si>
  <si>
    <t>Jacklyn Rome</t>
  </si>
  <si>
    <t>jacklyn@onwardapp.com</t>
  </si>
  <si>
    <t>+1 (310) 993-5917</t>
  </si>
  <si>
    <t>2219 Main Street</t>
  </si>
  <si>
    <t>Unit Number 156</t>
  </si>
  <si>
    <t>90405</t>
  </si>
  <si>
    <t>hello@ensembleui.com</t>
  </si>
  <si>
    <t>509580-82</t>
  </si>
  <si>
    <t>Onyxia</t>
  </si>
  <si>
    <t>Onyxia Cyber, Inc.</t>
  </si>
  <si>
    <t>Developer of a cybersecurity management platform designed to streamline security strategy and day-to-day, tactical program management. The company's platform delivers predictive insights and data intelligence that allow them to gain a complete view of their program performance, and achieve organizational compliance, enabling enterprises and managed security service providers to increase security stack efficiency and optimize and communicate the business-level impact of their strategic security initiatives.</t>
  </si>
  <si>
    <t>Application Software, Business/Productivity Software, Network Management Software*</t>
  </si>
  <si>
    <t>Artificial Intelligence &amp; Machine Learning, Cybersecurity, Mobile, SaaS</t>
  </si>
  <si>
    <t>cybersecurity platform, cybersecurity posture, real time data, security metrics, security operations, technical due diligence</t>
  </si>
  <si>
    <t>www.onyxia.io</t>
  </si>
  <si>
    <t>http://www.linkedin.com/company/onyxia-cyber</t>
  </si>
  <si>
    <t>2022: 11, 2023: 16, 2024: 23</t>
  </si>
  <si>
    <t>The company raised venture funding from Lockstep (Palo Alto) on an undisclosed date.</t>
  </si>
  <si>
    <t>Florida-Israel Business Accelerator, Lockstep (Palo Alto), Silvertech Ventures, World Trade Ventures</t>
  </si>
  <si>
    <t>Florida-Israel Business Accelerator (www.fiba.io), Lockstep (Palo Alto) (www.lockstep.vc), Silvertech Ventures (www.silvertechventures.com), World Trade Ventures (www.worldtradeventures.com)</t>
  </si>
  <si>
    <t>317963-17P</t>
  </si>
  <si>
    <t>Sivan Tehila</t>
  </si>
  <si>
    <t>sivan@onyxia.io</t>
  </si>
  <si>
    <t>+1 (609) 401-5927</t>
  </si>
  <si>
    <t>7 World Trade Center</t>
  </si>
  <si>
    <t>info@onyxia.io</t>
  </si>
  <si>
    <t>338645-98</t>
  </si>
  <si>
    <t>Opora</t>
  </si>
  <si>
    <t>Opora Technologies, Ltd.</t>
  </si>
  <si>
    <t>Morphisec, ThetaRay</t>
  </si>
  <si>
    <t>Developer of cyber threat management platform designed to contain adversaries before they strike. The company's platform utilizes cloud computing, big data, and machine learning technologies that monitor and detect threats to deliver preemptive containment actions to existing prevention, detection, and response systems, enabling clients to identify malicious attacks and protect themselves against harmful risk.</t>
  </si>
  <si>
    <t>cyber intelligence firm, cyber risk analytics, cyber security assessment, cyber security system, cyber threat intelligence, cyber threat management, network detection &amp; response, network detection and response, network security, vertical application</t>
  </si>
  <si>
    <t>www.opora.io</t>
  </si>
  <si>
    <t>http://www.linkedin.com/company/opora-technologies</t>
  </si>
  <si>
    <t>2019: 10, 2020: 41, 2021: 38, 2022: 34, 2023: 30, 2024: 15</t>
  </si>
  <si>
    <t>Stamford Growth Investments sold a stake in the company to an undisclosed buyer in approximately August 2021.</t>
  </si>
  <si>
    <t>Jerusalem Venture Partners</t>
  </si>
  <si>
    <t>Stamford Growth Investments</t>
  </si>
  <si>
    <t>Jerusalem Venture Partners (www.jvpvc.com)</t>
  </si>
  <si>
    <t>230230-90P</t>
  </si>
  <si>
    <t>Noam Jolles</t>
  </si>
  <si>
    <t>noam.jolles@opora.io</t>
  </si>
  <si>
    <t>122 Grand Street</t>
  </si>
  <si>
    <t>507323-53</t>
  </si>
  <si>
    <t>Opt Health</t>
  </si>
  <si>
    <t>Opt Health, Inc.</t>
  </si>
  <si>
    <t>Operator of a telemedicine platform designed to reconnect men with health, wellness, strength, and sexual vitality through the science of preventive medicine. The company's platform starts with professional consultation and health optimization is achieved through a combination of blood work to understand health, enabling men to try out a personalized treatment plan.</t>
  </si>
  <si>
    <t>Application Software, Information Services (B2C)*, Other Healthcare Services</t>
  </si>
  <si>
    <t>men's health, online teleconsultation platform, prescription medication, professional consultation, specialty telemedicine, telehealth, telemedicine platform, treatment plan</t>
  </si>
  <si>
    <t>www.getopt.com</t>
  </si>
  <si>
    <t>http://www.linkedin.com/company/opt-health</t>
  </si>
  <si>
    <t>2022: 14</t>
  </si>
  <si>
    <t>The company raised $6.88 million through the combination of Seed-1, Seed-2 and Seed-3 funding from Resolute Ventures and other undisclosed investors on September 5, 2023, putting the company's pre-money valuation at $9 million.</t>
  </si>
  <si>
    <t>Resolute Ventures</t>
  </si>
  <si>
    <t>Resolute Ventures (www.resolute.vc)</t>
  </si>
  <si>
    <t>316107-01P</t>
  </si>
  <si>
    <t>Camilo Isaza</t>
  </si>
  <si>
    <t>cam@getopt.com</t>
  </si>
  <si>
    <t>+1 (855) 409-7235</t>
  </si>
  <si>
    <t>595 Pacific Avenue</t>
  </si>
  <si>
    <t>Floor 4</t>
  </si>
  <si>
    <t>info@getopt.com</t>
  </si>
  <si>
    <t>Bridge Loan - $0.63M</t>
  </si>
  <si>
    <t>266352-40</t>
  </si>
  <si>
    <t>Opus (Educational Software)</t>
  </si>
  <si>
    <t>ESL Works</t>
  </si>
  <si>
    <t>Opus</t>
  </si>
  <si>
    <t>Opus Training, Inc.</t>
  </si>
  <si>
    <t>Developer of a SaaS-based learning platform designed to deliver text message courses. The company's platform helps to create mobile-first training for employees to learn English and get multilingual training to thrive and grow, managers to retain their team and make company files accessible on the phone, enabling organizations to engage their desks with fewer employees effectively.</t>
  </si>
  <si>
    <t>Education and Training Services (B2B), Educational Software*, Information Services (B2C)</t>
  </si>
  <si>
    <t>employee training, enterprise resource planning, erp, generative ai, human capital management, learning platform, on the jobs training, training tools, workforce engagement</t>
  </si>
  <si>
    <t>www.opus.so</t>
  </si>
  <si>
    <t>http://www.linkedin.com/company/opus-so</t>
  </si>
  <si>
    <t>2020: 8, 2021: 14, 2022: 22, 2023: 28, 2024: 30</t>
  </si>
  <si>
    <t>The company raised $8.84 million of Series A venture funding in a deal led by Gutter Capital &amp; Stage 2 Capital on September 12, 2022, putting the company's pre-money valuation at $26 million. Metrodora Ventures, NextView Ventures and Bling Capital also participated in the round. The funds will be used to accelerate growth through expanded product and sales teams.</t>
  </si>
  <si>
    <t>Bling Capital, Blue Ridge Labs, Dan Teran, Gutter Capital, Ilia Papas, Impact Assets, Kleiner Perkins, Metrodora Ventures, NextView Ventures, Propel Capital Network, Stage 2 Capital, Wiley Cerilli</t>
  </si>
  <si>
    <t>Bling Capital (www.blingcap.com), Blue Ridge Labs (www.labs.robinhood.org), Gutter Capital (gutter.cc), Impact Assets (www.impactassets.org), Kleiner Perkins (www.kleinerperkins.com), Metrodora Ventures (www.metrodora.vc), NextView Ventures (www.nextview.vc), Propel Capital Network (www.propelcapital.org), Stage 2 Capital (www.stage2.capital)</t>
  </si>
  <si>
    <t>223737-85P</t>
  </si>
  <si>
    <t>Rachael Nemeth</t>
  </si>
  <si>
    <t>rachael@opus.so</t>
  </si>
  <si>
    <t>+1 (212) 369-3331</t>
  </si>
  <si>
    <t>221 Canal Street</t>
  </si>
  <si>
    <t>Floor 6F</t>
  </si>
  <si>
    <t>+1 (929) 335-9970</t>
  </si>
  <si>
    <t>hello@opus.so</t>
  </si>
  <si>
    <t>527374-18</t>
  </si>
  <si>
    <t>Ora (Software Development Applications)</t>
  </si>
  <si>
    <t>Ora</t>
  </si>
  <si>
    <t>Ora Labs, Inc.</t>
  </si>
  <si>
    <t>BP Logix, Intalio, Sisense, Appian, OutSystems, Joget</t>
  </si>
  <si>
    <t>Developer of artificial intelligence-powered campaign optimization tools intended to analyze historical and real-time data. The company specializes in developing a custom chatbot that lets users engage and utilize it for various purposes whether looking for a virtual friend, a customer support agent for your business, or want to master a new language, enabling users to create and personalize their artificial intelligence and share it with their audience.</t>
  </si>
  <si>
    <t>Business/Productivity Software, Other Hardware, Software Development Applications*</t>
  </si>
  <si>
    <t>ai personas, artificial intelligence based, custom ai, custom chatbot, developer tools, market research, optimization tool, qualitative research, user research</t>
  </si>
  <si>
    <t>www.ora.ai</t>
  </si>
  <si>
    <t>http://www.linkedin.com/company/ora-labs</t>
  </si>
  <si>
    <t>The company raised $3.37 million of seed funding from Superscrypt, Soma Capital and Alliance DAO on February 8, 2023. Other undisclosed investors also participated in the round.</t>
  </si>
  <si>
    <t>Alliance DAO, Soma Capital, Superscrypt</t>
  </si>
  <si>
    <t>Alliance DAO (www.alliance.xyz), Soma Capital (somacap.com), Superscrypt (www.superscrypt.xyz)</t>
  </si>
  <si>
    <t>348268-51P</t>
  </si>
  <si>
    <t>Dennis Martinez</t>
  </si>
  <si>
    <t>+1 (929) 227-5936</t>
  </si>
  <si>
    <t>1111B South Governors Avenue</t>
  </si>
  <si>
    <t>Suite 6064</t>
  </si>
  <si>
    <t>353294-02</t>
  </si>
  <si>
    <t>OrbitsEdge</t>
  </si>
  <si>
    <t>OrbitsEdge, Inc.</t>
  </si>
  <si>
    <t>Developer of a computing and analytics software designed to collect and process vast amounts of data in space. The company's software eliminates bandwidth constraints and communication delays of sending data in Earth to be processed optimizing current and future projects in space, enabling aerospace industries to avail space-based web services.</t>
  </si>
  <si>
    <t>aerospace industry components, analytics software, computing software system, data collection, edge computing, space services</t>
  </si>
  <si>
    <t>www.orbitsedge.com</t>
  </si>
  <si>
    <t>http://www.linkedin.com/company/orbitsedge</t>
  </si>
  <si>
    <t>2021: 7, 2023: 4, 2024: 4</t>
  </si>
  <si>
    <t>The company raised $200,000 of seed funding from undisclosed investors on an undisclosed date.</t>
  </si>
  <si>
    <t>Bentley Radcliff</t>
  </si>
  <si>
    <t>218208-34P</t>
  </si>
  <si>
    <t>Richard Ward</t>
  </si>
  <si>
    <t>rick@orbitsedge.com</t>
  </si>
  <si>
    <t>+1 (321) 291-3572</t>
  </si>
  <si>
    <t>Cocoa Beach, FL</t>
  </si>
  <si>
    <t>Cocoa Beach</t>
  </si>
  <si>
    <t>info@orbitsedge.com</t>
  </si>
  <si>
    <t>437963-32</t>
  </si>
  <si>
    <t>Orum (Financial Software)</t>
  </si>
  <si>
    <t>Orum</t>
  </si>
  <si>
    <t>Project Midas, Inc.</t>
  </si>
  <si>
    <t>Mastercard OB Services Europe, Stripe, Transfast, Worldpay, BitPay, Money Mover, MoneyGram, Wirecard Solutions South Africa, VeriFone, Adyen, AZA Finance, PayPal Braintree, Litecoin Foundation, Gopay Vietnam Payment Services, Soldo, Venmo, Blockchain.com, Currencies Direct, Self-Custody, Paytm, Visa Europe, Equals Money, Monzo, Wirecard Turkey, Payvision, Satispay, VALR, XE.com, Marqeta, Monese, Revolut, CurrencyFair, Merchantrade Asia, Chime, Skrill, Factris, Ebury, Lykke, Kraken, Remitly, Wirex, Amberdata, Coinbase Global, Ethereum, CryptoBucks, Fidelity Digital Assets, Razorpay, Choice (United States), OnTrees, Coinsquare, Bitpanda, CoinPayments, Azimo, Coinigy, Payrailz, Tide, Wirecard Brazil, S.W.I.F.T., Bottomline Technologies, Currencycloud, Bitstamp, Coinify, Tech Bureau, TransferGo, Ria Financial Services, Coinapult, Bitfinex, WePay, ProPay, Block, Netsend, WorldFirst, Hyperwallet Systems, OFX, Olyv, Plaid, PayPal Holdings, Ingenico Group, 2Checkout, BitGo, FC Exchange, Lisk, Earthport, Wave Financial, Ripple Labs, Unimoni Enterprise Solutions, CurrencyTransfer, Basware, Dogecoin, Poloniex, Blockstream, BitMEX, Yoyo (Financial Software), WorldPay US, N26, Bitcoin.com, PayU, Starling Bank, Atom Bank, Gemini</t>
  </si>
  <si>
    <t>Operator of the financial infrastructure platform intended to facilitate transactions. The company's software leverages its intelligence for predictive funds availability to provide users with the information required to shift to fully automated payments, enabling customers and business enterprises access to real-time payment rails without necessitating a bank integration.</t>
  </si>
  <si>
    <t>financial services infrastructure, financial system integration, frictionless payment, money transfer app, online money management, online wallets, payment optimization</t>
  </si>
  <si>
    <t>www.orum.io</t>
  </si>
  <si>
    <t>http://www.linkedin.com/company/helloorum</t>
  </si>
  <si>
    <t>2020: 40, 2021: 55, 2022: 80, 2023: 40</t>
  </si>
  <si>
    <t>SVB Equity Capital sold a stake in the company to an undisclosed buyer.</t>
  </si>
  <si>
    <t>Accel, Acrew Capital, Alloy Labs, American Express Ventures, Bain Capital Ventures, BoxGroup, Canapi Ventures, Charley Ma, Clocktower Ventures, Homebrew, Inspired Capital (New York), Justin Overdorff, Leo Capital, Marc Bhargava, Michael Vaughan, Neythri Futures Fund, Omri Dahan, Plug and Play Tech Center, Primary Venture Partners, Roli Saxena, Siddharth Mehta</t>
  </si>
  <si>
    <t>SVB Equity Capital</t>
  </si>
  <si>
    <t>Accel (www.accel.com), Acrew Capital (www.acrewcapital.com), Alloy Labs (www.alloylabs.com), American Express Ventures (www.amexventures.com), Bain Capital Ventures (www.baincapitalventures.com), BoxGroup (www.boxgroup.com), Canapi Ventures (www.canapi.com), Clocktower Ventures (www.clocktowerventures.com), Homebrew (www.homebrew.co), Inspired Capital (New York) (www.inspiredcapital.com), Leo Capital (www.leo.capital), Michael Vaughan (michaelvaughan.net), Neythri Futures Fund (www.neythrifuturesfund.com), Plug and Play Tech Center (www.plugandplaytechcenter.com), Primary Venture Partners (www.primary.vc)</t>
  </si>
  <si>
    <t>SVB Equity Capital (www.svbequity.com)</t>
  </si>
  <si>
    <t>60943-06P</t>
  </si>
  <si>
    <t>Stephany Kirkpatrick</t>
  </si>
  <si>
    <t>stephany@orum.io</t>
  </si>
  <si>
    <t>819 Broadway</t>
  </si>
  <si>
    <t>hello@orum.io</t>
  </si>
  <si>
    <t>Other - $1.07M</t>
  </si>
  <si>
    <t>552113-83</t>
  </si>
  <si>
    <t>Pace AI</t>
  </si>
  <si>
    <t>Linguistic, Inc.</t>
  </si>
  <si>
    <t>Developer of an AI-native learning platform designed for English language learning. The company's platform transforms content such as workforce training manuals, authentic materials like news articles, and open education resources into personalized, interactive lessons tailored to different student levels' experiences, enabling clients to upload any content with adaptive skills-based exercises, and real-time feedback to improve learner's English language skills in a customized and effective manner.</t>
  </si>
  <si>
    <t>content transformation, customized learning, digital learning, english education, language improvement, learning portal, personalized learning</t>
  </si>
  <si>
    <t>www.paceapp.ai</t>
  </si>
  <si>
    <t>http://www.linkedin.com/company/paceai</t>
  </si>
  <si>
    <t>The company raised $2.35 million of seed funding from GSV Ventures, E14 Fund and Transcend Network in May 2024. JFFVentures also participated in the round.</t>
  </si>
  <si>
    <t>E14 Fund, GSV Ventures, JFFVentures, MassChallenge, StartX (US), Transcend Network</t>
  </si>
  <si>
    <t>E14 Fund (www.e14.vc), GSV Ventures (www.gsv.ventures), JFFVentures (www.jff.org/what-we-do), MassChallenge (www.masschallenge.org), StartX (US) (web.startx.com), Transcend Network (www.transcend-network.com)</t>
  </si>
  <si>
    <t>347688-28P</t>
  </si>
  <si>
    <t>Victoria Pu</t>
  </si>
  <si>
    <t>victoria@paceapp.ai</t>
  </si>
  <si>
    <t>+1 (408) 513-4142</t>
  </si>
  <si>
    <t>462055-24</t>
  </si>
  <si>
    <t>PairTree (Services (B2C Non-Financial))</t>
  </si>
  <si>
    <t>PairTree</t>
  </si>
  <si>
    <t>PairTree Inc.</t>
  </si>
  <si>
    <t>Developer of a self-matching adoption platform intended to increase and accelerate opportunities for adopting families and expectant moms. The company's platform offers a low-cost, fraud-free, fast, and simple adoption process with accurate and detailed information, enabling parents to gain confidence and control in their adoption with a simplified process.</t>
  </si>
  <si>
    <t>adoption management, adoption platform, adoption service, adoption services, children adoption, enablement platform</t>
  </si>
  <si>
    <t>www.pairtreefamily.com</t>
  </si>
  <si>
    <t>http://www.linkedin.com/company/pairtree</t>
  </si>
  <si>
    <t>2021: 4, 2022: 13, 2023: 23, 2024: 15</t>
  </si>
  <si>
    <t>The company raised $650,000 of venture funding in the form of SAFE Notes from Urban Innovation Fund, Watershed Collective, Trust Ventures, and Cubit Capital on April 1, 2024. The funds will be used by the company to fuel expansion. Stephen Hays also participated in this round.</t>
  </si>
  <si>
    <t>Asymmetric Capital Partners, Cubit Capital, Female Founders - Grow F, Founder Collective, Graham &amp; Walker, Stephen Hays, Techstars, Trust Ventures, Urban Innovation Fund, Watershed Capital, Watershed Collective, What If Ventures</t>
  </si>
  <si>
    <t>Asymmetric Capital Partners (acp.vc), Cubit Capital (www.cubit.capital), Female Founders - Grow F (www.female-founders.org), Founder Collective (www.foundercollective.com), Graham &amp; Walker (www.grahamwalker.com), Stephen Hays (www.stephenrhays.com), Techstars (www.techstars.com), Trust Ventures (www.trustventures.com), Urban Innovation Fund (www.urbaninnovationfund.com), Watershed Capital (www.watershedcapitallimited.com), Watershed Collective (watershed.vc), What If Ventures (www.whatif.vc)</t>
  </si>
  <si>
    <t>212 Communications(Advisor: Communications)</t>
  </si>
  <si>
    <t>255033-19P</t>
  </si>
  <si>
    <t>Erin Quick</t>
  </si>
  <si>
    <t>erin@pairtreefamily.com</t>
  </si>
  <si>
    <t>+1 (206) 437-6782</t>
  </si>
  <si>
    <t>Bainbridge Island, WA</t>
  </si>
  <si>
    <t>321 High School Road North-East</t>
  </si>
  <si>
    <t>Suite D3/271</t>
  </si>
  <si>
    <t>Bainbridge Island</t>
  </si>
  <si>
    <t>98110</t>
  </si>
  <si>
    <t>hello@pairtreefamily.com</t>
  </si>
  <si>
    <t>496385-47</t>
  </si>
  <si>
    <t>PairUp</t>
  </si>
  <si>
    <t>PairUp, Inc.</t>
  </si>
  <si>
    <t>Developer of a mentorship application intended to help clients facilitate growth conversations and learnings between mentor pairs and pods within their organizations. The company offers a research-backed mentorship pairing and onboarding process, a growth dashboard as well as learning statistics to help track progress and learning, enabling corporates, educational institutions, healthcare organizations, and non-profit organizations to foster mentorship and belonging within their communities.</t>
  </si>
  <si>
    <t>Business/Productivity Software*, Communication Software, Media and Information Services (B2B)</t>
  </si>
  <si>
    <t>connectivity data, management application, mentorship program, software development, technology building, technology-based company</t>
  </si>
  <si>
    <t>www.pairupapp.com</t>
  </si>
  <si>
    <t>http://www.linkedin.com/company/pair-up-inc</t>
  </si>
  <si>
    <t>2022: 5, 2023: 10, 2024: 10</t>
  </si>
  <si>
    <t>The company raised $2.8 million of seed funding in a deal led by Hillsven and HearstLab on July 17, 2024. Lofty Ventures, Honey Stone VC, Looking Glass Capital, Graham &amp; Walker, Marin Sonoma Impact Ventures and Garage Incubator also participated in the round.</t>
  </si>
  <si>
    <t>Graham &amp; Walker, Harvard Alumni Entrepreneurs, HearstLab, Hillsven, Honey Stone VC, Lofty Ventures, Looking Glass Capital, Marin Sonoma Impact Ventures</t>
  </si>
  <si>
    <t>Graham &amp; Walker (www.grahamwalker.com), Harvard Alumni Entrepreneurs (harvardae.org), HearstLab (www.hearstlab.com), Honey Stone VC (www.honeystonevc.com), Lofty Ventures (www.loftyventures.com), Looking Glass Capital (lookingglass.vc), Marin Sonoma Impact Ventures (www.msivfund.com)</t>
  </si>
  <si>
    <t>301617-64P</t>
  </si>
  <si>
    <t>Andy Garvin</t>
  </si>
  <si>
    <t>andy@pairupapp.com</t>
  </si>
  <si>
    <t>+1 (708) 680-2461</t>
  </si>
  <si>
    <t>2438 North Monticello Avenue</t>
  </si>
  <si>
    <t>60643</t>
  </si>
  <si>
    <t>info@pairupapp.com</t>
  </si>
  <si>
    <t>501816-61</t>
  </si>
  <si>
    <t>Paiv</t>
  </si>
  <si>
    <t>Gamify</t>
  </si>
  <si>
    <t>Gamify Software Inc.</t>
  </si>
  <si>
    <t>SalesScreen, Spinify, Centrical</t>
  </si>
  <si>
    <t>Developer of a business intelligence and gamification platform designed to maximize performance. The company integrates with multiple existing customer relationship management and human resources systems to help sales managers pinpoint the optimal time, product, and salesperson to run spiffs with, enabling companies to increase the productivity of the sales team and increase revenue considerably.</t>
  </si>
  <si>
    <t>leaderboard for utility, sales cycle management, sales effectiveness, sales growth, sales incentive program, sales incentive solutions, sales team management</t>
  </si>
  <si>
    <t>www.paiv.ai</t>
  </si>
  <si>
    <t>http://www.linkedin.com/company/gogamify</t>
  </si>
  <si>
    <t>2022: 7, 2023: 21, 2024: 25</t>
  </si>
  <si>
    <t>The company raised $2.25 million of venture funding in the form of convertable debts from Tenzing Capital, K5 Global and I2BF Global Ventures on April 1, 2024. m]x[v Capital and Superangel also participated in the round.</t>
  </si>
  <si>
    <t>Hannah Grey Ventures, I2BF Global Ventures, JCG Capital, Jeffrey Gerdes, K5 Global, m]x[v Capital, MXV Ventures, New Stack Ventures, Pipeline Capital Partners, Rocky Woods Investments, Superangel, Tenzing Capital</t>
  </si>
  <si>
    <t>Hannah Grey Ventures (www.hannahgrey.com), I2BF Global Ventures (www.i2bf.com), JCG Capital (jcgcapital.llc), K5 Global (www.k5global.com), m]x[v Capital (www.mxv.vc), MXV Ventures (www.mxv.ventures), New Stack Ventures (www.newstack.com), Pipeline Capital Partners (www.pipeline.vc), Superangel (www.superangel.io), Tenzing Capital (www.tenzing.vc)</t>
  </si>
  <si>
    <t>309659-41P</t>
  </si>
  <si>
    <t>Emily Applegarth</t>
  </si>
  <si>
    <t>emily@gogamify.com</t>
  </si>
  <si>
    <t>Lehi, UT</t>
  </si>
  <si>
    <t>1633 West Innovation Way</t>
  </si>
  <si>
    <t>Lehi</t>
  </si>
  <si>
    <t>84043</t>
  </si>
  <si>
    <t>info@gogamify.com</t>
  </si>
  <si>
    <t>Other - $0.26M</t>
  </si>
  <si>
    <t>494297-47</t>
  </si>
  <si>
    <t>Pando (Business/Productivity Software)</t>
  </si>
  <si>
    <t>PandoHR</t>
  </si>
  <si>
    <t>Pando</t>
  </si>
  <si>
    <t>Pando HR, Inc.</t>
  </si>
  <si>
    <t>Developer of an employee progression tool designed for real-time visualization of level, career trajectory and progress. The company's platform allows making career progression, promotions, performance, manager feedback and achievements fair, transparent and accessible to everyone, enabling employers to get visibility to career paths and rate bands, enhancing retention and profitability.</t>
  </si>
  <si>
    <t>career development, career progression, employee development, employee management tool, employee progression, enterprise resource planning, erp, human capital management, performance management</t>
  </si>
  <si>
    <t>www.pando.com</t>
  </si>
  <si>
    <t>http://www.linkedin.com/company/pando-hq</t>
  </si>
  <si>
    <t>2022: 20, 2023: 17</t>
  </si>
  <si>
    <t>The company raised angel funding from Andrew Wilkinson. on an undisclosed date.</t>
  </si>
  <si>
    <t>10X Capital, Akshay Kothari, Andrew Wilkinson, Bossa Invest, Correlation Ventures, Craft Ventures, Des Traynor, Four Acres Capital, Gaingels, Global Founders Capital, Jane Alexander, Lerer Hippeau, Supernode Ventures</t>
  </si>
  <si>
    <t>10X Capital (www.10xcapital.com), Bossa Invest (www.bossainvest.com), Correlation Ventures (www.correlationvc.com), Craft Ventures (www.craftventures.com), Four Acres Capital (www.fouracres.vc), Gaingels (www.gaingels.com), Global Founders Capital (www.globalfounderscapital.com), Lerer Hippeau (www.lererhippeau.com), Supernode Ventures (www.supernode.vc)</t>
  </si>
  <si>
    <t>188607-97P</t>
  </si>
  <si>
    <t>Barbra Gago</t>
  </si>
  <si>
    <t>barbra@pando.com</t>
  </si>
  <si>
    <t>434 Camino Bandera</t>
  </si>
  <si>
    <t>92673</t>
  </si>
  <si>
    <t>hello@pando.com</t>
  </si>
  <si>
    <t>517642-48</t>
  </si>
  <si>
    <t>Papaya Tutor</t>
  </si>
  <si>
    <t>Papaya</t>
  </si>
  <si>
    <t>Papaya Tutoring Services LLC</t>
  </si>
  <si>
    <t>Operator of a peer-to-peer learning platform intended to provide STEM tutoring. The company's platform provides handpicked tutors with one-to-one coaching sessions which can be scheduled and personalized according to subjects to understand hard concepts from elementary to college level, enabling students to simplify complex STEM curriculum.</t>
  </si>
  <si>
    <t>coaching session, curriculum tools, learning plans, learning platform, stem subjects, stem tutoring, tutoring search</t>
  </si>
  <si>
    <t>www.papayatutor.com</t>
  </si>
  <si>
    <t>http://www.linkedin.com/company/papayamarket</t>
  </si>
  <si>
    <t>The company raised an estimated $2.25 million of seed funding from Chingona Ventures, Ganas Ventures, and Parade Ventures on December 19, 2022, putting the company's pre-money valuation at $4 million. Collide Capital, Sidecut Ventures, and other undisclosed investors also participated in the round.</t>
  </si>
  <si>
    <t>Chingona Ventures, Collide Capital, Ganas Ventures, Parade Ventures, Sidecut Ventures</t>
  </si>
  <si>
    <t>Chingona Ventures (chingona.ventures), Collide Capital (www.collidecap.com), Ganas Ventures (www.ganas.vc), Parade Ventures (www.parade.vc), Sidecut Ventures (www.sidecut.vc)</t>
  </si>
  <si>
    <t>330107-32P</t>
  </si>
  <si>
    <t>Sandra LaPlante</t>
  </si>
  <si>
    <t>sandra@papayatutor.com</t>
  </si>
  <si>
    <t>+1 (310) 948-0175</t>
  </si>
  <si>
    <t>Plantation, FL</t>
  </si>
  <si>
    <t>9600 North West 18th Street</t>
  </si>
  <si>
    <t>Plantation</t>
  </si>
  <si>
    <t>33322</t>
  </si>
  <si>
    <t>hello@papayatutor.com</t>
  </si>
  <si>
    <t>551392-75</t>
  </si>
  <si>
    <t>Paradigm (Business/Productivity Software)</t>
  </si>
  <si>
    <t>Paradigm</t>
  </si>
  <si>
    <t>Developer of a tool-driven autonomous platform designed to automate time-consuming repetitive workflows. The company's platform integrates with existing tools and workflows to automate repetitive tasks in sales, recruiting, data, and operations, enabling users to understand what they do, it selects the right tools for each task and performs them autonomously.</t>
  </si>
  <si>
    <t>autonomous platform, task automation tools, workflow automation, workflow automation tools, workflow management platform, workflow management tool</t>
  </si>
  <si>
    <t>paradigmai.com</t>
  </si>
  <si>
    <t>http://www.linkedin.com/company/tryparadigm</t>
  </si>
  <si>
    <t>The company raised $2 million of seed funding from Senesi Ventures, Soma Capital and Pioneer Fund on March 24, 2024. Failup Ventures, Y Combinator, Arash Ferdowsi, Harrison Chase, Eoghan McCabe, Jordan Singer and Ripple Impact Investments also participated in the round.</t>
  </si>
  <si>
    <t>Arash Ferdowsi, Eoghan McCabe, Failup Ventures, Harrison Chase, Jordan Singer, Pioneer Fund, Ripple Impact Investments, Senesi Ventures, Soma Capital, Y Combinator</t>
  </si>
  <si>
    <t>Failup Ventures (www.failup.com), Pioneer Fund (www.pioneerfund.vc), Ripple Impact Investments (www.rippleimpactinvestments.com), Senesi Ventures (www.senesiventures.com), Soma Capital (somacap.com), Y Combinator (www.ycombinator.com)</t>
  </si>
  <si>
    <t>379903-06P</t>
  </si>
  <si>
    <t>Anna Monaco</t>
  </si>
  <si>
    <t>anna@tryparadigm.ai</t>
  </si>
  <si>
    <t>462944-98</t>
  </si>
  <si>
    <t>Parallel (Educational and Training Services)</t>
  </si>
  <si>
    <t>Parallel</t>
  </si>
  <si>
    <t>Parallel Learning, Inc.</t>
  </si>
  <si>
    <t>Marker., PresenceLearning, eLuma</t>
  </si>
  <si>
    <t>Operator of a learning assessment platform intended to diagnose and empower students with learning disabilities. The company specializes in virtual neurodevelopmental assessments and support services for conditions such as dyslexia, dysgraphia, dyscalculia, and executive dysfunction while providing the resources and encouragement to succeed in the classroom, enabling students to get to the root of their problems and build confidence.</t>
  </si>
  <si>
    <t>Clinics/Outpatient Services, Educational and Training Services (B2C)*, Educational Software</t>
  </si>
  <si>
    <t>child health program, diagnostics healthcare services, digital health, learning differences, learning solutions, learning solutions platform, mental health, psychological assessment, special education, speech therapy, student support service</t>
  </si>
  <si>
    <t>www.parallellearning.com</t>
  </si>
  <si>
    <t>http://www.linkedin.com/company/join-parallel</t>
  </si>
  <si>
    <t>2020: 4, 2021: 6, 2022: 32, 2023: 98, 2024: 135</t>
  </si>
  <si>
    <t>The company raised an undisclosed amount of Series A Plus venture funding in a deal led by Rethink Impact on January 9, 2024.</t>
  </si>
  <si>
    <t>Animal Capital, Browder Capital, Global Founders Capital, Great Oaks Venture Capital, JAWS Estates Capital, Obvious Ventures, Pareto Holdings, Rethink Impact, Short List Capital, Tiger Global Management, Vine One Ventures</t>
  </si>
  <si>
    <t>Animal Capital (www.animalcapital.com), Browder Capital (www.browdercapital.com), Global Founders Capital (www.globalfounderscapital.com), Great Oaks Venture Capital (www.greatoaksvc.com), JAWS Estates Capital (www.jawsvc.com), Obvious Ventures (www.obvious.com), Pareto Holdings (www.pareto20.com), Rethink Impact (rethinkimpact.com), Short List Capital (www.shortlistcapital.com), Tiger Global Management (www.tigerglobal.com), Vine One Ventures (www.vineventures.com)</t>
  </si>
  <si>
    <t>257341-06P</t>
  </si>
  <si>
    <t>Diana Heldfond</t>
  </si>
  <si>
    <t>diana@parallellearning.com</t>
  </si>
  <si>
    <t>+1 (914) 377-5655</t>
  </si>
  <si>
    <t>Bridge Loan - $6.13M (Convertible)</t>
  </si>
  <si>
    <t>437184-01</t>
  </si>
  <si>
    <t>Pareto ( Business/Productivity Software)</t>
  </si>
  <si>
    <t>Pareto Inc.</t>
  </si>
  <si>
    <t>Scale AI, Surge AI</t>
  </si>
  <si>
    <t>Developer of data labeling platform intended to serve as the bridge between artificial intelligence companies and a network of highly skilled data workers. The platform offers services tailored to meet the needs of clients, from same-day experimental data to fully-managed teams, empowering talented and diverse professionals worldwide to contribute to AI training, enabling clients to benefit from the flexibility to refine and optimize every aspect of their AI/LLM (large language models) models.</t>
  </si>
  <si>
    <t>assistant software, business management system, data labeling for ai, generative ai, outsourcing software, task management system, virtual networking</t>
  </si>
  <si>
    <t>pareto.ai</t>
  </si>
  <si>
    <t>http://www.linkedin.com/company/hellopareto</t>
  </si>
  <si>
    <t>2021: 69, 2022: 88, 2024: 178</t>
  </si>
  <si>
    <t>The company raised $4.5 million of seed funding in a deal led by MaC Venture Capital on October 21, 2021. SoGal Ventures and 10 other investors also participated in the round. The funds will be used to establish our engineering and promoting groups to refine its item-industry health.</t>
  </si>
  <si>
    <t>Browder Capital, Charles Naut, Corey Nobile, David Breger, Envision Accelerator, Fearless Fund, Foothill Ventures, Jad Esber, Jonathan Swanson, Joshua Browder, Liquid 2 Ventures, MaC Venture Capital, Matt Pru, Nikhil Dixit, Seabed VC, Slope (Los Angeles), SoGal Ventures, Soma Capital, Soma Money, StartX (US), Susan Kimberlin, Tess Ventures</t>
  </si>
  <si>
    <t>Browder Capital (www.browdercapital.com), Envision Accelerator (www.envisionaccelerator.com), Fearless Fund (www.fearless.fund), Foothill Ventures (www.foothill.ventures), Liquid 2 Ventures (www.liquid2.vc), MaC Venture Capital (macventurecapital.com), Seabed VC (www.seabed.vc), Slope (Los Angeles) (www.slope.agency), SoGal Ventures (www.sogalventures.com), Soma Capital (somacap.com), StartX (US) (web.startx.com), Tess Ventures (www.tessventures.com)</t>
  </si>
  <si>
    <t>Cohen &amp; Co. Financial Advisory(Placement Agent)</t>
  </si>
  <si>
    <t>235595-08P</t>
  </si>
  <si>
    <t>Phoebe Yao</t>
  </si>
  <si>
    <t>phoebe@pareto.ai</t>
  </si>
  <si>
    <t>Suite 52468</t>
  </si>
  <si>
    <t>542211-76</t>
  </si>
  <si>
    <t>Pario Health</t>
  </si>
  <si>
    <t>Pario</t>
  </si>
  <si>
    <t>Pario, Inc.</t>
  </si>
  <si>
    <t>Developer of a healthcare practice management platform designed to make patient-centric care for independent women's health practitioners. The company's platform streamlines clinical charting, patient intake, lab work, and referrals with an intuitive design, and offers automated appointment reminders, digital patient intake forms, and secure document handling, enabling healthcare providers to manage patient medical records and automate clinical workflows.</t>
  </si>
  <si>
    <t>Automation/Workflow Software, Enterprise Systems (Healthcare)*</t>
  </si>
  <si>
    <t>clinical charting, clinical workflow, electronic medical record, emr technology, health care management, healthcare practice management, hipaa compliance, medical records</t>
  </si>
  <si>
    <t>www.pariohealth.com</t>
  </si>
  <si>
    <t>http://www.linkedin.com/company/pario-health</t>
  </si>
  <si>
    <t>The company raised $4 million of venture funding from Failup Ventures, Fractal Software and other undisclosed investors on October 21, 2024.</t>
  </si>
  <si>
    <t>Failup Ventures, Fractal Software</t>
  </si>
  <si>
    <t>Failup Ventures (www.failup.com), Fractal Software (www.fractalsoftware.com)</t>
  </si>
  <si>
    <t>396456-67P</t>
  </si>
  <si>
    <t>Maggie Diehl</t>
  </si>
  <si>
    <t>maggie@pariohealth.com</t>
  </si>
  <si>
    <t>+1 (914) 505-6764</t>
  </si>
  <si>
    <t>175 Pearl Street</t>
  </si>
  <si>
    <t>Floor 1-3</t>
  </si>
  <si>
    <t>490129-21</t>
  </si>
  <si>
    <t>Passero (Application Software)</t>
  </si>
  <si>
    <t>Levantr</t>
  </si>
  <si>
    <t>Passero</t>
  </si>
  <si>
    <t>Levantr, Inc.</t>
  </si>
  <si>
    <t>Developer of travel planning software designed to help travelers plan and execute their journeys. The company's tool provides travel Itineraries for different locations with travel guides and planning support, enabling tourists to plan their foreign journies without any hustle with detailed information of the financial and geographical details of that particular location.</t>
  </si>
  <si>
    <t>itinerary planner, planning support, support services, tourist guide, travel application, travel itineraries, travel planner, travel planner app</t>
  </si>
  <si>
    <t>www.travelpassero.com</t>
  </si>
  <si>
    <t>http://www.linkedin.com/company/levantr</t>
  </si>
  <si>
    <t>2022: 4, 2023: 6, 2024: 10</t>
  </si>
  <si>
    <t>The company raised $100,000 of pre-seed funding from Reform Ventures and Outlander Management on January 11, 2022.</t>
  </si>
  <si>
    <t>Outlander VC, Reform Ventures</t>
  </si>
  <si>
    <t>Outlander VC (www.outlander.vc), Reform Ventures (www.reformventures.com)</t>
  </si>
  <si>
    <t>288205-12P</t>
  </si>
  <si>
    <t>Jennifer Hong</t>
  </si>
  <si>
    <t>Co-Founder, President &amp; Chief Executive Officer</t>
  </si>
  <si>
    <t>jen@travelpassero.com</t>
  </si>
  <si>
    <t>+1 (659) 428-1770</t>
  </si>
  <si>
    <t>509403-70</t>
  </si>
  <si>
    <t>Passes</t>
  </si>
  <si>
    <t>Corefans, Momenthq</t>
  </si>
  <si>
    <t>Passes, Inc.</t>
  </si>
  <si>
    <t>FanFix, Adapty (Business/Productivity Software)</t>
  </si>
  <si>
    <t>Developer of a content creation platform designed to enhance the creator experience and increase their revenue. The company's platform helps content creators to scale engagement with instantaneous text message notifications and interact with their fans in real-time, enabling users and content creators to earn through their content.</t>
  </si>
  <si>
    <t>Business/Productivity Software, Entertainment Software, Financial Software, Media and Information Services (B2B)*</t>
  </si>
  <si>
    <t>community, creators, crypto content and social, ecommerce personalization, entrepreneurship, live stream, marketplace, subscription platform, web4</t>
  </si>
  <si>
    <t>www.passes.com</t>
  </si>
  <si>
    <t>http://www.linkedin.com/company/passes</t>
  </si>
  <si>
    <t>2022: 8, 2024: 44</t>
  </si>
  <si>
    <t>The company raised $17.57 million of venture funding from undisclosed investors on May 9, 2024. Previously, the company raised $40 million of Series A venture funding in a deal led by BOND Capital on February 28, 2024, putting the company's pre-money valuation at $90 million. Crossbeam Venture Partners, CapitalX, Abstract Ventures, Ramtin Naimi, Michael Ovitz, Emma Grede, Jens Grede, K5 Global and Alexandra Botez also participated in the round. The funds will be used to expand the Passes team.</t>
  </si>
  <si>
    <t>11:11 Media, 305 Ventures, Abstract Ventures, Alexandra Botez, Anti Fund, BOND Capital (San Francisco), CapitalX, Craft Ventures, Crossbeam Venture Partners, Digital (US), Emma Grede, Florida Funders, Gradient Ventures, Jens Grede, K5 Global, Kevin Hartz, Menlo Ventures, Michael Ovitz, Multicoin Capital, Outlander VC, Ramtin Naimi, Ryan Wilson, Soma Capital</t>
  </si>
  <si>
    <t>11:11 Media (www.parishilton.com), 305 Ventures (www.305.ventures), Abstract Ventures (abstract.vc), Anti Fund (www.antifund.com), BOND Capital (San Francisco) (www.bondcap.com), CapitalX (www.capitalx.company), Craft Ventures (www.craftventures.com), Crossbeam Venture Partners (www.crossbeam.vc), Digital (US) (www.digital.xyz), Florida Funders (www.floridafunders.com), Gradient Ventures (www.gradient.com), K5 Global (www.k5global.com), Menlo Ventures (www.menlovc.com), Michael Ovitz (www.michaelovitz.com), Multicoin Capital (www.multicoin.capital), Outlander VC (www.outlander.vc), Soma Capital (somacap.com)</t>
  </si>
  <si>
    <t>141083-02P</t>
  </si>
  <si>
    <t>Lucy Guo</t>
  </si>
  <si>
    <t>lucy@backendcapital.com</t>
  </si>
  <si>
    <t>1 South East 3rd Avenue</t>
  </si>
  <si>
    <t>Suite 1440</t>
  </si>
  <si>
    <t>466792-84</t>
  </si>
  <si>
    <t>PathMatch</t>
  </si>
  <si>
    <t>PathMatch, Inc.</t>
  </si>
  <si>
    <t>Handshake, RippleMatch</t>
  </si>
  <si>
    <t>Developer of a data-driven career matching platform designed to help students navigate their career paths. The company's platform helps Gen Z connect with modern careers, and employers for internships and jobs, enabling college students to find their passion, kick-start their careers, and get hired by companies.</t>
  </si>
  <si>
    <t>Educational and Training Services (B2C), Educational Software*, Human Capital Services, Information Services (B2C)</t>
  </si>
  <si>
    <t>EdTech, HR Tech, Industrials, Mobile</t>
  </si>
  <si>
    <t>career matching platform, careers community, early career professional, industry experts assistance, recruiting algorithm, recruiting platform</t>
  </si>
  <si>
    <t>www.pathmatch.com</t>
  </si>
  <si>
    <t>http://www.linkedin.com/company/pathmatch</t>
  </si>
  <si>
    <t>2021: 40, 2022: 19, 2023: 26, 2024: 6</t>
  </si>
  <si>
    <t>The company raised $1.8 million of seed funding from Capital7, Precursor Ventures, and Stout Street Capital on March 2, 2023, putting the company's pre-money valuation at $8.2 million. Everywhere Ventures and 8 other investors also participated in the round.</t>
  </si>
  <si>
    <t>Capital7, Everywhere Ventures, FullCircle (New York), Hypothesis Studio, Immeasurable, Impact Assets, KohFounders, M13, MJR Ventures, Precursor Ventures, Stout Street Capital, Zeal Capital Partners</t>
  </si>
  <si>
    <t>Capital7 (www.capital7.com), Everywhere Ventures (everywhere.vc), FullCircle (New York) (www.fullcirclefund.io), Hypothesis Studio (www.hypothesis.studio), Immeasurable (www.immeasurable.com), Impact Assets (www.impactassets.org), KohFounders (www.kohfounders.com), M13 (www.m13.co), MJR Ventures (www.mjrventure.com), Precursor Ventures (precursorvc.com), Stout Street Capital (www.stoutstreetcapital.com), Zeal Capital Partners (www.zealvc.co)</t>
  </si>
  <si>
    <t>188128-36P</t>
  </si>
  <si>
    <t>Mimi Behan-Nguyen</t>
  </si>
  <si>
    <t>mbehannguyen@fcf.io</t>
  </si>
  <si>
    <t>+1 (800) 851-1490</t>
  </si>
  <si>
    <t>Manhattan Beach, CA</t>
  </si>
  <si>
    <t>1728 Laurel Avenue</t>
  </si>
  <si>
    <t>Manhattan Beach</t>
  </si>
  <si>
    <t>90266</t>
  </si>
  <si>
    <t>info@pathmatch.com</t>
  </si>
  <si>
    <t>494433-82</t>
  </si>
  <si>
    <t>Pattern (Financial Services)</t>
  </si>
  <si>
    <t>Pattern</t>
  </si>
  <si>
    <t>Pattern Technologies Inc.</t>
  </si>
  <si>
    <t>Farther, Equi, Wealthfront, Boldin, Pasito, Harness Wealth, Candor (Financial Software), Secfi, Lyra Health, Addition Systems</t>
  </si>
  <si>
    <t>Developer of financial software designed to manage customers' money. The company's software provides financial plans, asset management, and access to private equity and other financial services and manages wealth by maximizing the value of the assets held while maintaining a level of risk, enabling users to earn higher than earlier traditional methods and achieve their financial goals and grow their wealth.</t>
  </si>
  <si>
    <t>FinTech, Robotics and Drones</t>
  </si>
  <si>
    <t>alternative asset, financial advisory app, financial advisory planning, financial advisory platform, financial advisory software, financial experts, financial partners, financial tool, stock options, tax optimization</t>
  </si>
  <si>
    <t>www.patternfi.com</t>
  </si>
  <si>
    <t>http://www.linkedin.com/company/pattern-financial</t>
  </si>
  <si>
    <t>2021: 2, 2022: 9, 2023: 10</t>
  </si>
  <si>
    <t>The company was in talks to receive venture funding on an undisclosed date. Subsequently, the deal was cancelled. Previously, the company raised $135,800 of equity crowdfunding in the form of SAFE notes via Republic on July 22, 2022, putting the company's pre-money valuation at $18.5 million. Venture investors including Uphonest Capital, Gaingels, KohFounderss and Superscout also participated in this round.</t>
  </si>
  <si>
    <t>10X Capital, 25madison, Alumni Ventures, Awesome Ventures, Gaingels, Hudson River Trading, Hypothesis Studio, KohFounders, Litquidity Capital, Riverside Ventures, UpHonest Capital</t>
  </si>
  <si>
    <t>10X Capital (www.10xcapital.com), 25madison (www.25madison.com), Alumni Ventures (www.av.vc), Awesome Ventures (www.awesome-ventures.vc), Gaingels (www.gaingels.com), Hudson River Trading (www.hudsonrivertrading.com), Hypothesis Studio (www.hypothesis.studio), KohFounders (www.kohfounders.com), Litquidity Capital (www.litquidity.co), Riverside Ventures (www.riversideventures.com), UpHonest Capital (www.uphonestcapital.com)</t>
  </si>
  <si>
    <t>297158-59P</t>
  </si>
  <si>
    <t>Christian Maynard-Philipp</t>
  </si>
  <si>
    <t>christian@patternfi.com</t>
  </si>
  <si>
    <t>+1 (503) 201-1375</t>
  </si>
  <si>
    <t>2741 Southwest Old Orchard Road</t>
  </si>
  <si>
    <t>97201</t>
  </si>
  <si>
    <t>team@patternfi.com</t>
  </si>
  <si>
    <t>465503-32</t>
  </si>
  <si>
    <t>Pav*r</t>
  </si>
  <si>
    <t>Pavr</t>
  </si>
  <si>
    <t>Pavr Solutions, LLC</t>
  </si>
  <si>
    <t>Developer of a web-based application intended to create a way for small businesses to leverage valuable data to grow and scale their business. The company's application helps to categorize events, organize time, export calendar, including categories and labels, to an online sheet, and visualize time with reports, enabling companies to manage important event details in one place without leaving their online calendars.</t>
  </si>
  <si>
    <t>calendar app, calendar data, custom report, event planner app, organizer platform, timesheets management</t>
  </si>
  <si>
    <t>www.getpavr.com</t>
  </si>
  <si>
    <t>http://www.linkedin.com/company/pav-r</t>
  </si>
  <si>
    <t>2021: 2, 2023: 2, 2024: 2</t>
  </si>
  <si>
    <t>The company raised $40,000 of venture funding in the form of convertible debt from undisclosed investors on August 1, 2022.</t>
  </si>
  <si>
    <t>Awesome Incubator, Bluegrass Angels, Digital Wellness Technology, ICBM Venture Capital, Keyhorse Capital, Meridian Capital Group (Charlotte), Render Capital</t>
  </si>
  <si>
    <t>Awesome Incubator (www.awesomeinc.org), Bluegrass Angels (www.bluegrassangels.com), Digital Wellness Technology (www.digitalwellnesstechnology.com), ICBM Venture Capital (www.icbm.co), Keyhorse Capital (www.keyhorse.vc), Render Capital (www.render.capital)</t>
  </si>
  <si>
    <t>260918-47P</t>
  </si>
  <si>
    <t>Jessica Bledsoe</t>
  </si>
  <si>
    <t>jessica@getpavr.com</t>
  </si>
  <si>
    <t>1355 Bardstown Road</t>
  </si>
  <si>
    <t>Suite 139</t>
  </si>
  <si>
    <t>40204</t>
  </si>
  <si>
    <t>Bridge Loan - $0.04M (Convertible)</t>
  </si>
  <si>
    <t>264345-49</t>
  </si>
  <si>
    <t>Pawlytics</t>
  </si>
  <si>
    <t>Pawlytics, PBC</t>
  </si>
  <si>
    <t>Developer of electronic health records system designed to reduce busywork for foster-based pet rescues. The company's system focuses on animal shelters and rescues to be more efficient, data-driven, and collaborative, enabling small animal shelters and pet rescue organizations to save more lives.</t>
  </si>
  <si>
    <t>HealthTech, Pet Technology, TMT</t>
  </si>
  <si>
    <t>animal care, animal data insights, animal rescue, animal shelters, animal welfare, electronic health record, pet technology product, record management solutions</t>
  </si>
  <si>
    <t>pawlytics.com</t>
  </si>
  <si>
    <t>http://www.linkedin.com/company/pawlytics</t>
  </si>
  <si>
    <t>2020: 3, 2021: 3, 2022: 3, 2023: 3, 2024: 4</t>
  </si>
  <si>
    <t>The company raised $500,000 of seed funding from Innovatemap, Proven Ventures and Invest Nebraska on March 17, 2021. CEAS Investments I and other undisclosed investors also participated in the round. The funds will be used to expand the company's software for use at larger organizations, including adding a feature that will create electronic health records for animals using aggregation of information from microchips.</t>
  </si>
  <si>
    <t>CEAS Investments I, Innovatemap, Invest Nebraska, NMotion, Proven Ventures</t>
  </si>
  <si>
    <t>CEAS Investments I (www.ceasinvestments.com), Innovatemap (www.innovatemap.com), Invest Nebraska (www.investnebraska.com), NMotion (www.nmotion.co), Proven Ventures (www.proven.ventures)</t>
  </si>
  <si>
    <t>198670-06P</t>
  </si>
  <si>
    <t>Elizabeth Whitacre</t>
  </si>
  <si>
    <t>lizz@pawlytics.com</t>
  </si>
  <si>
    <t>+1 (952) 693-8857</t>
  </si>
  <si>
    <t>Lizz Whitacre</t>
  </si>
  <si>
    <t>727 West Leon Drive</t>
  </si>
  <si>
    <t>68521</t>
  </si>
  <si>
    <t>hello@pawlytics.com</t>
  </si>
  <si>
    <t>496120-78</t>
  </si>
  <si>
    <t>Payverse</t>
  </si>
  <si>
    <t>Payverse, Inc.</t>
  </si>
  <si>
    <t>Infinicept, Adyen, Discover Financial Services</t>
  </si>
  <si>
    <t>Developer of a payment technology platform designed to connect cultures and commerce across the globe. The company's platform offers lifecycle management operations such as sales process, onboarding, risk management, transaction processing, funding, statements, and reporting and allows for integration and simplification, enabling clients to diversify and expand their customer base, profitability, and differentiation in the market.</t>
  </si>
  <si>
    <t>cross-border payments, embedded finance, enterprise payment, international payment, payment platform, pos, remittance services, risk management</t>
  </si>
  <si>
    <t>www.payverse.com</t>
  </si>
  <si>
    <t>http://www.linkedin.com/company/hello-payverse</t>
  </si>
  <si>
    <t>2022: 10, 2023: 6, 2024: 6</t>
  </si>
  <si>
    <t>The company raised $2 million of seed funding in the form of SAFE notes from undisclosed investors on April 30, 2024, putting the company's pre-money valuation at $12 million.</t>
  </si>
  <si>
    <t>Alpha Ascent, Frank Mastrangelo, Jonathan Palmer, Mary Wieler, The Artemis Fund, Urban Capital Network</t>
  </si>
  <si>
    <t>Alpha Ascent (www.ascentalpha.com), The Artemis Fund (www.theartemisfund.com), Urban Capital Network (www.urbancapitalnetwork.com)</t>
  </si>
  <si>
    <t>Hunton Andrews Kurth(Legal Advisor), Morris Manning &amp; Martin(Legal Advisor)</t>
  </si>
  <si>
    <t>263326-96P</t>
  </si>
  <si>
    <t>Sandra Blair</t>
  </si>
  <si>
    <t>sandra@payverse.com</t>
  </si>
  <si>
    <t>+1 (888) 976-9099</t>
  </si>
  <si>
    <t>Sherman Oaks, CA</t>
  </si>
  <si>
    <t>5900 Sepulveda Boulevard</t>
  </si>
  <si>
    <t>Sherman Oaks</t>
  </si>
  <si>
    <t>91411</t>
  </si>
  <si>
    <t>hello@payverse.com</t>
  </si>
  <si>
    <t>491440-33</t>
  </si>
  <si>
    <t>Peak Mind</t>
  </si>
  <si>
    <t>Peak Mind LLC</t>
  </si>
  <si>
    <t>Developer of an employee well-being application designed to help businesses build connections and a culture of care for their employees. The company's application measures stress levels and offers coping mechanisms through a library of tools, enabling organizations in education and public safety to improve employee well-being and reduce stress-related expenses.</t>
  </si>
  <si>
    <t>employee wellbeing platform, employee wellbeing software, mental heath awareness, wellbeing app, wellbeing application, wellbeing platform, wellbeing program</t>
  </si>
  <si>
    <t>www.joinpeakmind.com</t>
  </si>
  <si>
    <t>http://www.linkedin.com/company/peakmindonline</t>
  </si>
  <si>
    <t>2022: 6, 2023: 7, 2024: 5</t>
  </si>
  <si>
    <t>The company raised $70,000 of venture funding from BAMco Enterprises and other undisclosed investors in the form of SAFE notes on December 27, 2022. The funds will be used for general corporate purposes. Previously, the company joined Creative Destruction Lab in October 2022. Prior to that, the company joined gBETA on August 17, 2022 and received $60,000 in funding.</t>
  </si>
  <si>
    <t>BAMco Enterprises, Creative Destruction Lab, Elevate Ventures, gBETA, Right Side Capital Management</t>
  </si>
  <si>
    <t>BAMco Enterprises (www.bamco.enterprises), Creative Destruction Lab (www.creativedestructionlab.com), Elevate Ventures (www.elevateventures.com), gBETA (gbetastartups.com), Right Side Capital Management (www.rightsidecapital.com)</t>
  </si>
  <si>
    <t>290988-82P</t>
  </si>
  <si>
    <t>Alicia Mckoy</t>
  </si>
  <si>
    <t>alicia@joinpeakmind.com</t>
  </si>
  <si>
    <t>+1 (317) 499-6879</t>
  </si>
  <si>
    <t>Carmel, IN</t>
  </si>
  <si>
    <t>4000 West 106th Street</t>
  </si>
  <si>
    <t>Suite 125-321</t>
  </si>
  <si>
    <t>Carmel</t>
  </si>
  <si>
    <t>46032</t>
  </si>
  <si>
    <t>connect@joinpeakmind.com</t>
  </si>
  <si>
    <t>515827-18</t>
  </si>
  <si>
    <t>Peer Supply</t>
  </si>
  <si>
    <t>Peer Supply, Inc.</t>
  </si>
  <si>
    <t>Operator of a community platform intended to make healthcare supply chains efficient. The company offers services to transform the healthcare supply chain by unlocking the value of data and collaboration, enabling clients to build a resilient healthcare supply chain.</t>
  </si>
  <si>
    <t>Business/Productivity Software, Media and Information Services (B2B)*, Other Healthcare, Other Healthcare Services</t>
  </si>
  <si>
    <t>community platform, data collaboration, healthcare supply chain, healthcare supply chain services, patient privacy, supply chain information</t>
  </si>
  <si>
    <t>www.peersupply.co</t>
  </si>
  <si>
    <t>http://www.linkedin.com/company/peer-supply</t>
  </si>
  <si>
    <t>2022: 3, 2023: 5, 2024: 10</t>
  </si>
  <si>
    <t>The company raised $2.5 million of venture funding from CU Healthcare Innovation Fund, Corewell Health Ventures and Martin Ventures on July 14, 2023. Ikigai Growth Partners, First Trust Capital Partners and 25m Health also participated in the round.</t>
  </si>
  <si>
    <t>25m Health, Corewell Health Ventures, CU Healthcare Innovation Fund, First Trust Capital Partners, Ikigai Growth Partners, Martin Ventures</t>
  </si>
  <si>
    <t>Corewell Health Ventures (www.corewellhealthventures.org), CU Healthcare Innovation Fund (www.cuvcfund.com), First Trust Capital Partners (ftcapitalpartners.com), Ikigai Growth Partners (www.ikigaigrowthpartners.com), Martin Ventures (www.martinventures.com)</t>
  </si>
  <si>
    <t>274222-45P</t>
  </si>
  <si>
    <t>Raelyn Wilson</t>
  </si>
  <si>
    <t>rwilson@peersupply.co</t>
  </si>
  <si>
    <t>+1 (253) 227-9502</t>
  </si>
  <si>
    <t>37215</t>
  </si>
  <si>
    <t>info@peersupply.co</t>
  </si>
  <si>
    <t>484686-37</t>
  </si>
  <si>
    <t>Penelope</t>
  </si>
  <si>
    <t>Smartwork, Inc.</t>
  </si>
  <si>
    <t>Icon Savings Plan, ForUsAll, Guideline, Human Interest, Aspire Financial Services</t>
  </si>
  <si>
    <t>Developer of a retirement savings platform designed for small businesses and entrepreneurs. The company's platform offers retirement plans to streamline decision-making for busy business owners, enabling small businesses with a technology platform that automates employee investing, streamlines cost and paperwork and provides learning tools for employees.</t>
  </si>
  <si>
    <t>enterprise resource planning, erp, financial services, financial wellness, human capital management, retirement benefits service, retirement plan service, retirement planning, retirement savings plan, retirement savings platform, wealthtech</t>
  </si>
  <si>
    <t>www.penelope.co</t>
  </si>
  <si>
    <t>http://www.linkedin.com/company/penelopeco</t>
  </si>
  <si>
    <t>2021: 6, 2022: 10, 2023: 15</t>
  </si>
  <si>
    <t>The company raised an undisclosed amount of venture funding from HDS Capital and Altari Ventures in approximately January 2024.</t>
  </si>
  <si>
    <t>Altari Ventures, Amplify.LA, Gaingels, Global FinTech Venture Partners, HDS Capital, Primetime Partners, Slauson &amp; Co.</t>
  </si>
  <si>
    <t>Altari Ventures (altariventures.com), Amplify.LA (www.amplify.la), Gaingels (www.gaingels.com), Global FinTech Venture Partners (www.gfvp.com), HDS Capital (www.hdscapital.com), Primetime Partners (www.primetimepartners.com), Slauson &amp; Co. (www.slauson.co)</t>
  </si>
  <si>
    <t>284841-01P</t>
  </si>
  <si>
    <t>Jean Smart</t>
  </si>
  <si>
    <t>jean@penelope.co</t>
  </si>
  <si>
    <t>+1 (201) 580-5582</t>
  </si>
  <si>
    <t>18, West 18th Sreet</t>
  </si>
  <si>
    <t>6th Floor, 6-103</t>
  </si>
  <si>
    <t>hello@penelope.co</t>
  </si>
  <si>
    <t>519754-33</t>
  </si>
  <si>
    <t>Penny Finance</t>
  </si>
  <si>
    <t>Penny</t>
  </si>
  <si>
    <t>Penny Finance Inc.</t>
  </si>
  <si>
    <t>Developer of an online financial mentorship platform intended for women to get their money, debt, and investing questions answered through a tool. The company's platform provides real-world financial education and know-how to women from the basics, enabling users to feel financially confident and change the course of their financial well-being.</t>
  </si>
  <si>
    <t>Educational Software, Financial Software, Information Services (B2C)*, Other Financial Services</t>
  </si>
  <si>
    <t>EdTech, FinTech, Mobile</t>
  </si>
  <si>
    <t>educational tools, financial education, financial mentoring, financial platform, financial tool, investment platform, investment tool, wealthtech, women education</t>
  </si>
  <si>
    <t>www.penny-finance.com</t>
  </si>
  <si>
    <t>http://www.linkedin.com/company/penny-finance-inc</t>
  </si>
  <si>
    <t>The company joined gener8tor as part of second cohort of the Curql Accelerate Fall 2024 on October 1, 2024. No equity or funding was exchanged as a result of this program.</t>
  </si>
  <si>
    <t>AgeTech Collaborative, gener8tor, Kapor Capital, Pivotal Ventures, Techstars</t>
  </si>
  <si>
    <t>AgeTech Collaborative (www.agetechcollaborative.org), gener8tor (www.gener8tor.com), Kapor Capital (www.kaporcapital.com), Pivotal Ventures (www.pivotalventures.org), Techstars (www.techstars.com)</t>
  </si>
  <si>
    <t>334976-05P</t>
  </si>
  <si>
    <t>Crissi Cole</t>
  </si>
  <si>
    <t>crissi@penny-finance.com</t>
  </si>
  <si>
    <t>+1 (347) 417-3600</t>
  </si>
  <si>
    <t>Narragansett, RI</t>
  </si>
  <si>
    <t>28 Pier Market Place</t>
  </si>
  <si>
    <t>Narragansett</t>
  </si>
  <si>
    <t>Rhode Island</t>
  </si>
  <si>
    <t>02882</t>
  </si>
  <si>
    <t>539992-00</t>
  </si>
  <si>
    <t>Peoples Energy Analytics</t>
  </si>
  <si>
    <t>Peoples Energy Analytics LLC</t>
  </si>
  <si>
    <t>Devloper of a bill assistance platform intended for managing at-risk customers before they default on their energy bills. The company's platform identifies who is at risk of defaulting on their bills and connects them to bill assistance years before they ever miss a payment and provides a complete business service that includes strategy design, data analysis and marketing outreach support, enabling utility companies to reduce unpaid energy bills while increasing revenue recovery of energy utilities.</t>
  </si>
  <si>
    <t>analytics platform, energy analytics, marketing outreach, revenue recovery services, strategy design service, utility company operator</t>
  </si>
  <si>
    <t>www.peoplesenergyanalytics.com</t>
  </si>
  <si>
    <t>http://www.linkedin.com/company/peoples-energy-analytics</t>
  </si>
  <si>
    <t>2022: 2, 2023: 3, 2024: 6</t>
  </si>
  <si>
    <t>The company raised $600,000 of venture funding from Innovation Works, Village Capital and Richard King Mellon Foundation on July 25, 2024.</t>
  </si>
  <si>
    <t>Chloe Capital, Dream Org, Innovation Works, Richard King Mellon Foundation, Village Capital</t>
  </si>
  <si>
    <t>Chloe Capital (www.chloecapital.com), Dream Org (www.dream.org), Innovation Works (www.innovationworks.org), Richard King Mellon Foundation (www.rkmf.org), Village Capital (www.vilcap.com)</t>
  </si>
  <si>
    <t>393581-44P</t>
  </si>
  <si>
    <t>Jonathan Miller</t>
  </si>
  <si>
    <t>jonathan@peoplesenergyanalytics.com</t>
  </si>
  <si>
    <t>1001 California Avenue</t>
  </si>
  <si>
    <t>458261-83</t>
  </si>
  <si>
    <t>Pequity</t>
  </si>
  <si>
    <t>Pequity Inc.</t>
  </si>
  <si>
    <t>Xactly, Salary.com</t>
  </si>
  <si>
    <t>Developer of a compensation platform designed to combat pay inequality and help de-complicate compensations. The company's platform simplifies the complex and time-consuming process of building a competitive, scalable and equitable compensation program, enabling HR teams to work smarter and make informed pay decisions.</t>
  </si>
  <si>
    <t>Business/Productivity Software*, Human Capital Services, Other Financial Services</t>
  </si>
  <si>
    <t>compensation administration, compensation platform, compensation processing, compensation systems, enterprise resource planning, erp, finance company, hr service, human capital management, total rewards</t>
  </si>
  <si>
    <t>www.pequity.com</t>
  </si>
  <si>
    <t>http://www.linkedin.com/company/getpequity</t>
  </si>
  <si>
    <t>2020: 7, 2021: 20, 2022: 59, 2023: 49, 2024: 46</t>
  </si>
  <si>
    <t>The company raised $15.5 million of Series A venture funding in a deal led by Norwest Venture Partners on June 23, 2021, putting the company's pre-money valuation at $44.5 million. Designer Fund, First Round Capital, Annelies Gamble, uint Capital, and Scribble Ventures also participated in the round. The funds will be used to continue investing in product development and expand the company's hiring.</t>
  </si>
  <si>
    <t>Annelies Gamble, Designer Fund, First Round Capital, Norwest Venture Partners, Quint Capital, Scribble Ventures</t>
  </si>
  <si>
    <t>Annelies Gamble (www.anneliesgamble.com), Designer Fund (www.designerfund.com), First Round Capital (www.firstround.com), Norwest Venture Partners (www.nvp.com), Quint Capital (quint.capital), Scribble Ventures (www.scribble.vc)</t>
  </si>
  <si>
    <t>Cooley(Legal Advisor), SVB Financial Group(General Business Banking)</t>
  </si>
  <si>
    <t>249378-94P</t>
  </si>
  <si>
    <t>Kaitlyn Knopp</t>
  </si>
  <si>
    <t>kaitlyn@getpequity.com</t>
  </si>
  <si>
    <t>+1 (833) 424-0760</t>
  </si>
  <si>
    <t>407213-65</t>
  </si>
  <si>
    <t>Perimeter (Business/Productivity Software)</t>
  </si>
  <si>
    <t>Perimeter</t>
  </si>
  <si>
    <t>Perimeter, Inc.</t>
  </si>
  <si>
    <t>Developer of disaster management platform designed to create awareness and take precautionary measures against natural disasters. The company's platform includes an application from which the data visualization tool can be used for evacuation during disasters, helping responders manage challenges by collecting all disaster data in a single incident response platform.</t>
  </si>
  <si>
    <t>Business/Productivity Software*, Government, Media and Information Services (B2B)</t>
  </si>
  <si>
    <t>disaster management, disaster management platform, disaster management services, disaster management software, disaster service, precautionary measures</t>
  </si>
  <si>
    <t>www.perimeterplatform.com</t>
  </si>
  <si>
    <t>http://www.linkedin.com/company/perimeterplatform</t>
  </si>
  <si>
    <t>2020: 6, 2021: 7, 2022: 9, 2023: 27, 2024: 37</t>
  </si>
  <si>
    <t>The company raised $4.36 million of equity crowdfunding in the form of SAFE notes via Wefunder on May 1, 2023.</t>
  </si>
  <si>
    <t>Alchemist Accelerator, C Holdings, David Fox, Dustin Dolginow, One World, Parade Ventures, Rsquared, Shawn Merani</t>
  </si>
  <si>
    <t>Alchemist Accelerator (www.alchemistaccelerator.com), C Holdings (www.choldings.co), One World (www.oneworld.investments), Parade Ventures (www.parade.vc), Rsquared (riskandreturn.org)</t>
  </si>
  <si>
    <t>220948-12P</t>
  </si>
  <si>
    <t>Trevor Greenan</t>
  </si>
  <si>
    <t>Chief Marketing Officer &amp; Product Manager</t>
  </si>
  <si>
    <t>trevor@fireperimeter.com</t>
  </si>
  <si>
    <t>+1 (707) 481-5645</t>
  </si>
  <si>
    <t>2070 University Avenue</t>
  </si>
  <si>
    <t>Suite 219</t>
  </si>
  <si>
    <t>94704</t>
  </si>
  <si>
    <t>info@perimeterplatform.com</t>
  </si>
  <si>
    <t>512822-71</t>
  </si>
  <si>
    <t>Persona (Business/Productivity Software)</t>
  </si>
  <si>
    <t>Persona</t>
  </si>
  <si>
    <t>Persona XYZ, Inc</t>
  </si>
  <si>
    <t>Developer of a customer acquisition, engagement, and retention platform intended to provide trust to online interactions on Web3. The company's platform utilizes blockchain technology, data analytics, and targeted outreach to offer customized on-chain and off-chain experiences based on users' wallet activity, enabling businesses to simplify workflow and increase customer engagement by reducing customer acquisition costs.</t>
  </si>
  <si>
    <t>metaverse nft, metaverse platform, nft platform, online wallets, regtech, web 3 platform, workflow tool</t>
  </si>
  <si>
    <t>www.persona3.io</t>
  </si>
  <si>
    <t>http://www.linkedin.com/company/personaxyz</t>
  </si>
  <si>
    <t>2022: 4, 2023: 10</t>
  </si>
  <si>
    <t>The company raised $3 million of seed funding from Cadenza Capital, Hashed Emergent and Untamed Ventures on August 10, 2022, putting the company's pre-money valuation at $9 million. Kube VC, iSeed (India), Zero Knowledge, Astir Ventures, Cloud Capital (India), New Layer Capital, ACE Ventures (Geneva) and TiE Silicon Valley also participated in the round.</t>
  </si>
  <si>
    <t>ACE Ventures (Geneva), Astir Ventures, Cadenza Capital, Cloud Capital (India), Hashed Emergent, iSeed (India), Kube VC, New Layer Capital, TiE Silicon Valley, Untamed Ventures, Zero Knowledge</t>
  </si>
  <si>
    <t>ACE Ventures (Geneva) (www.aceventures.vc), Astir Ventures (www.astir.vc), Cadenza Capital (www.cadenza.vc), Cloud Capital (India) (www.cloudcap.in), Hashed Emergent (www.hashedem.com), iSeed (India) (www.iseed.vc), Kube VC (www.kubevc.com), New Layer Capital (www.newlayer.capital), TiE Silicon Valley (sv.tie.org), Untamed Ventures (www.untamedvc.com), Zero Knowledge (www.zero-knowledge.xyz)</t>
  </si>
  <si>
    <t>322572-97P</t>
  </si>
  <si>
    <t>Ankita Verma</t>
  </si>
  <si>
    <t>ankita@persona3.io</t>
  </si>
  <si>
    <t>100 Pine Street</t>
  </si>
  <si>
    <t>Suite 1250</t>
  </si>
  <si>
    <t>info@persona3.io</t>
  </si>
  <si>
    <t>459004-42</t>
  </si>
  <si>
    <t>PHC Global</t>
  </si>
  <si>
    <t>PHC</t>
  </si>
  <si>
    <t>The Public Health Company Group, Inc.</t>
  </si>
  <si>
    <t>Operator of a global biosecurity platform intended for organizations to quickly respond to communicable disease threats. The company's engagement platform provides client engagement, genomic epidemiology, and a critical decision platform as well as allows users to answer the questions with autonomy and advise clients on disease transmission, enabling clients to affirm appropriate protocols and get a full life-cycle bio-risk management solution.</t>
  </si>
  <si>
    <t>Business/Productivity Software*, Network Management Software, Other Healthcare Technology Systems</t>
  </si>
  <si>
    <t>disease modeling, genomics study, lifecycle solutions, population health, population risk management, risk management, surgical precision</t>
  </si>
  <si>
    <t>www.phcglobal.com</t>
  </si>
  <si>
    <t>http://www.linkedin.com/company/phc-global</t>
  </si>
  <si>
    <t>2021: 28, 2022: 52, 2023: 48, 2024: 57</t>
  </si>
  <si>
    <t>The company raised $35 million of Series A venture funding from The General Partnership, Cleveland Capital Management and ImpactAssets on August 16, 2022, putting the company's pre-money valuation at $85 million. Global Health Investment Corporation also participated in the round.</t>
  </si>
  <si>
    <t>Alphabet, Brad Katsuyama, Cleveland Capital Management, Eric Mandelblatt, Global Health Investment Corporation, Impact Assets, Jeff Solomon, Michael Lynton, Scott Friedman, Soroban Capital Partners, Sweat Equity Ventures, The General Partnership, Todd Park, Venrock, Verily Life Sciences</t>
  </si>
  <si>
    <t>Alphabet (www.abc.xyz), Cleveland Capital Management (www.clevelandcapital.com), Global Health Investment Corporation (www.ghicfunds.org), Impact Assets (www.impactassets.org), Soroban Capital Partners (www.sorobancap.com), Sweat Equity Ventures (www.sweatequity.vc), The General Partnership (www.thegp.com), Venrock (www.venrock.com), Verily Life Sciences (www.verily.com)</t>
  </si>
  <si>
    <t>250675-48P</t>
  </si>
  <si>
    <t>Charity Dean</t>
  </si>
  <si>
    <t>charity.dean@phc.health</t>
  </si>
  <si>
    <t>+1 (408) 502-6585</t>
  </si>
  <si>
    <t>3340 Hillview Avenue</t>
  </si>
  <si>
    <t>info@phcglobal.com</t>
  </si>
  <si>
    <t>232141-78</t>
  </si>
  <si>
    <t>Piction Health</t>
  </si>
  <si>
    <t>LuminDX</t>
  </si>
  <si>
    <t>Piction</t>
  </si>
  <si>
    <t>Piction Health, Inc.</t>
  </si>
  <si>
    <t>SkyMD, SkinVision, Zocdoc, HealthTap</t>
  </si>
  <si>
    <t>Developer of a dermatology care application designed to help patients and physicians address challenging skin diseases. The company's application improves patient outcomes by assisting primary care providers with a smartphone-enabled immediate second opinion on tricky skin issues and analyzing clinical symptoms, enabling primary care providers to save minutes on a skin assessment, reducing costs by reducing unnecessary repeat primary care visits and ineffective treatments and accelerate expert dermatology care for the patients who need it.</t>
  </si>
  <si>
    <t>Application Software, Clinics/Outpatient Services*, Decision/Risk Analysis, Other Healthcare Services</t>
  </si>
  <si>
    <t>Artificial Intelligence &amp; Machine Learning, HealthTech, Mobile</t>
  </si>
  <si>
    <t>dermatology care, dermatology care application, dermatology care facilities, dermatology care services, dermatology center, skin disease care, skin disease detection, skin disease prevention, skincare tech</t>
  </si>
  <si>
    <t>www.pictionhealth.com</t>
  </si>
  <si>
    <t>http://www.linkedin.com/company/pictionhealth</t>
  </si>
  <si>
    <t>2020: 7, 2021: 12, 2022: 13, 2023: 15, 2024: 18</t>
  </si>
  <si>
    <t>The company raised $6 million of Series 1 seed funding from Flare Capital Partners, Bayless Ventures SBXi, Good Growth Capital and Alumni Ventures on May 1, 2024. Allatus Ventures, Milemark Capital, Jemison Alexander, and 4 other investors also participated in the round. The funds will be used to expand the company's virtual dermatology clinic services and continue to make dermatology care more accessible and efficient.</t>
  </si>
  <si>
    <t>10X Venture Partners, Allatus Ventures, Alumni Ventures, Andrew Feinberg, Andrew Palmer, Argon Ventures, Bayless Ventures, Elizabeth Lawler, Esther Dyson, Flare Capital Partners, Gaugarin Oliver, Gibson Advisory Group, Good For Her, Good Growth Capital, Gutbrain Ventures, Hawktail, Headwater Ventures, Huat Ventures, Impellent Ventures, James Stone, Jemison Alexander, Koa Labs, Launchpad Venture Group, MassChallenge, Milemark Capital, Plug and Play Tech Center, Rajeev Surati, Robert Davoli, Robert Mason, SBXi, Springboard Enterprises, StartX (US), TBD Angels, Techstars, UCSF Rosenman Institute, William Crawford, Wire Group (Massachusetts), WXR Venture Fund</t>
  </si>
  <si>
    <t>10X Venture Partners (www.10xvp.com), Allatus Ventures (www.allatusventures.com), Alumni Ventures (www.av.vc), Argon Ventures (www.argon.vc), Bayless Ventures (www.baylesshealthventures.com), Flare Capital Partners (www.flarecapital.com), Gibson Advisory Group (www.gibsonadvisorygroup.com), Good For Her (www.goodforher.co), Good Growth Capital (www.goodgrowthvc.com), Gutbrain Ventures (www.gutbrainventures.com), Hawktail (hawktail.com), Headwater Ventures (www.headwater.vc), Huat Ventures (www.huat.ventures), Impellent Ventures (www.impellent.vc), Jemison Alexander (www.jemisonalexander.com), Koa Labs (www.koalabs.com), Launchpad Venture Group (www.launchpadventuregroup.com), MassChallenge (www.masschallenge.org), Milemark Capital (www.milemark.capital), Plug and Play Tech Center (www.plugandplaytechcenter.com), SBXi (www.sbxi.com), Springboard Enterprises (www.springboardenterprises.org), StartX (US) (web.startx.com), TBD Angels (www.tbdangels.com), Techstars (www.techstars.com), UCSF Rosenman Institute (rosenmaninstitute.org), Wire Group (Massachusetts) (www.wiregroup.co), WXR Venture Fund (www.wxrfund.com)</t>
  </si>
  <si>
    <t>192030-22P</t>
  </si>
  <si>
    <t>Susan Conover</t>
  </si>
  <si>
    <t>susan@pictionhealth.com</t>
  </si>
  <si>
    <t>+1 (940) 882-0206</t>
  </si>
  <si>
    <t>55 Court Street</t>
  </si>
  <si>
    <t>+1 (781) 650-4492</t>
  </si>
  <si>
    <t>+1 (877) 395-2501</t>
  </si>
  <si>
    <t>hello@pictionhealth.com</t>
  </si>
  <si>
    <t>522000-37</t>
  </si>
  <si>
    <t>Pier (Financial Software)</t>
  </si>
  <si>
    <t>Pier</t>
  </si>
  <si>
    <t>Pier Finance, Inc.</t>
  </si>
  <si>
    <t>Developer of financial software designed to help customers own credit products in less time with a simplified process. The company offers application programming interface tools to improve credit access and provide credit to borrowers and users without ever directing them outside their app, while the system powers it, enabling companies to offer credit by handling origination, underwriting, compliance, and servicing with just a few lines of code.</t>
  </si>
  <si>
    <t>application programming interface, compliance management, credit loan service, financial service infrastructure, financial software, rent financing, underwriting tools</t>
  </si>
  <si>
    <t>www.pier-finance.com</t>
  </si>
  <si>
    <t>http://www.linkedin.com/company/pier-finance</t>
  </si>
  <si>
    <t>The company raised $2.4 million of seed funding in a deal led by Y Combinator on January 11, 2024. Horizon Venture Capital and 6 other investors also participated in the round. The funds will be used for product development and expanding the company's team, further enhancing its capabilities in the FinTech sector.</t>
  </si>
  <si>
    <t>ACME Capital, Blue Trail Partners, Brian Neer, Divya Bhat, Horizon Venture Capital, Horizon Ventures, Liquid 2 Ventures, Meridian Ventures, Neer Venture Partners, Oasis Capital (United States), Seth Weinstein, Y Combinator</t>
  </si>
  <si>
    <t>ACME Capital (www.acme.vc), Blue Trail Partners (www.bluetrailpartners.com), Horizon Venture Capital (www.horizon.vc), Horizon Ventures (www.horizonvc.com), Liquid 2 Ventures (www.liquid2.vc), Meridian Ventures (meridianventures.co), Neer Venture Partners (www.neerventurepartners.com), Oasis Capital (United States) (oasiscap.vc), Y Combinator (www.ycombinator.com)</t>
  </si>
  <si>
    <t>340450-03P</t>
  </si>
  <si>
    <t>Jessica Zhang</t>
  </si>
  <si>
    <t>Unit 503</t>
  </si>
  <si>
    <t>537093-55</t>
  </si>
  <si>
    <t>Pika (Multimedia and Design Software)</t>
  </si>
  <si>
    <t>Pika</t>
  </si>
  <si>
    <t>Mellis, Inc.</t>
  </si>
  <si>
    <t>Rosebud AI, Wideo, RealNetworks, Kaleido AI, Playground (Multimedia and Design Software), Biteable, Vochi, Visme (Maryland), WeVideo, Synthesia, FaceApp, WaveOne, Runway (Multimedia and Design Software), Rephrase.ai, Wochit, Captions, DiffusionBee, wrnch, Alugha, Astria, Restb.ai, Craiyon, Imagga, Valossa, Blippar, Picovico, Kaiber, Shakr, Lovo, Storyvine, Midjourney, Animoto, Zoomdata, OpenAI, Stability AI, FlexSim Software Products, Pictory</t>
  </si>
  <si>
    <t>Developer of a text-to-video platform designed to offer artificial intelligence-based editing software for its users. The company's platform offers typing technology to unleash user's creativity to support the advancement of animation and editing, enabling users to revolutionize video animation with artificial intelligence.</t>
  </si>
  <si>
    <t>Entertainment Software, Multimedia and Design Software*</t>
  </si>
  <si>
    <t>animation technology, artificial intelligence, content creation, design software, editing software, text-to-video platform</t>
  </si>
  <si>
    <t>pika.art</t>
  </si>
  <si>
    <t>http://www.linkedin.com/company/pika-labs</t>
  </si>
  <si>
    <t>2023: 4, 2024: 13</t>
  </si>
  <si>
    <t>The company raised $80 million of Series B venture funding in a deal led by Spark Capital on June 4, 2024, putting the company's pre-money valuation at $390 million. Conviction Capital, Lightspeed Venture Partners, NYX Ventures Partners, Greycroft, Sarah Smith Fund, Makers Fund, Neo, Nat Friedman, Jared Leto, SV Angel, Adam D'Angelo, Alex Chung, Daniel Gross, Elad Gil, Andrej Karpathy, Clément Delangue, Craig Kallman, Aravind Srinivas, Mateusz Staniszewski, Karim Atiyeh, Mike Vernal and Aaron Levie also participated in the round. The funds will be used to accelerate the company's progress in building the best video foundation model, and the best possible product for video creators.</t>
  </si>
  <si>
    <t>Aaron Levie, Adam D'Angelo, AI Grant, Alex Chung, Andrej Karpathy, Aravind Srinivas, Ben's Bites, Clément Delangue, Conviction Capital, Conviction Partners, Craig Kallman, Cristina Cordova, Daniel Gross, Elad Gil, Eric Glyman, Factorial Capital, Greycroft, Homebrew, Jared Leto, Karim Atiyeh, Keith Peiris, Lightspeed Venture Partners, Makers Fund, Mateusz Staniszewski, Mike Vernal, Nat Friedman, Neo (Consulting Services (B2B)), NYX Ventures Partners, Sarah Smith Fund, Sequoia Capital, Spark Capital, SV Angel, Vipul Ved Prakash</t>
  </si>
  <si>
    <t>AI Grant (aigrant.org), Ben's Bites (www.bensbites.co), Conviction Capital (www.conviction-capital.com), Conviction Partners (conviction.com), Cristina Cordova (www.cristinajcordova.com), Elad Gil (www.eladgil.com), Factorial Capital (www.factorialcap.com), Greycroft (www.greycroft.com), Homebrew (www.homebrew.co), Lightspeed Venture Partners (www.lsvp.com), Makers Fund (www.makersfund.com), Neo (Consulting Services (B2B)) (www.neo.com), NYX Ventures Partners (nyxventures.vc), Sarah Smith Fund (www.sarahsmith.fund), Sequoia Capital (www.sequoiacap.com), Spark Capital (www.sparkcapital.com), SV Angel (www.svangel.com)</t>
  </si>
  <si>
    <t>Cooley(Legal Advisor), Latham &amp; Watkins(Legal Advisor)</t>
  </si>
  <si>
    <t>371479-96P</t>
  </si>
  <si>
    <t>Demi Guo</t>
  </si>
  <si>
    <t>demi@pika.art</t>
  </si>
  <si>
    <t>849 High Street</t>
  </si>
  <si>
    <t>504146-35</t>
  </si>
  <si>
    <t>PIN</t>
  </si>
  <si>
    <t>Developer of a community fund platform designed to connect entrepreneurs to investors. The company provides a back office framework and legal and tax support to interested clubs to set up and launch an investing vehicle, enabling entrepreneurs and leaders to seek opportunities to raise capital, meet other members, and manage portfolios.</t>
  </si>
  <si>
    <t>Accounting, Audit and Tax Services (B2B), Financial Software*, Other Financial Services</t>
  </si>
  <si>
    <t>alternative investment, community funding platform, fund raise platform, investing money, investment management, investment vehicle, investor group, wealthtech</t>
  </si>
  <si>
    <t>www.getpin.xyz</t>
  </si>
  <si>
    <t>http://www.linkedin.com/company/pinxyz</t>
  </si>
  <si>
    <t>2022: 3, 2023: 9, 2024: 8</t>
  </si>
  <si>
    <t>The company raised $5.6 million of seed funding in a deal led by Initialized Capital Management on August 25, 2022. GSR Ventures and 5 other investors also participated in the round.</t>
  </si>
  <si>
    <t>Canaan Partners, GSR Ventures, Industry Ventures, Initialized Capital Management, Litquidity Capital, New Enterprise Associates, Riverside Ventures</t>
  </si>
  <si>
    <t>Canaan Partners (www.canaan.com), GSR Ventures (www.gsrventuresus.com), Industry Ventures (www.industryventures.com), Initialized Capital Management (www.initialized.com), Litquidity Capital (www.litquidity.co), New Enterprise Associates (www.nea.com), Riverside Ventures (www.riversideventures.com)</t>
  </si>
  <si>
    <t>252554-68P</t>
  </si>
  <si>
    <t>Steph Mui</t>
  </si>
  <si>
    <t>smui@getpin.xyz</t>
  </si>
  <si>
    <t>+1 (773) 702-1234</t>
  </si>
  <si>
    <t>175 Varick Street</t>
  </si>
  <si>
    <t>contact@getpin.xyz</t>
  </si>
  <si>
    <t>520596-73</t>
  </si>
  <si>
    <t>Pip Care</t>
  </si>
  <si>
    <t>RH Studio 2 OpCo 31</t>
  </si>
  <si>
    <t>Pip</t>
  </si>
  <si>
    <t>Pip Care, Inc.</t>
  </si>
  <si>
    <t>Operator of a health care application intended to help patients prepare and recover from surgery. The company provides certified health coaches who create personalized and recovery care plans that include daily tasks and curated advice, enabling patients to keep track of appointments and feel empowered and prepared for surgery.</t>
  </si>
  <si>
    <t>appointment tracking, care management technology, digital care management, digital technology, health coaching, healthcare plan, personalized planning, surgery care</t>
  </si>
  <si>
    <t>www.pipcare.com</t>
  </si>
  <si>
    <t>http://www.linkedin.com/company/pipcare</t>
  </si>
  <si>
    <t>2023: 13, 2024: 14</t>
  </si>
  <si>
    <t>The company raised $13.11 million through a combination of Series A, and Series A-1 venture funding in a deal led by A1 Health Ventures on October 21, 2024, putting the company's pre-money valuation at $5 million. UPMC Enterprises and Redesign Health also participated in the round. The funds will be used to expand operations and the company's development efforts. Previously, the company received $2.2 million of grant funding from National Institutes of Health on October 17, 2024. The funds will be used to launch a trial of the company's platform with 2,000 patients.</t>
  </si>
  <si>
    <t>A1 Health Ventures, National Institutes of Health, Redesign Health, UPMC Enterprises</t>
  </si>
  <si>
    <t>A1 Health Ventures (www.a1healthventures.com), National Institutes of Health (www.nih.gov), Redesign Health (www.redesignhealth.com), UPMC Enterprises (enterprises.upmc.com)</t>
  </si>
  <si>
    <t>237773-89P</t>
  </si>
  <si>
    <t>Kathleen Kaluhiokalani</t>
  </si>
  <si>
    <t>kathy@pipcare.com</t>
  </si>
  <si>
    <t>hello@pipcare.com</t>
  </si>
  <si>
    <t>433127-80</t>
  </si>
  <si>
    <t>Planet FWD</t>
  </si>
  <si>
    <t>Planet FWD Inc.</t>
  </si>
  <si>
    <t>Emitwise, CarbonChain, Normative</t>
  </si>
  <si>
    <t>Developer of a carbon management platform intended to help consumer brands reduce their carbon footprint. The company's platform assists in measuring the carbon footprint of a product or a company and provides tailored emissions reduction plans, helping brands achieve sustainability and build consumer confidence.</t>
  </si>
  <si>
    <t>Business/Productivity Software, Environmental Services (B2B)*</t>
  </si>
  <si>
    <t>carbon neutral food, carbon neutral product, environmental friendly service, esg software, snacks branding, snacks maker, snacks packs</t>
  </si>
  <si>
    <t>www.planetfwd.com</t>
  </si>
  <si>
    <t>http://www.linkedin.com/company/planet-fwd</t>
  </si>
  <si>
    <t>2020: 11, 2021: 22, 2022: 23, 2023: 38, 2024: 40</t>
  </si>
  <si>
    <t>The company raised $1.25 million of Series A venture funding in the form of SAFE notes in a deal led by Earthshot Ventures on August 2, 2024. HearstLab, Collab Capital, Westbound Equity Partners, Precursor Ventures and Emerson Collective also participated in the round.</t>
  </si>
  <si>
    <t>Acre Venture Partners, Arlan Hamilton, Backstage Capital, BBG Ventures (North America), City Light Capital, Claire Diaz-Ortiz, Cleo Capital, Climate Capital, Collab Capital, Congruent Ventures, Cowboy Ventures, Earthshot Ventures, Elemental Impact, Emerson Collective, F7 Ventures, HearstLab, Incite Ventures (San Francisco), January Ventures, Kapor Capital, Maveron, MCJ, non sibi ventures, Precursor Ventures, Rethink Capital Partners, Springbank Collective, Tet Ventures, Westbound Equity Partners</t>
  </si>
  <si>
    <t>Acre Venture Partners (www.acre.vc), Backstage Capital (www.backstagecapital.com), BBG Ventures (North America) (www.bbgventures.com), City Light Capital (www.citylight.vc), Claire Diaz-Ortiz (clairediazortiz.com), Cleo Capital (www.cleocap.com), Climate Capital (www.climatecapital.co), Collab Capital (www.collab.capital), Congruent Ventures (www.congruentvc.com), Cowboy Ventures (www.cowboy.vc), Earthshot Ventures (www.earthshot.vc), Elemental Impact (www.elementalimpact.com), Emerson Collective (www.emersoncollective.com), F7 Ventures (www.f7ventures.com), HearstLab (www.hearstlab.com), Incite Ventures (San Francisco) (www.incite.org), January Ventures (january.ventures), Kapor Capital (www.kaporcapital.com), Maveron (www.maveron.com), MCJ (www.mcj.vc), non sibi ventures (www.nonsibi.vc), Precursor Ventures (precursorvc.com), Rethink Capital Partners (www.rethink-capital.com), Springbank Collective (www.springbank.vc), Tet Ventures (www.tet.vc), Westbound Equity Partners (www.westboundequity.com)</t>
  </si>
  <si>
    <t>121879-00P</t>
  </si>
  <si>
    <t>Julia Collins</t>
  </si>
  <si>
    <t>julia@planetfwd.com</t>
  </si>
  <si>
    <t>+1 (917) 202-3425</t>
  </si>
  <si>
    <t>2443 Fillmore Street</t>
  </si>
  <si>
    <t>Suite 380-16375</t>
  </si>
  <si>
    <t>hello@planetfwd.com</t>
  </si>
  <si>
    <t>529799-86</t>
  </si>
  <si>
    <t>Planette</t>
  </si>
  <si>
    <t>Planette Analytics</t>
  </si>
  <si>
    <t>Planette, Inc.</t>
  </si>
  <si>
    <t>TempoQuest, Tomorrow.io</t>
  </si>
  <si>
    <t>Developer of an integrated climate and energy intelligence platform designed to help plan for a better future. The company's platform is designed to help make informed decisions about climate risk and integrates data and insights from climate science, the energy sector and the enterprise's own data, enabling industries to assess their climate risk exposure, develop mitigation strategies and plan for the future.</t>
  </si>
  <si>
    <t>Business/Productivity Software*, Environmental Services (B2B), Media and Information Services (B2B)</t>
  </si>
  <si>
    <t>climate data, climate intelligence, climate mitigation, climate risk assessment, data integration, earthing data, energy planning, land use, risk mitigation</t>
  </si>
  <si>
    <t>Microweather</t>
  </si>
  <si>
    <t>www.planette.ai</t>
  </si>
  <si>
    <t>http://www.linkedin.com/company/planetteai</t>
  </si>
  <si>
    <t>The company raised $2.4 million of pre-seed funding in a deal led by Audacious Ventures and Dash Fund on February 22, 2024 in the form of SAFE notes. Graham &amp; Walker, Techstars and Jetstream Capital also participated in the round.</t>
  </si>
  <si>
    <t>Audacious Ventures, Coast Capital Savings Innovation Centre, Dash Fund, Graham &amp; Walker, Jetstream Capital, Los Angeles Cleantech Incubator, Plug and Play Tech Center, Techstars</t>
  </si>
  <si>
    <t>Audacious Ventures (www.audacious.co), Dash Fund (www.dashfund.co), Graham &amp; Walker (www.grahamwalker.com), Jetstream Capital (www.jetstreamcapital.com), Los Angeles Cleantech Incubator (www.laincubator.org), Plug and Play Tech Center (www.plugandplaytechcenter.com), Techstars (www.techstars.com)</t>
  </si>
  <si>
    <t>352937-26P</t>
  </si>
  <si>
    <t>Hansi Singh</t>
  </si>
  <si>
    <t>hansi@planette.ai</t>
  </si>
  <si>
    <t>166 Geary Street</t>
  </si>
  <si>
    <t>Suite 1500-2139</t>
  </si>
  <si>
    <t>+1 (778) 966-9316</t>
  </si>
  <si>
    <t>info@planette.ai</t>
  </si>
  <si>
    <t>453553-75</t>
  </si>
  <si>
    <t>Playbook(Business/Productivity Software)</t>
  </si>
  <si>
    <t>Playbook</t>
  </si>
  <si>
    <t>Playbook Digital, Inc.</t>
  </si>
  <si>
    <t>Dropbox</t>
  </si>
  <si>
    <t>Developer of a visual cloud storage platform designed to streamline and maintain control of the creative assets. The company's application can automatically import, tag, and organize creative files as well as induce AI technology to integrate the current storage and streamline file management, enabling clients to develop and manage their blogs and websites according to their choices.</t>
  </si>
  <si>
    <t>cloud storage, file storage platform, files access, kms, knowledge management system, storage platform, storage platform software, workspace storage</t>
  </si>
  <si>
    <t>www.playbook.com</t>
  </si>
  <si>
    <t>http://www.linkedin.com/company/playbook-hq</t>
  </si>
  <si>
    <t>2019: 2, 2020: 4, 2021: 11, 2022: 9, 2024: 10</t>
  </si>
  <si>
    <t>The company raised $18 million of Series A venture funding in a deal led by Bain Capital Ventures on April 19, 2022, putting the company's pre-money valuation at $72 million. Founders Fund and 6 other investors also participated in the round. The funds will be used to iterate and expand operations and business reach worldwide.</t>
  </si>
  <si>
    <t>Abstract Ventures, Backend Capital, Bain Capital Ventures, Basis Set Ventures, Beth Turner, Blank Slate Ventures, Blank Ventures, Caffeinated Capital, Edward Kim, Elad Gil, Eric Wu, Founders Fund, Inovia Capital, Maple VC, Wilson Sonsini Goodrich &amp; Rosati</t>
  </si>
  <si>
    <t>Abstract Ventures (abstract.vc), Backend Capital (backendcapital.com), Bain Capital Ventures (www.baincapitalventures.com), Basis Set Ventures (www.basisset.com), Blank Slate Ventures (www.blankslateventures.com), Blank Ventures (www.blank.com), Caffeinated Capital (www.caffeinatedcapital.com), Elad Gil (www.eladgil.com), Founders Fund (www.foundersfund.com), Inovia Capital (www.inovia.vc), Maple VC (www.maplevc.com), Wilson Sonsini Goodrich &amp; Rosati (www.wsgr.com)</t>
  </si>
  <si>
    <t>246552-22P</t>
  </si>
  <si>
    <t>Jessica Ko</t>
  </si>
  <si>
    <t>Co-Founder, Chief Executive Officer, Chief Financial Officer &amp; Board Member</t>
  </si>
  <si>
    <t>jessica@playbook.com</t>
  </si>
  <si>
    <t>341 Moultrie Street</t>
  </si>
  <si>
    <t>hello@playbook.com</t>
  </si>
  <si>
    <t>503059-60</t>
  </si>
  <si>
    <t>Plenty (Financial Software)</t>
  </si>
  <si>
    <t>Plenty</t>
  </si>
  <si>
    <t>Plenty Financial, Inc.</t>
  </si>
  <si>
    <t>Zeta</t>
  </si>
  <si>
    <t>Developer of a financial planning platform intended to accelerate users' journey toward financial freedom. The company's software provides personalized insight at affordable rates, enabling users to have a financial planning platform that assists with managing their wealth.</t>
  </si>
  <si>
    <t>digital advisory, financial decisions making, financial freedom, financial planning support, financial planning tools, money management service, personalized finance, wealthtech</t>
  </si>
  <si>
    <t>www.withplenty.com</t>
  </si>
  <si>
    <t>http://www.linkedin.com/company/plentyfinancial</t>
  </si>
  <si>
    <t>The company raised $5 million of seed funding from Inovia Capital, Mana Ventures, Interplay and GarageCapital on May 9, 2024. Otherwise Fund also participated in the round. The funds will be used to expand operations and its development efforts.</t>
  </si>
  <si>
    <t>Adam Nash, Brian Delahunty, Charge Ventures, Eric Wu, GarageCapital, Hawktail, Henry Ward, Inovia Capital, Interplay (New York), Mana Ventures, Mark Goines, Original Capital, Otherwise Fund, Phenomenal Ventures, Sequoia Capital, Thirty Five Ventures, Thomson Nguyen, Vivek Patel, Will Larson, Xtripe Angels</t>
  </si>
  <si>
    <t>Charge Ventures (www.charge.vc), GarageCapital (www.garage.vc), Hawktail (hawktail.com), Inovia Capital (www.inovia.vc), Interplay (New York) (www.interplay.vc), Mana Ventures (www.manaventures.vc), Original Capital (www.originalcapital.com), Otherwise Fund (otherwisefund.com), Phenomenal Ventures (phenomenalventures.com), Sequoia Capital (www.sequoiacap.com), Thirty Five Ventures (35v.tv), Xtripe Angels (www.xtripe.vc)</t>
  </si>
  <si>
    <t>311599-36P</t>
  </si>
  <si>
    <t>Emily Luk</t>
  </si>
  <si>
    <t>emily@withplenty.com</t>
  </si>
  <si>
    <t>+1 (416) 223-6066</t>
  </si>
  <si>
    <t>576 Sacramento Street</t>
  </si>
  <si>
    <t>Floor 6</t>
  </si>
  <si>
    <t>hello@withplenty.com</t>
  </si>
  <si>
    <t>521627-86</t>
  </si>
  <si>
    <t>Plot</t>
  </si>
  <si>
    <t>Plot Technologies.</t>
  </si>
  <si>
    <t>Plot Technologies, Inc.</t>
  </si>
  <si>
    <t>Databricks, Board International, Percolate, Birst, GoodData, DataRobot, Datameer, Clarabridge, InsightSquared, Qlik Technologies, DemandJump, Quid, Tableau Software, Simpli.fi, Arcadia Data, Synapsify, NetBase Quid, Visage, Data.AI, RapidMiner, GetBulb, ZoomCharts, ThoughtSpot, StreamSets, Yellowfin, DataSift, Adobe, Unsilo, Bitext, 37signals, 99designs, Luminoso, Venngage, Profoundis Labs, Numenta, Canva, Datascience.com, Dundas Data Visualization, Dataiku, TIBCO Software, Grow, Codenvy, Clarifai, Infor Global Solutions, BigML, Domino Data Lab, Sisense, Alteryx, Software FX, CircleBack (Business/Productivity Software)</t>
  </si>
  <si>
    <t>Developer of a creative operations platform designed to streamline project planning, collaboration, and deliverable management. The company's platform offers a centralized hub with visual project planning, task assignment, creative review features, and decision tracking, providing marketers, agencies, freelancers, and content creators with transparency, cross-collaboration, and productivity in their projects.</t>
  </si>
  <si>
    <t>collaboration platform, creative development, creative process, creative software, project management, project planning, project planning tools, workspace model</t>
  </si>
  <si>
    <t>www.plot.so</t>
  </si>
  <si>
    <t>http://www.linkedin.com/company/plotworkspace</t>
  </si>
  <si>
    <t>2023: 7</t>
  </si>
  <si>
    <t>The company raised $3 million of seed funding in a deal led by Seven Seven Six on February 24, 2023. Trust Fund, Potluck Ventures, Broom Ventures, and Visible Hands also participated in the round. The funds will be used to accelerate product development and launch publicly.</t>
  </si>
  <si>
    <t>Broom Ventures, Potluck Ventures, Seven Seven Six, Trust Fund, Visible Hands</t>
  </si>
  <si>
    <t>Broom Ventures (www.broom.ventures), Potluck Ventures (www.potluck.vc), Seven Seven Six (www.sevensevensix.com), Trust Fund (www.trustfund.vc), Visible Hands (www.visiblehands.vc)</t>
  </si>
  <si>
    <t>339735-52P</t>
  </si>
  <si>
    <t>Megan Duong</t>
  </si>
  <si>
    <t>megan@plot.so</t>
  </si>
  <si>
    <t>49 Elizabeth Street</t>
  </si>
  <si>
    <t>hello@plot.so</t>
  </si>
  <si>
    <t>501912-28</t>
  </si>
  <si>
    <t>Plug (Information Services (B2C))</t>
  </si>
  <si>
    <t>Plug</t>
  </si>
  <si>
    <t>PlugSports, Inc.</t>
  </si>
  <si>
    <t>Developer of a recruitment platform designed for college recruiters to review profiles created by high school athletes to scout and recruit players. The company's platform allows coaches to recruit suitable players for their team based on the player's profile and exposure and athletes can build their profile by uploading videos of practices, highlights, and skills, enabling customers to have a player recruitment platform.</t>
  </si>
  <si>
    <t>players data, players forum, players management, players platform, players support platform, players supporting</t>
  </si>
  <si>
    <t>www.plugsports.io</t>
  </si>
  <si>
    <t>The company raised $500,000 of seed funding from Nelnet Ventures, Invest Nebraska and Black Dog Ventures (PGSA) on March 2, 2023.</t>
  </si>
  <si>
    <t>Black Dog Ventures (PGSA), Invest Nebraska, Nelnet Ventures, NMotion</t>
  </si>
  <si>
    <t>Black Dog Ventures (PGSA) (www.pgsallc.com), Invest Nebraska (www.investnebraska.com), NMotion (www.nmotion.co)</t>
  </si>
  <si>
    <t>332035-30P</t>
  </si>
  <si>
    <t>Emily Buettner</t>
  </si>
  <si>
    <t>Co-Founder, Chief Executive Officer &amp; Lead Developer</t>
  </si>
  <si>
    <t>emily@plugsports.io</t>
  </si>
  <si>
    <t>+1 (402) 972-5975</t>
  </si>
  <si>
    <t>8624 South 42nd Street</t>
  </si>
  <si>
    <t>68147</t>
  </si>
  <si>
    <t>team@plugsports.io</t>
  </si>
  <si>
    <t>433415-71</t>
  </si>
  <si>
    <t>Plura</t>
  </si>
  <si>
    <t>Bloom (Social Content)</t>
  </si>
  <si>
    <t>Bloom, Bloom Community</t>
  </si>
  <si>
    <t>Together Project, Inc.</t>
  </si>
  <si>
    <t>Developer of a social platform intended to connect people and build community while providing maximum privacy to the users. The company's platform specializes in dating communities organizes group dates in parks and members choose who they want to meet, enabling users to meet new people and make new friends and partners organically.</t>
  </si>
  <si>
    <t>community organizer, dating app, dating app developer, dating application, get together platform, social app, social application</t>
  </si>
  <si>
    <t>www.bloomcommunity.com</t>
  </si>
  <si>
    <t>http://www.linkedin.com/company/bloomcommunityapp</t>
  </si>
  <si>
    <t>2022: 6, 2023: 5</t>
  </si>
  <si>
    <t>The company raised $2.5 million of seed funding in a deal led by Tuesday Capital on September 14, 2022. Precursor Ventures, Behind Genius Ventures, GFR Fund, Y Combinator, Claire Johnson, Gaingels and Nathaniel Mitchell also participated in the round. The funds will be used to accelerate growth and expand operations.</t>
  </si>
  <si>
    <t>Behind Genius Ventures, Claire Johnson, Gaingels, GFR Fund, Nathaniel Mitchell, Precursor Ventures, Tuesday Capital, Y Combinator</t>
  </si>
  <si>
    <t>Behind Genius Ventures (www.behindgeniusventures.com), Gaingels (www.gaingels.com), GFR Fund (www.gfrfund.com), Precursor Ventures (precursorvc.com), Tuesday Capital (www.tuesday.vc), Y Combinator (www.ycombinator.com)</t>
  </si>
  <si>
    <t>225944-56P</t>
  </si>
  <si>
    <t>Lauren Vegter</t>
  </si>
  <si>
    <t>lauren@joinbloom.community</t>
  </si>
  <si>
    <t>+1 (925) 289-8032</t>
  </si>
  <si>
    <t>101 Broadway</t>
  </si>
  <si>
    <t>437092-30</t>
  </si>
  <si>
    <t>PMI Rate Pro</t>
  </si>
  <si>
    <t>PMI</t>
  </si>
  <si>
    <t>PMI Rate Pro, Inc.</t>
  </si>
  <si>
    <t>Developer of a mortgage insurance platform intended to provide fast quotes. The company's platform allows its clients to complete one form and receive results from all providers in a quick time, thereby enabling loan officers to offer an affordable option to their homebuyers while saving time to close the deals.</t>
  </si>
  <si>
    <t>Other Insurance</t>
  </si>
  <si>
    <t>Financial Software, Other Insurance*</t>
  </si>
  <si>
    <t>InsurTech, Mortgage Tech, Real Estate Technology</t>
  </si>
  <si>
    <t>financial software, mortgage insurance, mortgage insurance quote, mortgage insurance strategy, mortgage quote, private mortgage, private mortgage insurance</t>
  </si>
  <si>
    <t>www.pmiratepro.com</t>
  </si>
  <si>
    <t>http://www.linkedin.com/company/pmiratepro</t>
  </si>
  <si>
    <t>2021: 5, 2023: 7, 2024: 8</t>
  </si>
  <si>
    <t>The company raised $630,000 of seed funding from Nelnet Ventures, Kansas Center For Entrepreneurship, and Women's Capital Connection on July 12, 2023. Mid America Angels also participated in the round. Out of the total amount, $100,000 was raised in the form of SAFE notes which subsequently got converted to equity. The funds will be used to accelerate the company's growth trajectory and solidify its position as an industry disruptor.</t>
  </si>
  <si>
    <t>Kansas Center For Entrepreneurship, Karen Fenaroli, Mid America Angels, Nelnet Ventures, Pure Pitch Rally, Techstars, Women's Capital Connection</t>
  </si>
  <si>
    <t>Kansas Center For Entrepreneurship (www.networkkansas.com), Mid America Angels (www.midamericaangels.com), Pure Pitch Rally (www.purepitchrally.com), Techstars (www.techstars.com), Women's Capital Connection (www.womenscapitalconnection.com)</t>
  </si>
  <si>
    <t>235361-35P</t>
  </si>
  <si>
    <t>Nomi Smith</t>
  </si>
  <si>
    <t>nsmith@pmiratepro.com</t>
  </si>
  <si>
    <t>+1 (913) 214-2799</t>
  </si>
  <si>
    <t>Overland Park, KS</t>
  </si>
  <si>
    <t>5440 West 110 Street</t>
  </si>
  <si>
    <t>Overland Park</t>
  </si>
  <si>
    <t>Kansas</t>
  </si>
  <si>
    <t>66209</t>
  </si>
  <si>
    <t>hello@pmiratepro.com</t>
  </si>
  <si>
    <t>470961-10</t>
  </si>
  <si>
    <t>Pocus</t>
  </si>
  <si>
    <t>Pocus, Inc.</t>
  </si>
  <si>
    <t>Syncari, Totango, Sightfull, Ripe, Pendo, Endgame, SalesDirector.ai, Calixa (Business/Productivity Software), Correlated, Pace (Business/Productivity Software)</t>
  </si>
  <si>
    <t>Developer of a product-led sales platform designed to make data actionable. The company's platform equips product-led companies with the data, insights, and automation needed to convert self-serve users to paid customers by combining customer firmographic and product usage data to provide a complete picture of their self-serve funnel, enabling sales teams to identify opportunities and help close deals.</t>
  </si>
  <si>
    <t>Automation/Workflow Software, Business/Productivity Software*, Database Software, Media and Information Services (B2B)</t>
  </si>
  <si>
    <t>connect customer data, crm, customer relationship management, engagement data, product engagement, revenue database, sales management, sales strategy</t>
  </si>
  <si>
    <t>www.pocus.com</t>
  </si>
  <si>
    <t>http://www.linkedin.com/company/pocus</t>
  </si>
  <si>
    <t>2021: 11, 2022: 13, 2024: 43</t>
  </si>
  <si>
    <t>The company raised $23 million of venture through a combination of debt and equity on June 14, 2022, putting the company's pre-money valuation at $94.5 million. $20.5 million of Series A was led by Coatue Management with participation from First Round Capital, GTMFund, Mantis VC, Annelies Gamble, FundFire, K5 Global, Akshay Kothari, Sri Viswanath, Abhinav Asthana, Tristan Handy, Adam Blitzer, Scott Belskey, Scott Williamson, Christina Cacioppo, Allison Pickens, Maxwell Mullen, Lenny Rachitsky, Packy McCormick, Aaron Katz, Barr Moses, Jack Altman, GC Lionetti, Ben Lang, The Box Group, Not Boring, Pear, and MKT1. The transaction was supported by $2.5 million of debt financing. The funds will be used to bring more customers and unlock the data warehouse for go-to-market teams.</t>
  </si>
  <si>
    <t>Aaron Katz, Abhinav Asthana, Adam Blitzer, Akshay Kothari, Akshay Kothari, Allison Pickens, Annelies Gamble, Barr Moses, Ben Lang, BoxGroup, Charley Ma, Christina Cacioppo, Clark Valberg, Coatue Management, Eric Wittman, First Round Capital, FundFire, Giancarlo Lionetti, GTMFund, Jack Altman, Jay Simons, K5 Global, Kenny Van Zant, Lenny Rachitsky, Mantis VC, Max Mullen, MKT1, Not Boring, Patrick McCormick, Pear (California), Reform Ventures, Scott Belskey, Scott Williamson, Sri Viswanath, The 21 Fund, The Box Group, Tristan Handy, Viviana Faga</t>
  </si>
  <si>
    <t>Annelies Gamble (www.anneliesgamble.com), BoxGroup (www.boxgroup.com), Coatue Management (www.coatue.com), First Round Capital (www.firstround.com), FundFire (www.fundfire.co), GTMFund (www.gtmfund.com), Jack Altman (jackealtman.com), K5 Global (www.k5global.com), Mantis VC (www.mantisvc.com), Max Mullen (www.maxmullen.com), MKT1 (www.mkt1.co), Not Boring (www.notboring.co), Pear (California) (www.pear.vc), Reform Ventures (www.reformventures.com), The 21 Fund (www.gsb21fund.com), The Box Group (www.theboxg.com)</t>
  </si>
  <si>
    <t>270857-53P</t>
  </si>
  <si>
    <t>Alexa Grabell</t>
  </si>
  <si>
    <t>alexa@pocus.com</t>
  </si>
  <si>
    <t>+1 (310) 883-6400</t>
  </si>
  <si>
    <t>Suite 4419</t>
  </si>
  <si>
    <t>info@pocus.com</t>
  </si>
  <si>
    <t>Other - $2.50M</t>
  </si>
  <si>
    <t>462128-14</t>
  </si>
  <si>
    <t>Pointz</t>
  </si>
  <si>
    <t>Pointz Mobility, Inc.</t>
  </si>
  <si>
    <t>Ride with GPS, komoot</t>
  </si>
  <si>
    <t>Developer of a mobile mapping application designed to find the safest routes for bikes and scooters using road data and crowdsourced information. The company's application uses a proprietary routing algorithm that favors roads on a unique quiet network of residential side streets, protected bike lanes and other bike-friendly streets, enabling riders to navigate through safe low-stress and low-traffic routes in cities.</t>
  </si>
  <si>
    <t>Application Software, Automotive, Information Services (B2C)*</t>
  </si>
  <si>
    <t>Micro-Mobility, Mobile, Mobility Tech, SaaS, TMT</t>
  </si>
  <si>
    <t>mapping application, mapping tools, mobile mapping, navigate safely, navigate traffic, navigation application, travel map</t>
  </si>
  <si>
    <t>www.bikepointz.com</t>
  </si>
  <si>
    <t>http://www.linkedin.com/company/bikepointz</t>
  </si>
  <si>
    <t>2021: 5, 2022: 8, 2023: 10, 2024: 10</t>
  </si>
  <si>
    <t>The company joined Techstars as part of its Roux Institute Techstars Accelerator program on September 19, 2022, and received $120,000 in funding.</t>
  </si>
  <si>
    <t>Breakthrough Lab, MassChallenge, Rogue Venture Partners, Rogue Women, Techstars</t>
  </si>
  <si>
    <t>Breakthrough Lab (entrepreneurship.brown.edu), MassChallenge (www.masschallenge.org), Rogue Venture Partners (www.roguevp.com), Rogue Women (www.roguewmn.com), Techstars (www.techstars.com)</t>
  </si>
  <si>
    <t>255160-99P</t>
  </si>
  <si>
    <t>Magdelyn Bachenberg</t>
  </si>
  <si>
    <t>maggie@bikepointz.com</t>
  </si>
  <si>
    <t>+1 (507) 236-3475</t>
  </si>
  <si>
    <t>Providence, RI</t>
  </si>
  <si>
    <t>225 Dyer Street</t>
  </si>
  <si>
    <t>Providence</t>
  </si>
  <si>
    <t>02903</t>
  </si>
  <si>
    <t>hi@bikepointz.com</t>
  </si>
  <si>
    <t>507248-20</t>
  </si>
  <si>
    <t>Pollen (Educational Software)</t>
  </si>
  <si>
    <t>Pollen</t>
  </si>
  <si>
    <t>Pollen Pathways Inc.</t>
  </si>
  <si>
    <t>Developer of an online platform designed to help freelancers grow their businesses. The company's software helps to get work done through personalized assessments, audio playbooks, growth plans, and tools that move them forward, enabling freelancers to attract customers and achieve targets.</t>
  </si>
  <si>
    <t>Consulting Services (B2B), Educational and Training Services (B2C), Educational Software*</t>
  </si>
  <si>
    <t>freelancers business, freelancers management platform, freelancers project, freelancers search, freelancers services, freelancers tools</t>
  </si>
  <si>
    <t>www.runpollen.com</t>
  </si>
  <si>
    <t>http://www.linkedin.com/company/pollencareers</t>
  </si>
  <si>
    <t>2022: 2, 2023: 5</t>
  </si>
  <si>
    <t>The company raised $4 million of venture funding from Founder Collective, 10XImpact, XYZ Venture Capital and Kaya Ventures on June 13, 2023. ANIMO Ventures, Precursor Ventures and other undisclosed investors also participated in the round.</t>
  </si>
  <si>
    <t>10XImpact, ANIMO Ventures, Electric Ant, Founder Collective, Kaya Ventures, Precursor Ventures, XYZ Venture Capital</t>
  </si>
  <si>
    <t>10XImpact (www.10ximpact.co), ANIMO Ventures (www.animo.vc), Electric Ant (www.electricant.xyz), Founder Collective (www.foundercollective.com), Kaya Ventures (www.kaya.ventures), Precursor Ventures (precursorvc.com), XYZ Venture Capital (www.xyz.vc)</t>
  </si>
  <si>
    <t>264336-13P</t>
  </si>
  <si>
    <t>Hillary Bush</t>
  </si>
  <si>
    <t>hillary@runpollen.com</t>
  </si>
  <si>
    <t>+1 (415) 580-2832</t>
  </si>
  <si>
    <t>PMB 99819</t>
  </si>
  <si>
    <t>contact@runpollen.com</t>
  </si>
  <si>
    <t>515536-30</t>
  </si>
  <si>
    <t>Poppin (Entertainment Software)</t>
  </si>
  <si>
    <t>Oink-o</t>
  </si>
  <si>
    <t>Poppin</t>
  </si>
  <si>
    <t>EQ&amp;T, Inc.</t>
  </si>
  <si>
    <t>Developer of a gaming application designed to offer quality gaming experiences. The company's application offers eat-to-earn games where players can collect, battle, and grow fantasy creatures.</t>
  </si>
  <si>
    <t>blockchain games, gaming apparel, gaming application developer, gaming application platform, gaming software platform, mobile gaming</t>
  </si>
  <si>
    <t>www.poppin.land</t>
  </si>
  <si>
    <t>http://www.linkedin.com/company/eqandt</t>
  </si>
  <si>
    <t>The company raised $504,999 of seed funding from Yazawa Ventures, ANRI and East Ventures on December 1, 2022. F Ventures, Ramon Recuero, Satoshi Naito and other undisclosed investors also participated in the round.</t>
  </si>
  <si>
    <t>ANRI, East Ventures, F Ventures, Ramon Recuero, Satoshi Naito, Yazawa Ventures</t>
  </si>
  <si>
    <t>ANRI (www.anri.vc), East Ventures (www.east.vc), F Ventures (f-ventures.vc), Yazawa Ventures (yazawa.vc)</t>
  </si>
  <si>
    <t>326101-15P</t>
  </si>
  <si>
    <t>Tomona Kaji</t>
  </si>
  <si>
    <t>tmaji@poppin.land</t>
  </si>
  <si>
    <t>+1 (628) 758-8648</t>
  </si>
  <si>
    <t>535087-36</t>
  </si>
  <si>
    <t>Porosity</t>
  </si>
  <si>
    <t>Porosity, Inc</t>
  </si>
  <si>
    <t>Developer of a regulatory compliance management platform designed to streamline compliance-related workflows and reduce the risk of fines from regulatory breaches. The company's platform allows users to manage and analyze data related to regulatory compliance, enabling clients to save field team hours each week, reduce response times, take back control of third-party inspections, never miss a deadline, and improve accuracy in reporting.</t>
  </si>
  <si>
    <t>compliance management, compliance management app, compliance management software, regulatory compliance, regulatory compliance management, regulatory compliance service, regulatory compliance software, regulatory compliance tool</t>
  </si>
  <si>
    <t>www.porosity.com</t>
  </si>
  <si>
    <t>http://www.linkedin.com/company/porosity-inc</t>
  </si>
  <si>
    <t>The company raised $3.5 million through a combination of Seed-1, Seed-2, and Seed-3 funding from Fractal Software, Deco Ventures (US) and other undisclosed investors on October 13, 2023, putting the company's pre-money valuation at $7 million. Of the total amount, $1 million was originally raised in the form of convertible debt and subsequently converted equity.</t>
  </si>
  <si>
    <t>Deco Ventures (US), Fractal Software</t>
  </si>
  <si>
    <t>Deco Ventures (US) (www.decovc.com), Fractal Software (www.fractalsoftware.com)</t>
  </si>
  <si>
    <t>363715-48P</t>
  </si>
  <si>
    <t>Natasha Reddy</t>
  </si>
  <si>
    <t>natasha@porosity.com</t>
  </si>
  <si>
    <t>+1 (201) 256-1075</t>
  </si>
  <si>
    <t>2248 Broadway</t>
  </si>
  <si>
    <t>Suite 1723</t>
  </si>
  <si>
    <t>496010-44</t>
  </si>
  <si>
    <t>Portal Labs</t>
  </si>
  <si>
    <t>Portal</t>
  </si>
  <si>
    <t>Portal Labs, Inc.</t>
  </si>
  <si>
    <t>Digital Asset, Curv, Ankr, Xapo Bank, Dfns, Ethereum, Ecomi, Mintable, Blockchain.com, Nifty Gateway, Bitski, Bakkt Holdings, Chainalysis, Trust Wallet, Anchorage Digital, LooksRare, Amberdata, LoginRadius, Bitwala, BitPay, Zora (Media and Information Services), Luno, BeyondTrust, Blockstream, Skura, Ping Identity, SecureAuth, JumpCloud, ConsenSys, TodaQ, Okta, Thycotic, BlockCypher, Encap Security, Axoni, Magic, Tether (Hong Kong), Beyond Identity</t>
  </si>
  <si>
    <t>Operator of web3 infrastructure intended to unlock capabilities for the upcoming users. The company provides consumer infrastructure to give users a native experience with security, simple integration, UX, and endless use cases, enabling customers easy ways to interact with NFTs, Defi, play-to-earn gaming, and more.</t>
  </si>
  <si>
    <t>Application Software, Business/Productivity Software, Financial Software*, Other Financial Services</t>
  </si>
  <si>
    <t>consumer infrastructure, consumer portal, custodial account, software development, web application, web3 app, web3 project</t>
  </si>
  <si>
    <t>www.portalhq.io</t>
  </si>
  <si>
    <t>http://www.linkedin.com/company/portalhq</t>
  </si>
  <si>
    <t>The company raised an additional $3.7 million of Seed funding from WAGMI Ventures (New York), Slow Ventures and other undisclosed investors on April 3, 2024, putting the company's pre-money valuation at an estimated $25 million. Calm Ventures also participated in this round.</t>
  </si>
  <si>
    <t>Acrew Capital, Ayokunle Omojola, Calm Ventures, Calvin French-Owen, Canonical Crypto, Chapter One, Diogo Monica, Gokul Rajaram, Haun Ventures Management, Henrique Dubagras, Kindergarten Ventures, Not Boring, Rally Cap VC, Serunjogi Ventures, Sima Gandhi, Slow Ventures, Terry Angelos, WAGMI Ventures (New York), William Hockey</t>
  </si>
  <si>
    <t>Acrew Capital (www.acrewcapital.com), Calm Ventures (www.calmvc.com), Canonical Crypto (www.canonical.cc), Chapter One (www.chapterone.com), Haun Ventures Management (www.haun.co), Kindergarten Ventures (www.kindergarten.ventures), Not Boring (www.notboring.co), Rally Cap VC (www.rallycap.vc), Serunjogi Ventures (www.serunjogi.com), Slow Ventures (www.slow.co), WAGMI Ventures (New York) (www.wagmiventures.io)</t>
  </si>
  <si>
    <t>300042-82P</t>
  </si>
  <si>
    <t>Raj Parekh</t>
  </si>
  <si>
    <t>raj@portalhq.io</t>
  </si>
  <si>
    <t>PMB 25754</t>
  </si>
  <si>
    <t>469664-92</t>
  </si>
  <si>
    <t>Portex</t>
  </si>
  <si>
    <t>Portex Inc.</t>
  </si>
  <si>
    <t>Developer of freight procurement platform designed to modernize logistics and payments. The company's platform helps to templatize and send quote requests to existing partners, provides auto-aggregated quotes with benchmarking for informed decisions, and access freight pricing data trapped or lost in email, spreadsheets, and PDFs, enabling clients to save time and money in strategic freight management.</t>
  </si>
  <si>
    <t>Automation/Workflow Software, Business/Productivity Software*, Logistics</t>
  </si>
  <si>
    <t>Artificial Intelligence &amp; Machine Learning, CloudTech &amp; DevOps, Industrials, SaaS</t>
  </si>
  <si>
    <t>cloud-based software, computer software, freight management, freight procurement, logistics management, procurement and sourcing, procurement support, scm, supply chain management, supply chain managment, trading transaction</t>
  </si>
  <si>
    <t>www.portexpro.com</t>
  </si>
  <si>
    <t>http://www.linkedin.com/company/portexpro</t>
  </si>
  <si>
    <t>The company raised $6.25 million of Seed-1 funding in a deal led by Footwork on September 5, 2024, putting the company's pre-money valuation at $25.75 million. Base10 Partners, Susa Ventures, Cowboy Ventures, REFASHIOND Ventures and other undisclosed investors also participated in the round. The funds will be used to build the future of Intelligent Freight Logistics.</t>
  </si>
  <si>
    <t>Base10 Partners, Cowboy Ventures, DeVaris Brown, Footwork, Good Friends, REFASHIOND Ventures, Susa Ventures, Tina Dai, Todd Johnson</t>
  </si>
  <si>
    <t>Base10 Partners (www.base10.vc), Cowboy Ventures (www.cowboy.vc), Footwork (www.footwork.vc), Good Friends (www.goodfriends.com), REFASHIOND Ventures (www.refashiond.com), Susa Ventures (www.susaventures.com)</t>
  </si>
  <si>
    <t>342976-33P</t>
  </si>
  <si>
    <t>Brittany Ennix</t>
  </si>
  <si>
    <t>brittany@portexpro.com</t>
  </si>
  <si>
    <t>Suite 4530</t>
  </si>
  <si>
    <t>94114-1612</t>
  </si>
  <si>
    <t>info@portexpro.com</t>
  </si>
  <si>
    <t>267882-58</t>
  </si>
  <si>
    <t>Praxis Labs</t>
  </si>
  <si>
    <t>Praxis</t>
  </si>
  <si>
    <t>Praxis Labs, Inc.</t>
  </si>
  <si>
    <t>Motive.io, MindTickle, Cappfinity, Brainshark, Talespin Reality Labs, ActiView (Business/Productivity Software), Showpad, Nearpod, Formative (Educational Software), Equal Reality</t>
  </si>
  <si>
    <t>Operator of an online learning platform intended to embed equity and inclusion throughout the employee lifecycle. The company's platform offers research-backed and data-driven training, technological experiences and quantifiable metrics, enabling users to improve their understanding and empathy of implicit bias within the workplace.</t>
  </si>
  <si>
    <t>EdTech, Virtual Reality</t>
  </si>
  <si>
    <t>content services, curriculum creation, dei program, diversity data, employee training, immersive learning, kms, knowledge management system, learning platform</t>
  </si>
  <si>
    <t>www.praxislabs.co</t>
  </si>
  <si>
    <t>http://www.linkedin.com/company/praxis-labs-vr</t>
  </si>
  <si>
    <t>2020: 10, 2021: 24, 2022: 46, 2023: 59, 2024: 51</t>
  </si>
  <si>
    <t>The company joined Cardinal Ventures on an undisclosed date. No equity or funding was exchanged as a result of this program.</t>
  </si>
  <si>
    <t>Accenture, Accenture Ventures, Alumni Ventures, Calm Ventures, Cardinal Ventures, Emerson Collective, Firework Ventures, GSB 20|20 Fund, Morgan Stanley Inclusive Ventures Lab, Norwest Venture Partners, Open Opportunity Fund, Penny Jar Capital, Precursor Ventures, R/GA Ventures, Ulu Ventures, Westbound Equity Partners</t>
  </si>
  <si>
    <t>Accenture (www.accenture.com), Alumni Ventures (www.av.vc), Calm Ventures (www.calmvc.com), Cardinal Ventures (www.cardinalventures.org), Emerson Collective (www.emersoncollective.com), Firework Ventures (www.firework.vc), Norwest Venture Partners (www.nvp.com), Open Opportunity Fund (www.theopportunityfund.com), Penny Jar Capital (www.pennyjar.com), Precursor Ventures (precursorvc.com), R/GA Ventures (ventures.rga.com), Ulu Ventures (www.uluventures.com), Westbound Equity Partners (www.westboundequity.com)</t>
  </si>
  <si>
    <t>PAG LAW(Legal Advisor)</t>
  </si>
  <si>
    <t>154610-02P</t>
  </si>
  <si>
    <t>Elise Smith</t>
  </si>
  <si>
    <t>elise@praxislabs.co</t>
  </si>
  <si>
    <t>+1 (708) 912-5611</t>
  </si>
  <si>
    <t>500 Saint Johns Place</t>
  </si>
  <si>
    <t>Apartment 5B, Brooklyn</t>
  </si>
  <si>
    <t>info@praxislabs.co</t>
  </si>
  <si>
    <t>492819-40</t>
  </si>
  <si>
    <t>PreQL</t>
  </si>
  <si>
    <t>PreQL, Inc.</t>
  </si>
  <si>
    <t>Dataddo</t>
  </si>
  <si>
    <t>Developer of an open-source interactive visualization tool designed to help clients improve their data management and scale their business. The company's tool allows for a fusion of UX, caches data, and organizes it to display populated tables based on user commands given through an easy-to-use set of dropdowns, providing developers with the ability to easily visualize their databases with cached, query-less requests to the backend and generate SQL queries.</t>
  </si>
  <si>
    <t>analytics &amp; business intelligence, analytics and business intelligence, analytics platform, automation model, business intelligence data, data management software, data software &amp; systems, data software and systems, data transformation, data visualization, interface design, reporting technology, sql tools, visualization tool</t>
  </si>
  <si>
    <t>www.preql.com</t>
  </si>
  <si>
    <t>http://www.linkedin.com/company/preqldata</t>
  </si>
  <si>
    <t>The company raised an additional estimated $4 million of Seed funding from Avid Ventures and other undisclosed investors on April 19, 2024, putting the company's pre-money valuation at $17 million.</t>
  </si>
  <si>
    <t>Activation Fund, Avid Ventures, Backbone Angels, Benn Stancil, Bessemer Venture Partners, Eldad Fakash, Felicis, Ground Up Ventures, ICON (Palo Alto), INT3, Keenan Rice, Taylor Brown, Tristan Handy, Verissimo Ventures</t>
  </si>
  <si>
    <t>Activation Fund (www.activation.fund), Avid Ventures (www.avidventures.com), Backbone Angels (www.backboneangels.com), Bessemer Venture Partners (www.bvp.com), Felicis (www.felicis.com), Ground Up Ventures (www.groundup.vc), ICON (Palo Alto) (www.iconsv.org), INT3 (int3.com), Verissimo Ventures (verissimo.vc)</t>
  </si>
  <si>
    <t>295869-43P</t>
  </si>
  <si>
    <t>Leah Weiss</t>
  </si>
  <si>
    <t>leah@preql.com</t>
  </si>
  <si>
    <t>+1 (303) 918-9568</t>
  </si>
  <si>
    <t>421 Maple Street</t>
  </si>
  <si>
    <t>Suite 402, Brooklyn</t>
  </si>
  <si>
    <t>11225</t>
  </si>
  <si>
    <t>hello@preql.com</t>
  </si>
  <si>
    <t>464400-73</t>
  </si>
  <si>
    <t>Press Hook</t>
  </si>
  <si>
    <t>The Press Hook Inc.</t>
  </si>
  <si>
    <t>Provider of digital media services intended to connect media to brands and publicists at scale. The company's services match brands with journalists who are more likely to write about their products and services, enabling brands, publicists, and journalists to connect with each other to facilitate newsworthy stories in the modern world.</t>
  </si>
  <si>
    <t>brand design, branding equity, media services, online media, product launch, public relations</t>
  </si>
  <si>
    <t>www.presshook.com</t>
  </si>
  <si>
    <t>http://www.linkedin.com/company/presshook</t>
  </si>
  <si>
    <t>2021: 27, 2022: 35, 2023: 24, 2024: 23</t>
  </si>
  <si>
    <t>The company raised $1.5 million of seed funding in a deal led by Everywhere Ventures, TNT Ventures and Emergent Ventures on March 10, 2021. Parker Thompson and other undisclosed investors also participated in the round.</t>
  </si>
  <si>
    <t>Emergent Ventures, Everywhere Ventures, Parker Thompson, TNT Ventures</t>
  </si>
  <si>
    <t>Emergent Ventures (www.emergent.vc), Everywhere Ventures (everywhere.vc), TNT Ventures (tnt.ventures)</t>
  </si>
  <si>
    <t>111804-49P</t>
  </si>
  <si>
    <t>Michelle Songy</t>
  </si>
  <si>
    <t>michelle@presshook.com</t>
  </si>
  <si>
    <t>+1 (404) 234-9060</t>
  </si>
  <si>
    <t>1000 Dean Street</t>
  </si>
  <si>
    <t>Suite 1001, Brooklyn</t>
  </si>
  <si>
    <t>hello@presshook.com</t>
  </si>
  <si>
    <t>527099-77</t>
  </si>
  <si>
    <t>Primary Record</t>
  </si>
  <si>
    <t>Primary Record Inc.</t>
  </si>
  <si>
    <t>Developer a medical health data application designed for families to access their health information organized and shared over a lifetime. The company's application guides individuals and their families in documenting, organizing, and sharing healthcare information, enabling families to have all their health information in one place to easily share their health stories and the healthcare team around them.</t>
  </si>
  <si>
    <t>Application Software*, Information Services (B2C), Medical Records Systems</t>
  </si>
  <si>
    <t>medical application, medical application software, medical documentation, medical record system, medical record-keeping, medical records</t>
  </si>
  <si>
    <t>www.primaryrecord.com</t>
  </si>
  <si>
    <t>http://www.linkedin.com/company/primary-record</t>
  </si>
  <si>
    <t>The company raised $1 million of seed funding in the form of convertible debt financing led by Boomerang Ventures. IU Ventures, Render Capital, VisionTech Partners and BAMco Enterprises also participated in the round on December 7, 2023, putting the company's post-valuation at $4.5 million.</t>
  </si>
  <si>
    <t>BAMco Enterprises, Boomerang Ventures, Flywheel Fund, IU Ventures, Render Capital, VisionTech Partners</t>
  </si>
  <si>
    <t>BAMco Enterprises (www.bamco.enterprises), Boomerang Ventures (boomerang.vc), Flywheel Fund (www.flywheelfund.vc), IU Ventures (www.iuventures.com), Render Capital (www.render.capital), VisionTech Partners (www.visiontech-partners.com)</t>
  </si>
  <si>
    <t>345795-85P</t>
  </si>
  <si>
    <t>Jean Ross</t>
  </si>
  <si>
    <t>jross@primaryrecord.com</t>
  </si>
  <si>
    <t>+1 (317) 210-0644</t>
  </si>
  <si>
    <t>PO Box 7036</t>
  </si>
  <si>
    <t>hello@primaryrecord.com</t>
  </si>
  <si>
    <t>228820-96</t>
  </si>
  <si>
    <t>Priori Legal</t>
  </si>
  <si>
    <t>Priori</t>
  </si>
  <si>
    <t>Priori Legal, Inc.</t>
  </si>
  <si>
    <t>UpCounsel, MLA's Hire an Esquire, KLDiscovery, TrademarkNow, CPA Global, Prior, Avvo</t>
  </si>
  <si>
    <t>Developer of an online legal platform designed to connect businesses with a curated network of vetted lawyers. The company's platform uses a data-driven and custom matchmaking process to offer a national and international curated network of boutique firms and temporary attorneys, enabling businesses and in-house departments to manage a full suite of outside counsel needs and reduce spending.</t>
  </si>
  <si>
    <t>attorney network, crm, customer relationship management, digital commerce, lawyer matching service, lawyer platform, legal data, legal marketplace, legal marketplace platform, legal talent platform</t>
  </si>
  <si>
    <t>www.priorilegal.com</t>
  </si>
  <si>
    <t>http://www.linkedin.com/company/priori-legal</t>
  </si>
  <si>
    <t>2020: 38, 2021: 27, 2022: 34, 2024: 50</t>
  </si>
  <si>
    <t>The company raised $15 million through a combination of Series A-2 and Series A-3 venture funding in a deal led by Eagle Investments Limited on July 20, 2022, putting the company's pre-money valuation at $62 million. Thomson Reuters Ventures and 10 other investors also participated in the round. The funds will be used to scale operations to meet the unprecedented in-house client demand for a global marketplace platform, discover new attorney talent and manage existing outside counsel relationships.</t>
  </si>
  <si>
    <t>Andrew Dunn, Bridge Investments, Eagle Investments, Great Oaks Venture Capital, HearstLab, Jambhala Holdings, Mindset Ventures, Orrick, PEAK6 Strategic Capital, Plug and Play Tech Center, Soma Capital, Soma Ventures, The Legal Tech Fund, Thirty Five Ventures, Thomson Reuters Ventures, Timothy Steinert</t>
  </si>
  <si>
    <t>Bridge Investments (www.bridgeventurefund.com), Eagle Investments (www.eagle-investments.com), Great Oaks Venture Capital (www.greatoaksvc.com), HearstLab (www.hearstlab.com), Mindset Ventures (www.mindset.ventures), Orrick (www.orrick.com), Plug and Play Tech Center (www.plugandplaytechcenter.com), Soma Capital (somacap.com), Soma Ventures (www.soma.ventures), The Legal Tech Fund (www.legaltech.com), Thirty Five Ventures (35v.tv), Thomson Reuters Ventures (www.trventures.com)</t>
  </si>
  <si>
    <t>185795-02P</t>
  </si>
  <si>
    <t>Basha Rubin</t>
  </si>
  <si>
    <t>basha.rubin@priorilegal.com</t>
  </si>
  <si>
    <t>+1 (844) 774-6741</t>
  </si>
  <si>
    <t>40th Floor</t>
  </si>
  <si>
    <t>hello@priorilegal.com</t>
  </si>
  <si>
    <t>437458-87</t>
  </si>
  <si>
    <t>Prisms of Reality</t>
  </si>
  <si>
    <t>Prisms</t>
  </si>
  <si>
    <t>Prisms of Reality, Inc.</t>
  </si>
  <si>
    <t>fotonVR, Dynamoid, Nearpod, Mursion, Socrative, Unimersiv</t>
  </si>
  <si>
    <t>Developer of an immersive educational platform designed to offer realistic 3D environments for problem-solving. The company's software offers prisms modules for content remediation, reinforcement of learned-in-class concepts as well as remote learning and at-home tutoring, enabling teachers and parents to teach and make sense of complex concepts and foster spatial thinking in young minds.</t>
  </si>
  <si>
    <t>Educational Software*, Social/Platform Software</t>
  </si>
  <si>
    <t>3d educational model, content module, educational platform, maths learning games, personalization, problem solving technology, vr education platform</t>
  </si>
  <si>
    <t>www.prismsvr.com</t>
  </si>
  <si>
    <t>http://www.linkedin.com/company/prisms-of-reality</t>
  </si>
  <si>
    <t>2021: 6, 2022: 13, 2023: 15</t>
  </si>
  <si>
    <t>The company raised $17.85 million of Series A venture funding in a deal led by Andreessen Horowitz on January 5, 2023, putting the company's pre-money valuation at $60 million. Avalanche VC and 10 other investors also participated in the round.</t>
  </si>
  <si>
    <t>Andreessen Horowitz, Andrew Sutherlund, Anorak Ventures, Avalanche VC, Bill &amp; Melinda Gates Foundation, First Row Partners, Foursight Capital Partners, Hans Tung, Nathaniel Mitchell, National Institute of General Medical Sciences, National Institutes of Health, National Science Foundation, Scout Fund, T-Mobile Accelerator, WndrCo, WXR Venture Fund, Zahir Dossa</t>
  </si>
  <si>
    <t>Andreessen Horowitz (www.a16z.com), Anorak Ventures (www.anorak.vc), Avalanche VC (www.avalanche.vc), Bill &amp; Melinda Gates Foundation (www.gatesfoundation.org), First Row Partners (www.firstrowpartners.vc), Foursight Capital Partners (www.foursightcp.com), National Institute of General Medical Sciences (www.nigms.nih.gov), National Institutes of Health (www.nih.gov), National Science Foundation (nsf.gov), Scout Fund (www.scoutfund.com), T-Mobile Accelerator (www.t-mobileaccelerator.com), WndrCo (www.wndrco.com), WXR Venture Fund (www.wxrfund.com)</t>
  </si>
  <si>
    <t>Leason Ellis(Legal Advisor)</t>
  </si>
  <si>
    <t>236192-68P</t>
  </si>
  <si>
    <t>Anurupa Ganguly</t>
  </si>
  <si>
    <t>anurupa@prismsvr.com</t>
  </si>
  <si>
    <t>+1 (714) 788-6226</t>
  </si>
  <si>
    <t>435 Brannan Street</t>
  </si>
  <si>
    <t>Suite 207</t>
  </si>
  <si>
    <t>hello@prismsvr.com</t>
  </si>
  <si>
    <t>458476-12</t>
  </si>
  <si>
    <t>Prive</t>
  </si>
  <si>
    <t>Prive Technologies Inc.</t>
  </si>
  <si>
    <t>Recharge, Bold (Business/Productivity Software), ChargeBee</t>
  </si>
  <si>
    <t>Developer of a marketplace infrastructure designed for e-commerce brands. The company's marketplace specializes in building tools and systems to manage and optimize its end-to-end pricing and incentives levers, enabling brands to grow new revenue with subscriptions and optimize existing revenue with experimentation and market intelligence.</t>
  </si>
  <si>
    <t>Beauty, Marketing Tech</t>
  </si>
  <si>
    <t>business software, consumer brands, data engagement, ecommerce decision making, ecommerce enablement, ecommerce infrastructure, ecommerce personalization, inventory insights</t>
  </si>
  <si>
    <t>www.tryprive.com</t>
  </si>
  <si>
    <t>http://www.linkedin.com/company/tryprive</t>
  </si>
  <si>
    <t>2021: 7, 2022: 10, 2023: 307</t>
  </si>
  <si>
    <t>The company raised $3.1 million of seed funding in a deal led by Xfund in approximately July 2022. Other undisclosed investors also participated in the round.</t>
  </si>
  <si>
    <t>Amity Ventures, Base Case Capital, Bling Capital, Defy Partners Management, Halogen Ventures, Xfund</t>
  </si>
  <si>
    <t>Amity Ventures (www.amity.vc), Base Case Capital (www.basecase.vc), Bling Capital (www.blingcap.com), Defy Partners Management (www.defy.vc), Halogen Ventures (www.halogenvc.com), Xfund (www.xfund.com)</t>
  </si>
  <si>
    <t>255619-18P</t>
  </si>
  <si>
    <t>Claudia Laurie</t>
  </si>
  <si>
    <t>claudia@tryprive.com</t>
  </si>
  <si>
    <t>info@tryprive.com</t>
  </si>
  <si>
    <t>530028-19</t>
  </si>
  <si>
    <t>Procure Impact</t>
  </si>
  <si>
    <t>Procure Impact PBC</t>
  </si>
  <si>
    <t>Developer of a B2B marketplace procurement platform intended to maximize the dignity of work for underestimated populations. The company's platform acts as the broker that helps companies identify life-changing products that align with their values and product offerings include art, bath and body, candles, decor, furniture, gourmet foods, home goods, and pillows, among others, enabling corporations to achieve their social impact goals through their everyday purchases and create job opportunities and economic mobility.</t>
  </si>
  <si>
    <t>b2b marketplace, marketplace platform, procurement platform, product procurement, product procurement services, social impact</t>
  </si>
  <si>
    <t>www.procureimpact.us</t>
  </si>
  <si>
    <t>http://www.linkedin.com/company/procure-impact</t>
  </si>
  <si>
    <t>2023: 7, 2024: 17</t>
  </si>
  <si>
    <t>The company raised $1.65 million of seed funding from Cubit Capital and other undisclosed investors on June 20, 2023.</t>
  </si>
  <si>
    <t>Cubit Capital, Praxis (New York)</t>
  </si>
  <si>
    <t>Cubit Capital (www.cubit.capital), Praxis (New York) (www.praxislabs.org)</t>
  </si>
  <si>
    <t>353773-00P</t>
  </si>
  <si>
    <t>Lauren McCann</t>
  </si>
  <si>
    <t>lauren@procureimpact.us</t>
  </si>
  <si>
    <t>+1 (773) 414-3493</t>
  </si>
  <si>
    <t>2709 Woodley Place</t>
  </si>
  <si>
    <t>info@procureimpact.us</t>
  </si>
  <si>
    <t>309979-90</t>
  </si>
  <si>
    <t>PRoduce</t>
  </si>
  <si>
    <t>Operator of an online marketplace intended to connect consumers with locally sourced produce. The company provides the ability to select, purchase, and receive products harvested or made 100% in Puerto Rico directly to your home or office, a subscription service for regular delivery of varied local products, and post-sale support, enabling customers to enjoy fresh, local produce and contribute to the local economy.</t>
  </si>
  <si>
    <t>E-Commerce, FoodTech, Mobile</t>
  </si>
  <si>
    <t>fresh produce, groceries online, grocery app, grocery market, grocery seller, home delivery, local products</t>
  </si>
  <si>
    <t>www.puertoricoproduce.com</t>
  </si>
  <si>
    <t>http://www.linkedin.com/company/puertoricoproduce</t>
  </si>
  <si>
    <t>2022: 25, 2023: 22, 2024: 44</t>
  </si>
  <si>
    <t>The company raised $1.8 million of venture funding in a deal led by Semillero Partners on August 31, 2021. Other undisclosed investors also participated in the round. The funds will be used to recruit executive and business development positions.</t>
  </si>
  <si>
    <t>Parallel18, Semillero Partners</t>
  </si>
  <si>
    <t>Parallel18 (www.parallel18.com), Semillero Partners (semilleropartners.com)</t>
  </si>
  <si>
    <t>211684-69P</t>
  </si>
  <si>
    <t>Crystal Díaz</t>
  </si>
  <si>
    <t>Co-Founder, Co-Chief Executive Officer, CXMO &amp; Partner</t>
  </si>
  <si>
    <t>crystal@puertoricoproduce.com</t>
  </si>
  <si>
    <t>+1 (787) 955-0924</t>
  </si>
  <si>
    <t>103 San Jorge Street</t>
  </si>
  <si>
    <t>00911</t>
  </si>
  <si>
    <t>info@puertoricoproduce.com</t>
  </si>
  <si>
    <t>471597-22</t>
  </si>
  <si>
    <t>Profi</t>
  </si>
  <si>
    <t>awarenow</t>
  </si>
  <si>
    <t>Profi, Inc.</t>
  </si>
  <si>
    <t>Mighty Networks, Coaching.com, HoneyBook, Thinkific, Kajabi, Teachable, Acuity Scheduling</t>
  </si>
  <si>
    <t>Developer of an operating platform intended for scaling professional services businesses including coaching, consulting, and training. The company's platform eliminates all of the admin work and helps to organize bookings end-to-end, deliver interactive learning experiences, and flexible billing, its key value is to seamlessly integrate all the tools and build native solutions into a secure, comprehensive, configurable service delivery platform covering professional businesses' full lifecycle of operations enabling clients to organize, deliver, and expand services in one platform.</t>
  </si>
  <si>
    <t>business administration advice, business intelligence application, coaching platform, consulting platform, crm, customer relationship management, erp, learning management system, payment automation, practice management, psa software, training management platform, training platform</t>
  </si>
  <si>
    <t>www.profi.io</t>
  </si>
  <si>
    <t>http://www.linkedin.com/company/profi-io</t>
  </si>
  <si>
    <t>2021: 56, 2022: 68, 2023: 61</t>
  </si>
  <si>
    <t>The company raised an undisclosed amount of angel funding from Harry Zmudze on March 6, 2024.</t>
  </si>
  <si>
    <t>75 &amp; Sunny, Aleka Capital, Astir Ventures, Broocknell Ventures, Flint Capital, Harry Zmudze, Spencer Rascoff, Taher Savliwala, Vision Capital Group</t>
  </si>
  <si>
    <t>75 &amp; Sunny (www.75andsunny.vc), Aleka Capital (alekacapital.com), Astir Ventures (www.astir.vc), Broocknell Ventures (www.broocknell.com), Flint Capital (www.flintcap.com), Vision Capital Group (www.visioncapital.group)</t>
  </si>
  <si>
    <t>Brex(General Business Banking), Cooley(Legal Advisor), Grayver Law(Legal Advisor)</t>
  </si>
  <si>
    <t>Cooley(Legal Advisor), Grayver Law(Legal Advisor)</t>
  </si>
  <si>
    <t>272856-97P</t>
  </si>
  <si>
    <t>Alina Trigubenko</t>
  </si>
  <si>
    <t>alina@profi.io</t>
  </si>
  <si>
    <t>500 North Central Boulevard</t>
  </si>
  <si>
    <t>91205</t>
  </si>
  <si>
    <t>info@profi.io</t>
  </si>
  <si>
    <t>515651-59</t>
  </si>
  <si>
    <t>Prog.AI</t>
  </si>
  <si>
    <t>ProgAI</t>
  </si>
  <si>
    <t>Prog.AI, Inc</t>
  </si>
  <si>
    <t>hireEZ, SeekOut, ZoomInfo Technologies, LinkedIn</t>
  </si>
  <si>
    <t>Developer of artificial intelligence-powered technical recruitment platform intended to help startups find and hire developers with very specific technical skills and knowledge. The company's software finds suitable developers by analyzing the programming source code of all potential candidates using a machine learning system and reaching out to them, enabling the technical recruiters to search and recruit profiles by skills, location, seniority level, and current, and past employment.</t>
  </si>
  <si>
    <t>ai-powered search, ai-powered search platform, coders database, recruiting technology, software developer database, software developer hiring</t>
  </si>
  <si>
    <t>www.getprog.ai</t>
  </si>
  <si>
    <t>http://www.linkedin.com/company/prog-ai-hiring</t>
  </si>
  <si>
    <t>2022: 10, 2024: 8</t>
  </si>
  <si>
    <t>The company raised an undisclosed amount of venture funding from AAL Management in September 2024.</t>
  </si>
  <si>
    <t>AAL Management, Aloniq, Andreas Ehn, Angel Invest, Brooklyn Bridge Ventures, Craig Harris, Joel Wilson, Mark Godley, Mehul Vora, Natalie Kolody, Santosh Sharan, Tim Baskerville</t>
  </si>
  <si>
    <t>AAL Management (www.aal.vc), Aloniq (www.aloniq.com), Angel Invest (www.angelinvest.ventures), Brooklyn Bridge Ventures (www.brooklynbridge.vc)</t>
  </si>
  <si>
    <t>328736-08P</t>
  </si>
  <si>
    <t>Alex Boldakov</t>
  </si>
  <si>
    <t>1 Ferry Building</t>
  </si>
  <si>
    <t>466174-63</t>
  </si>
  <si>
    <t>Pronto Housing</t>
  </si>
  <si>
    <t>Pronto</t>
  </si>
  <si>
    <t>Pronto Housing, Inc.</t>
  </si>
  <si>
    <t>Haven Connect, TenantCloud, CompStak, VTS, Hemlane, Fiix (Business/Productivity Software), RealPage, Bob.ai, TrueRent, Building Engines, AppFolio</t>
  </si>
  <si>
    <t>Operator of housing software intended to make complex affordable housing processes easy for everyone. The company's offerings include a compliance platform streamlining resident qualification for any affordable housing program, certification, marketing administration, digitization of past compliance files, thereby enabling property owners and renters to expedite their initial lease-up and residents to comply with annual certifications in a quick and painless way.</t>
  </si>
  <si>
    <t>Business/Productivity Software*, Other Commercial Services, Real Estate Services (B2C)</t>
  </si>
  <si>
    <t>Real Estate Technology, SaaS, TMT</t>
  </si>
  <si>
    <t>compliance software, compliance software platform, compliance software service, housing compliance, leasing company, proptech, proptech company, real estate compliance, real estate services</t>
  </si>
  <si>
    <t>www.prontohousing.com</t>
  </si>
  <si>
    <t>http://www.linkedin.com/company/pronto-housing</t>
  </si>
  <si>
    <t>2021: 10, 2022: 22, 2023: 24, 2024: 34</t>
  </si>
  <si>
    <t>The company raised $3 million of venture funding from MFRG-ICON Construction, mrk partners, Relay Ventures and Infinity Capital Partners on February 27, 2024. Other undisclosed investors also participated in the round. The funds will be used to accelerate Pronto Housing's mission of shaping the future of affordable housing through software solutions.</t>
  </si>
  <si>
    <t>Alate Partners, Bullock Capital, Essence Development, Fifth Wall, Hehmeyer Nortide, Infinity Capital Partners, Jamar Adams, Lemor Development Group, MFRG-ICON Construction, MRK Partners, Nine Four Ventures, Noho Ventures, PSP Partners, Relay Ventures, Sara Shank, Terner Labs, Valley National Bank, Valley Ventures, Wilshire Lane Capital, Wilshire Lane Partners</t>
  </si>
  <si>
    <t>Alate Partners (www.alatepartners.com), Bullock Capital (www.bullockcapital.com), Essence Development (www.essencedev.com), Fifth Wall (www.fifthwall.com), Hehmeyer Nortide (www.hehmeyer.com), Infinity Capital Partners (www.infinityfunds.com), Lemor Development Group (www.lemordev.com), MFRG-ICON Construction (www.iconnational.com), MRK Partners (mrkpartners.com), Nine Four Ventures (www.ninefour.vc), Noho Ventures (www.nohoventures.com), PSP Partners (www.psppartners.com), Relay Ventures (relay.vc), Terner Labs (www.ternerlabs.org), Valley National Bank (www.valley.com), Valley Ventures (www.ventures.valley.com), Wilshire Lane Capital (www.wilshirelanecapital.com), Wilshire Lane Partners (www.wilshirelanepartners.com)</t>
  </si>
  <si>
    <t>262720-27P</t>
  </si>
  <si>
    <t>Christine Wendell</t>
  </si>
  <si>
    <t>christine@prontohousing.com</t>
  </si>
  <si>
    <t>+1 (833) 392-2001</t>
  </si>
  <si>
    <t>240 West 40th</t>
  </si>
  <si>
    <t>info@prontohousing.com</t>
  </si>
  <si>
    <t>490050-91</t>
  </si>
  <si>
    <t>Proof of Learn</t>
  </si>
  <si>
    <t>Proofoflearn.io, Proofoflearn</t>
  </si>
  <si>
    <t>POL</t>
  </si>
  <si>
    <t>Proof of Learn, Inc.</t>
  </si>
  <si>
    <t>Holberton School (Educational and Training Services (B2C)), Springboard, Udacity, Academy Xi, Code Institute, Galvanize (Boulder), Thinkful, General Assembly, App Academy, Bloc (Educational and Training Services (B2C)), CareerFoundry, Coding Dojo, Flatiron School</t>
  </si>
  <si>
    <t>Developer of a Web3 education platform intended to provide equal access to teaching and next-generation jobs across the globe. The company's platform unlocks education across all channels through blockchain protocol and helps learners with a new decentralized model to explore a pool of possibilities, enabling students to learn, earn, and land jobs.</t>
  </si>
  <si>
    <t>Educational and Training Services (B2C)*, Educational Software, Human Capital Services</t>
  </si>
  <si>
    <t>Cryptocurrency/Blockchain, EdTech</t>
  </si>
  <si>
    <t>blockchain education, blockchain protocol, education courses, educational platform developer, metaverse and gaming, online education, web3 education platform, web4</t>
  </si>
  <si>
    <t>www.proofoflearn.io</t>
  </si>
  <si>
    <t>http://www.linkedin.com/company/proofoflearnio</t>
  </si>
  <si>
    <t>2022: 32, 2023: 35, 2024: 31</t>
  </si>
  <si>
    <t>The company raised $4.03 million of venture funding from undisclosed investors on December 15, 2023. Previously, the company raised $18.95 million of seed funding in a deal led by New Enterprise Associates on March 6, 2023, putting the company's pre-money valuation at $26.05 million. Arca and 12 other investors also participated in the round. The funds will be used to spread awareness among users and access Web 3 employers through a careers marketplace while letting them earn cryptocurrency and non-fungible token rewards as they learn.</t>
  </si>
  <si>
    <t>Animoca Brands, Arca (Asset Management), Capital Factory, GoldenTree Asset Management, gumi Cryptos Capital, Infinity Ventures Crypto, K5 Global, Learn Capital, New Enterprise Associates, Offline Ventures, Republic Capital, Rethink Capital Partners, Samsung NEXT Ventures, Wavemaker Partners</t>
  </si>
  <si>
    <t>Animoca Brands (www.animocabrands.com), Arca (Asset Management) (www.ar.ca), Capital Factory (www.capitalfactory.com), GoldenTree Asset Management (www.goldentree.com), gumi Cryptos Capital (www.gumi-cryptos.com), Infinity Ventures Crypto (www.ivcrypto.io), K5 Global (www.k5global.com), Learn Capital (www.learn.vc), New Enterprise Associates (www.nea.com), Offline Ventures (www.offline.vc), Republic Capital (www.republiccapital.co), Rethink Capital Partners (www.rethink-capital.com), Samsung NEXT Ventures (www.samsungnext.com), Wavemaker Partners (www.wavemaker.vc)</t>
  </si>
  <si>
    <t>30751-75P</t>
  </si>
  <si>
    <t>Sheila Marcelo</t>
  </si>
  <si>
    <t>smarcelo@ohai.ai</t>
  </si>
  <si>
    <t>+1 (707) 324-4219</t>
  </si>
  <si>
    <t>104 5th Avenue</t>
  </si>
  <si>
    <t>+1 (646) 303-1047</t>
  </si>
  <si>
    <t>484586-02</t>
  </si>
  <si>
    <t>Proxi</t>
  </si>
  <si>
    <t>Map Your Idea</t>
  </si>
  <si>
    <t>Proxi, Inc.</t>
  </si>
  <si>
    <t>Developer of personalized navigation designed to create and share custom interactive maps. The company's platform allows the map admin to maintain the map content and crowdsource points with custom map colors, icons, header, and branding, enabling individuals and businesses to share interactive maps for brands, bloggers, coworkers, and communities.</t>
  </si>
  <si>
    <t>custom mapping, geospatial tools, geospatial web, interactive map, map editing platform, map editor, personalized navigation</t>
  </si>
  <si>
    <t>proxi.co</t>
  </si>
  <si>
    <t>http://www.linkedin.com/company/proxi-co</t>
  </si>
  <si>
    <t>2021: 2, 2022: 13</t>
  </si>
  <si>
    <t>The company raised $1.2 million of pre-seed funding in a deal led by Graham &amp; Walker on February 14, 2022. Madrona Pioneer Fund, Pack Ventures, Tacoma Venture Fund (TVF), Keeler Investments Group, FAM Fund, Underdog Labs, Alumni Ventures, Techstars, Marco Matos, Sarah Imbach, Ellen Levy, David Grampa and William Bryant also participated in the round. The funds will be used to increase the company's presence in the Seattle and Austin metropolitan areas and build new features for their tool.</t>
  </si>
  <si>
    <t>Alumni Ventures, David Grampa, Ellen Levy, FAM Fund, Graham &amp; Walker, Keeler Investments Group, Madrona Pioneer Fund, Marco Matos, Pack Ventures, Sarah Imbach, Tacoma Venture Fund (TVF), Techstars, Underdog Labs, William Bryant</t>
  </si>
  <si>
    <t>Alumni Ventures (www.av.vc), Graham &amp; Walker (www.grahamwalker.com), Keeler Investments Group (www.keelerinvestments.com), Pack Ventures (www.packvc.com), Tacoma Venture Fund (TVF) (www.tacomaventurefund.com), Techstars (www.techstars.com), Underdog Labs (www.underdoglabs.io)</t>
  </si>
  <si>
    <t>284152-60P</t>
  </si>
  <si>
    <t>Melinda Haughey</t>
  </si>
  <si>
    <t>melinda@proxi.co</t>
  </si>
  <si>
    <t>contact@proxi.co</t>
  </si>
  <si>
    <t>433412-83</t>
  </si>
  <si>
    <t>Pulley (Business/ Productivity Software)</t>
  </si>
  <si>
    <t>Pulley</t>
  </si>
  <si>
    <t>Prolific Labs Incorporated</t>
  </si>
  <si>
    <t>Eqvista, Gust ( Business/Productivity Software), Carta, Capshare</t>
  </si>
  <si>
    <t>Developer of a cap table management tool designed to help companies keep a record of their investor shares, options and all company grants. The company's tool generates signed legal agreements for equity grants issued on the platform, provides an end-to-end answer for signing and tracking tracks, helps to execute agreements, uploads them to an equity platform and provides diligence requirements with signed documentation, enabling clients to run business and to manage equity issuance.</t>
  </si>
  <si>
    <t>alternative capital, cap tables management, capital market, crypto corporation management and finance, enterprise resource planning, equity compliance, equity issuance, equity market, equity platform, erp, financial management system, ownership calculation</t>
  </si>
  <si>
    <t>www.pulley.com</t>
  </si>
  <si>
    <t>http://www.linkedin.com/company/pulley-cap-table</t>
  </si>
  <si>
    <t>2020: 16, 2021: 23, 2022: 50, 2023: 50</t>
  </si>
  <si>
    <t>The company raised an undisclosed amount of venture funding from Recall and MKT1 Capital in March 2024.</t>
  </si>
  <si>
    <t>8VC, Avichal Garg, Caffeinated Capital, Combine, Curtis Spencer, David King, Elad Gil, Founders Fund, General Catalyst, Hari Raghavan, Hunter Horsley, Hustle Fund, Jack Altman, Jeannette Furstenberg, Kathleen Estreich, La Famiglia, Lawrence Ripsher, Linda Xie, Matt MacInnis, MKT1, Nir Dremer, Parker Conrad, Rafael Brown, Recall Capital, Rousseau Kazi, Sarah Niyogi, Sherwin Gandhi, Soleio Cuervo, Somrat Niyogi, Stripe, Vincenzo Iozzo, Y Combinator</t>
  </si>
  <si>
    <t>8VC (www.8vc.com), Avichal Garg (www.avichal.com), Caffeinated Capital (www.caffeinatedcapital.com), Combine (combine.vc), Elad Gil (www.eladgil.com), Founders Fund (www.foundersfund.com), General Catalyst (www.generalcatalyst.com), Hustle Fund (www.hustlefund.vc), Jack Altman (jackealtman.com), La Famiglia (www.lafamiglia.vc), MKT1 (www.mkt1.co), Recall Capital (www.recall.capital), Stripe (www.stripe.com), Y Combinator (www.ycombinator.com)</t>
  </si>
  <si>
    <t>Thomas Kwong(Advisor: General)</t>
  </si>
  <si>
    <t>Gunderson Dettmer(Legal Advisor), Gunderson Law Firm(Legal Advisor)</t>
  </si>
  <si>
    <t>189221-77P</t>
  </si>
  <si>
    <t>Yin Wu</t>
  </si>
  <si>
    <t>Co-Founder, Chief Executive Officer &amp; Customer Success Executive</t>
  </si>
  <si>
    <t>yin@pulley.com</t>
  </si>
  <si>
    <t>Suite 459</t>
  </si>
  <si>
    <t>support@pulley.com</t>
  </si>
  <si>
    <t>522263-71</t>
  </si>
  <si>
    <t>Pump</t>
  </si>
  <si>
    <t>Pump Billing, Inc.</t>
  </si>
  <si>
    <t>Developer of a cloud savings platform designed to save AWS bills. The company's platform leverages group buying and artificial intelligence to identify and secure cost savings for startups on their Amazon Web Services (AWS) cloud bills and granting Pump read-only or write permissions to their AWS account, providing customers can benefit from the platform's ability to analyze cloud usage patterns, negotiate volume discounts with AWS, and optimize resource allocation, ultimately reducing their overall cloud expenditures.</t>
  </si>
  <si>
    <t>Artificial Intelligence &amp; Machine Learning, CloudTech &amp; DevOps, FinTech</t>
  </si>
  <si>
    <t>automated software, automated system, aws services, financial planner, savings decision, savings facility, spend analysis, spend management</t>
  </si>
  <si>
    <t>www.pump.co</t>
  </si>
  <si>
    <t>http://www.linkedin.com/company/pumpcloud</t>
  </si>
  <si>
    <t>2023: 11, 2024: 29</t>
  </si>
  <si>
    <t>The company raised $100,000 of seed funding from Failup Ventures, Leonis Investissement, Pioneer Fund, Zeno Ventures, and DG Daiwa Ventures on May 28, 2024.</t>
  </si>
  <si>
    <t>DG Daiwa Ventures, Dupe Ventures, Failup Ventures, Leonis Investissement, Pioneer Fund, Y Combinator, Zeno Ventures</t>
  </si>
  <si>
    <t>DG Daiwa Ventures (www.dg-daiwa-v.com), Dupe Ventures (dupeventures.com), Failup Ventures (www.failup.com), Leonis Investissement (www.leonis.vc), Pioneer Fund (www.pioneerfund.vc), Y Combinator (www.ycombinator.com), Zeno Ventures (www.zenopartners.com)</t>
  </si>
  <si>
    <t>211951-18P</t>
  </si>
  <si>
    <t>Spandana Nakka</t>
  </si>
  <si>
    <t>spndn@pump.co</t>
  </si>
  <si>
    <t>+1 (650) 314-8330</t>
  </si>
  <si>
    <t>1550 Mission Street</t>
  </si>
  <si>
    <t>+1 (650) 468-0297</t>
  </si>
  <si>
    <t>hi@pump.co</t>
  </si>
  <si>
    <t>264645-19</t>
  </si>
  <si>
    <t>Pumpspotting</t>
  </si>
  <si>
    <t>pumpspotting, LLC.</t>
  </si>
  <si>
    <t>Peanut, YaoLan, Mush (Social/Platform Software), Mama ME, Parentune, MomCo App, BabyTree, First Moms Club, ZenParent, BabyChakra, Cleo (Commercial Services), Mamava, Ovia Health, LactApp</t>
  </si>
  <si>
    <t>Developer of a social breastfeeding community software designed to improve breastfeeding and day-to-day nursing, pumping, and baby feeding. The company's software connects like-minded working mothers through a social network for breastfeeding moms to find and list out the places to connect over milk and motherhood, enabling women to share their parenting experiences while being responsible mothers feeding their kids.</t>
  </si>
  <si>
    <t>breastfeeding community, breastfeeding program, breastfeeding support, digital health platform, female community, maternal health application, mother's social network</t>
  </si>
  <si>
    <t>www.pumpspotting.com</t>
  </si>
  <si>
    <t>http://www.linkedin.com/company/pumpspotting</t>
  </si>
  <si>
    <t>2020: 2, 2021: 9, 2022: 10, 2023: 11, 2024: 9</t>
  </si>
  <si>
    <t>The company raised an undisclosed amount of venture funding from Crescent Ridge in approximately September 2024.</t>
  </si>
  <si>
    <t>Ad Astra Ventures, Beacon Venture Partners, Crescent Ridge, Crystal McKellar, Launchpad Venture Group, Maine Angels, Maine Technology Institute, Maine Venture Fund, MassChallenge, Moodoos Investments, Opus Capital, Punchbowl, Sincere Corp, Unum Business Ventures</t>
  </si>
  <si>
    <t>Ad Astra Ventures (adastra.ventures), Beacon Venture Partners (www.beaconventurepartners.com), Crescent Ridge (www.crescentridge.vc), Launchpad Venture Group (www.launchpadventuregroup.com), Maine Angels (www.maineangels.org), Maine Technology Institute (www.mainetechnology.org), Maine Venture Fund (www.maineventurefund.com), MassChallenge (www.masschallenge.org), Moodoos Investments (moodooslp.com), Opus Capital (www.opuscapitalventures.com), Punchbowl (www.punchbowl.com)</t>
  </si>
  <si>
    <t>Kickstarter(Lead Manager or Arranger), Warner Norcross + Judd(Legal Advisor)</t>
  </si>
  <si>
    <t>207649-54P</t>
  </si>
  <si>
    <t>Amy VanHaren</t>
  </si>
  <si>
    <t>amy@pumpspotting.com</t>
  </si>
  <si>
    <t>+1 (651) 303-8777</t>
  </si>
  <si>
    <t>Eliot, ME</t>
  </si>
  <si>
    <t>150 Rollingwood Road</t>
  </si>
  <si>
    <t>Eliot</t>
  </si>
  <si>
    <t>03903</t>
  </si>
  <si>
    <t>Expected 30-Dec-2026</t>
  </si>
  <si>
    <t>493878-25</t>
  </si>
  <si>
    <t>Punchcard</t>
  </si>
  <si>
    <t>Roster</t>
  </si>
  <si>
    <t>Punchcard Inc.</t>
  </si>
  <si>
    <t>Developer of business operations management platform designed for revenue operation. The company's platform provides actionable insights from internal activity data across tools to elevate team outcomes, enabling companies to improve team processes.</t>
  </si>
  <si>
    <t>ai automation platform, business intelligence, operational analytics, operational intelligence, process analysis, revenue operations, semantic layer, software development, vertical application</t>
  </si>
  <si>
    <t>www.getpunchcard.com</t>
  </si>
  <si>
    <t>http://www.linkedin.com/company/getpunchcard</t>
  </si>
  <si>
    <t>2021: 2, 2022: 10, 2023: 7, 2024: 6</t>
  </si>
  <si>
    <t>The company raised $2.2 million of pre-seed funding from Firstminute Capital, FJ Labs and Browder Capital on December 23, 2021. Founders Fund and Kelsey Bishop also participated in the round. A part of the funding was received in the form of SAFE notes.</t>
  </si>
  <si>
    <t>Browder Capital, Firstminute Capital, FJ Labs, Founders Fund, Kelsey Bishop</t>
  </si>
  <si>
    <t>Browder Capital (www.browdercapital.com), Firstminute Capital (www.firstminute.capital), FJ Labs (www.fjlabs.com), Founders Fund (www.foundersfund.com)</t>
  </si>
  <si>
    <t>216161-11P</t>
  </si>
  <si>
    <t>Nancy Dong</t>
  </si>
  <si>
    <t>nancy@roster.co</t>
  </si>
  <si>
    <t>19 West 24th Street</t>
  </si>
  <si>
    <t>hello@roster.co</t>
  </si>
  <si>
    <t>509428-00</t>
  </si>
  <si>
    <t>PushKin (Communication Software)</t>
  </si>
  <si>
    <t>PushKin</t>
  </si>
  <si>
    <t>PushKin, Inc.</t>
  </si>
  <si>
    <t>Operator of a communication platform intended for franchise operators who need a better way to communicate with their deskless employees. The company's platform creates an admin portal for message creation, audience management, engagement metrics, and everything essential to make decisions daily, provides a mobile app for chat, real-time signaling alerts when their team needs attention, and location/message management wherever they are, and provides other related solutions, enabling businesses to engage, support, and analyze with ease.</t>
  </si>
  <si>
    <t>Communication Software*, Media and Information Services (B2B)</t>
  </si>
  <si>
    <t>communication platform, employee communication, employee engagement, employee support, engagement metrics, software development</t>
  </si>
  <si>
    <t>www.pushkinapp.com</t>
  </si>
  <si>
    <t>http://www.linkedin.com/company/pushkinapp</t>
  </si>
  <si>
    <t>2022: 8, 2023: 8, 2024: 10</t>
  </si>
  <si>
    <t>The company raised $740,000 of pre-seed funding in a deal led by Atento Capital on April 4, 2022, putting the company's pre-money valuation at $3.06 million. Winrock International and 412 Angels Network also participated in the round.</t>
  </si>
  <si>
    <t>412 Angels Network, Atento Capital, Winrock International</t>
  </si>
  <si>
    <t>Atento Capital (www.atentocapital.com), Winrock International (www.winrock.org)</t>
  </si>
  <si>
    <t>317506-96P</t>
  </si>
  <si>
    <t>Ryan Meier</t>
  </si>
  <si>
    <t>rmeier@pushkinapp.com</t>
  </si>
  <si>
    <t>Bentonville, AR</t>
  </si>
  <si>
    <t>13240 Timberline Road</t>
  </si>
  <si>
    <t>Bentonville</t>
  </si>
  <si>
    <t>Arkansas</t>
  </si>
  <si>
    <t>72712</t>
  </si>
  <si>
    <t>431372-35</t>
  </si>
  <si>
    <t>PypeServer</t>
  </si>
  <si>
    <t>PypeServer, Inc.</t>
  </si>
  <si>
    <t>Developer of digital manufacturing workflow software designed to link computer-aided design systems and pipe-cutting machines. The company's software allows designers to import pipe designs and spools directly into the database, automatically links them to the production part, and updates them on the new design changes, enabling clients to get access to key information they need, including job completion times, the amount of pipe required for a job and torch-on time for consumable planning.</t>
  </si>
  <si>
    <t>Automation/Workflow Software, Business/Productivity Software*, Multimedia and Design Software</t>
  </si>
  <si>
    <t>cad design, cloud services, machine automation, pipeline surveying services, prefabrication works, saas toolkit, waste reduction</t>
  </si>
  <si>
    <t>www.pypeserver.com</t>
  </si>
  <si>
    <t>http://www.linkedin.com/company/pypeserver-inc</t>
  </si>
  <si>
    <t>2020: 7, 2021: 9, 2022: 8, 2023: 10, 2024: 10</t>
  </si>
  <si>
    <t>The company raised $3 million of Series A venture funding from Ferguson Ventures, Bend Venture Conference, and other undisclosed investors on January 31, 2020, putting the company's pre-money valuation at $4.5 million. The funds will be used to increase the company's range of compatible pipe-cutting platforms, tighten its integration with the BIM management and productivity software solutions used by its customers, and expand its marketing and sales efforts.</t>
  </si>
  <si>
    <t>Bend Venture Conference, Ferguson Ventures</t>
  </si>
  <si>
    <t>Bend Venture Conference (www.bendvc.com), Ferguson Ventures (www.fergusonventures.com)</t>
  </si>
  <si>
    <t>38573-29P</t>
  </si>
  <si>
    <t>David Basiji</t>
  </si>
  <si>
    <t>Co-Chief Executive Officer &amp; Chairman</t>
  </si>
  <si>
    <t>david.basiji@pypeserver.com</t>
  </si>
  <si>
    <t>Suite S-202</t>
  </si>
  <si>
    <t>info@pypeserver.com</t>
  </si>
  <si>
    <t>438863-05</t>
  </si>
  <si>
    <t>QA Wolf</t>
  </si>
  <si>
    <t>QA Wolf, Inc.</t>
  </si>
  <si>
    <t>CloudQA, Applitools, Heyflow, Browserling, eureQa, Cypress.io, TestRigor, BrowserStack, Perfecto, Autify, Kobiton, Airkit, Appvance, SmartBear, Applause, Katalon, Tricentis</t>
  </si>
  <si>
    <t>Developer of a data-driven quality assurance platform designed to discover bugs and offer test automation. The company's platform offers features including debugging with videos and logs, e-mail alerts, test creation, code conversion, one-click test running, deployment, and test failures summary, enabling clients to debug programs efficiently and conveniently.</t>
  </si>
  <si>
    <t>Artificial Intelligence &amp; Machine Learning, CloudTech &amp; DevOps</t>
  </si>
  <si>
    <t>bugs detection, cloud debugging, coding tester, debugging software, debugging system, devops, hybrid platform, quality assurance platform, quality assurance testing</t>
  </si>
  <si>
    <t>www.qawolf.com</t>
  </si>
  <si>
    <t>http://www.linkedin.com/company/qa-wolf</t>
  </si>
  <si>
    <t>2021: 3, 2022: 45, 2024: 141</t>
  </si>
  <si>
    <t>The company raised $36 million of Series B venture funding in a deal led by Scale Venture Partners on July 23, 2024, putting the company's pre-money valuation at $134 million. Glynn Capital, Notation Capital, Inspired Capital (New York), Threshold Ventures, and Ventureforgood also participated in the round. The funds will be used to build additional features into the platform, enhance QA Wolf's existing automation technology, and grow its 130-employee workforce.</t>
  </si>
  <si>
    <t>Blue Trail Partners, CoFound Partners, Glynn Capital, Inspired Capital (New York), Jordan Wan, Naval Ravikant, Notation Capital, Operator Partners, Peter Thiel, Sahil Lavingia, Scale Venture Partners, SHL Capital, Thiel Capital, Threshold Ventures, Ventureforgood</t>
  </si>
  <si>
    <t>Blue Trail Partners (www.bluetrailpartners.com), CoFound Partners (cofoundpartners.com), Glynn Capital (www.glynncapital.com), Inspired Capital (New York) (www.inspiredcapital.com), Notation Capital (www.notation.vc), Operator Partners (www.operatorpartners.com), Sahil Lavingia (sahillavingia.com), Scale Venture Partners (www.scalevp.com), SHL Capital (www.shl.vc), Thiel Capital (www.thielcapital.com), Threshold Ventures (www.threshold.vc)</t>
  </si>
  <si>
    <t>240159-16P</t>
  </si>
  <si>
    <t>Jon Perl</t>
  </si>
  <si>
    <t>jon@qawolf.com</t>
  </si>
  <si>
    <t>PMB 44923</t>
  </si>
  <si>
    <t>hello@qawolf.com</t>
  </si>
  <si>
    <t>471351-34</t>
  </si>
  <si>
    <t>Qira</t>
  </si>
  <si>
    <t>Qira, LLC</t>
  </si>
  <si>
    <t>Obligo, Rhino, Flex, Jetty</t>
  </si>
  <si>
    <t>Operator of a fintech company intended for property managers and residents. The company offers sophisticated security deposit programs and flexible rent payments integrated with the property technology, enabling property managers and owners to improve cash flow, reduce vacancies, and avoid bad debt.</t>
  </si>
  <si>
    <t>Business/Productivity Software, Financial Software*, Real Estate Services (B2C)</t>
  </si>
  <si>
    <t>analytics services, enterprise payment, enterprise resource planning, erp, financial management, lease renewal, payment, payment platform, pos, property manager, rent collection, security deposit management, underwriting services</t>
  </si>
  <si>
    <t>www.qira.com</t>
  </si>
  <si>
    <t>http://www.linkedin.com/company/qira-management</t>
  </si>
  <si>
    <t>2021: 14, 2022: 24, 2023: 25, 2024: 23</t>
  </si>
  <si>
    <t>The company raised an undisclosed amount of venture funding from Silvertech Ventures on February 1, 2024.</t>
  </si>
  <si>
    <t>Cloquet Capital Partners, Ehud Levy, Phoenix Insurance Company, Sergio Fogel Kaplan, Silvertech Ventures, Tzahi Arabov, Yuval Tal</t>
  </si>
  <si>
    <t>Cloquet Capital Partners (www.cloquetcapital.com), Phoenix Insurance Company (www.fnx.co.il), Silvertech Ventures (www.silvertechventures.com)</t>
  </si>
  <si>
    <t>62755-30P</t>
  </si>
  <si>
    <t>Revital Gadish</t>
  </si>
  <si>
    <t>Chief Executive Officer &amp; Chief Financial Officer</t>
  </si>
  <si>
    <t>revital@qira.com</t>
  </si>
  <si>
    <t>+1 (888) 497-5499</t>
  </si>
  <si>
    <t>49 West</t>
  </si>
  <si>
    <t>45th Street</t>
  </si>
  <si>
    <t>10036</t>
  </si>
  <si>
    <t>hello@qira.com</t>
  </si>
  <si>
    <t>228025-54</t>
  </si>
  <si>
    <t>Queen of Raw</t>
  </si>
  <si>
    <t>Queen Of Raw, Inc.</t>
  </si>
  <si>
    <t>Alibaba Group, Fabric.com</t>
  </si>
  <si>
    <t>Developer of a science-based software designed to take action on excess inventory, measure, report and turn pollution into profit. The company's software uses proprietary algorithms developed in line with science-based standards to measure the environmental and economic impacts of activities on-chain, enabling clients to meet regulatory requirements, reduce inventory losses and build a financially successful business at the product and operational level.</t>
  </si>
  <si>
    <t>Big Data, E-Commerce, FinTech, SaaS</t>
  </si>
  <si>
    <t>climate fintech, consumer data analytics, crm, customer relationship management, excess inventory management, inventory management, inventory management company, inventory management platform, saas software platform, vertical application</t>
  </si>
  <si>
    <t>resale.queenofraw.com</t>
  </si>
  <si>
    <t>http://www.linkedin.com/company/queenofraw</t>
  </si>
  <si>
    <t>2020: 12, 2021: 10, 2022: 12, 2023: 11</t>
  </si>
  <si>
    <t>The company raised an undisclosed amount of venture funding in the form of convertible debt from True Wealth Ventures, Future Planet Capital and UK Innovation &amp; Science Seed Fund on November 15, 2022. The funds will be used to advance the company's software service enabling various clients to sell excess inventory.</t>
  </si>
  <si>
    <t>Future Planet Capital, Impact Assets, Julie McDermott, MIT Solve, Project Entrepreneur, Right Side Capital Management, Style with Substance Ventures, Techstars, The Circulars Accelerator, True Wealth Ventures, UK Innovation &amp; Science Seed Fund, WeWork Creator Awards</t>
  </si>
  <si>
    <t>Future Planet Capital (www.futureplanetcapital.com), Impact Assets (www.impactassets.org), MIT Solve (solve.mit.edu), Project Entrepreneur (www.projectentrepreneur.org), Right Side Capital Management (www.rightsidecapital.com), Style with Substance Ventures (www.swsventures.com), Techstars (www.techstars.com), The Circulars Accelerator (www.thecirculars.org), True Wealth Ventures (www.truewealthvc.com), UK Innovation &amp; Science Seed Fund (www.ukinnovationscienceseedfund.co.uk), WeWork Creator Awards (creatorawards.wework.com)</t>
  </si>
  <si>
    <t>184245-31P</t>
  </si>
  <si>
    <t>Stephanie Benedetto</t>
  </si>
  <si>
    <t>stephanie@queenofraw.com</t>
  </si>
  <si>
    <t>+1 (203) 981-6993</t>
  </si>
  <si>
    <t>349 5th Avenue</t>
  </si>
  <si>
    <t>+1 (646) 583-0076</t>
  </si>
  <si>
    <t>489054-97</t>
  </si>
  <si>
    <t>QuickCode (Business/Productivity Software)</t>
  </si>
  <si>
    <t>QuickCode</t>
  </si>
  <si>
    <t>Quickcode.ai, Inc.</t>
  </si>
  <si>
    <t>clickworker, Hive, Abacus.AI, Scale AI, Sentient.io, Playment, Dataturks, CloudFactory, Gigwalk, iMerit, Deepomatic, OneSpace, Quantiphi, Clarifai, Landing AI, Lionbridge, SUPA (Business/Productivity Software), understandAI, Calabrio, Enablevue, Labelbox, Crossover (Talent Marketplace), Contextor, Mobee, Seagull Scientific, Trax Retail, Skytree (Business/Productivity Software), Superb AI, Isahit, DataLoop, Cogito, Field Agent, wrnch, Element AI, Turi, WorkMarket, EzGlobe - Translation and Localization, Kallik, Alegion, Uplift Labs</t>
  </si>
  <si>
    <t>Developer of machine learning applications designed to improve text-based ML models by labeling the right data. The company uses its machine learning and natural language processing algorithms to help trade compliance specialists find risks in the product catalog, enabling the data scientists to target the relevant and representative text, creating training datasets that are narrow in use case but diverse in content.</t>
  </si>
  <si>
    <t>ai algorithm based, ai cores, big data app, data labeling platform, decision making tools, machine learning tool, trade compliance</t>
  </si>
  <si>
    <t>www.quickcode.ai</t>
  </si>
  <si>
    <t>http://www.linkedin.com/company/quickcode-ai</t>
  </si>
  <si>
    <t>2021: 4, 2022: 8, 2023: 9, 2024: 10</t>
  </si>
  <si>
    <t>Competitor (New) Seagull Scientific</t>
  </si>
  <si>
    <t>The company raised $1.1 million of venture funding in a deal led by DataTribe and PS27 Ventures on June 27, 2024. Other undisclosed investors also participated in the round. The funds will be used to address challenges decisively, converting a significant industry bottleneck into a smooth, tech-enabled operation.</t>
  </si>
  <si>
    <t>DataTribe, PS27 Ventures</t>
  </si>
  <si>
    <t>DataTribe (www.datatribe.com), PS27 Ventures (www.ps27ventures.com)</t>
  </si>
  <si>
    <t>Graf Business Law(Legal Advisor)</t>
  </si>
  <si>
    <t>285491-98P</t>
  </si>
  <si>
    <t>Shannon Hynds</t>
  </si>
  <si>
    <t>shannon@quickcode.ai</t>
  </si>
  <si>
    <t>+1 (703) 658-6910</t>
  </si>
  <si>
    <t>1390 Chain Bridge Road</t>
  </si>
  <si>
    <t>22101</t>
  </si>
  <si>
    <t>info@quickcode.ai</t>
  </si>
  <si>
    <t>530600-68</t>
  </si>
  <si>
    <t>Quiller</t>
  </si>
  <si>
    <t>Developer of artificial intelligence software intended to help democratic campaigns and allied organizations draft and deploy quality, effective fundraising content. The company software features such as automated email drafting, a customizable platform, and tools and resources to write content, enabling politicians and fundraisers to write powerful content that attracts people's attention.</t>
  </si>
  <si>
    <t>ai copilot, ai software, content writing software, digital programs, fundraising page, online fundraising</t>
  </si>
  <si>
    <t>www.quiller.ai</t>
  </si>
  <si>
    <t>http://www.linkedin.com/company/getquiller</t>
  </si>
  <si>
    <t>The company raised $1.2 million of pre-seed funding in a deal led by Grassroots Analytics on July 11, 2023. Higher Ground Labs and other undisclosed investors also participated in the round. Previously, the company joined Higher Ground Labs in 2023 and received estimated $100,000 in funding. The funding was received in the form of convertible debt which subsequently got converted to equity.</t>
  </si>
  <si>
    <t>Grassroots Analytics, Higher Ground Labs</t>
  </si>
  <si>
    <t>Grassroots Analytics (www.grassrootsanalytics.com), Higher Ground Labs (www.highergroundlabs.com)</t>
  </si>
  <si>
    <t>318018-16P</t>
  </si>
  <si>
    <t>Mike Nellis</t>
  </si>
  <si>
    <t>+1 (331) 303-0671</t>
  </si>
  <si>
    <t>info@quiller.ai</t>
  </si>
  <si>
    <t>483667-21</t>
  </si>
  <si>
    <t>Raccord</t>
  </si>
  <si>
    <t>Raccord, Inc.</t>
  </si>
  <si>
    <t>CrediFi, Satuit Technologies, Cohesion (Business/Productivity Software), PropertyMetrics, Solovis, Realvolve, Rentlytics, Addepar, G5 Search Marketing, Caissa, iFunding, Vantage Software, LexisNexis Group, Factual, MyCase, Dealpath, Real Capital Analytics, Urchin Software, CompStak, Reonomy</t>
  </si>
  <si>
    <t>Developer of a data analysis software designed to offer integration of disparate data sources to improve efficiency in the real estate investment process. The company's software facilitates the assessment of the rich data sets that already exist internally and provides a useful tool that helps inform investment decisions and mitigates the risk inherent with human selection bias, enabling clients to rely on precise, real-time data to make critical decisions.</t>
  </si>
  <si>
    <t>Business/Productivity Software*, Media and Information Services (B2B), Other Financial Services</t>
  </si>
  <si>
    <t>Mobile, Real Estate Technology, SaaS</t>
  </si>
  <si>
    <t>data analysis firm, data analysis software, data analysis software developer, data analysis system, investment decision, investment decision analysis</t>
  </si>
  <si>
    <t>www.raccord.com</t>
  </si>
  <si>
    <t>http://www.linkedin.com/company/raccord-inc</t>
  </si>
  <si>
    <t>2021: 6, 2022: 6, 2023: 6</t>
  </si>
  <si>
    <t>Great Wave Ventures sold its stake in the company to an undisclosed buyer.</t>
  </si>
  <si>
    <t>Alan Forman, JBG Smith Properties, Jen Forster, Scott Landis</t>
  </si>
  <si>
    <t>Great Wave Ventures</t>
  </si>
  <si>
    <t>JBG Smith Properties (www.jbgsmith.com)</t>
  </si>
  <si>
    <t>Great Wave Ventures (www.greatwave.vc)</t>
  </si>
  <si>
    <t>Chase Bank(General Business Banking), RoundTable Strategy Advisors(Consulting)</t>
  </si>
  <si>
    <t>KPMG(Auditor), RoundTable Strategy Advisors(Advisor: Commercial Due Diligence), Shulman Rogers(Legal Advisor)</t>
  </si>
  <si>
    <t>151699-42P</t>
  </si>
  <si>
    <t>Bonnie Murray</t>
  </si>
  <si>
    <t>bmurray@raccord.com</t>
  </si>
  <si>
    <t>+1 (917) 300-1660</t>
  </si>
  <si>
    <t>35 West 9th Street</t>
  </si>
  <si>
    <t>Suite 9A</t>
  </si>
  <si>
    <t>Postponed</t>
  </si>
  <si>
    <t>483350-59</t>
  </si>
  <si>
    <t>RAD Security</t>
  </si>
  <si>
    <t>Kubernetes, KSOC</t>
  </si>
  <si>
    <t>RAD</t>
  </si>
  <si>
    <t>RAD Security, Inc.</t>
  </si>
  <si>
    <t>RedLock, Twistlock, Sysdig, Wiz (Network Management Software), NeuVector, Distil Networks, Axis Security, CloudPassage, Lacework, Nirmata, Skyhigh Networks, Kaspersky Lab, Cloudvisory, StackRox, BeyondTrust, SolarWinds, Dome9 Security, Tigera, Layered Insight, DigitalStakeout, Tripwire, Nginx, Bromium, Illumio, Panda Security, Forcepoint, LogicMonitor, Aviatrix, Paessler, Aqua Security, RiskLens, Barracuda Networks, Karamba Security, RiskIQ, NodeSource, Security Innovation, Evident.IO, Capsule8, Exabeam, McAfee, Kemp Technologies, ScaleFT, DivvyCloud, Styra, ParkMyCloud, observIQ, Logmatic.io, Anchore, AppViewX, Librato, DearBytes, Uptrends, Veracode, Security Compass, Attivo Networks, Threat Stack, Aporeto, Talligent, Alert Logic, Loggly, Cloudyn Software, Rafay, Armo Security, Neptune.io, GuardiCore, Arctic Wolf, Fortanix, CipherCloud, DCHQ, LogRhythm, CloudHealth by VMware, Carbon Black, Morphisec, FlawCheck, Armor (Network Management Software), Puppet, Turbonomic, Sentrix, Black Duck Software, Alcide (Network Management Software), Catbird Networks, Tenable, ForeScout Technologies, Netsil, Docker, Yotascale, New Relic, Commando.io, ScienceLogic, Denim Group, Avanan (Network Management Software), XebiaLabs, Logz.io, Cloud Cruiser, Rapid7, Synack, Cloudflare, Proofpoint, Vertica Systems, InnerView, Aruba Networks, Dynatrace, Avira Operations, Sonatype, Ioactive, Smokescreen Technologies, Niara, eSentire, Chef Software, Sophos, Grafana Labs, Pepperdata, Nehemiah Security, Teevity, CloudLock, F-Secure, Incapsula, ThreatSim, CrowdStrike Holdings, NetScout Systems</t>
  </si>
  <si>
    <t>Developer of a cloud security platform designed to monitor the security posture of modern containerized infrastructure. The company's platform continuously monitors behavior across clusters in hybrid-cloud environments, proactively alerts clients when it detects security issues, automatically quarantines or eliminates suspicious cluster configurations, and workloads, and ensures security compliance, enabling clients to discover and remediate misconfigurations and vulnerabilities.</t>
  </si>
  <si>
    <t>application security, cloud security, cloud workload protection platform, cluster management, devops security, kubernetes security, network security</t>
  </si>
  <si>
    <t>Cloud Workload Protection, DevSecOps</t>
  </si>
  <si>
    <t>rad.security</t>
  </si>
  <si>
    <t>http://www.linkedin.com/company/radsecurity</t>
  </si>
  <si>
    <t>2022: 29, 2023: 38, 2024: 35</t>
  </si>
  <si>
    <t>The company raised $2.5 million of Series A1 venture funding from undisclosed investors on October 18, 2024, putting the company's pre-money valuation at $47 million.</t>
  </si>
  <si>
    <t>.406 Ventures, Cheyenne Partners, Forgepoint Capital, Gula Tech Adventures, Vertex Ventures US</t>
  </si>
  <si>
    <t>.406 Ventures (www.406ventures.com), Cheyenne Partners (www.cheyennevc.com), Forgepoint Capital (www.forgepointcap.com), Gula Tech Adventures (www.gula.tech), Vertex Ventures US (www.vvus.com)</t>
  </si>
  <si>
    <t>280202-05P</t>
  </si>
  <si>
    <t>Brooke Motta</t>
  </si>
  <si>
    <t>bmotta@ksoc.com</t>
  </si>
  <si>
    <t>+1 (650) 825-4725</t>
  </si>
  <si>
    <t>584 Castro Street</t>
  </si>
  <si>
    <t>Suite 2185</t>
  </si>
  <si>
    <t>94114-2512</t>
  </si>
  <si>
    <t>info@ksoc.com</t>
  </si>
  <si>
    <t>470543-68</t>
  </si>
  <si>
    <t>Radious</t>
  </si>
  <si>
    <t>Radious, Inc.</t>
  </si>
  <si>
    <t>Operator of a B2B marketplace intended to turn houses, apartments and other residential properties into collaborative workspaces, bookable. The company's spaces are used for everything from team off-sites and weekly meetings to everyday in-person work, enabling them to have a pleasant environment to increase their efficiency and homeowners' additional revenue streams.</t>
  </si>
  <si>
    <t>Buildings and Property</t>
  </si>
  <si>
    <t>Buildings and Property*, Business/Productivity Software, Other Commercial Services</t>
  </si>
  <si>
    <t>E-Commerce, Real Estate Technology</t>
  </si>
  <si>
    <t>collaborative workspace, marketplace platform, meeting space rental, online marketplace, rentable office, rental office space</t>
  </si>
  <si>
    <t>www.radious.pro</t>
  </si>
  <si>
    <t>http://www.linkedin.com/company/radious</t>
  </si>
  <si>
    <t>2021: 6, 2022: 10</t>
  </si>
  <si>
    <t>The company raised $703,000 of venture funding from undisclosed investors on November 19, 2024.</t>
  </si>
  <si>
    <t>Congregate Solutions Accelerator, Portland Seed Fund</t>
  </si>
  <si>
    <t>Congregate Solutions Accelerator (www.congregate.resiliencefoundry.org), Portland Seed Fund (portlandseedfund.com)</t>
  </si>
  <si>
    <t>269672-32P</t>
  </si>
  <si>
    <t>Amina Moreau</t>
  </si>
  <si>
    <t>amina@radious.pro</t>
  </si>
  <si>
    <t>+1 (971) 202-1982</t>
  </si>
  <si>
    <t>3324 South East 12th Avenue</t>
  </si>
  <si>
    <t>97202</t>
  </si>
  <si>
    <t>460275-67</t>
  </si>
  <si>
    <t>Raft (IT Consulting and Outsourcing)</t>
  </si>
  <si>
    <t>Healthstar Informatics, THOUGHT OBJECT, THOUGHT OBJECT LLC</t>
  </si>
  <si>
    <t>Raft LLC</t>
  </si>
  <si>
    <t>Provider of digital consultancy services intended to develop digital products and services by leveraging elements of human-centered design. The company develops technologies based on data analytics, cloud, bioinformatics, and program management, enabling businesses to develop further and grow digitally.</t>
  </si>
  <si>
    <t>Consulting Services (B2B), IT Consulting and Outsourcing*, Media and Information Services (B2B)</t>
  </si>
  <si>
    <t>digital consultancy, digital consultancy agency, digital consultancy firm, digital consultancy service, digital transformation, enterprise expertise, it consultancy firm, it consultancy services, program management, technology education</t>
  </si>
  <si>
    <t>www.teamraft.com</t>
  </si>
  <si>
    <t>http://www.linkedin.com/company/raft-tech</t>
  </si>
  <si>
    <t>2022: 111, 2024: 300</t>
  </si>
  <si>
    <t>The company raised $60 million of venture funding from Washington Harbour on April 10, 2024. The funds will be used to intensify the company's research and development efforts, significantly enhancing the company's Command and Control (C2) product offerings for the tactical edge.</t>
  </si>
  <si>
    <t>Washington Harbour</t>
  </si>
  <si>
    <t>Washington Harbour (www.washingtonharbour.com)</t>
  </si>
  <si>
    <t>Holland &amp; Knight(Legal Advisor), Morrison &amp; Foerster(Legal Advisor), PwC(Advisor: Financial Due Diligence)</t>
  </si>
  <si>
    <t>253928-26P</t>
  </si>
  <si>
    <t>Shubhi Mishra</t>
  </si>
  <si>
    <t>smishra@goraft.tech</t>
  </si>
  <si>
    <t>+1 (301) 251-7221</t>
  </si>
  <si>
    <t>Reston, VA</t>
  </si>
  <si>
    <t>11800 Sunrise Valley Drive</t>
  </si>
  <si>
    <t>Reston</t>
  </si>
  <si>
    <t>20191</t>
  </si>
  <si>
    <t>+1 (703) 570-4820</t>
  </si>
  <si>
    <t>hello@teamraft.com</t>
  </si>
  <si>
    <t>Expected 27-Oct-2028</t>
  </si>
  <si>
    <t>118537-12</t>
  </si>
  <si>
    <t>RAIN (IT Consulting and Outsourcing)</t>
  </si>
  <si>
    <t>RAIN</t>
  </si>
  <si>
    <t>RAIN, Inc.</t>
  </si>
  <si>
    <t>REIN</t>
  </si>
  <si>
    <t>Developer of a voice technology platform designed to help innovate marketing technology. The company's platform specializes in innovative marketing and advertising remedies through customized desktop and mobile software development using voice and conversational artificial intelligence and full-scale video production along with intellectual property incubation, enabling marketers and brands to articulate brand awareness by taking advantage of technological developments.</t>
  </si>
  <si>
    <t>IT Consulting and Outsourcing*, Media and Information Services (B2B)</t>
  </si>
  <si>
    <t>AdTech, Artificial Intelligence &amp; Machine Learning, Big Data, Marketing Tech, TMT</t>
  </si>
  <si>
    <t>abi custom application, analytics platform, branding planning, campaign development, cause marketing, community development, content production, conversational ai, conversational commerce, crisis management service, design creation, vertical application, voice assistants, voice experience design, web software development</t>
  </si>
  <si>
    <t>www.rain.agency</t>
  </si>
  <si>
    <t>http://www.linkedin.com/company/rainagency</t>
  </si>
  <si>
    <t>2020: 113, 2021: 113, 2022: 114</t>
  </si>
  <si>
    <t>FY 2013</t>
  </si>
  <si>
    <t>The company raised $11 million of Series B venture funding in a deal led by Multiply Group on May 13, 2022, putting the company's pre-money valuation at $40 million. Valor Capital Group, Burch Creative Capital, and MDH Acquisition also participated in the round. The funds will be used for growth and expansion, chiefly hiring and product development in the automotive industry.</t>
  </si>
  <si>
    <t>Burch Creative Capital, MDH Acquisition, Multiply Group, Stanley Ventures, Valor Capital Group</t>
  </si>
  <si>
    <t>Burch Creative Capital (www.burchcreativecapital.com), MDH Acquisition (www.mclartydiversified.com), Multiply Group (www.multiplyinvest.com), Stanley Ventures (www.stanleyventures.com), Valor Capital Group (www.valorcapitalgroup.com)</t>
  </si>
  <si>
    <t>103935-16P</t>
  </si>
  <si>
    <t>Brian Edelman</t>
  </si>
  <si>
    <t>Founding Partner</t>
  </si>
  <si>
    <t>briane@rain.agency</t>
  </si>
  <si>
    <t>Greenwich, CT</t>
  </si>
  <si>
    <t>1194 King Street</t>
  </si>
  <si>
    <t>Greenwich</t>
  </si>
  <si>
    <t>06831</t>
  </si>
  <si>
    <t>hello@rain.agency</t>
  </si>
  <si>
    <t>327309-94</t>
  </si>
  <si>
    <t>Raise Green</t>
  </si>
  <si>
    <t>Raise Green, Inc.</t>
  </si>
  <si>
    <t>Mainvest, CollectiveSun, Resonant Energy, Sunwealth, Republic, Wunder (Energy Infrastructure), Robinhood, Fundrise, StartEngine</t>
  </si>
  <si>
    <t>Developer of an equity crowdfunding platform designed to facilitate businesses in raising capital for green infrastructure and clean energy projects. The company's platform is used for community-driven project finance and allows community leaders to create their own clean energy and climate service projects and to benefit from shared ownership, enabling clients to fight against climate change and income inequality and providing the tools they need to create and invest directly into climate projects like community solar.</t>
  </si>
  <si>
    <t>Financial Software, Other Financial Services*, Specialized Finance</t>
  </si>
  <si>
    <t>alternative investment, climate, climate technology, crowdfunding investment, crowdfunding investment platform, crowdfunding portal, crowdfunding site, esg investment, impact investing, investment capital, securities financing software, wealthtech</t>
  </si>
  <si>
    <t>www.raisegreen.com</t>
  </si>
  <si>
    <t>http://www.linkedin.com/company/raisegreen</t>
  </si>
  <si>
    <t>2018: 2, 2019: 3, 2020: 14, 2021: 15, 2023: 9</t>
  </si>
  <si>
    <t>Promotion (New) Franz Hochstrasser, Co-Founder &amp; Founding Chief Executive Officer</t>
  </si>
  <si>
    <t>The company raised $1.24 million of equity crowdfunding in the form of SAFE notes via Wefunder in July 2023. Previously, the company raised an undisclosed amount of venture funding from Skyview Ventures in approximately February 2023.</t>
  </si>
  <si>
    <t>ABN AMRO Bank, Connecticut Innovations, CTNext, Greentown Labs, reSET Impact Accelerator, Skyview Ventures, Techstars, Tsai CITY</t>
  </si>
  <si>
    <t>ABN AMRO Bank (www.abnamro.com), Connecticut Innovations (www.ctinnovations.com), CTNext (ctnext.com), Greentown Labs (www.greentownlabs.com), reSET Impact Accelerator (www.resetco.org), Skyview Ventures (skyviewventures.com), Techstars (www.techstars.com), Tsai CITY (city.yale.edu)</t>
  </si>
  <si>
    <t>Fiondella, Milone &amp; LaSaracina(Accounting), Foley Hoag(Legal Advisor), Morrison &amp; Foerster(Legal Advisor), Murtha Cullina(Legal Advisor), Stradley Ronon Stevens &amp; Young(Legal Advisor), SVB Financial Group(General Business Banking), Wilson Sonsini Goodrich &amp; Rosati(Legal Advisor)</t>
  </si>
  <si>
    <t>212764-42P</t>
  </si>
  <si>
    <t>Franz Hochstrasser</t>
  </si>
  <si>
    <t>Co-Founder &amp; Founding Chief Executive Officer</t>
  </si>
  <si>
    <t>franz@raisegreen.com</t>
  </si>
  <si>
    <t>+1 (831) 588-2191</t>
  </si>
  <si>
    <t>info@raisegreen.com</t>
  </si>
  <si>
    <t>433091-44</t>
  </si>
  <si>
    <t>Rapid Robotics</t>
  </si>
  <si>
    <t>Rapid</t>
  </si>
  <si>
    <t>Rapid Robotics, Inc.</t>
  </si>
  <si>
    <t>Comau, Fetch Robotics, Oxipital AI, E&amp;K Automation, 6 River Systems, Universal Robots, inVia Robotics, Locus Robotics, Grabit ( Machinery (B2B)), RightHand Robotics, COSY (Business/Productivity Software), MTM Robotics, MetraLabs, Bossa Nova, Rethink Robotics, Applied Robotics (New York), Robotiq, Transforma Robotics, Acieta, iRobot, Berkshire Grey, Omnirobotic, HAHN Automation Group Holding, KUKA (Electronic Equipment and Instruments), Genesis Systems Group</t>
  </si>
  <si>
    <t>Developer of industrial automation software and hardware designed to quickly deploy robotic arms in the factory. The company's technology can be deployed against simple tasks in hours rather than weeks at a fraction of the cost of other automation solutions that require extensive manual programming, enabling manufacturers to increase the return on investment through increased production margins driven by both bottom-line cost reduction and increased production output, efficiency, and quality.</t>
  </si>
  <si>
    <t>Automation/Workflow Software, Business/Productivity Software, Machinery (B2B), Other Hardware*</t>
  </si>
  <si>
    <t>Advanced Manufacturing, Artificial Intelligence &amp; Machine Learning, Robotics and Drones</t>
  </si>
  <si>
    <t>autonomous machine, computer vision, deep learning, intelligent robotics, machine operators, manufacturing automation, manufacturing automation software, robotic machine tending</t>
  </si>
  <si>
    <t>www.rapidrobotics.com</t>
  </si>
  <si>
    <t>http://www.linkedin.com/company/rapid-robotics-inc</t>
  </si>
  <si>
    <t>2020: 17, 2021: 33, 2022: 100, 2023: 92</t>
  </si>
  <si>
    <t>The company raised $36.7 million of Series B venture funding in a deal led by Kleiner Perkins and Tiger Global Management on August 18, 2021, putting the company's pre-money valuation at $157 million. Greycroft and other investors also participated in the round. The funds will be used for robotic machine operations. Previously, the company raised $12 million of Series A venture funding in a deal led by New Enterprise Associates on February 26, 2021, putting the company's pre-money valuation at $28 million. Rackhouse Venture Capital, Greycroft, Bee Partners, and 468 Capital also participated in the round.</t>
  </si>
  <si>
    <t>468 Capital, Bee Partners, Draft Ventures, Greycroft, Jigsaw Ventures, Kleiner Perkins, Millennium Technology Value Partners, New Enterprise Associates, Tiger Global Management</t>
  </si>
  <si>
    <t>Rackhouse Venture Capital</t>
  </si>
  <si>
    <t>468 Capital (www.468cap.com), Bee Partners (www.beepartners.vc), Draft Ventures (draftvc.com), Greycroft (www.greycroft.com), Jigsaw Ventures (www.jigsawvc.com), Kleiner Perkins (www.kleinerperkins.com), Millennium Technology Value Partners (www.mtvlp.com), New Enterprise Associates (www.nea.com), Tiger Global Management (www.tigerglobal.com)</t>
  </si>
  <si>
    <t>Rackhouse Venture Capital (www.rackhouse.vc)</t>
  </si>
  <si>
    <t>Goodwin Procter(Legal Advisor), SQN Venture Partners(Debt Financing)</t>
  </si>
  <si>
    <t>321850-90P</t>
  </si>
  <si>
    <t>Kimberley Losey</t>
  </si>
  <si>
    <t>kim.losey@rapidrobotics.com</t>
  </si>
  <si>
    <t>+1 (415) 650-5544</t>
  </si>
  <si>
    <t>100 Hooper Street</t>
  </si>
  <si>
    <t>hello@rapidrobotics.com</t>
  </si>
  <si>
    <t>522438-04</t>
  </si>
  <si>
    <t>Rasa (Legal Services (B2C))</t>
  </si>
  <si>
    <t>Rasa</t>
  </si>
  <si>
    <t>Rasa Public Benefit Corp.</t>
  </si>
  <si>
    <t>Developer of a tech-powered record clearance platform designed to empower individuals with accessible and affordable tools to clear criminal records and unlock a second chance. The company's platform streamlines eligibility checks to connect users with affordable legal representation and guides them through the clearance process, enabling customers to navigate complex legal systems, overcome financial barriers, and build brighter futures. prices.</t>
  </si>
  <si>
    <t>Application Software, Legal Services (B2C)*</t>
  </si>
  <si>
    <t>Legal Tech, Mobile, TMT</t>
  </si>
  <si>
    <t>criminal record checking, criminal record investigation, criminal record removal, criminal record screening, criminal record verification, legal services software, legal services tools</t>
  </si>
  <si>
    <t>www.rasa-legal.com</t>
  </si>
  <si>
    <t>http://www.linkedin.com/company/rasa-legal</t>
  </si>
  <si>
    <t>2023: 10, 2024: 19</t>
  </si>
  <si>
    <t>The company raised $1.1 million of seed funding from Dream.Org, Convoi Ventures and GoodLight Capital on August 14, 2023. Sorenson Impact Foundation, Halogen Ventures and Acumen America also participated in the round.</t>
  </si>
  <si>
    <t>Acumen America, Convoi Ventures, Dream Org, GoodLight Capital, Halogen Ventures, Jacki Zehner, Sorenson Impact Foundation, Village Capital</t>
  </si>
  <si>
    <t>Acumen America (acumenamerica.org), Convoi Ventures (www.convoiventures.com), Dream Org (www.dream.org), GoodLight Capital (www.goodlight.capital), Halogen Ventures (www.halogenvc.com), Jacki Zehner (jackizehner.com), Sorenson Impact Foundation (www.sorensonimpactfoundation.org), Village Capital (www.vilcap.com)</t>
  </si>
  <si>
    <t>341997-85P</t>
  </si>
  <si>
    <t>Noella Sudbury</t>
  </si>
  <si>
    <t>noella@rasa-legal.com</t>
  </si>
  <si>
    <t>+1 (385) 454-5842</t>
  </si>
  <si>
    <t>180 East 2100 South</t>
  </si>
  <si>
    <t>Suite 206</t>
  </si>
  <si>
    <t>info@rasa-legal.com</t>
  </si>
  <si>
    <t>452799-91</t>
  </si>
  <si>
    <t>Re:Dish</t>
  </si>
  <si>
    <t>Dispatch Goods</t>
  </si>
  <si>
    <t>Provider of reusable food container service intended to reduce plastic waste. The company helps to collect, clean, and sanitize containers at an industrial washing facility along with a dashboard to manage reusables inventory and environmental impact, enabling businesses to reduce costs and keep track of ESG goals.</t>
  </si>
  <si>
    <t>Materials and Resources</t>
  </si>
  <si>
    <t>Containers and Packaging</t>
  </si>
  <si>
    <t>Other Containers and Packaging</t>
  </si>
  <si>
    <t>Business/Productivity Software, Other Containers and Packaging*</t>
  </si>
  <si>
    <t>Climate Tech, FoodTech, LOHAS &amp; Wellness</t>
  </si>
  <si>
    <t>food containers, food containers manufacturer, food containers provider, food production, reusable food containers, sustainable packaging, sustainable product, washing service</t>
  </si>
  <si>
    <t>Sustainable Packaging</t>
  </si>
  <si>
    <t>www.redish.com</t>
  </si>
  <si>
    <t>http://www.linkedin.com/company/redishco</t>
  </si>
  <si>
    <t>2021: 6, 2022: 15, 2023: 22, 2024: 22</t>
  </si>
  <si>
    <t>The company raised an undisclosed amount of seed funding in the form of SAFE notes from ImpactAssets on November 30, 2023.</t>
  </si>
  <si>
    <t>How Women Invest, Impact Assets, Unreasonable Impact, Value Create</t>
  </si>
  <si>
    <t>How Women Invest (www.howwomeninvest.com), Impact Assets (www.impactassets.org), Value Create (www.valuecreate.net)</t>
  </si>
  <si>
    <t>National Iron Bank(General Business Banking), SVB Financial Group(General Business Banking)</t>
  </si>
  <si>
    <t>Barnes Legal(Legal Advisor)</t>
  </si>
  <si>
    <t>63866-44P</t>
  </si>
  <si>
    <t>Caroline Vanderlip</t>
  </si>
  <si>
    <t>cvanderlip@redish.com</t>
  </si>
  <si>
    <t>+1 (917) 209-0072</t>
  </si>
  <si>
    <t>630 Flushing Avenue</t>
  </si>
  <si>
    <t>Suite 313, Brooklyn</t>
  </si>
  <si>
    <t>11206</t>
  </si>
  <si>
    <t>info@redish.com</t>
  </si>
  <si>
    <t>467212-24</t>
  </si>
  <si>
    <t>ReadySet (Beverly Hills)</t>
  </si>
  <si>
    <t>ReadySet</t>
  </si>
  <si>
    <t>ReadySet Technology, Inc.</t>
  </si>
  <si>
    <t>HEAVY.AI, Redis</t>
  </si>
  <si>
    <t>Developer of a database acceleration technology designed to help developers build performant and real-time applications. The company's technology offers latencies of an optimized custom caching system, query throughput of reading replicas and direct development experience using a single relational database, enabling developers to scale out the database by reading horizontally without making code changes or switching databases.</t>
  </si>
  <si>
    <t>Business/Productivity Software*, Database Software, Software Development Applications</t>
  </si>
  <si>
    <t>application infrastructure, caching data, caching system, code review, data infrastructure, database access, database management system, database software, middleware, queries tools, querying tools, sql server</t>
  </si>
  <si>
    <t>www.readyset.io</t>
  </si>
  <si>
    <t>http://www.linkedin.com/company/readysettech</t>
  </si>
  <si>
    <t>2021: 16, 2022: 36, 2023: 25, 2024: 26</t>
  </si>
  <si>
    <t>The company received development capital from Kamco Invest on an undisclosed date.</t>
  </si>
  <si>
    <t>Adam Gross, Amplify Partners, E14 Fund, Essence Venture Capital, Guillermo Rauch, Index Ventures, Jason Warner, Kamco Invest, Sequoia Capital, Spencer Kimball, Yury Izrailevsky, Zero Prime Ventures</t>
  </si>
  <si>
    <t>Amplify Partners (www.amplifypartners.com), E14 Fund (www.e14.vc), Essence Venture Capital (www.essencevc.fund), Index Ventures (www.indexventures.com), Kamco Invest (www.kamcoinvest.com), Sequoia Capital (www.sequoiacap.com), Zero Prime Ventures (zeroprime.vc)</t>
  </si>
  <si>
    <t>Parker Remick(Consulting)</t>
  </si>
  <si>
    <t>265117-60P</t>
  </si>
  <si>
    <t>Alana Marzoev</t>
  </si>
  <si>
    <t>alana@readyset.io</t>
  </si>
  <si>
    <t>Suite 5131</t>
  </si>
  <si>
    <t>info@readyset.io</t>
  </si>
  <si>
    <t>437615-02</t>
  </si>
  <si>
    <t>Realm</t>
  </si>
  <si>
    <t>Realm Living, Inc.</t>
  </si>
  <si>
    <t>TenantCloud, Xceligent, Movoto, RealPage, Knock (Real Estate Services (B2C)), VTS, Redfin</t>
  </si>
  <si>
    <t>Developer of a property management platform designed to make better decisions for home investments. The company's platform analyzes property, financial, regulatory, and personal data to provide customized insights and recommendations, enabling homeowners to increase the value of their property, save money, generate rental income, and enjoy their space.</t>
  </si>
  <si>
    <t>decision making tools, financial data analysis, home management software, property analysis, property management app, real estate tech</t>
  </si>
  <si>
    <t>www.realmhome.com</t>
  </si>
  <si>
    <t>http://www.linkedin.com/company/realmhome</t>
  </si>
  <si>
    <t>2020: 9, 2021: 29, 2022: 49</t>
  </si>
  <si>
    <t>The company raised $9.71 million of Series A2 venture funding from Lerer Hippeau, Western Technology Investment and Alumni Ventures on October 3, 2023, putting the company's pre-money valuation at $70.29 million. Scale Venture Partners and 7 other investors also participated in the round.</t>
  </si>
  <si>
    <t>9Yards Capital, Alumni Ventures, Blue Trail Partners, DCVC, Greylock, Ignition Partners, Lerer Hippeau, Liberty Mutual Strategic Ventures, Northcap Partners, Notable Capital, Primary Venture Partners, Redpoint Ventures, Scale Venture Partners, Scribble Ventures, Silicon Badia, SV Angel, Synetro Group, Tuesday Capital, Western Technology Investment</t>
  </si>
  <si>
    <t>9Yards Capital (9yards.vc), Alumni Ventures (www.av.vc), Blue Trail Partners (www.bluetrailpartners.com), DCVC (www.dcvc.com), Greylock (www.greylock.com), Ignition Partners (www.ignition.vc), Lerer Hippeau (www.lererhippeau.com), Liberty Mutual Strategic Ventures (lmstrategicventures.com), Northcap Partners (www.northcap.vc), Notable Capital (notablecap.com), Primary Venture Partners (www.primary.vc), Redpoint Ventures (www.redpoint.com), Scale Venture Partners (www.scalevp.com), Scribble Ventures (www.scribble.vc), Silicon Badia (www.siliconbadia.com), SV Angel (www.svangel.com), Synetro Group (www.synetro.com), Tuesday Capital (www.tuesday.vc), Western Technology Investment (www.westerntech.com)</t>
  </si>
  <si>
    <t>131346-73P</t>
  </si>
  <si>
    <t>Elizabeth Young</t>
  </si>
  <si>
    <t>liz@myrealm.co</t>
  </si>
  <si>
    <t>333 Hudson Street</t>
  </si>
  <si>
    <t>info@realmhome.com</t>
  </si>
  <si>
    <t>398920-15</t>
  </si>
  <si>
    <t>Realworld</t>
  </si>
  <si>
    <t>Real World Playbook, Zinc Life</t>
  </si>
  <si>
    <t>RW</t>
  </si>
  <si>
    <t>Realworld, Inc.</t>
  </si>
  <si>
    <t>Developer of an adulthood simplifying application intended to provide a comprehensive online training program to navigate adulthood and important life moments. The company's application is the connective tissue between disaggregated decisions in one centralized platform to help set up credit cards, manage student loan repayments, schedule a primary care appointment, choose a health insurance plan, store your passport and TSA PreCheck number, organize and upload documents to apply for an apartment lease, and get reminded to update your voter registration and notify you of local elections, enabling users to make informed decisions in life.</t>
  </si>
  <si>
    <t>consumer app, online training, online training service, product recommendation, training program, training program provider</t>
  </si>
  <si>
    <t>www.realworld.co</t>
  </si>
  <si>
    <t>http://www.linkedin.com/company/real-world-playbook</t>
  </si>
  <si>
    <t>2020: 12, 2021: 15, 2022: 17, 2023: 20</t>
  </si>
  <si>
    <t>The company raised $3.24 million of seed funding in a deal led by Fitz Gate Ventures on May 5, 2022, putting the company's pre-money valuation at $27 million. Knightsgate Ventures and 11 other investors also participated in the round.</t>
  </si>
  <si>
    <t>Aly Raisman, Amplifyher Ventures, Bezos Expeditions, Centre Street Partners, Copper Wire Ventures, Fitz Gate Ventures, Founders First, GMO Venture Partners, Great Oaks Venture Capital, Howard Lerman, Human Ventures, Jennifer Fleiss, Knightsgate Ventures, Purple Sage Ventures, Reach Capital, Red Giraffe Advisors, Techstars, Techstart Ventures, The 98, The Helm, TTV Capital, Underdog Labs, Winklevoss Capital Management</t>
  </si>
  <si>
    <t>Amplifyher Ventures (www.amplifyherventures.com), Bezos Expeditions (www.bezosexpeditions.com), Centre Street Partners (www.centrestreet.partners), Copper Wire Ventures (www.copperwire.ventures), Fitz Gate Ventures (www.fitzgate.com), Founders First (www.foundersfirst.fund), GMO Venture Partners (www.gmo-vp.com), Great Oaks Venture Capital (www.greatoaksvc.com), Human Ventures (www.human.vc), Knightsgate Ventures (knightsgateventures.com), Purple Sage Ventures (www.purplesageventures.com), Reach Capital (www.reachcapital.com), Red Giraffe Advisors (www.redgiraffeadvisors.com), Techstars (www.techstars.com), Techstart Ventures (www.techstart.vc), The 98 (www.the98.com), The Helm (www.thehelm.co), TTV Capital (www.ttvcapital.com), Underdog Labs (www.underdoglabs.io), Winklevoss Capital Management (www.winklevosscapital.com)</t>
  </si>
  <si>
    <t>218834-47P</t>
  </si>
  <si>
    <t>Genevieve Bellaire</t>
  </si>
  <si>
    <t>genevieve@realworld.co</t>
  </si>
  <si>
    <t>+1 (917) 382-0074</t>
  </si>
  <si>
    <t>594 Broadway</t>
  </si>
  <si>
    <t>team@realworld.co</t>
  </si>
  <si>
    <t>54459-55</t>
  </si>
  <si>
    <t>Rebel Girls</t>
  </si>
  <si>
    <t>Timbuktu Labs</t>
  </si>
  <si>
    <t>Rebel Girls, Inc.</t>
  </si>
  <si>
    <t>Podimo, Mattel</t>
  </si>
  <si>
    <t>Operator of a multi-platform empowerment brand intended to inspire and instill confidence in girls. The company's platform combines storytelling and technology to build educational interactive experiences that attract both children and grown-ups and provides stories about inspirational women, enabling users to make their children learn, grow, and have fun at the same time.</t>
  </si>
  <si>
    <t>Publishing</t>
  </si>
  <si>
    <t>Application Software, Publishing*</t>
  </si>
  <si>
    <t>audio content, children books, digital content creation, educational application, online content, storytelling app, storytelling application</t>
  </si>
  <si>
    <t>www.rebelgirls.com</t>
  </si>
  <si>
    <t>http://www.linkedin.com/company/rebelgirls</t>
  </si>
  <si>
    <t>2014: 5, 2020: 41, 2021: 51, 2022: 54, 2023: 56</t>
  </si>
  <si>
    <t>The company raised $8 million of Series A venture funding in a deal led by Penguin Random House on October 2, 2023, putting the company's pre-money valuation at $30 million. Asma Ishaq, Jenny Zhu, Jocelyn Mangan, Melissa Kushner, Joan Jett, Stephanie Sperber and Epic Angels Network also participated in the round.</t>
  </si>
  <si>
    <t>500 Global, Alessandro Piol, Asma Ishaq, Base10 Partners, Brittany Morin, Christine Tsai, Co.lab, Deborah Mei, Elizabeth Kushner, Elliot Loh, Epic Angels Network, H-Farm, Jenny Zhu, Joan Jett, Jocelyn Mangan, Joelle Kayden, Kat Taylor, Marco Marinucci, Mind the Bridge, Mindshift Capital, Nana Bianca, New York Angels, Owl Ventures, Paolo Giovine, Penguin Random House, Precursor Ventures, Rohit Sharma, Simone Coxe, Stephanie Sperber, Sukhinder Singh Cassidy, Wenda Harris Millard</t>
  </si>
  <si>
    <t>Atlante Seed, Emmeline Ventures, MTS Fund</t>
  </si>
  <si>
    <t>500 Global (500.co), Base10 Partners (www.base10.vc), Co.lab (playcolab.com), Epic Angels Network (www.epicangelnetwork.com), H-Farm (www.h-farm.com), Marco Marinucci (www.marcomarinucci.com), Mind the Bridge (www.mindthebridge.com), Mindshift Capital (www.mindshiftcapital.com), Nana Bianca (www.nanabianca.it), New York Angels (www.newyorkangels.com), Owl Ventures (www.owlvc.com), Penguin Random House (www.penguinrandomhouse.com), Precursor Ventures (precursorvc.com)</t>
  </si>
  <si>
    <t>Emmeline Ventures (www.emmelineventures.vc), MTS Fund (www.mtsfund.co)</t>
  </si>
  <si>
    <t>Cooley(Legal Advisor), Indiegogo(Lead Manager or Arranger), Kickstarter(Lead Manager or Arranger), Wilson Sonsini Goodrich &amp; Rosati(Legal Advisor)</t>
  </si>
  <si>
    <t>59115-43P</t>
  </si>
  <si>
    <t>Elena Favilli</t>
  </si>
  <si>
    <t>elena@rebelgirls.com</t>
  </si>
  <si>
    <t>1745 Broadway 20th floor</t>
  </si>
  <si>
    <t>470632-96</t>
  </si>
  <si>
    <t>Rebel Space Technologies</t>
  </si>
  <si>
    <t>Rebel Space</t>
  </si>
  <si>
    <t>Rebel Space Technologies, Inc.</t>
  </si>
  <si>
    <t>Developer of autonomous intelligence software intended to build secure and intelligent wireless connectivity. The company offers autonomous threat detection and response software for networked edge devices and supports the convergence of physical and cyber security, delivering actionable insights and intelligence in real-time for complex wireless environments and also offers secure radio communication in difficult environments, enabling clients to offer secure, reliable communications in challenging environments through advances in spectrum awareness and autonomous RF systems.</t>
  </si>
  <si>
    <t>Aerospace and Defense*, Network Management Software</t>
  </si>
  <si>
    <t>Artificial Intelligence &amp; Machine Learning, Big Data, Cybersecurity, Space Technology</t>
  </si>
  <si>
    <t>communication service, deep space communication, endpoint security, intelligence platform, iot security, iot/ot security, ot security, secure communication, signal analysis, space communication, wireless connectivity</t>
  </si>
  <si>
    <t>www.rebelspacetech.com</t>
  </si>
  <si>
    <t>http://www.linkedin.com/company/rebel-space-technologies</t>
  </si>
  <si>
    <t>2021: 4, 2022: 6, 2023: 9, 2024: 10</t>
  </si>
  <si>
    <t>The company raised an estimated $2.46 million through a combination of Seed-1, and Seed-3 funding from Everywhere Ventures, Mana Ventures, Garuda and other undisclosed investors on January 31, 2024, putting the company's pre-money valuation at an estimated $8 million.</t>
  </si>
  <si>
    <t>Acequia Capital, Creative Destruction Lab, Everywhere Ventures, Garuda, Mana Ventures, Starburst (Accelerator/Incubator), The Catalyst Accelerator, Village Global</t>
  </si>
  <si>
    <t>Acequia Capital (www.acecap.com), Creative Destruction Lab (www.creativedestructionlab.com), Everywhere Ventures (everywhere.vc), Garuda (www.garuda.vc), Mana Ventures (www.manaventures.vc), Starburst (Accelerator/Incubator) (www.starburst.aero), The Catalyst Accelerator (www.catalystaccelerator.space), Village Global (www.villageglobal.vc)</t>
  </si>
  <si>
    <t>270068-05P</t>
  </si>
  <si>
    <t>Carrie Hernandez</t>
  </si>
  <si>
    <t>c-h@rebelspacetechnologies.com</t>
  </si>
  <si>
    <t>1747 East 2nd Street</t>
  </si>
  <si>
    <t>90802</t>
  </si>
  <si>
    <t>hello@rebelspacetech.com</t>
  </si>
  <si>
    <t>539853-49</t>
  </si>
  <si>
    <t>Recraft (Business/Productivity Software)</t>
  </si>
  <si>
    <t>Recraft</t>
  </si>
  <si>
    <t>Recraft, Inc.</t>
  </si>
  <si>
    <t>Invoke (Media and Information Services (B2B)), Midjourney, AdCreative.ai</t>
  </si>
  <si>
    <t>Developer of an AI image generator intended to provide a designing tool. The company's tool generates and edits vector art, icons, 3-dimensional images, and illustrations in a range of styles suitable for websites, print, and marketing, enabling clients to get an artboard for creating their designs.</t>
  </si>
  <si>
    <t>3D Printing, Artificial Intelligence &amp; Machine Learning</t>
  </si>
  <si>
    <t>design tool, design toolkit, illustrations art, illustrations design, images generator, marketing tool</t>
  </si>
  <si>
    <t>www.recraft.ai</t>
  </si>
  <si>
    <t>http://www.linkedin.com/company/recraftai</t>
  </si>
  <si>
    <t>2023: 10, 2024: 18</t>
  </si>
  <si>
    <t>The company joined AI Grant as part of it's Batch 1 program on an undisclosed date. Previously, the company raised $12 million of Series A venture funding in a deal led by Khosla Ventures and Nat Friedman on January 18, 2024. RTP Global, Abstract Ventures, Basis Set Ventures, Elad Gil, AAL Management, South Park Commons and other undisclosed investors also participated in the round.</t>
  </si>
  <si>
    <t>AAL Management, Abstract Ventures, AI Grant, Basis Set Ventures, Elad Gil, Khosla Ventures, Nat Friedman, RTP Global, South Park Commons</t>
  </si>
  <si>
    <t>AAL Management (www.aal.vc), Abstract Ventures (abstract.vc), AI Grant (aigrant.org), Basis Set Ventures (www.basisset.com), Elad Gil (www.eladgil.com), Khosla Ventures (www.khoslaventures.com), RTP Global (www.rtp.vc), South Park Commons (www.southparkcommons.com)</t>
  </si>
  <si>
    <t>375199-57P</t>
  </si>
  <si>
    <t>Anna Dorogush</t>
  </si>
  <si>
    <t>450 Townsend Street</t>
  </si>
  <si>
    <t>443201-77</t>
  </si>
  <si>
    <t>RedRex</t>
  </si>
  <si>
    <t>AI Appstore</t>
  </si>
  <si>
    <t>AI App Store, Inc.</t>
  </si>
  <si>
    <t>Developer of an accessible blockchain-based social network platform designed to connect users. The company's platform offers subscription bundles that aid corporate growth through the use of a virtual research assistant to see patterns in data and make changes based on the insights, enabling users to have a metaverse of digital real estate where they can own, rent, and share virtual buildings tied to real-world addresses using NFTs.</t>
  </si>
  <si>
    <t>ai cores, digital world, discord server, metaverse events, social network analysis, social network data, web3 application, web3 technologies</t>
  </si>
  <si>
    <t>www.redrex.com</t>
  </si>
  <si>
    <t>http://www.linkedin.com/company/redrex-com</t>
  </si>
  <si>
    <t>2020: 5, 2021: 10, 2022: 4, 2023: 7, 2024: 6</t>
  </si>
  <si>
    <t>The company raised $1 million of venture funding through a combination of convertible debt and equity from undisclosed investors on February 14, 2023.</t>
  </si>
  <si>
    <t>Flatrock Partners, gener8tor, Right Side Capital Management</t>
  </si>
  <si>
    <t>Flatrock Partners (www.flatrockpartnersllc.com), gener8tor (www.gener8tor.com), Right Side Capital Management (www.rightsidecapital.com)</t>
  </si>
  <si>
    <t>222077-53P</t>
  </si>
  <si>
    <t>Andrew Birkholz</t>
  </si>
  <si>
    <t>andrew@aiappstore.com</t>
  </si>
  <si>
    <t>+1 (612) 396-9441</t>
  </si>
  <si>
    <t>Minneapolis, MN</t>
  </si>
  <si>
    <t>415 North 1st Street</t>
  </si>
  <si>
    <t>Minneapolis</t>
  </si>
  <si>
    <t>55401</t>
  </si>
  <si>
    <t>info@redrex.com</t>
  </si>
  <si>
    <t>481849-84</t>
  </si>
  <si>
    <t>Rella (Business/Productivity Software)</t>
  </si>
  <si>
    <t>Rella</t>
  </si>
  <si>
    <t>Rella Inc.</t>
  </si>
  <si>
    <t>Planoly, Aspire (Media and Information Services (B2B)), Izea, Lumanu</t>
  </si>
  <si>
    <t>Developer of a content management platform intended to manage the entire business in one place. The company platform creates an operating system and facilitates creators to engage in content feedback and influencer networking, plan content across platforms, and organize brand deals and marketing campaigns, enabling content planning sending invoices, and getting revenue insights into comprehensive analytics.</t>
  </si>
  <si>
    <t>content creator networking, creator app, creator economy, influencer app, social media application, social media company</t>
  </si>
  <si>
    <t>www.getrella.com</t>
  </si>
  <si>
    <t>http://www.linkedin.com/company/rellasocial</t>
  </si>
  <si>
    <t>2021: 6, 2022: 7, 2023: 10, 2024: 10</t>
  </si>
  <si>
    <t>The company raised $600,000 of venture funding in a deal led by Precursor Ventures on September 1, 2022. Hustle Fund, Goodwater Capital, Liquid 2 Ventures, Charge Ventures and Plug and Play Tech Center also participated in the round.</t>
  </si>
  <si>
    <t>Andrews Launch Accelerator, Charge Ventures, Goodwater Capital, Hustle Fund, Liquid 2 Ventures, Plug and Play Tech Center, Precursor Ventures</t>
  </si>
  <si>
    <t>Charge Ventures (www.charge.vc), Goodwater Capital (www.goodwatercap.com), Hustle Fund (www.hustlefund.vc), Liquid 2 Ventures (www.liquid2.vc), Plug and Play Tech Center (www.plugandplaytechcenter.com), Precursor Ventures (precursorvc.com)</t>
  </si>
  <si>
    <t>Smith, Anderson, Blount, Dorsett, Mitchell &amp; Jernigan(Legal Advisor)</t>
  </si>
  <si>
    <t>276894-73P</t>
  </si>
  <si>
    <t>Natalie Barbu</t>
  </si>
  <si>
    <t>natalie@rellasocial.com</t>
  </si>
  <si>
    <t>+1 (305) 871-9452</t>
  </si>
  <si>
    <t>Raleigh, NC</t>
  </si>
  <si>
    <t>2820 Beehnon Way</t>
  </si>
  <si>
    <t>Raleigh</t>
  </si>
  <si>
    <t>27603</t>
  </si>
  <si>
    <t>484488-82</t>
  </si>
  <si>
    <t>Remble</t>
  </si>
  <si>
    <t>Remble Inc.</t>
  </si>
  <si>
    <t>Developer of mental health platform designed to empower people with therapist-created tools to improve their mental, emotional, and social well-being. The company partners with organizations and counseling agencies to provide mental health tools and resources as well as an AI (artificial intelligence) mental health assistant that is available around the clock, enabling people with unlimited access to courses, live webinars, videos, and guides on all kinds of mental health topics.</t>
  </si>
  <si>
    <t>Artificial Intelligence &amp; Machine Learning, HealthTech</t>
  </si>
  <si>
    <t>content provider, mental health kits, mental health platform, mental health support, mental health therapy, personal development, therapy platform</t>
  </si>
  <si>
    <t>www.remble.com</t>
  </si>
  <si>
    <t>http://www.linkedin.com/company/remble</t>
  </si>
  <si>
    <t>2020: 2, 2021: 4, 2022: 9, 2023: 9, 2024: 10</t>
  </si>
  <si>
    <t>The company raised $1.4 million of seed funding from undisclosed investors.</t>
  </si>
  <si>
    <t>Atento Capital</t>
  </si>
  <si>
    <t>Atento Capital (www.atentocapital.com)</t>
  </si>
  <si>
    <t>244725-04P</t>
  </si>
  <si>
    <t>Ron Timoshenko</t>
  </si>
  <si>
    <t>ron@remble.com</t>
  </si>
  <si>
    <t>+1 (918) 449-0127</t>
  </si>
  <si>
    <t>7122 South Sheridan Road</t>
  </si>
  <si>
    <t>Suite 2 PMB 1173</t>
  </si>
  <si>
    <t>74133</t>
  </si>
  <si>
    <t>519418-00</t>
  </si>
  <si>
    <t>Rescale (Business/Productivity Software)</t>
  </si>
  <si>
    <t>Rescale Supply, Rescale</t>
  </si>
  <si>
    <t>Rescale Supply, Inc.</t>
  </si>
  <si>
    <t>Developer of supply chain management platform designed for food and beverage industries. The company's platform allows one to build project profiles, specify certifications, locations, and other preferences, get matched with co-packers, have optional longer-term onboarding and product development engagements, and more, enabling clients to get services from recipe development to manufacturing.</t>
  </si>
  <si>
    <t>co-manufacturing facility, product development process, supply chain management portal, supply chain management software, supply chain management system, supply chain trucking</t>
  </si>
  <si>
    <t>www.rescale.supply</t>
  </si>
  <si>
    <t>http://www.linkedin.com/company/rescale-supply</t>
  </si>
  <si>
    <t>2023: 4, 2024: 5</t>
  </si>
  <si>
    <t>The company raised an estimated $2.58 million through a combination of Seed-1 and Seed-2 funding in a deal led by Baukunst on November 1, 2022, putting the company's pre-money valuation at $7.9 million. Other undisclosed investors also participated in the round.</t>
  </si>
  <si>
    <t>Baukunst</t>
  </si>
  <si>
    <t>Baukunst (www.baukunst.co)</t>
  </si>
  <si>
    <t>334031-59P</t>
  </si>
  <si>
    <t>Julia Megson</t>
  </si>
  <si>
    <t>julia@rescale.supply</t>
  </si>
  <si>
    <t>+1 (603) 646-8825</t>
  </si>
  <si>
    <t>Hanover, NH</t>
  </si>
  <si>
    <t>PO Box 5704</t>
  </si>
  <si>
    <t>Hanover</t>
  </si>
  <si>
    <t>New Hampshire</t>
  </si>
  <si>
    <t>03755</t>
  </si>
  <si>
    <t>team@rescale.supply</t>
  </si>
  <si>
    <t>589571-74</t>
  </si>
  <si>
    <t>Residua AI</t>
  </si>
  <si>
    <t>Residua</t>
  </si>
  <si>
    <t>Developer of an AI platform designed to develop tools for human cognition. The company offers a selective AI co-presence that anyone can summon from anywhere into their current digital context to help them sift through the noise, enabling users to have rewarding experiences.</t>
  </si>
  <si>
    <t>ai chat bots, ai cores, ai development, ai tools, chat boxes application, generative ai, human cognition</t>
  </si>
  <si>
    <t>www.residua.ai</t>
  </si>
  <si>
    <t>http://www.linkedin.com/company/residua-ai</t>
  </si>
  <si>
    <t>The company raised $1.7 million of venture funding in a deal led by Union Square Ventures on March 1, 2024. Other undisclosed investors also participated in the round.</t>
  </si>
  <si>
    <t>Union Square Ventures</t>
  </si>
  <si>
    <t>Union Square Ventures (www.usv.com)</t>
  </si>
  <si>
    <t>387571-33P</t>
  </si>
  <si>
    <t>Carmen Gutierrez</t>
  </si>
  <si>
    <t>510241-24</t>
  </si>
  <si>
    <t>RESOURCE ( Business/Productivity Software)</t>
  </si>
  <si>
    <t>Operator of a fashion platform intended to leverage cutting-edge AI to automate, streamline, and accelerate every step in clothing development. The company's tools help with creating tech packs and selecting fabrics to sample and bulk production, enabling businesses to grow and scale with forward-looking, sustainable infrastructure.</t>
  </si>
  <si>
    <t>E-Commerce, SaaS</t>
  </si>
  <si>
    <t>ai assistance, clothing design, fashion brand, fashion platform, fashion site, product lifecycle management</t>
  </si>
  <si>
    <t>www.resourcefashion.co</t>
  </si>
  <si>
    <t>http://www.linkedin.com/company/resourcefashion</t>
  </si>
  <si>
    <t>2022: 10, 2023: 10, 2024: 28</t>
  </si>
  <si>
    <t>The company raised $600,000 of seed funding from Amino Capital, Outlander VC, Reform Ventures and other undisclosed investors in August 2021.</t>
  </si>
  <si>
    <t>Amino Capital, Outlander VC, Reform Ventures</t>
  </si>
  <si>
    <t>Amino Capital (www.aminocapital.com), Outlander VC (www.outlander.vc), Reform Ventures (www.reformventures.com)</t>
  </si>
  <si>
    <t>320038-48P</t>
  </si>
  <si>
    <t>Tatiana Tian</t>
  </si>
  <si>
    <t>tatiana@resourcefashion.co</t>
  </si>
  <si>
    <t>279647-92</t>
  </si>
  <si>
    <t>RevWork</t>
  </si>
  <si>
    <t>Lead Inclusively</t>
  </si>
  <si>
    <t>RevWork, Inc.</t>
  </si>
  <si>
    <t>Mobile Coach, Humu, MyQuest, BetterUp, LEADx ( Education and Training Services (B2B)), Pluma (Educational Software)</t>
  </si>
  <si>
    <t>Operator of a SaaS-based technology company intended to transform and sustain leadership behaviors. The company's technology utilizes nudge messaging and artificial intelligence to deliver state-of-the-art microlearning, in real-time, focused on the leader's priorities and its software applications schedule the date and time of meetings, performance evaluations and other events where the behaviors can be embedded and push nudge messaging right before the event, enabling companies to revolutionize the way workplaces and professionals grow.</t>
  </si>
  <si>
    <t>Artificial Intelligence &amp; Machine Learning, HR Tech, Life Sciences, SaaS</t>
  </si>
  <si>
    <t>artificial intelligence education, artificial intelligence engine, company development services, consultancy agency service, diversity and inclusion, technology-based service</t>
  </si>
  <si>
    <t>www.revwork.ai</t>
  </si>
  <si>
    <t>http://www.linkedin.com/company/revwork-ai</t>
  </si>
  <si>
    <t>2019: 5, 2020: 5, 2021: 12</t>
  </si>
  <si>
    <t>The company raised $3 million of seed funding in a deal led by Frances Craig and Christopher Craig on February 28, 2020, putting the company's pre-money valuation at $12 million. How Women Invest and other undisclosed investors also participated in the round. Previously, the company raised $250,000 of angel funding from undisclosed investors on October 9, 2019.</t>
  </si>
  <si>
    <t>Christopher Craig, Frances Craig, How Women Invest</t>
  </si>
  <si>
    <t>How Women Invest (www.howwomeninvest.com)</t>
  </si>
  <si>
    <t>CFO Hub(Auditor), SVB Financial Group(General Business Banking), Wells Fargo Advisors(General Business Banking)</t>
  </si>
  <si>
    <t>209791-27P</t>
  </si>
  <si>
    <t>Denise Hummel</t>
  </si>
  <si>
    <t>denise.hummel@revwork.ai</t>
  </si>
  <si>
    <t>+1 (833) 532-3462</t>
  </si>
  <si>
    <t>1205 Pacific Highway</t>
  </si>
  <si>
    <t>Unit 2401</t>
  </si>
  <si>
    <t>team@revwork.ai</t>
  </si>
  <si>
    <t>697182-40</t>
  </si>
  <si>
    <t>Revyse</t>
  </si>
  <si>
    <t>Revyse Inc</t>
  </si>
  <si>
    <t>Expent, PandaDoc, VectorVMS, Offset Market Exchange, Hive (Business/Productivity Software), Targetprocess, Reflektive, Clause (Business/Productivity Software), Evisort, Ironclad, Cornerstone OnDemand, Cloverpop, PeopleStrong, RedBooth, VNDLY, SpringCM, Nakisa, Beeline (Jacksonville), SAP Fieldglass, Rippling, Asana, WorkForce Software, Reflexis Systems, DCR Workforce, Visier, SimpleVMS, SumTotal Systems, PeopleFluent, Monday.com, Ultimate Software Group, TalentSoft, BambooHR, Atoss Software, Gatekeeper (VCLM), TALOS Workforce Solutions, ContractHero, 247 Time, Lattice, CobbleStone Software, Ascentis, Mavenlink, Provade, Paycom, Advanced Software Concepts</t>
  </si>
  <si>
    <t>Developer of a vendor lifecycle management platform designed to increase operational efficiency for multifamily operators. The company's platform offers artificial intelligence-powered contract management to track agreements across the enterprise and features a marketplace to search for and engage with potential vendors, enabling clients to discover, buy, and manage the products and services and reduce vendor-related risks.</t>
  </si>
  <si>
    <t>contract management, contract system, multifamily management, multifamily software, vendor search, vendor sourcing</t>
  </si>
  <si>
    <t>www.revyse.com</t>
  </si>
  <si>
    <t>http://www.linkedin.com/company/revyse</t>
  </si>
  <si>
    <t>The company raised $2 million of seed funding in a deal led by RealFoundations and RET Ventures on October 21, 2024. The Westover Companies, Caren Maio, and Capreit also participated in the round. The funds will be used to continue progressing its product roadmap, including enhancements to its 'Spend Insights' feature, which flags anomalies in contract data and provides proactive insights to optimize expenses, surface rebate opportunities, and reduce unnecessary spending as well as to roll out vendor credentialing, which will help reduce onboarding risks for operators by expediting the vetting and compliance process.</t>
  </si>
  <si>
    <t>Capreit, Caren Maio, RealFoundations, RET Ventures, The Westover Companies</t>
  </si>
  <si>
    <t>Capreit (www.capreit.com), RealFoundations (www.realfoundations.net), RET Ventures (www.ret.vc), The Westover Companies (www.westovercompanies.com)</t>
  </si>
  <si>
    <t>418154-59P</t>
  </si>
  <si>
    <t>Bobbi Steward</t>
  </si>
  <si>
    <t>Co-Founder, Chief Executive Officer &amp; Product Executive</t>
  </si>
  <si>
    <t>Bend, OR</t>
  </si>
  <si>
    <t>PO Box 2175</t>
  </si>
  <si>
    <t>Bend</t>
  </si>
  <si>
    <t>97709</t>
  </si>
  <si>
    <t>529056-73</t>
  </si>
  <si>
    <t>Rex (Social/Platform Software)</t>
  </si>
  <si>
    <t>Rex</t>
  </si>
  <si>
    <t>Get Rex, Inc.</t>
  </si>
  <si>
    <t>Developer of consumer social application designed to tackle the problems associated with discovering new places. The company's application uses a combination of artificial intelligence and computer vision technologies to look for images of places match them with photo metadata and track the coordinates of the photo and timestamps, helping people share their personal recommendations of places to visit.</t>
  </si>
  <si>
    <t>computer vision, computer vision technology, personal recommendation, place discovery app, place recommendation, social application</t>
  </si>
  <si>
    <t>www.getrex.app</t>
  </si>
  <si>
    <t>http://www.linkedin.com/company/getrexapp</t>
  </si>
  <si>
    <t>2023: 10, 2024: 9</t>
  </si>
  <si>
    <t>The company raised $3.96 million of seed funding in a deal led by Accel on June 12, 2023. Khosla Ventures, MBA Ventures, Future Positive and other undisclosed investors also participated in the round. The funds will be used to expand the company's development efforts for its app.</t>
  </si>
  <si>
    <t>Accel, Future Positive, Khosla Ventures, MBA Ventures</t>
  </si>
  <si>
    <t>Accel (www.accel.com), Future Positive (www.futurepositive.com), Khosla Ventures (www.khoslaventures.com), MBA Ventures (www.mba-ventures.com)</t>
  </si>
  <si>
    <t>351402-31P</t>
  </si>
  <si>
    <t>Aliza Rosen</t>
  </si>
  <si>
    <t>2693 Sacramento Street</t>
  </si>
  <si>
    <t>hello@getrex.app</t>
  </si>
  <si>
    <t>623418-76</t>
  </si>
  <si>
    <t>RightWise Wealth</t>
  </si>
  <si>
    <t>RightWise Wealth Inc.</t>
  </si>
  <si>
    <t>Provider of fiduciary financial advisory services intended for financial planning and investment management. The company specializes in selecting the appropriate portfolio, managing transitions from old to new accounts, ensuring automated tax capabilities are applied correctly, automating transfers and withdrawals, and monitoring investment performance, enabling high-earners to organize and optimize their financial lives.</t>
  </si>
  <si>
    <t>financial advisory, financial planning, investment management, personalized planning, portfolio diversification, portfolio selection, wealth management</t>
  </si>
  <si>
    <t>www.rightwisewealth.com</t>
  </si>
  <si>
    <t>http://www.linkedin.com/company/rightwise-wealth</t>
  </si>
  <si>
    <t>2024: 6</t>
  </si>
  <si>
    <t>People (New) Caitlyn Driehorst, Founder, Chief Executive Officer &amp; Founding Advisor, Ownership Status (Update) Privately Held (backing)</t>
  </si>
  <si>
    <t>The company raised $250,000 of venture funding from Fenway Summer on June 12, 2024.</t>
  </si>
  <si>
    <t>Fenway Summer</t>
  </si>
  <si>
    <t>Fenway Summer (www.fenwaysummer.com)</t>
  </si>
  <si>
    <t>421616-44P</t>
  </si>
  <si>
    <t>Caitlyn Driehorst</t>
  </si>
  <si>
    <t>Founder, Chief Executive Officer &amp; Founding Advisor</t>
  </si>
  <si>
    <t>caitlyn@rightwisewealth.com</t>
  </si>
  <si>
    <t>+1 (702) 986-0868</t>
  </si>
  <si>
    <t>801 South Main Street</t>
  </si>
  <si>
    <t>89101</t>
  </si>
  <si>
    <t>hello@rightwisewealth.com</t>
  </si>
  <si>
    <t>528897-34</t>
  </si>
  <si>
    <t>Rime Labs</t>
  </si>
  <si>
    <t>Rime</t>
  </si>
  <si>
    <t>Rime Labs Inc.</t>
  </si>
  <si>
    <t>Developer of a text-to-speech platform intended to create natural-sounding voices. The company's platform offers a wide range of features, including demographically tailored voice generation, lightning-fast response times, and over-distinct voices, enabling businesses and developers to create engaging and immersive experiences for their users.</t>
  </si>
  <si>
    <t>ai voice, artificial intelligence firm, research unit, speech synthesis, speech synthesis software, text-to-speech</t>
  </si>
  <si>
    <t>www.rime.ai</t>
  </si>
  <si>
    <t>http://www.linkedin.com/company/rime-ai</t>
  </si>
  <si>
    <t>The company raised $3.09 million of seed funding in a deal led by Unusual Ventures on May 25, 2023, putting the company's pre-money valuation at $10 million. Sequoia Capital, Moth Fund, Plug, and Play Tech Center, Alumni Ventures, and other undisclosed investors also participated in the round.</t>
  </si>
  <si>
    <t>Alumni Ventures, Moth Fund, Plug and Play Tech Center, Sequoia Capital, Unusual Ventures</t>
  </si>
  <si>
    <t>Alumni Ventures (www.av.vc), Moth Fund (www.mothfund.com), Plug and Play Tech Center (www.plugandplaytechcenter.com), Sequoia Capital (www.sequoiacap.com), Unusual Ventures (www.unusual.vc)</t>
  </si>
  <si>
    <t>350928-28P</t>
  </si>
  <si>
    <t>Lily Clifford</t>
  </si>
  <si>
    <t>lily@rime.ai</t>
  </si>
  <si>
    <t>+1 (415) 769-9791</t>
  </si>
  <si>
    <t>26 7th Street</t>
  </si>
  <si>
    <t>Suite 27</t>
  </si>
  <si>
    <t>info@rime.ai</t>
  </si>
  <si>
    <t>512344-90</t>
  </si>
  <si>
    <t>Rithmm</t>
  </si>
  <si>
    <t>Rithmm, Inc.</t>
  </si>
  <si>
    <t>nVenue, SimpleBet, Sports IQ Analytics, Quarter4</t>
  </si>
  <si>
    <t>Developer of a predictive analytics platform intended for sports betting. The company's platform offers personalized predictive analytics tools to help users test their strategies by simplifying and personalizing sports betting models using algorithms, enabling users to access an analytical way to build models and get an edge on betting.</t>
  </si>
  <si>
    <t>Application Software, Business/Productivity Software*, Information Services (B2C)</t>
  </si>
  <si>
    <t>analytical models, betting model, predictive analytics, sports analytics, sports betting, statistical model</t>
  </si>
  <si>
    <t>www.rithmm.com</t>
  </si>
  <si>
    <t>http://www.linkedin.com/company/rithmm</t>
  </si>
  <si>
    <t>2022: 5, 2023: 10</t>
  </si>
  <si>
    <t>The company raised $2.5 million of Seed Plus funding from Versus Ventures, and other undisclosed investors on May 3, 2024, putting the company's pre-money valuation at $11.75 million.</t>
  </si>
  <si>
    <t>Accomplice VC, Boston Seed Capital, Correlation Ventures, Counterview Capital, Jere Doyle Enterprises, Oyster Ventures, Permit Ventures, Service Provider Capital, Sheffield Capital Management, Versus Ventures</t>
  </si>
  <si>
    <t>Accomplice VC (www.accomplice.co), Boston Seed Capital (www.bostonseed.com), Correlation Ventures (www.correlationvc.com), Counterview Capital (www.counterview.vc), Jere Doyle Enterprises (www.jeredoyle.com), Oyster Ventures (Oyster.vc), Permit Ventures (www.permitventures.com), Service Provider Capital (www.serviceprovidercapital.com), Versus Ventures (www.versusvc.com)</t>
  </si>
  <si>
    <t>208678-33P</t>
  </si>
  <si>
    <t>Megan Lanham</t>
  </si>
  <si>
    <t>Co-Founder, Chief Executive Officer, Vice President &amp; Board Member</t>
  </si>
  <si>
    <t>+1 (760) 744-4600</t>
  </si>
  <si>
    <t>Chestnut Hill, MA</t>
  </si>
  <si>
    <t>675 VFW Parkway</t>
  </si>
  <si>
    <t>Suite 314</t>
  </si>
  <si>
    <t>Chestnut Hill</t>
  </si>
  <si>
    <t>02467</t>
  </si>
  <si>
    <t>+1 (617) 237-0496</t>
  </si>
  <si>
    <t>info@rithmm.com</t>
  </si>
  <si>
    <t>539798-68</t>
  </si>
  <si>
    <t>Robin (Clinics/Outpatient Services)</t>
  </si>
  <si>
    <t>Robin</t>
  </si>
  <si>
    <t>Robin Health Inc.</t>
  </si>
  <si>
    <t>Developer of AI-based therapy platform designed to provide on-demand, personalized, and affordable therapy. The company platform provides a personal therapist that focuses on mental healthcare.</t>
  </si>
  <si>
    <t>Artificial Intelligence &amp; Machine Learning, Digital Health, LOHAS &amp; Wellness, Mobile</t>
  </si>
  <si>
    <t>ai therapy app, mental wellness, mental wellness platform, mental wellness solutions, personal therapy, therapy consultation</t>
  </si>
  <si>
    <t>www.meetrobin.app</t>
  </si>
  <si>
    <t>http://www.linkedin.com/company/robin-health</t>
  </si>
  <si>
    <t>2023: 4, 2024: 3</t>
  </si>
  <si>
    <t>The company raised $171,420 of venture funding from ACTAI Ventures and other undisclosed investors in 2024. The funding was initially raised in the form of SAFE notes and subsequently converted to equity.</t>
  </si>
  <si>
    <t>ACTAI Ventures</t>
  </si>
  <si>
    <t>ACTAI Ventures (www.actaiventures.com)</t>
  </si>
  <si>
    <t>373730-05P</t>
  </si>
  <si>
    <t>Jianning Shao</t>
  </si>
  <si>
    <t>jshao@meetrobin.app</t>
  </si>
  <si>
    <t>222 West Merchandise Mart 1</t>
  </si>
  <si>
    <t>551746-63</t>
  </si>
  <si>
    <t>Rock Rabbit</t>
  </si>
  <si>
    <t>Rock Rabbit, Inc.</t>
  </si>
  <si>
    <t>Developer of a green home rebates platform designed to make future-proofing homes easy and affordable for everyone. The company's platform is powered by AI which enables point-of-sale incentives for program participants, up-to-date information about rebate programs, eligible incentives, and a trusted contractor who can get the project done, enabling contractors, homeowners and incentive providers to streamline processes, proof and payment to accelerate building decarbonization.</t>
  </si>
  <si>
    <t>Artificial Intelligence &amp; Machine Learning, CleanTech, SaaS</t>
  </si>
  <si>
    <t>ai software development, business platform, green home, green paints, rebate platform, rebate program</t>
  </si>
  <si>
    <t>www.rockrabbit.ai</t>
  </si>
  <si>
    <t>http://www.linkedin.com/company/rock-rabbit</t>
  </si>
  <si>
    <t>The company joined DeltaClimeVT as a part of its eighth DeltaClimeVT business accelerator cohort on March 7, 2024 and received $25,000 in funding in the form of grant. Previously, the company joined Berkeley SkyDeck as a part of its Batch 17 on an undisclosed date and received $200,000 in funding. Prior to that, the company raised $3.1 million of seed funding from Better Ventures, Powerhouse Ventures and MUUS Climate Partners on February 7, 2024. Berkeley SkyDeck Fund also participated in this round. The funding was initially raised in the form of convertible debt which subsequently got converted to equity. Before that, the company joined Net Zero Accelerator as a part of its 2024 Cohort in 2024. No equity or funding was exchanged as a result of this program.</t>
  </si>
  <si>
    <t>Berkeley SkyDeck, Berkeley SkyDeck Fund, Better Ventures, DeltaClimeVT, MUUS Climate Partners, Net Zero Accelerator, Powerhouse Ventures (Oakland)</t>
  </si>
  <si>
    <t>Berkeley SkyDeck (skydeck.berkeley.edu), Berkeley SkyDeck Fund (skydeck.vc), Better Ventures (www.better.vc), DeltaClimeVT (deltaclimevt.com), MUUS Climate Partners (www.muusclimate.com), Net Zero Accelerator (www.netzeroaccelerator.org), Powerhouse Ventures (Oakland) (www.powerhouse.fund)</t>
  </si>
  <si>
    <t>380098-45P</t>
  </si>
  <si>
    <t>Aimee Bailey</t>
  </si>
  <si>
    <t>aimee@rockrabbit.ai</t>
  </si>
  <si>
    <t>3150 Porter Drive</t>
  </si>
  <si>
    <t>info@rockrabbit.ai</t>
  </si>
  <si>
    <t>439420-96</t>
  </si>
  <si>
    <t>Rollin' Vets</t>
  </si>
  <si>
    <t>South by South Vets</t>
  </si>
  <si>
    <t>SxS Vets</t>
  </si>
  <si>
    <t>Rollin' Vets Group Inc.</t>
  </si>
  <si>
    <t>Provider of pet care services intended to offer a full-service mobile veterinary clinic on wheels. The company's services schedule routine check-ups and ensure that they are up to date on all vaccines offer accurate diagnosis and fast relief to the patient through rapid in-house lab testing and also provide surgical procedures, from routine spay and neutering to advanced procedures and complete dental work, enabling customers to treat their pets in an easier way.</t>
  </si>
  <si>
    <t>mobile veterinary services, pet care, pet service, pet treatment, veterinary clinic</t>
  </si>
  <si>
    <t>Angel-Backed</t>
  </si>
  <si>
    <t>www.rollinvets.com</t>
  </si>
  <si>
    <t>http://www.linkedin.com/company/rollin-vets</t>
  </si>
  <si>
    <t>2020: 17, 2021: 11, 2023: 19, 2024: 12</t>
  </si>
  <si>
    <t>The company raised $5 million of angel funding from undisclosed investors on December 15, 2021, putting the company's pre-money valuation at $10 million. The funds will be used to expand across the Lone Star State.</t>
  </si>
  <si>
    <t>Houston Angel Network</t>
  </si>
  <si>
    <t>Houston Angel Network (www.houstonangelnetwork.org)</t>
  </si>
  <si>
    <t>Republic Investment Services(Lead Manager or Arranger)</t>
  </si>
  <si>
    <t>179392-78P</t>
  </si>
  <si>
    <t>Patrick Lewis</t>
  </si>
  <si>
    <t>+1 (214) 202-6938</t>
  </si>
  <si>
    <t>5757 Holly Street</t>
  </si>
  <si>
    <t>+1 (713) 804-5824</t>
  </si>
  <si>
    <t>info@rollinvets.com</t>
  </si>
  <si>
    <t>343168-12</t>
  </si>
  <si>
    <t>Rosebud AI</t>
  </si>
  <si>
    <t>Rosebud</t>
  </si>
  <si>
    <t>Rosebud AI, Inc.</t>
  </si>
  <si>
    <t>Promethean AI, Leonardo.ai, Ludo AI</t>
  </si>
  <si>
    <t>Developer of artificial intelligence (AI) generated game assets designed to make visual content creation as accessible as composing a story. The company helps creators to create non-fungible token (NFT) collections with no smart contract or web3 experience and provides authoring and editing visual content by combining established computer graphics techniques with AI research, enabling customers to animate old photos and bring art to life.</t>
  </si>
  <si>
    <t>Artificial Intelligence &amp; Machine Learning, Cryptocurrency/Blockchain, Gaming</t>
  </si>
  <si>
    <t>content services, creator tools, custom imagery, game development, game engine, gaming development, generative ai, images generation, kms, knowledge management system, video generation</t>
  </si>
  <si>
    <t>Generative AI, NFTs</t>
  </si>
  <si>
    <t>www.rosebud.ai</t>
  </si>
  <si>
    <t>http://www.linkedin.com/company/rosebud-ai</t>
  </si>
  <si>
    <t>2021: 6, 2022: 12</t>
  </si>
  <si>
    <t>The company raised $6.6 million of venture funding in a deal led by Animoca Brands on December 21, 2021. Khosla Ventures, Andreessen Horowitz and 15 other investors also participated in the round. Previously, the company joined Gold House Ventures as a part of its Spring 2021 on April 7, 2021 and received $250,000 in funding. The funding was originally raised in the form of SAFE Notes and subsequently converted to equity.</t>
  </si>
  <si>
    <t>Adam D'Angelo, Amplify Partners, Andreessen Horowitz, Andrej Karpathy, Animoca Brands, Ankur Goyal, Balaji Srinivasan, Chris Messina, David Carrico, Essence Venture Capital, Foothill Ventures, GameChangers, Gold House Ventures, Holly Liu, Illia Polosukhin, Ilya Sutskever, Jake Klamka, Jeff Dean, Jon Snoddy, JUMP Investors, Kevin Lin, Khosla Ventures, Kun Gao, Lattice Capital, Leigh Braswell, L'Oréal (Beauty), Lux Capital, Peter Chen, Samuel Teller, Sfermion, Soma Capital, Timothy Chen, Valor Equity Partners, Ventek Ventures, XRM Media, Y Combinator</t>
  </si>
  <si>
    <t>Amplify Partners (www.amplifypartners.com), Andreessen Horowitz (www.a16z.com), Animoca Brands (www.animocabrands.com), Balaji Srinivasan (balajis.com), Chris Messina (chrismessina.me), David Carrico (davidcarricofiction.com), Essence Venture Capital (www.essencevc.fund), Foothill Ventures (www.foothill.ventures), Gold House Ventures (www.goldhouse.org), JUMP Investors (www.jumpinvestors.com), Khosla Ventures (www.khoslaventures.com), Lattice Capital (www.lattice.fund), L'Oréal (Beauty) (www.lorealusa.com), Lux Capital (www.luxcapital.com), Sfermion (www.sfermion.io), Soma Capital (somacap.com), Valor Equity Partners (www.valorep.com), Ventek Ventures (www.ventek.vc), XRM Media (xrmmedia.com), Y Combinator (www.ycombinator.com)</t>
  </si>
  <si>
    <t>168819-49P</t>
  </si>
  <si>
    <t>Lisha Li</t>
  </si>
  <si>
    <t>lisha@rosebudai.com</t>
  </si>
  <si>
    <t>78 Villanova Drive</t>
  </si>
  <si>
    <t>info@rosebudai.com</t>
  </si>
  <si>
    <t>399664-00</t>
  </si>
  <si>
    <t>Rosy</t>
  </si>
  <si>
    <t>Rosy Wellness, Inc.</t>
  </si>
  <si>
    <t>Juicebox, YourDOST, Coral (Information Services (B2C)), Lover App, Clue, Dipsea, Wysa, Meet You</t>
  </si>
  <si>
    <t>Developer of a subscription-based wellness application designed to address sexual problems, questions, and concerns. The company's application offers educational videos, erotic short stories, and guided self-help classes in real-time, from the comfort, safety and privacy of their home, enabling women to improve their sexual function as well as the technology to connect with experts in real-time.</t>
  </si>
  <si>
    <t>Application Software, Information Services (B2C)*, Other Healthcare Technology Systems</t>
  </si>
  <si>
    <t>FemTech, HealthTech, LOHAS &amp; Wellness, Mobile</t>
  </si>
  <si>
    <t>general wellness, health coaching, personalized health, physical wellness, reproductive health, sexual awareness, sexual healthcare, sexual wellness, sexual wellness solutions, wellness application, wellness program, women's health</t>
  </si>
  <si>
    <t>www.meetrosy.com</t>
  </si>
  <si>
    <t>http://www.linkedin.com/company/meet_rosy</t>
  </si>
  <si>
    <t>2020: 12, 2021: 14, 2022: 16, 2023: 6</t>
  </si>
  <si>
    <t>The company joined AgeTech Collaborative as a part of Fall 2023 Accelerator on November 30, 2023. No equity or funding was exchanged as a result of this program.</t>
  </si>
  <si>
    <t>Advisors.Fund, AgeTech Collaborative, Alex Snodgrass, AngelMD, Cultivation Capital, Erin Newman, Health Wildcatters, Insight Partners, James Beshara, Joyance Partners, Mindshift Capital, Plug and Play Tech Center, Portfolia, Samothrace Partners, SoGal Ventures, Springboard Enterprises, Startup Creasphere, The Chicago Booth Angel Network of Silicon Valley, Triad Strategies LLC, True Wealth Ventures, University of Chicago Booth School of Business, WBL Fellows Program</t>
  </si>
  <si>
    <t>Advisors.Fund (www.advisors.fund), AgeTech Collaborative (www.agetechcollaborative.org), AngelMD (www.angelmd.com), Cultivation Capital (www.cultivationcapital.com), Health Wildcatters (www.healthwildcatters.com), Insight Partners (www.insightpartners.com), Joyance Partners (www.joyancepartners.com), Mindshift Capital (www.mindshiftcapital.com), Plug and Play Tech Center (www.plugandplaytechcenter.com), Portfolia (www.portfolia.co), Samothrace Partners (samothracepartners.com), SoGal Ventures (www.sogalventures.com), Springboard Enterprises (www.springboardenterprises.org), Startup Creasphere (startupcreasphere.com), The Chicago Booth Angel Network of Silicon Valley (cbansv.com), Triad Strategies LLC (triadstrategies.com), True Wealth Ventures (www.truewealthvc.com), University of Chicago Booth School of Business (www.chicagobooth.edu)</t>
  </si>
  <si>
    <t>220695-13P</t>
  </si>
  <si>
    <t>Lyndsey Harper</t>
  </si>
  <si>
    <t>lyndsey@meetrosy.com</t>
  </si>
  <si>
    <t>+1 (469) 249-2377</t>
  </si>
  <si>
    <t>Dallas, TX</t>
  </si>
  <si>
    <t>2200 Commerce Street</t>
  </si>
  <si>
    <t>Dallas</t>
  </si>
  <si>
    <t>75201</t>
  </si>
  <si>
    <t>hello@meetrosy.com</t>
  </si>
  <si>
    <t>482438-08</t>
  </si>
  <si>
    <t>Rowy</t>
  </si>
  <si>
    <t>Rowy Inc.</t>
  </si>
  <si>
    <t>Developer of a low-code platform designed to build any product's backend functionality and database as easily as using spreadsheets. The company's platform a no-code-like ease to building any product with the ability to manage a database, enabling developers and users to retain full coding extensibility anytime they need it on a scalable cloud platform and build any ambitious or complex idea without limits.</t>
  </si>
  <si>
    <t>ai workflow platform, ai workforce, backend infrastructure, cloud infrastructure, developer tools, full stack software</t>
  </si>
  <si>
    <t>www.rowy.io</t>
  </si>
  <si>
    <t>http://www.linkedin.com/company/rowy</t>
  </si>
  <si>
    <t>2021: 3, 2022: 7, 2023: 9, 2024: 15</t>
  </si>
  <si>
    <t>The company joined Google for Startups' AI First program on September 18, 2024.</t>
  </si>
  <si>
    <t>Aarthi Ramamurthy, AI Grant, Austen Allred, Balaji Srinivasan, Brianne Kimmel, Cassidy Williams, Daniel Gross, David Mytton, Google for Startups, Guillermo Rauch, Joseph Jacks, Kyle Parrish, Nat Friedman, Stephanie Friedman</t>
  </si>
  <si>
    <t>AI Grant (aigrant.org), Balaji Srinivasan (balajis.com), Google for Startups (startup.google.com)</t>
  </si>
  <si>
    <t>269988-94P</t>
  </si>
  <si>
    <t>Harini Janakiraman</t>
  </si>
  <si>
    <t>harini@rowy.io</t>
  </si>
  <si>
    <t>hello@rowy.io</t>
  </si>
  <si>
    <t>517659-94</t>
  </si>
  <si>
    <t>Rubber Ducky Labs</t>
  </si>
  <si>
    <t>Rubber Ducky Labs, Inc.</t>
  </si>
  <si>
    <t>Instana, Qlik Technologies, Tableau Software, Egnyte, Datadog, Devo, Sumo Logic, Paxata, Hyland Software, Sitecore, Catchpoint, Sinequa, Prometheus (Business/Productivity Software), MuleSoft, Pulseway, CA Technologies, TIBCO Software, Anodot, New Relic, BMC Software, SignalFx, ITRS Group, ClearStory Data, Dynatrace, SolarWinds, InfluxData, BlazeMeter, Alteryx, Nagios, Unifi (Data Platform), Talend, Cloud Software Group, Loggly, Veritas Technologies, Altair Engineering (Business/Productivity Software), Ivanti, Uptrends, PagerDuty, Firebase, Moogsoft, BeyondTrust, Chef Software, Rubrik, Coveo</t>
  </si>
  <si>
    <t>Developer of an operational analytics platform designed to improve ML-powered product recommendations. The company's platform helps to debug, analyze, and improve recommender systems, allowing machine learning teams to move faster on projects that have a direct impact on the company's bottom line.</t>
  </si>
  <si>
    <t>analytics app, developer tools, operations systems, product recommendation, product recommendation tools, saas-based app</t>
  </si>
  <si>
    <t>www.rubberduckylabs.io</t>
  </si>
  <si>
    <t>http://www.linkedin.com/company/rubber-ducky-labs</t>
  </si>
  <si>
    <t>2023: 2, 2024: 3</t>
  </si>
  <si>
    <t>The company raised $1.5 million of seed funding in a deal led by Bain Capital Ventures on June 22, 2023. Cadenza Capital, Brad Klingenberg, Patrick Hayes, and David Aronchick also participated in the round. The funds will be used to expand the company's operations and its business reach.</t>
  </si>
  <si>
    <t>Bain Capital Ventures, Brad Klingenberg, Cadenza Capital, David Aronchick, Patrick Hayes, Y Combinator</t>
  </si>
  <si>
    <t>Bain Capital Ventures (www.baincapitalventures.com), Cadenza Capital (www.cadenza.vc), Y Combinator (www.ycombinator.com)</t>
  </si>
  <si>
    <t>330086-89P</t>
  </si>
  <si>
    <t>Alexandra Johnson</t>
  </si>
  <si>
    <t>Suite 4809</t>
  </si>
  <si>
    <t>hello@rubberduckylabs.io</t>
  </si>
  <si>
    <t>492593-95</t>
  </si>
  <si>
    <t>Runner</t>
  </si>
  <si>
    <t>Hire Runner</t>
  </si>
  <si>
    <t>Hire Runner Co.</t>
  </si>
  <si>
    <t>Operator of a recruitment platform intended to connect startups with operations people looking for part-time work. The company's platform seeks to combat some tensions in early-stage startup building by helping them to add people that the team needs fractionally, along with helping individuals to curate their career path, enabling startups to get access to desired talents they need for growing their business.</t>
  </si>
  <si>
    <t>hiring platform, hiring platform developer, labor marketplace, labor recruitment, recruitment platform operator, startup hiring</t>
  </si>
  <si>
    <t>www.hirerunner.co</t>
  </si>
  <si>
    <t>http://www.linkedin.com/company/hirerunner</t>
  </si>
  <si>
    <t>2022: 165</t>
  </si>
  <si>
    <t>The company raised $383,484 of equity crowdfunding in the form of SAFE notes via Republic on October 31, 2022.</t>
  </si>
  <si>
    <t>360 Venture Collective, Backstage Capital, Freada Klein, Gaingels, Precursor Ventures, Tundra Ventures</t>
  </si>
  <si>
    <t>360 Venture Collective (www.360venturecollective.com), Backstage Capital (www.backstagecapital.com), Gaingels (www.gaingels.com), Precursor Ventures (precursorvc.com), Tundra Ventures (www.tundravc.com)</t>
  </si>
  <si>
    <t>129652-03P</t>
  </si>
  <si>
    <t>Arlan Hamilton</t>
  </si>
  <si>
    <t>arlan@backstagecapital.com</t>
  </si>
  <si>
    <t>+1 (832) 531-5684</t>
  </si>
  <si>
    <t>6121 Sunset Boulevard</t>
  </si>
  <si>
    <t>90028</t>
  </si>
  <si>
    <t>info@hirerunner.co</t>
  </si>
  <si>
    <t>535937-32</t>
  </si>
  <si>
    <t>RunSybil</t>
  </si>
  <si>
    <t>RunSybil Corp.</t>
  </si>
  <si>
    <t>Provider of active defense services intended to automate hacker intuition. The company offers offensive security capabilities based on the state-of-the-art in artificial intelligence and exploitation, enabling clients to automate hacker intuition and drive the speed and cost of vulnerability discovery down to zero.</t>
  </si>
  <si>
    <t>Business/Productivity Software*, Media and Information Services (B2B), Systems and Information Management</t>
  </si>
  <si>
    <t>active defense systems, generative ai, hacking protection services, network security, network security firm, offensive security, offensive security services</t>
  </si>
  <si>
    <t>www.runsybil.com</t>
  </si>
  <si>
    <t>http://www.linkedin.com/company/runsybil</t>
  </si>
  <si>
    <t>The company raised $8 million of seed funding in a deal led by Conviction Partners, Elad Gil, Daniel Gross and Nat Friedman on July 10, 2024. Other undisclosed investors also participated in the round.</t>
  </si>
  <si>
    <t>Conviction Partners, Daniel Gross, Elad Gil, Nat Friedman</t>
  </si>
  <si>
    <t>Conviction Partners (conviction.com), Elad Gil (www.eladgil.com)</t>
  </si>
  <si>
    <t>366415-03P</t>
  </si>
  <si>
    <t>Ariel Voss</t>
  </si>
  <si>
    <t>ari@runsybil.com</t>
  </si>
  <si>
    <t>228975-58</t>
  </si>
  <si>
    <t>S2N Health</t>
  </si>
  <si>
    <t>S2N</t>
  </si>
  <si>
    <t>S2N Health, Inc.</t>
  </si>
  <si>
    <t>Definitive Healthcare</t>
  </si>
  <si>
    <t>Operator of a consulting firm intended to provide business and marketing strategy support to the emerging medical technology community. The company's services provide communications, informed business guidance, and market development support from product concept through early sales, full-service strategic marketing support from the highly analytical to the tactical, leveraging a network of like-minded practitioners in regulatory, reimbursement and other disciplines to meet the needs of med tech innovators practical, enabling healthcare firms to achieve growth and success.</t>
  </si>
  <si>
    <t>Business/Productivity Software, Consulting Services (B2B)*, Media and Information Services (B2B), Other Healthcare Technology Systems</t>
  </si>
  <si>
    <t>ai-powered analytics, business consulting, healthcare consulting, healthcare data, market development services, marketing services, medical consulting firm</t>
  </si>
  <si>
    <t>www.s2nhealth.com</t>
  </si>
  <si>
    <t>http://www.linkedin.com/company/s2n-health</t>
  </si>
  <si>
    <t>2022: 20, 2023: 20, 2024: 26</t>
  </si>
  <si>
    <t>The company raised $3.11 million of seed funding in a deal led by Excelerate Health Ventures on May 9, 2024, putting the company's pre-money valuation at $3.49 million. Boston Millennia Partners also participated in the round.</t>
  </si>
  <si>
    <t>Boston Millennia Partners, Excelerate Health Ventures</t>
  </si>
  <si>
    <t>Boston Millennia Partners (www.bostonmillenniapartners.com), Excelerate Health Ventures (www.exceleratehealth.com)</t>
  </si>
  <si>
    <t>186142-96P</t>
  </si>
  <si>
    <t>Amy Siegel</t>
  </si>
  <si>
    <t>asiegel@s2nhealth.com</t>
  </si>
  <si>
    <t>+1 (617) 701-6315</t>
  </si>
  <si>
    <t>50 Milk Street</t>
  </si>
  <si>
    <t>16th Floor</t>
  </si>
  <si>
    <t>02109</t>
  </si>
  <si>
    <t>info@s2nhealth.com</t>
  </si>
  <si>
    <t>496717-39</t>
  </si>
  <si>
    <t>Saga Chain Limited</t>
  </si>
  <si>
    <t>Chainstack, Alchemy ( Software Development Applications), Blockdaemon, Zeeve</t>
  </si>
  <si>
    <t>Developer of a self-service blockchain platform designed to make it easy to launch and manage a blockchain network. The company's platform offers a suite of tools for provisioning, deploying, and managing blockchains, enabling businesses to spin up their own custom networks without the need for any technical expertise.</t>
  </si>
  <si>
    <t>Business/Productivity Software*, Financial Software, Software Development Applications</t>
  </si>
  <si>
    <t>blockchain infrastructure, blockchain network, blockchain network ecosystem, blockchain platform developer, decentralized database, game developer tools, gaming development, layer 1, protocol development, security model, token system, web3 data</t>
  </si>
  <si>
    <t>www.saga.xyz</t>
  </si>
  <si>
    <t>http://www.linkedin.com/company/saga-xyz</t>
  </si>
  <si>
    <t>2022: 3, 2023: 15, 2024: 16</t>
  </si>
  <si>
    <t>The company raised an undisclosed amount of seed funding in a deal led by Placeholder Capital on January, 2024. Com2uS, Dispersion Capital, Red Beard Ventures, AVID3, LongHash Ventures, Tykhe Block Ventures, No Limit Holdings and other undisclosed investors also participated in the round. The funds will be used to expand the company's team of cutting-edge technologists, ambitiously building its community and ecosystem activation via strategic partnerships, and growing its Innovator Program.</t>
  </si>
  <si>
    <t>Akash Network, Alex Shin, AVID3, Bo Du, Chorus Ventures, Com2uS, CRIT Ventures, Dispersion Capital, Figment Capital, Garrette Furo, GSR Ventures, Hustle Fund, Hypersphere Ventures, Ignite, Jae Kwon, LongHash Ventures, Maven 11, Merit Circle, nfr, Nicholas Tomaino, No Limit Holdings, Peter Kim, Placeholder (Private Equity), Polygon Studios, Red Beard Ventures, Samsung NEXT Ventures, Strangelove Ventures, Tess Ventures, Tykhe Block Ventures, Unanimous Capital, XPLA, Zaki Manian</t>
  </si>
  <si>
    <t>Akash Network (www.akash.network), AVID3 (www.avid3.xyz), Chorus Ventures (www.chorus.one), Com2uS (www.com2us.com), CRIT Ventures (www.crit.vc), Dispersion Capital (www.dispersion.xyz), Figment Capital (www.figmentcapital.io), GSR Ventures (www.gsrventuresus.com), Hustle Fund (www.hustlefund.vc), Hypersphere Ventures (www.hypersphere.ventures), Ignite (www.ignite.com), LongHash Ventures (www.longhash.vc), Maven 11 (www.maven11.com), Merit Circle (www.meritcircle.io), nfr (www.nfr.ventures), No Limit Holdings (www.nolimitholdings.xyz), Placeholder (Private Equity) (www.placeholder.vc), Polygon Studios (www.polygonstudios.com), Red Beard Ventures (redbeard.ventures), Samsung NEXT Ventures (www.samsungnext.com), Strangelove Ventures (www.strange.love), Tess Ventures (www.tessventures.com), Tykhe Block Ventures (tykheblock.ventures), Unanimous Capital (www.unanimous.vc), XPLA (www.xpla.io)</t>
  </si>
  <si>
    <t>176416-21P</t>
  </si>
  <si>
    <t>Rebecca Liao</t>
  </si>
  <si>
    <t>rebecca.liao@saga.xyz</t>
  </si>
  <si>
    <t>+1 (650) 887-4860</t>
  </si>
  <si>
    <t>Tempe, AZ</t>
  </si>
  <si>
    <t>Tempe</t>
  </si>
  <si>
    <t>info@saga.xyz</t>
  </si>
  <si>
    <t>520045-30</t>
  </si>
  <si>
    <t>Salsa</t>
  </si>
  <si>
    <t>Pearl</t>
  </si>
  <si>
    <t>Superordinary Inc.</t>
  </si>
  <si>
    <t>Typo, Tribes (Social/Platform Software)</t>
  </si>
  <si>
    <t>Developer of a decentralized application designed for personalized communication. The company's application offers messaging app that uses on-chain data to add context to wallet-native messaging, enabling user networks and brands to engage their audience in a crypto-native and trustless way.</t>
  </si>
  <si>
    <t>Communication Software, Financial Software*</t>
  </si>
  <si>
    <t>blockchain messaging, chat application, chat application development, decentralized communication, decentralized project, personalized messaging, poap technology</t>
  </si>
  <si>
    <t>www.salsa.me</t>
  </si>
  <si>
    <t>http://www.linkedin.com/company/salsadotme</t>
  </si>
  <si>
    <t>2023: 5, 2024: 3</t>
  </si>
  <si>
    <t>The company raised $2 million of seed funding in a deal led by IDEO CoLab Ventures and Inflection on February 16, 2023. Superscrypt and 9 other investors also participated in the round. The funds will be used to expand the company's newly launched mobile app to brands looking for a crypto-native way to engage their audiences.</t>
  </si>
  <si>
    <t>Balaji Srinivasan, Dan Romero, Gmoney Gmoney, Henri Stern, IDEO CoLab Ventures, Inflection, Khan Tasinga, Liam Horne, Nader Al-Naji, Patricio Worthalter, Simona Pop, Superscrypt</t>
  </si>
  <si>
    <t>Balaji Srinivasan (balajis.com), Dan Romero (danromero.org), IDEO CoLab Ventures (www.ideocolab.com), Inflection (www.inflection.xyz), Superscrypt (www.superscrypt.xyz)</t>
  </si>
  <si>
    <t>335844-46P</t>
  </si>
  <si>
    <t>Helena Gagern</t>
  </si>
  <si>
    <t>674457-67</t>
  </si>
  <si>
    <t>Sandgarden</t>
  </si>
  <si>
    <t>Developer of an artificial intelligence platform intended to prototype, iterate, and deploy AI applications. The company's platform reduces the time and complexity involved in the AI experimentation cycle and promotes collaboration between engineering, infrastructure, and product teams, enabling organizations to move from concept to production quickly.</t>
  </si>
  <si>
    <t>ai development platform, application development, collaboration tool, data integration, infrastructure management, rapid prototyping</t>
  </si>
  <si>
    <t>www.sandgarden.com</t>
  </si>
  <si>
    <t>http://www.linkedin.com/company/sandgarden</t>
  </si>
  <si>
    <t>The company raised $4.49 million of Pre-Seed funding in a deal led by Resolute Ventures and Crane Venture Partners on August 28, 2024, putting the company's pre-money valuation at $13.99 million. RMS, HearstLab, Locke Mountain Ventures, and 2 other investors also participated in the round. The funds will be used to expand operations and the company's development efforts.</t>
  </si>
  <si>
    <t>Crane Venture Partners, HearstLab, Jerry Neumann, Locke Mountain Ventures, Panache Ventures, Resolute Ventures, RMS</t>
  </si>
  <si>
    <t>Crane Venture Partners (www.crane.vc), HearstLab (www.hearstlab.com), Panache Ventures (www.panache.vc), Resolute Ventures (www.resolute.vc), RMS (www.gorms.com)</t>
  </si>
  <si>
    <t>40154-59P</t>
  </si>
  <si>
    <t>Elizabeth Zalman</t>
  </si>
  <si>
    <t>info@sandgarden.com</t>
  </si>
  <si>
    <t>466129-00</t>
  </si>
  <si>
    <t>Sanlo</t>
  </si>
  <si>
    <t>Sanlo, Inc.</t>
  </si>
  <si>
    <t>Developer of multi-platform monetization technology designed to manage the finances and get smart capital to grow for gaming and app companies. The company offers guidance, access to technology, tools, and insights into apps and games it finances, enabling companies to achieve smart and scalable growth while remaining financially healthy.</t>
  </si>
  <si>
    <t>Business/Productivity Software, Entertainment Software, Financial Software*, Other Financial Services</t>
  </si>
  <si>
    <t>Artificial Intelligence &amp; Machine Learning, FinTech, Gaming</t>
  </si>
  <si>
    <t>financial insights, gaming business, gaming industry, monetization model, monetization tools, payment processing, payment technology, webshop services</t>
  </si>
  <si>
    <t>www.sanlo.io</t>
  </si>
  <si>
    <t>http://www.linkedin.com/company/sanloio</t>
  </si>
  <si>
    <t>2021: 17, 2022: 19, 2023: 35, 2024: 40</t>
  </si>
  <si>
    <t>The company raised $10.1 million of Series A venture funding in a deal led by Konvoy Ventures on April 26, 2022, putting the company's pre-money valuation at $30 million. FirstCash and 8 other investors also participated in the round. The funds will be used to scale the financial OS and bring $200M of developer-friendly Growth Capital to game and app developers.</t>
  </si>
  <si>
    <t>Anjney Midha, Charley Ma, Fin Capital, FirstCash, GFR Fund, Gokul Rajaram, Index Ventures, Initial Capital, Kevin Moore, Konvoy Ventures, Kristian Segestrale, London Venture Partners, Louis Beryl, Marc Bhargava, Portage, Quain Investments, Siqi Chen, XYZ Venture Capital</t>
  </si>
  <si>
    <t>Fin Capital (fin.capital), FirstCash (www.firstcash.com), GFR Fund (www.gfrfund.com), Index Ventures (www.indexventures.com), Initial Capital (www.initialcapital.com), Kevin Moore (www.agileangel.com), Konvoy Ventures (www.konvoy.vc), London Venture Partners (www.londonvp.com), Portage (portageinvest.com), Quain Investments (www.quaininvestments.com), XYZ Venture Capital (www.xyz.vc)</t>
  </si>
  <si>
    <t>262616-86P</t>
  </si>
  <si>
    <t>Olya Caliujnaia</t>
  </si>
  <si>
    <t>olya@sanlo.io</t>
  </si>
  <si>
    <t>+1 (415) 787-2656</t>
  </si>
  <si>
    <t>Office 69770</t>
  </si>
  <si>
    <t>info@sanlo.io</t>
  </si>
  <si>
    <t>433107-73</t>
  </si>
  <si>
    <t>Satellite (IT Consulting and Outsourcing)</t>
  </si>
  <si>
    <t>Satellite Innovations, Inc.</t>
  </si>
  <si>
    <t>Provider of business scaling solutions intended to help businesses grow business firms efficiently and quickly. The company provides highly skilled engineers, vibrant private workspaces, and complete operations while putting customers in control of the software development process, helping businesses save costs and eliminate engineer recruiting challenges.</t>
  </si>
  <si>
    <t>Human Capital Services, IT Consulting and Outsourcing*</t>
  </si>
  <si>
    <t>business scaling services, business scaling solutions, business scaling technology, data science, it services company, team building services</t>
  </si>
  <si>
    <t>www.satelliteinnovations.io</t>
  </si>
  <si>
    <t>http://www.linkedin.com/company/satelliteinnovations</t>
  </si>
  <si>
    <t>2021: 62, 2024: 80</t>
  </si>
  <si>
    <t>The company raised $1.85 million of venture funding from 32 Ventures and other undisclosed investors on March 10, 2020.</t>
  </si>
  <si>
    <t>32 Ventures</t>
  </si>
  <si>
    <t>224904-79P</t>
  </si>
  <si>
    <t>Eugenia Vanderstarren</t>
  </si>
  <si>
    <t>eugenia@satelliteinnovations.io</t>
  </si>
  <si>
    <t>+1 (646) 397-3373</t>
  </si>
  <si>
    <t>1111 Brickell Avenue</t>
  </si>
  <si>
    <t>hello@satelliteinnovations.io</t>
  </si>
  <si>
    <t>95038-03</t>
  </si>
  <si>
    <t>SchooLinks</t>
  </si>
  <si>
    <t>SchooLinks Inc.</t>
  </si>
  <si>
    <t>Hobsons, Mainstay (Educational Software), InsideTrack, MaiaLearning, Mindler (Educational Software), Higher Learning Technologies, Naviance, Blackboard, XAP, Kuder, SchoolMint, The Learning House, Overgrad</t>
  </si>
  <si>
    <t>Developer of a modern college and career readiness platform designed to support districts and students through all aspects of post-secondary planning. The company's platform leverages machine learning algorithms to streamline back-office logistics, including personal graduation plans, course planning, and endorsement track, enabling students to plan courses that align with their interests and goals.</t>
  </si>
  <si>
    <t>Artificial Intelligence &amp; Machine Learning, EdTech, Virtual Reality</t>
  </si>
  <si>
    <t>college planning, college readiness, consumer data analytics, education management, educational platform, higher education information, scholarship application, scholarship application platform, vertical application, virtual reality tour</t>
  </si>
  <si>
    <t>www.schoolinks.com</t>
  </si>
  <si>
    <t>http://www.linkedin.com/company/schoolinks</t>
  </si>
  <si>
    <t>2016: 6, 2017: 11, 2018: 6, 2019: 15, 2021: 76</t>
  </si>
  <si>
    <t>The company raised $80 million of Series B venture funding in a deal led by Susquehanna Growth Equity on October 21, 2024, putting the company's pre-money valuation at $223 million. ASA Ventures,The Stephens Group and Strada Investment Group also participated in the round. The funds will be used in a growing suite of CCR offerings and accelerate its growing ecosystem of products that facilitate connectivity between K-12, higher education, and employers.</t>
  </si>
  <si>
    <t>ASA Ventures, Capital Factory, Charles Thornburgh, Juvo Ventures, Kevin Ma, LiveOak Ventures, SJF Ventures, Strada Investment Group, Susquehanna Growth Equity, Texas Venture Labs, The Stephens Group</t>
  </si>
  <si>
    <t>ASA Ventures (www.asa.ventures), Capital Factory (www.capitalfactory.com), Juvo Ventures (juvovc.org), LiveOak Ventures (www.liveoak.vc), SJF Ventures (www.sjfventures.com), Strada Investment Group (www.stradasf.com), Susquehanna Growth Equity (www.sgep.com), Texas Venture Labs (blogs.mccombs.utexas.edu/texasventurelabs), The Stephens Group (www.stephensgroup.com)</t>
  </si>
  <si>
    <t>171094-24P</t>
  </si>
  <si>
    <t>Katie Fang</t>
  </si>
  <si>
    <t>katie@schoolinks.com</t>
  </si>
  <si>
    <t>+1 (512) 710-9922</t>
  </si>
  <si>
    <t>PO Box 274</t>
  </si>
  <si>
    <t>78767</t>
  </si>
  <si>
    <t>info@schoolinks.com</t>
  </si>
  <si>
    <t>431600-41</t>
  </si>
  <si>
    <t>Scribe</t>
  </si>
  <si>
    <t>Cursive</t>
  </si>
  <si>
    <t>Colony Labs, Inc.</t>
  </si>
  <si>
    <t>Tango, Whatfix, Screencastify</t>
  </si>
  <si>
    <t>Developer of a workflow documentation platform designed to analyze, optimize, and standardize processes of information. The company's platform leverages machine learning and artificial intelligence that blends ideas from vision and user experience, enabling companies to generate documentation for repetitive work automatically.</t>
  </si>
  <si>
    <t>ai automation platform, artificial intelligence engine, content services, customer database, document sharing, documentation management, documentation tools, kms, knowledge management system, machine learning data, productivity manager</t>
  </si>
  <si>
    <t>www.scribehow.com</t>
  </si>
  <si>
    <t>http://www.linkedin.com/company/scribehow</t>
  </si>
  <si>
    <t>2020: 5, 2021: 20, 2022: 54, 2024: 60</t>
  </si>
  <si>
    <t>The company raised $25 million of Series B venture funding in a deal led by New York Life Ventures and Redpoint Ventures on February 15, 2024, putting the company's pre-money valuation at $220 million. XYZ Venture Capital, Tiger Global Management, and Amplify Partners also participated in the round. The funds will be used to automate internal knowledge capture.</t>
  </si>
  <si>
    <t>Allison Pickens Ventures, AME Cloud Ventures, Amplify Partners, Eric Wu, Haystack Management Company, John Thompson, Kickstart Accelerator, Morado Ventures, New York Life Ventures, Nikhil Mehta, Plug and Play Tech Center, Redpoint Ventures, Scott Belsky, Sweat Equity Ventures, The General Partnership, Tiger Global Management, Wolfswood Partners, XYZ Venture Capital</t>
  </si>
  <si>
    <t>Allison Pickens Ventures (allisonpickens.com), AME Cloud Ventures (www.amecloudventures.com), Amplify Partners (www.amplifypartners.com), Haystack Management Company (haystack.vc), Kickstart Accelerator (www.kickstart-innovation.com), Morado Ventures (www.moradoventures.com), New York Life Ventures (www.nylventures.com), Plug and Play Tech Center (www.plugandplaytechcenter.com), Redpoint Ventures (www.redpoint.com), Scott Belsky (www.scottbelsky.com), Sweat Equity Ventures (www.sweatequity.vc), The General Partnership (www.thegp.com), Tiger Global Management (www.tigerglobal.com), Wolfswood Partners (www.wolfswoodpartners.com), XYZ Venture Capital (www.xyz.vc)</t>
  </si>
  <si>
    <t>Grellas Shah(Legal Advisor)</t>
  </si>
  <si>
    <t>222370-30P</t>
  </si>
  <si>
    <t>Jennifer Smith</t>
  </si>
  <si>
    <t>jennifer@colonylabs.io</t>
  </si>
  <si>
    <t>+1 (408) 716-3792</t>
  </si>
  <si>
    <t>1 Bluxome Street</t>
  </si>
  <si>
    <t>Suite 312</t>
  </si>
  <si>
    <t>contact@scribehow.com</t>
  </si>
  <si>
    <t>510193-54</t>
  </si>
  <si>
    <t>Seamly</t>
  </si>
  <si>
    <t>Seamly Systems, Inc.</t>
  </si>
  <si>
    <t>CLO, Tailornova, Browzwear, Lectra</t>
  </si>
  <si>
    <t>Developer of computer-aided software designed to increase profitability and lower waste for fashion brands. The company's platform offers tools to create scalable, sharable custom-fit patterns using bespoke tailoring, haute couture, and historical pattern drafting techniques, enabling the fashion industry to increase profits, heighten creativity, and reduce waste through three dimentional-body-scan-to-pattern automation, collaborative design, and simulation.</t>
  </si>
  <si>
    <t>apparel design platform, artificial intelligence apparel, augmented reality, digital fashion, digital fashion company, fashion software</t>
  </si>
  <si>
    <t>seamly.io</t>
  </si>
  <si>
    <t>http://www.linkedin.com/company/seamly-systems</t>
  </si>
  <si>
    <t>The company raised $100,000 of pre-seed funding in a deal led by Keyhorse Capital (KSTC) and Render Capital on October 1, 2023, putting the company's pre-money valuation at $2.4 million.</t>
  </si>
  <si>
    <t>GitHub Accelerator, Keyhorse Capital, Render Capital</t>
  </si>
  <si>
    <t>GitHub Accelerator (www.accelerator.github.com), Keyhorse Capital (www.keyhorse.vc), Render Capital (www.render.capital)</t>
  </si>
  <si>
    <t>Griesing Mazzeo Law(Legal Advisor), Pilot(Accounting)</t>
  </si>
  <si>
    <t>319947-85P</t>
  </si>
  <si>
    <t>Susan Spencer</t>
  </si>
  <si>
    <t>sue@seamly.io</t>
  </si>
  <si>
    <t>+1 (855) 588-4022</t>
  </si>
  <si>
    <t>Paducah, KY</t>
  </si>
  <si>
    <t>2701 Monroe Street</t>
  </si>
  <si>
    <t>Paducah</t>
  </si>
  <si>
    <t>42001</t>
  </si>
  <si>
    <t>hello@seamly.io</t>
  </si>
  <si>
    <t>539449-93</t>
  </si>
  <si>
    <t>Seeker Entertainment</t>
  </si>
  <si>
    <t>Seeker, Seeker (Entertainment Software)</t>
  </si>
  <si>
    <t>Seeker Games, Inc</t>
  </si>
  <si>
    <t>Operator of a video game development studio intended to focus on creating high-quality online games. The company provides deep meaningful social play in kind and inclusive settings while offering skill-based mastery, enabling gamers to get a captivating walkthrough experience.</t>
  </si>
  <si>
    <t>game development studio, gaming content, gaming developer, gaming publisher, gaming studio, multiplayer games, online gaming, video game developer</t>
  </si>
  <si>
    <t>www.seekergames.com</t>
  </si>
  <si>
    <t>http://www.linkedin.com/company/seeker-games</t>
  </si>
  <si>
    <t>2023: 6, 2024: 9</t>
  </si>
  <si>
    <t>The company raised $5.7 million of venture funding in a deal led by Anthos Capital on July 27, 2023, putting the company's pre-money valuation at $20 million. Dreamhaven, Riot Games, 1Up Ventures, and BITKRAFT Ventures also participated in the round.</t>
  </si>
  <si>
    <t>1Up Ventures, Anthos Capital, BITKRAFT Ventures, Dreamhaven, Riot Games</t>
  </si>
  <si>
    <t>1Up Ventures (1upfund.com), Anthos Capital (www.anthoscapital.com), BITKRAFT Ventures (www.bitkraft.vc), Dreamhaven (www.dreamhaven.com), Riot Games (www.riotgames.com)</t>
  </si>
  <si>
    <t>373028-14P</t>
  </si>
  <si>
    <t>Oksana Kubushyna</t>
  </si>
  <si>
    <t>okubushyna@seekergames.com</t>
  </si>
  <si>
    <t>1880 Veteran Avenue</t>
  </si>
  <si>
    <t>463270-78</t>
  </si>
  <si>
    <t>Seer (San Francisco)</t>
  </si>
  <si>
    <t>Seer</t>
  </si>
  <si>
    <t>StyleLab Inc.</t>
  </si>
  <si>
    <t>Developer of a customer engagement platform designed to help retail salespeople sell more using email and short message service. The company's platform helps retail salespeople create and send personalized shoppable lookbooks to their customers via email and SMS, enabling luxury sales associates to drive sales and attract more customers.</t>
  </si>
  <si>
    <t>business promoting, customer engagement, customer engagement platform, retail software developer, retail software platform, retail software system, sales software, sales software platform, software company</t>
  </si>
  <si>
    <t>www.helloseer.com</t>
  </si>
  <si>
    <t>http://www.linkedin.com/company/helloseer</t>
  </si>
  <si>
    <t>2021: 4, 2022: 13, 2023: 4, 2024: 7</t>
  </si>
  <si>
    <t>Red Bike Capital sold a stake in the company to an undisclosed buyer in approximately June 2023.</t>
  </si>
  <si>
    <t>Alarko Ventures, Decentralized VC, ESAS Ventures, Global Founders Capital, Immeasurable, Jonathan Ehrlich, Open Opportunity Fund, Pioneer Fund, Y Combinator</t>
  </si>
  <si>
    <t>Red Bike Capital</t>
  </si>
  <si>
    <t>Alarko Ventures (www.alarkoventures.com), Decentralized VC (www.joindvc.com), ESAS Ventures (www.esasventures.com), Global Founders Capital (www.globalfounderscapital.com), Immeasurable (www.immeasurable.com), Open Opportunity Fund (www.theopportunityfund.com), Pioneer Fund (www.pioneerfund.vc), Y Combinator (www.ycombinator.com)</t>
  </si>
  <si>
    <t>Red Bike Capital (www.redbikecapital.com)</t>
  </si>
  <si>
    <t>257562-28P</t>
  </si>
  <si>
    <t>Christina Czap</t>
  </si>
  <si>
    <t>christina@helloseer.com</t>
  </si>
  <si>
    <t>PMB 19914</t>
  </si>
  <si>
    <t>438399-91</t>
  </si>
  <si>
    <t>Select Star</t>
  </si>
  <si>
    <t>Select Star Inc.</t>
  </si>
  <si>
    <t>Alation, Sisense, Dundas Data Visualization, Chartio, Illuminate360, Reltio, Alteryx, Lone Star Analysis, TIBCO Software, Teraki, Stitch (Database Software), Integrate.io, Rever (Business/Productivity Software), Periscope Data, Grow, MapR, Koverse, Collibra, Code ( Business/Productivity Software), Panoply (Database Software), Global Data Excellence, Qubole, Astronomer, Centrifuge Analytics, Zaloni, Platfora, Dataiku, Noodle.ai, Vertica Systems, Mu Sigma, Knime, Clockwork Solutions, Salesforce, Idera, Allganize, Izenda, Squirro, Yseop, erwin, Data (Business/Productivity Software), Podium Data, SymphonyAI Sensa, Pendo Systems, Syniti, Domino Data Lab, Fivetran, Anaconda, DataGravity, Talend, MetricStream, Incorta, Denodo Technologies, Tamr, Neo4j, Atlan, Looker, GoldenSource, AtScale, FigShare, Think Big Analytics, Uptake, Titus, SensorUp, data.world, Cloudera, Paxata, ThoughtSpot, Netwrix, Knoema, Waterline Data, Predata, Simility, Avathon, Qlik Technologies, KONUX, Mode (Media and Information Services (B2B)), Trillium Software, Emailage, Digital Guardian, SAP LeanIX, AltHub, Hortonworks, Notion Data, Brandwatch, DataRobot, Yellowbrick Data, Databricks, Datameer, Metabase, Signifyd, PYA Analytics, Birst, Twilio Segment, DemandJump, WorkFusion, Crossbeam, GoodData, Trifacta, RapidMiner, Klipfolio, WEKA, Teradata, Egnyte, Riversand, Domo, Enigma (Database Software), Tableau Software, CognitiveScale, Testlio</t>
  </si>
  <si>
    <t>Developer of a data catalog and management tool designed to solve data discovery problems inside organizations. The company's tool helps in understanding information and its related questions about its structure and being used for enterprises, enabling data scientists and business analysts to fetch the right insights in less time.</t>
  </si>
  <si>
    <t>business intelligence, data analysis, data cataloguing, data discovery, data infrastructure, data quality tools, insights analysis, insights system, integration data, integration model</t>
  </si>
  <si>
    <t>www.selectstar.com</t>
  </si>
  <si>
    <t>http://www.linkedin.com/company/selectstarhq</t>
  </si>
  <si>
    <t>2020: 7, 2021: 18, 2022: 24, 2023: 100, 2024: 25</t>
  </si>
  <si>
    <t>The company raised $15 million of Series A venture funding in a deal led by Lightspeed Management Company on January 31, 2023, putting the company's pre-money valuation at $50 million. Bowery Capital and 7 other investors also participated in the round. The funds will be used to accelerate expanding business development efforts, helping to reach new customers and drive growth for the company.</t>
  </si>
  <si>
    <t>0 Ventures, Backbone Angels, Background Capital, Bowery Capital, Cardinia Ventures, Data Tech Fund, Jeremy Yap, Lightspeed Venture Partners, Michael Li, Nick Caldwell, Pebblebed, Ryan Denehy, Scott Belsky, Solmaz Shahalizadeh, Sozo Ventures, Spencer Kimball, TLC Collective, Uncommon Capital</t>
  </si>
  <si>
    <t>0 Ventures (www.0ventures.com), Backbone Angels (www.backboneangels.com), Background Capital (background.vc), Bowery Capital (www.bowerycap.com), Cardinia Ventures (www.cardiniaventures.com), Data Tech Fund (www.datatech.fund), Lightspeed Venture Partners (www.lsvp.com), Nick Caldwell (nickcaldwell.com), Pebblebed (www.pebblebed.com), Scott Belsky (www.scottbelsky.com), Sozo Ventures (www.sozoventures.com), TLC Collective (tlccollective.space), Uncommon Capital (www.uncommoncapital.vc)</t>
  </si>
  <si>
    <t>Acceleron Law Group(Legal Advisor), Gunderson Dettmer(Legal Advisor)</t>
  </si>
  <si>
    <t>106554-61P</t>
  </si>
  <si>
    <t>Shinji Kim</t>
  </si>
  <si>
    <t>skim@getselectstar.com</t>
  </si>
  <si>
    <t>+1 (415) 322-9653</t>
  </si>
  <si>
    <t>Suite 2064</t>
  </si>
  <si>
    <t>hello@getselectstar.com</t>
  </si>
  <si>
    <t>433807-66</t>
  </si>
  <si>
    <t>Sequel (Business/Productivity Software)</t>
  </si>
  <si>
    <t>Eleat Lunch, IntroVoke</t>
  </si>
  <si>
    <t>IntroVoke Inc.</t>
  </si>
  <si>
    <t>RingCentral Events, Airmeet</t>
  </si>
  <si>
    <t>Developer of a live branding platform designed to power virtual connections, hybrid live events, and elevated networking. The company's platform helps to engage their audiences and elevate their experience via virtual one-to-one or group networking as well as permits people to build long-lasting meaningful relationships, enabling organizations to turn any website into a virtual stage with pre-built live event components.</t>
  </si>
  <si>
    <t>CloudTech &amp; DevOps, Marketing Tech, SaaS, TMT</t>
  </si>
  <si>
    <t>crm, customer relationship management, digital events, live streaming, live streaming platform, meeting scheduling software, networking hub, saas platform, video branding, virtual event</t>
  </si>
  <si>
    <t>Virtual Events</t>
  </si>
  <si>
    <t>www.sequel.io</t>
  </si>
  <si>
    <t>http://www.linkedin.com/company/sequelio</t>
  </si>
  <si>
    <t>2020: 3, 2021: 7, 2022: 24, 2023: 23</t>
  </si>
  <si>
    <t>The company raised $8 million of Series A venture funding in a deal led by Javelin Venture Partners on August 24, 2022, putting the company's pre-money valuation at $20 million. Great Oaks Venture Capital and 7 other investors also participated in the round. The funds will be used to accelerate go-to-market strategies and grow the product and team.</t>
  </si>
  <si>
    <t>Alumni Ventures, Bharati Balakrishnan, Comcast NBCUniversal LIFT Labs, Great Oaks Venture Capital, Growth Warrior Capital, Javelin Venture Partners, Julius Genachowski, Marco Zappacosta, Michael Montero, Social Leverage, Struck Capital, Techstars, V1.vc, while Comcast</t>
  </si>
  <si>
    <t>Alumni Ventures (www.av.vc), Comcast NBCUniversal LIFT Labs (lift.comcast.com), Great Oaks Venture Capital (www.greatoaksvc.com), Growth Warrior Capital (www.gwc.vc), Javelin Venture Partners (www.javelinvp.com), Social Leverage (www.socialleverage.com), Struck Capital (www.struckcapital.com), Techstars (www.techstars.com), V1.vc (www.v1.vc)</t>
  </si>
  <si>
    <t>226830-79P</t>
  </si>
  <si>
    <t>Oana Manolache</t>
  </si>
  <si>
    <t>oana@introvoke.com</t>
  </si>
  <si>
    <t>+1 (470) 572-7449</t>
  </si>
  <si>
    <t>3031 Tisch Way</t>
  </si>
  <si>
    <t>110 Plaza West</t>
  </si>
  <si>
    <t>95128</t>
  </si>
  <si>
    <t>hello@sequel.io</t>
  </si>
  <si>
    <t>436978-36</t>
  </si>
  <si>
    <t>Serenity</t>
  </si>
  <si>
    <t>Serenity App, Inc.</t>
  </si>
  <si>
    <t>TigerConnect</t>
  </si>
  <si>
    <t>Operator of a communication platform designed to connect senior care providers with each other and with the families of those they serve. The company's platform bridges the communication gaps across the senior care journey including senior living staff, key family members, home health, home care, hospice, doctors, and caregivers, enabling users to increase the quality of care, improve provider productivity, and reduce family anxiety.</t>
  </si>
  <si>
    <t>aging population, assisted living, family caregivers, memory care, senior care, senior living, senior living care</t>
  </si>
  <si>
    <t>www.serenityconnect.com</t>
  </si>
  <si>
    <t>http://www.linkedin.com/company/serenityengage</t>
  </si>
  <si>
    <t>2020: 2, 2021: 7, 2022: 6, 2023: 10</t>
  </si>
  <si>
    <t>The company raised $930,000 of Seed-3 funding from 10X Venture Partners, Rines Angel Fund, and other undisclosed investors on June 28, 2023, putting the company's pre-money valuation at $6.07 million.</t>
  </si>
  <si>
    <t>10X Venture Partners, Everywhere Ventures, Kokopelli Capital, Rines Angel Fund, Service Provider Capital, York IE</t>
  </si>
  <si>
    <t>10X Venture Partners (www.10xvp.com), Everywhere Ventures (everywhere.vc), Kokopelli Capital (www.kokopelli.vc), Rines Angel Fund (www.rinesfund.com), Service Provider Capital (www.serviceprovidercapital.com), York IE (www.york.ie)</t>
  </si>
  <si>
    <t>Sparks Willson(Legal Advisor), SVB Financial Group(General Business Banking)</t>
  </si>
  <si>
    <t>Sparks Willson(Legal Advisor)</t>
  </si>
  <si>
    <t>62704-00P</t>
  </si>
  <si>
    <t>Katherine Wells</t>
  </si>
  <si>
    <t>Founder, President, Chief Executive Officer &amp; Board Member</t>
  </si>
  <si>
    <t>katherine@serenityengage.com</t>
  </si>
  <si>
    <t>+1 (720) 515-8839</t>
  </si>
  <si>
    <t>1330 Logan Street</t>
  </si>
  <si>
    <t>80203</t>
  </si>
  <si>
    <t>+1 (833) 550-5280</t>
  </si>
  <si>
    <t>hello@serenityengage.com</t>
  </si>
  <si>
    <t>Other - $0.21M</t>
  </si>
  <si>
    <t>Expected 30-Aug-2028</t>
  </si>
  <si>
    <t>512494-57</t>
  </si>
  <si>
    <t>Setuply</t>
  </si>
  <si>
    <t>Setuply, Inc.</t>
  </si>
  <si>
    <t>GUIDEcx, Precursive, Taskray</t>
  </si>
  <si>
    <t>Developer of a client onboarding automation platform intended to streamline data collection, and client engagement, and optimize onboarding capacity. The company's platform helps to eliminate the barriers between closing the deal and unlocking its potential by making the implementation process scalable, expanding team capacity, and allowing to refocus on profitability and business growth, enabling businesses to drive long-term success, reducing implementation costs, improve client and vendor initial experience, and help to re-focus on growth.</t>
  </si>
  <si>
    <t>client engagement platform, compliance process management, customer base engagement, data management tool, data staging, implementation software, onboarding software, project management ai, resource management tool</t>
  </si>
  <si>
    <t>www.setuply.com</t>
  </si>
  <si>
    <t>http://www.linkedin.com/company/setuply</t>
  </si>
  <si>
    <t>2022: 13, 2023: 30, 2024: 50</t>
  </si>
  <si>
    <t>The company was in talks to receive venture funding on an undisclosed date. Subsequently, the deal was cancelled. Previously, the company raised $3.5 million of venture funding in the form of SAFE notes from True Blue Partners and other undisclosed investors on November 1, 2022, putting the company's post-valuation at $18 million.</t>
  </si>
  <si>
    <t>True Blue Partners</t>
  </si>
  <si>
    <t>True Blue Partners (www.truebluepartners.com)</t>
  </si>
  <si>
    <t>100256-77P</t>
  </si>
  <si>
    <t>Rachel Lyubovitzky</t>
  </si>
  <si>
    <t>Co-Founder, Chief Executive Officer &amp; Chairwoman</t>
  </si>
  <si>
    <t>rachel@setuply.com</t>
  </si>
  <si>
    <t>+1 (207) 803-6495</t>
  </si>
  <si>
    <t>North Hampton, NH</t>
  </si>
  <si>
    <t>45 Lafayette Road</t>
  </si>
  <si>
    <t>Suite 318</t>
  </si>
  <si>
    <t>North Hampton</t>
  </si>
  <si>
    <t>03862</t>
  </si>
  <si>
    <t>hello@setuply.com</t>
  </si>
  <si>
    <t>538990-12</t>
  </si>
  <si>
    <t>Shader</t>
  </si>
  <si>
    <t>Shader, Inc.</t>
  </si>
  <si>
    <t>Augment, Overly (Multimedia and Design Software), Cupixel, Layar, Wikitude, Blippar, Zappar, Metaio, Wevr, Cloudhead Games</t>
  </si>
  <si>
    <t>Developer of AR technology intended to allow users to create their digital identity with voice and speech recognition. The company's technology provides voice AR creation as a new option to generate a unique experience on smartphones, enabling users to interact with and create AR, even if they are no-code users.</t>
  </si>
  <si>
    <t>Application Software, Entertainment Software, Multimedia and Design Software*</t>
  </si>
  <si>
    <t>Artificial Intelligence &amp; Machine Learning, Augmented Reality</t>
  </si>
  <si>
    <t>ar creation tools, ar technology, digital identity, digital media, speech recognition, voice creation software</t>
  </si>
  <si>
    <t>www.shaderapp.com</t>
  </si>
  <si>
    <t>http://www.linkedin.com/company/shaderapp</t>
  </si>
  <si>
    <t>The company raised an $580,000 of venture funding from Mozilla Ventures, Greycroft and Differential Ventures in approximately October 2023. Betaworks and On Deck also participated in the round.</t>
  </si>
  <si>
    <t>Betaworks, Differential Ventures, Greycroft, Mozilla Ventures, On Deck</t>
  </si>
  <si>
    <t>Betaworks (www.betaworks.com), Differential Ventures (www.differential.vc), Greycroft (www.greycroft.com), Mozilla Ventures (www.mozilla.vc), On Deck (www.beondeck.com)</t>
  </si>
  <si>
    <t>371874-16P</t>
  </si>
  <si>
    <t>Darya Sesitskaya</t>
  </si>
  <si>
    <t>719 North Formosa Avenue</t>
  </si>
  <si>
    <t>team@shader.com</t>
  </si>
  <si>
    <t>465648-94</t>
  </si>
  <si>
    <t>Shappi</t>
  </si>
  <si>
    <t>Kargoo</t>
  </si>
  <si>
    <t>Shappi Inc.</t>
  </si>
  <si>
    <t>Operator of an automated shipping platform intended to connect shoppers with travelers to deliver products by renting the traveler's unused luggage space. The company's platform lets users rent the extra space in a traveler's suitcase and automatically assigns and connects to a verified traveler who provides a shipping address for them to purchase the product directly from the online store, enabling users to ship any goods by saving traditional shipping costs.</t>
  </si>
  <si>
    <t>Application Software, Logistics, Other Services (B2C Non-Financial)*</t>
  </si>
  <si>
    <t>E-Commerce, Mobile, TMT</t>
  </si>
  <si>
    <t>automated shipping, automated shipping platform, delivery service, international logistics, logistics firm, shipping platform</t>
  </si>
  <si>
    <t>www.shappi.com</t>
  </si>
  <si>
    <t>http://www.linkedin.com/company/shappi</t>
  </si>
  <si>
    <t>2021: 11, 2022: 20, 2023: 25, 2024: 21</t>
  </si>
  <si>
    <t>The company raised an undisclosed amount of venture funding from BAMco Enterprises in approximately October 2024.</t>
  </si>
  <si>
    <t>BAMco Enterprises, Brickyard, Cashmere Fund, Gaingels, Ganas Ventures, Iterative Accelerator, Lightspeed Venture Partners, Lolita Taub, Render Capital, Sixers Innovation Lab, Snap, Snap Yellow Accelerator, Sweater, Tina Fitch, Westbound Equity Partners</t>
  </si>
  <si>
    <t>BAMco Enterprises (www.bamco.enterprises), Brickyard (www.justlaybrick.com), Cashmere Fund (www.thecashmerefund.com), Gaingels (www.gaingels.com), Ganas Ventures (www.ganas.vc), Iterative Accelerator (www.iterative.vc), Lightspeed Venture Partners (www.lsvp.com), Render Capital (www.render.capital), Sixers Innovation Lab (www.sixersinnovationlab.com), Snap (www.snapchat.com), Snap Yellow Accelerator (www.yellowla.com), Sweater (www.sweaterventures.com), Westbound Equity Partners (www.westboundequity.com)</t>
  </si>
  <si>
    <t>261349-30P</t>
  </si>
  <si>
    <t>Karla Valdivieso</t>
  </si>
  <si>
    <t>k.valdivieso@shappi.com</t>
  </si>
  <si>
    <t>+1 (213) 241-9282</t>
  </si>
  <si>
    <t>92626</t>
  </si>
  <si>
    <t>hello@shappi.com</t>
  </si>
  <si>
    <t>437487-13</t>
  </si>
  <si>
    <t>She Matters</t>
  </si>
  <si>
    <t>She Matters, Inc.</t>
  </si>
  <si>
    <t>Sleep Reset, Ginger (Clinics/Outpatient Services), Zeera, Welldoc, Vida Health, SilverCloud Health, 98point6, AbleTo, Big Health, Blue Mesa Health, Modern Health, TAO Connect, myStrength, Manatee, Quartet Health, MindBeacon, Mindoula, Lantern (Application Software), SonderMind, Lyra Health, Cerebral, Lark, Headspace, Unmind, Spring Health, Omada, MentalHappy, Learn To Live, HealthTap, Sanvello, LiveBetter, ianacare, uMore</t>
  </si>
  <si>
    <t>Developer of a digital health platform designed to support postpartum women who experience anxiety and depression. The company's platform provides a safe space to share individual mental wellness journeys by participating in events and accessing culturally competent therapists and wellness professionals, enabling women to improve their mental wellness by overcoming depression in daily life.</t>
  </si>
  <si>
    <t>Digital Health, HealthTech, Mobile</t>
  </si>
  <si>
    <t>anxiety care, anxiety therapy, depression cure, fitness tools, social media community, wellness tools</t>
  </si>
  <si>
    <t>www.shematters.health</t>
  </si>
  <si>
    <t>http://www.linkedin.com/company/she-matters-inc</t>
  </si>
  <si>
    <t>2022: 6, 2023: 5, 2024: 6</t>
  </si>
  <si>
    <t>The company raised $2 million of seed funding from the American Heart Association, Everywhere Ventures, and The Social Entrepreneurs Fund on February 20, 2024. Initially, Out of the total amount $850,000 was raised in the form of SAFE notes, which subsequently, got converted to equity. The funds will be used to launch the company's Symptom Tracker app and expand its Cultural Competence Certification program for providers.</t>
  </si>
  <si>
    <t>American Heart Association, Chingona Ventures, Emmeline Ventures, Everywhere Ventures, NYU Entrepreneurial Institute, NYU Summer Launchpad, Oxeon Partners, StartUp Health, Techstars, The Social Entrepreneurs Fund</t>
  </si>
  <si>
    <t>American Heart Association (www.heart.org), Chingona Ventures (chingona.ventures), Emmeline Ventures (www.emmelineventures.vc), Everywhere Ventures (everywhere.vc), NYU Entrepreneurial Institute (entrepreneur.nyu.edu/resource/innovation-venture-fund), Oxeon Partners (www.oxeon.com), StartUp Health (www.startuphealth.com), Techstars (www.techstars.com), The Social Entrepreneurs Fund (tsef.com)</t>
  </si>
  <si>
    <t>Brown Rudnick(Legal Advisor), EisnerAmper(Accounting), Fenwick &amp; West(Legal Advisor), McCarter &amp; English(Legal Advisor)</t>
  </si>
  <si>
    <t>236456-92P</t>
  </si>
  <si>
    <t>Jade Kearney</t>
  </si>
  <si>
    <t>jade@shematters.io</t>
  </si>
  <si>
    <t>+1 (917) 679-6369</t>
  </si>
  <si>
    <t>465 West 141 Street</t>
  </si>
  <si>
    <t>10031</t>
  </si>
  <si>
    <t>info@shematters.io</t>
  </si>
  <si>
    <t>544229-29</t>
  </si>
  <si>
    <t>Shelpful</t>
  </si>
  <si>
    <t>Shelpful, Inc.</t>
  </si>
  <si>
    <t>Provider of an accountability buddy service intended to help users stick to any goal or habit that is important to them. The company offers a unique service where users can text with their dedication to work through roadblocks, enabling people to create habits, and ultimately meet their goals.</t>
  </si>
  <si>
    <t>Application Software, Information Services (B2C), Other Healthcare Services, Other Services (B2C Non-Financial)*</t>
  </si>
  <si>
    <t>accountability system, buddy search, commitment program, habit change, habits training, healthy habits</t>
  </si>
  <si>
    <t>www.shelpful.com</t>
  </si>
  <si>
    <t>http://www.linkedin.com/company/shelpful</t>
  </si>
  <si>
    <t>2023: 8, 2024: 9</t>
  </si>
  <si>
    <t>The company raised $3 million of venture funding from Apollo Projects on December 15, 2023. The funds will be used to support people in their pursuits, and stick with important habits for their health, happiness and self-care.</t>
  </si>
  <si>
    <t>Apollo Projects</t>
  </si>
  <si>
    <t>Apollo Projects (www.apolloprojects.com)</t>
  </si>
  <si>
    <t>377730-10P</t>
  </si>
  <si>
    <t>Lydia Swift</t>
  </si>
  <si>
    <t>Co-Founder &amp; CMO</t>
  </si>
  <si>
    <t>lydia@shelpful.com</t>
  </si>
  <si>
    <t>+1 (949) 806-1446</t>
  </si>
  <si>
    <t>3439 South East Hawthorne Boulevard</t>
  </si>
  <si>
    <t>Number 1028</t>
  </si>
  <si>
    <t>hi@shelpful.com</t>
  </si>
  <si>
    <t>489306-61</t>
  </si>
  <si>
    <t>Shifty</t>
  </si>
  <si>
    <t>Shifty, Inc.</t>
  </si>
  <si>
    <t>Developer of a mobile training software application intended to ease the burden of training service workers. The company's application provides preparation notes, in-training checklists, and after-training study tools, prepares bartenders with long-term retention, and prepares the trainees for a final exam, enabling restaurants to upgrade traditional tag-along instruction with an interactive platform.</t>
  </si>
  <si>
    <t>Application Software, Education and Training Services (B2B), Educational Software*</t>
  </si>
  <si>
    <t>communication app, gamified training platform, mobile training platform, restaurant training services, training application, training program, web based application</t>
  </si>
  <si>
    <t>www.shiftyinc.com</t>
  </si>
  <si>
    <t>http://www.linkedin.com/company/shifty-inc</t>
  </si>
  <si>
    <t>2022: 2, 2023: 3, 2024: 5</t>
  </si>
  <si>
    <t>The company raised $220,000 of pre-seed funding from CitySide Ventures, David Tessler and other undisclosed investors on December 15, 2021.</t>
  </si>
  <si>
    <t>CitySide Ventures, David Tessler</t>
  </si>
  <si>
    <t>CitySide Ventures (www.citysideventures.com)</t>
  </si>
  <si>
    <t>286115-23P</t>
  </si>
  <si>
    <t>Beth Hussey</t>
  </si>
  <si>
    <t>Co-Founder, Co-Owner &amp; Chief Executive Officer</t>
  </si>
  <si>
    <t>beth@hrd.kitchen</t>
  </si>
  <si>
    <t>+1 (248) 780-2552</t>
  </si>
  <si>
    <t>Birmingham, MI</t>
  </si>
  <si>
    <t>187 South Old Woodward Avenue</t>
  </si>
  <si>
    <t>48009</t>
  </si>
  <si>
    <t>hello@shiftyinc.com</t>
  </si>
  <si>
    <t>503693-20</t>
  </si>
  <si>
    <t>ShopDot</t>
  </si>
  <si>
    <t>ShopDot, Inc.</t>
  </si>
  <si>
    <t>Developer of inventory management platform intended to create a coalition between retailers and brand suppliers. The company's platform integrates with stores to scale their product offerings beyond the physical constraints or on-hand inventory and creates a digitized supply-chain network between brands and retailers, enabling retailers to access on-demand inventory without operational hassle or inventory risk.</t>
  </si>
  <si>
    <t>Business/Productivity Software*, Internet Retail</t>
  </si>
  <si>
    <t>digital connectivity platform, ecommerce inventory management, ecommerce platform, inventory management, management platform, management platform developer, managing product, product information &amp; inventory management, product information and inventory management, retailers marketplace</t>
  </si>
  <si>
    <t>shopdotapp.com</t>
  </si>
  <si>
    <t>http://www.linkedin.com/company/shopdotapp</t>
  </si>
  <si>
    <t>2022: 4, 2023: 6</t>
  </si>
  <si>
    <t>The company raised an undisclosed amount of seed funding from The Fund on February 28, 2023. Previously, the company raised $1.59 million of seed funding from Kickstart Seed , SaaS Ventures Fund and Next Frontier Capital on August 17, 2022.</t>
  </si>
  <si>
    <t>Everywhere Ventures, Kickstart Fund, Next Frontier Capital, SaaS Ventures</t>
  </si>
  <si>
    <t>Everywhere Ventures (everywhere.vc), Kickstart Fund (www.kickstartfund.com), Next Frontier Capital (www.nextfrontiercapital.com), SaaS Ventures (www.saasventurecapital.com)</t>
  </si>
  <si>
    <t>313840-09P</t>
  </si>
  <si>
    <t>Michelle Huie</t>
  </si>
  <si>
    <t>+1 (406) 830-3178</t>
  </si>
  <si>
    <t>2120 South Reserve Street</t>
  </si>
  <si>
    <t>Suite 1104</t>
  </si>
  <si>
    <t>59801</t>
  </si>
  <si>
    <t>+1 (406) 893-5605</t>
  </si>
  <si>
    <t>info@shopdotapp.com</t>
  </si>
  <si>
    <t>459793-09</t>
  </si>
  <si>
    <t>ShuffleMe</t>
  </si>
  <si>
    <t>ShuffleMe LLC</t>
  </si>
  <si>
    <t>Developer of an AI-enabled predictive platform designed to help social media users track the impact of social media content on their mental health. The company's platform automatically tracks social media activity and facial expressions to determine the current mood state of a person, providing mental health practitioners with data-driven recommendations to improve early intervention and treatment.</t>
  </si>
  <si>
    <t>ai software, digital health, mood detection, mood tracker, mood tracking, predictive analysis, sentiment analysis</t>
  </si>
  <si>
    <t>www.shuffleme.app</t>
  </si>
  <si>
    <t>http://www.linkedin.com/company/shuffleme</t>
  </si>
  <si>
    <t>2020: 3, 2021: 4, 2022: 6, 2023: 2, 2024: 2</t>
  </si>
  <si>
    <t>The company joined National Science Foundation Innovation Corps Program Summer 2021 in June 2021.</t>
  </si>
  <si>
    <t>Dimension Mill, Elevate Ventures, IU Ventures, National Science Foundation Innovation Corps Program</t>
  </si>
  <si>
    <t>Dimension Mill (dimensionmill.org), Elevate Ventures (www.elevateventures.com), IU Ventures (www.iuventures.com)</t>
  </si>
  <si>
    <t>252666-19P</t>
  </si>
  <si>
    <t>Britain Taylor</t>
  </si>
  <si>
    <t>info@shuffleme.app</t>
  </si>
  <si>
    <t>343519-12</t>
  </si>
  <si>
    <t>SightX</t>
  </si>
  <si>
    <t>Frontier7</t>
  </si>
  <si>
    <t>SightX, Inc.</t>
  </si>
  <si>
    <t>Developer of consumer intelligence software designed to transform the way marketing, branding, and product teams work. The company's platform automatically develops customer personas, engages with surveys via e-mail, text, and social media, and assists in knowing the values, lifestyles, motivations, and preferences, enabling marketers and consumer insights professionals to understand the emotional, cognitive, and behavioral insights of consumers so that they can focus on the strategic insights about business and grow with data-driven decisions.</t>
  </si>
  <si>
    <t>consumer behavior, consumer insights platform, consumer segmentations, go to market solutions, growth platform, market research platform, sentiment analysis platform, vertical application</t>
  </si>
  <si>
    <t>www.sightx.io</t>
  </si>
  <si>
    <t>http://www.linkedin.com/company/sightx</t>
  </si>
  <si>
    <t>2018: 9, 2019: 13, 2020: 17, 2021: 25, 2022: 38, 2024: 25</t>
  </si>
  <si>
    <t>The company joined NYU Summer Launchpad on an undisclosed date.</t>
  </si>
  <si>
    <t>Apollo Intelligence, Baleon Capital, NYU Summer Launchpad, Scout Ventures</t>
  </si>
  <si>
    <t>Apollo Intelligence (www.apollointelligence.net), Baleon Capital (www.baleoncapital.com), Scout Ventures (www.scout.vc)</t>
  </si>
  <si>
    <t>Freshfields Bruckhaus Deringer(Legal Advisor)</t>
  </si>
  <si>
    <t>216825-94P</t>
  </si>
  <si>
    <t>Timothy Lawton</t>
  </si>
  <si>
    <t>tim@sightx.io</t>
  </si>
  <si>
    <t>+1 (917) 397-0454</t>
  </si>
  <si>
    <t>142 West 57th Street</t>
  </si>
  <si>
    <t>11th Floor</t>
  </si>
  <si>
    <t>501578-38</t>
  </si>
  <si>
    <t>SilkChart</t>
  </si>
  <si>
    <t>SandyLane</t>
  </si>
  <si>
    <t>SilkChart Tech, Inc.</t>
  </si>
  <si>
    <t>AdPushup, Revenue Analytics, Duetto</t>
  </si>
  <si>
    <t>Developer of a business product analysis platform designed to turn product data into revenue growth. The company's platform offers a no-code analytics tool that combines marketing and product usage data to identify channels, audiences, and content about a product or business, enabling growth teams to improve campaigns without relying on expensive data scientists.</t>
  </si>
  <si>
    <t>analytics tool provider, crm, customer relationship management, learning model, marketing performance analysis, performance metrics, product analysis, sales coaching</t>
  </si>
  <si>
    <t>www.silkchart.com</t>
  </si>
  <si>
    <t>http://www.linkedin.com/company/silkchart</t>
  </si>
  <si>
    <t>2022: 2, 2023: 2, 2024: 5</t>
  </si>
  <si>
    <t>The company raised $5.2 million of seed funding from SoftBank Group, Dentsu Group, and Global Founders Capital in approximately December 2022. Amino Capital and 8 other investors also participated in the round. The funds will be used to accelerate its growth in three key areas: expanding product capabilities, hiring technical talent, and expanding its enterprise offering. Previously, the company joined Y Combinator as a part of S22 Batch in 2022 and received $500,000 in funding, putting the company's pre-money valuation at $7.14 million. The funding was originally raised in the form of SAFE notes and subsequently converted to equity.</t>
  </si>
  <si>
    <t>Amino Capital, Anne Raimondi, Asymmetric Capital Partners, Dentsu Group, GarageCapital, Global Founders Capital, Harlem Capital, Kevin Moore, Open Opportunity Fund, Phoenix Investment Club (San Francisco), SoftBank Group, Y Combinator</t>
  </si>
  <si>
    <t>Amino Capital (www.aminocapital.com), Asymmetric Capital Partners (acp.vc), Dentsu Group (www.group.dentsu.com), GarageCapital (www.garage.vc), Global Founders Capital (www.globalfounderscapital.com), Harlem Capital (harlem.capital), Kevin Moore (www.agileangel.com), Open Opportunity Fund (www.theopportunityfund.com), Phoenix Investment Club (San Francisco) (www.phoenixclub.vc), SoftBank Group (www.group.softbank), Y Combinator (www.ycombinator.com)</t>
  </si>
  <si>
    <t>264752-83P</t>
  </si>
  <si>
    <t>Andreea Francis</t>
  </si>
  <si>
    <t>andreea@silkchart.com</t>
  </si>
  <si>
    <t>535 Mission Street</t>
  </si>
  <si>
    <t>14th floor</t>
  </si>
  <si>
    <t>contact@silkchart.com</t>
  </si>
  <si>
    <t>459548-02</t>
  </si>
  <si>
    <t>Sivo</t>
  </si>
  <si>
    <t>Sivo Holdings Inc</t>
  </si>
  <si>
    <t>Operator of the financial technology platform intended to offer risk scoring and debt funding for companies. The company's platform provides rapid access to debt, pushes the boundaries of risk innovation, and bridges the gap to financial inclusion, enabling fintech, neo banks, and gig platforms to lend money to their users at scale.</t>
  </si>
  <si>
    <t>Financial Software, Other Financial Services*, Private Equity</t>
  </si>
  <si>
    <t>debt capital, debt funding, financial inclusion, financial innovation, financial services, financial services infrastructure, risk scoring</t>
  </si>
  <si>
    <t>www.sivo.com</t>
  </si>
  <si>
    <t>http://www.linkedin.com/company/headlessfinance</t>
  </si>
  <si>
    <t>2021: 32, 2022: 39, 2023: 39, 2024: 41</t>
  </si>
  <si>
    <t>The company raised an undisclosed amount of Series A venture funding from Think +, Bali Venture Partners and VentureSouq on December 6, 2021. Nordstar Partners and 4 other investors also participated in the round.</t>
  </si>
  <si>
    <t>Andre Charoo, Atypical Ventures, Bali Venture Partners, Dash Fund, Day One Ventures, Emles Venture Partners, Immeasurable, Maple VC, NordStar Capital, Nordstar Partners, Orange DAO, Rankin Ventures, Riverside Ventures, Rogue Capital, Side Door Ventures, Think +, Tribe Capital, VentureSouq, Y Combinator</t>
  </si>
  <si>
    <t>Atypical Ventures (www.atypical.com), Bali Venture Partners (www.baliventurepartners.com), Dash Fund (www.dashfund.co), Day One Ventures (dayoneventures.com), Emles Venture Partners (emlesventure.com), Immeasurable (www.immeasurable.com), Maple VC (www.maplevc.com), NordStar Capital (www.nordstarcapital.ca), Nordstar Partners (www.nordstar.com), Orange DAO (orangedao.xyz), Rankin Ventures (rankin.ventures), Riverside Ventures (www.riversideventures.com), Rogue Capital (www.rogue.capital), Side Door Ventures (www.sdv.vc), Think + (www.thinkplus.vc), Tribe Capital (www.tribecap.co), VentureSouq (www.venturesouq.com), Y Combinator (www.ycombinator.com)</t>
  </si>
  <si>
    <t>83836-09P</t>
  </si>
  <si>
    <t>Katharine Hiscox</t>
  </si>
  <si>
    <t>Co-Founder, Chief Executive Officer &amp; Chief Product Officer</t>
  </si>
  <si>
    <t>kate@holasivo.com</t>
  </si>
  <si>
    <t>Suite 4175</t>
  </si>
  <si>
    <t>info@sivo.com</t>
  </si>
  <si>
    <t>463460-68</t>
  </si>
  <si>
    <t>SkySquad</t>
  </si>
  <si>
    <t>Sky Squad</t>
  </si>
  <si>
    <t>SkySquad, Inc.</t>
  </si>
  <si>
    <t>Developer of an airport assistance platform designed to connect travelers with airport employees to provide a helping hand at the airport. The company's platform provides families, seniors and others with a helping hand from car door to plane door, enabling clients to get a hassle-free check-in and check-out at airports.</t>
  </si>
  <si>
    <t>airport agency, airport assistance, airport assistance platform, online airport assistance, ticketing reselling, travel experience books, travel experience platform</t>
  </si>
  <si>
    <t>www.skysquad.com</t>
  </si>
  <si>
    <t>http://www.linkedin.com/company/skysquad</t>
  </si>
  <si>
    <t>2020: 3, 2021: 7, 2022: 8, 2023: 16, 2024: 17</t>
  </si>
  <si>
    <t>The company raised $1 million of seed funding in a deal led by Elevate Capital on June 7, 2022. 1219 Capital, TEDCO and Citrine Angels also participated in the round.</t>
  </si>
  <si>
    <t>1219 Capital, Citrine Angels, Elevate Capital, TEDCO</t>
  </si>
  <si>
    <t>1219 Capital (www.1219capital.com), Citrine Angels (www.citrineangels.com), Elevate Capital (www.elevate.vc), TEDCO (www.tedcomd.com)</t>
  </si>
  <si>
    <t>258012-37P</t>
  </si>
  <si>
    <t>David Osborne</t>
  </si>
  <si>
    <t>dave@theskysquad.com</t>
  </si>
  <si>
    <t>+1 (877) 359-2256</t>
  </si>
  <si>
    <t>PO Box 341961</t>
  </si>
  <si>
    <t>10421 Motor City Drive</t>
  </si>
  <si>
    <t>20827</t>
  </si>
  <si>
    <t>info@theskysquad.com</t>
  </si>
  <si>
    <t>Bridge Loan - $0.20M (Convertible)</t>
  </si>
  <si>
    <t>266702-41</t>
  </si>
  <si>
    <t>Sliceup</t>
  </si>
  <si>
    <t>SliceUp, Inc.</t>
  </si>
  <si>
    <t>Kentik, Augtera Networks, ThousandEyes</t>
  </si>
  <si>
    <t>Operator of an artificial intelligence for IT operations (AIOps) platform intended to offer agentless data ingestion and Intelligent pre-processing options. The company's platform automates data collection and onboarding identifies static and variable parts of logs and delivers predictive analytics for network performance and operations in data centers and hybrid environments, enabling users to ingest, aggregate, and stream data in one place.</t>
  </si>
  <si>
    <t>Big Data, Internet of Things, Mobile</t>
  </si>
  <si>
    <t>cloud network, cloud network management, connected service, connected vehicles, hybrid cloud network, netops platform, network monitoring, network performance</t>
  </si>
  <si>
    <t>AIOps</t>
  </si>
  <si>
    <t>www.sliceup.co</t>
  </si>
  <si>
    <t>http://www.linkedin.com/company/sliceup</t>
  </si>
  <si>
    <t>2019: 2, 2020: 6, 2021: 9, 2022: 11, 2023: 14, 2024: 13</t>
  </si>
  <si>
    <t>The company raised $850,000 of venture funding in the form of convertible note from Array Ventures and other undisclosed investors on October 25, 2021.</t>
  </si>
  <si>
    <t>Array Ventures, StartSmart CEE, Techstars</t>
  </si>
  <si>
    <t>Array Ventures (www.array.vc), StartSmart CEE (www.startsmartcee.org), Techstars (www.techstars.com)</t>
  </si>
  <si>
    <t>Cytowski &amp; Partners(Legal Advisor)</t>
  </si>
  <si>
    <t>213269-59P</t>
  </si>
  <si>
    <t>Basia Kubicka</t>
  </si>
  <si>
    <t>basia@sliceup.co</t>
  </si>
  <si>
    <t>+1 (877) 564-7367</t>
  </si>
  <si>
    <t>71 Spring Street</t>
  </si>
  <si>
    <t>team@sliceup.co</t>
  </si>
  <si>
    <t>Bridge Loan - $0.12M</t>
  </si>
  <si>
    <t>Bridge Loan - $0.85M (Convertible)</t>
  </si>
  <si>
    <t>498575-62</t>
  </si>
  <si>
    <t>SLOMO</t>
  </si>
  <si>
    <t>Slomo school</t>
  </si>
  <si>
    <t>FitFighter Inc.</t>
  </si>
  <si>
    <t>The Sufferfest, Fiture Technology, Hydrow, Tonal</t>
  </si>
  <si>
    <t>Provider of fitness equipment intended to redefine strength training. The company offers versatile free weight systems made from real firehose and steel shot, enabling customers to train for their next core workout, whole body, or at-home workout.</t>
  </si>
  <si>
    <t>Application Software, Educational and Training Services (B2C), Recreational Goods*</t>
  </si>
  <si>
    <t>fitness equipment, fitness professional, gym equipment, gym wear, strength training, wellness and fitness service</t>
  </si>
  <si>
    <t>slomoschool.com</t>
  </si>
  <si>
    <t>http://www.linkedin.com/company/fitfighter</t>
  </si>
  <si>
    <t>2022: 5, 2023: 8, 2024: 4</t>
  </si>
  <si>
    <t>The company raised $2.5 million of seed funding in a deal led by Jennus Innovation on June 6, 2022. Abraham Trust and other undisclosed investors also participated in the round. The funds will be used to build the company's salesforce, expand its gym programs and military training, advance product design, and accelerate production.</t>
  </si>
  <si>
    <t>Abraham Trust, Daniel Lubetzky, Jennus Innovation</t>
  </si>
  <si>
    <t>Abraham Trust (www.abrahamtrust.com), Jennus Innovation (www.jennusinnovation.com)</t>
  </si>
  <si>
    <t>305674-12P</t>
  </si>
  <si>
    <t>Sarah Apgar</t>
  </si>
  <si>
    <t>sarah@fitfighter.com</t>
  </si>
  <si>
    <t>+1 (201) 252-7269</t>
  </si>
  <si>
    <t>Portland, ME</t>
  </si>
  <si>
    <t>40 Free Street</t>
  </si>
  <si>
    <t>04101</t>
  </si>
  <si>
    <t>+1 (207) 200-7690</t>
  </si>
  <si>
    <t>help@slomoschool.com</t>
  </si>
  <si>
    <t>496923-76</t>
  </si>
  <si>
    <t>Smart Kx</t>
  </si>
  <si>
    <t>Smart Kx LLC</t>
  </si>
  <si>
    <t>Developer of a fee billing software designed to collect accurate revenue and maintain compliance automatically. The company's platform offers fee calculation automation connecting every fee calculation directly with each client's fee agreement, which helps prevent firms from overbilling or underbilling clients and gain control over revenue, enabling users to eliminate manual processes and errors and serve their clients with confidence.</t>
  </si>
  <si>
    <t>billing platform, billing process, billing system, fee billing, fee billing operations, fee calculation</t>
  </si>
  <si>
    <t>www.smartkx.io</t>
  </si>
  <si>
    <t>http://www.linkedin.com/company/smartkx</t>
  </si>
  <si>
    <t>2022: 2, 2023: 4, 2024: 5</t>
  </si>
  <si>
    <t>The company raised $750,000 of pre-seed funding from Ric Edelman, Larissa Roesch and other undisclosed investors on May 20, 2022.</t>
  </si>
  <si>
    <t>Larissa Roesch, Ric Edelman</t>
  </si>
  <si>
    <t>302115-61P</t>
  </si>
  <si>
    <t>Lacey Shrum</t>
  </si>
  <si>
    <t>lacey@smartkx.io</t>
  </si>
  <si>
    <t>+1 (214) 307-2984</t>
  </si>
  <si>
    <t>463451-32</t>
  </si>
  <si>
    <t>Smartrr</t>
  </si>
  <si>
    <t>CurbAppeal Technologies</t>
  </si>
  <si>
    <t>Smartrr, Inc</t>
  </si>
  <si>
    <t>Recharge</t>
  </si>
  <si>
    <t>Developer of a checkout and customer account management platform intended to assist in managing subscription businesses. The company's platform uses artificial intelligence and provides a membership experience along with living analytics and reporting, enabling clients to focus on growing their business and not on spreadsheets.</t>
  </si>
  <si>
    <t>account management platform, ai model management, ai tools, crm, customer account, customer relationship management, ecommerce personalization, subscription billing, subscription business</t>
  </si>
  <si>
    <t>www.smartrr.com</t>
  </si>
  <si>
    <t>http://www.linkedin.com/company/smartrrapp</t>
  </si>
  <si>
    <t>2021: 16, 2022: 31, 2023: 36, 2024: 29</t>
  </si>
  <si>
    <t>The company raised $10 million of Series A venture funding in a deal led by Canvas Ventures on January 26, 2023, putting the company's pre-money valuation at $35 million. Escondido Ventures and 14 other investors also participated in the round.</t>
  </si>
  <si>
    <t>10X Capital, Adapt Ventures, Alumni Ventures, Calm Ventures, Canvas Ventures, Centre Street Partners, Escondido Ventures, Expa, Gaingels, Great Oaks Venture Capital, Nyca Partners, Pareto Holdings, RiverPark Ventures, Seagate Ventures, Sidekick Partners, SuperAngel.Fund</t>
  </si>
  <si>
    <t>10X Capital (www.10xcapital.com), Adapt Ventures (www.adaptvc.com), Alumni Ventures (www.av.vc), Calm Ventures (www.calmvc.com), Canvas Ventures (www.canvas.vc), Centre Street Partners (www.centrestreet.partners), Escondido Ventures (www.escondidoventures.com), Expa (www.expa.com), Gaingels (www.gaingels.com), Great Oaks Venture Capital (www.greatoaksvc.com), Nyca Partners (www.nyca.com), Pareto Holdings (www.pareto20.com), RiverPark Ventures (www.riverparkvc.com), Seagate Ventures (seagateventures.com), Sidekick Partners (www.sidekickpartners.com), SuperAngel.Fund (www.superangel.vc)</t>
  </si>
  <si>
    <t>258149-89P</t>
  </si>
  <si>
    <t>Gabriella Tegen</t>
  </si>
  <si>
    <t>gabriella@smartrr.com</t>
  </si>
  <si>
    <t>+1 (646) 389-2052</t>
  </si>
  <si>
    <t>163 West 18th Street</t>
  </si>
  <si>
    <t>Suite 8A</t>
  </si>
  <si>
    <t>hello@smartrr.com</t>
  </si>
  <si>
    <t>494112-07</t>
  </si>
  <si>
    <t>Socialize (Social/Platform Software)</t>
  </si>
  <si>
    <t>Socialize</t>
  </si>
  <si>
    <t>Developer of a socialization platform designed for users of all skill levels to become social media, content creators. The company's platform teaches its users how to express themselves better on social media, and gives them the tools to form deeper connections with their audience, brands, and each other, enabling creators to gain confidence and interact in often in-approachable social media platforms.</t>
  </si>
  <si>
    <t>content creator support, content creator tools, social media content, social media help, social media platform, socialization platform</t>
  </si>
  <si>
    <t>www.hellosocialize.com</t>
  </si>
  <si>
    <t>http://www.linkedin.com/company/hellosocialize</t>
  </si>
  <si>
    <t>The company raised $250,000 of pre-seed funding from AliveVentures and other undisclosed investors on March 24, 2022. The funds will be used to democratize social media, fueling new generation of user-generated content enthusiasts at every level.</t>
  </si>
  <si>
    <t>Alive Ventures (Los Angeles)</t>
  </si>
  <si>
    <t>Alive Ventures (Los Angeles) (www.aliveventures.co)</t>
  </si>
  <si>
    <t>295986-43P</t>
  </si>
  <si>
    <t>Helen Polise</t>
  </si>
  <si>
    <t>helen@hellosocialize.com</t>
  </si>
  <si>
    <t>team@hellosocialize.com</t>
  </si>
  <si>
    <t>436327-21</t>
  </si>
  <si>
    <t>Sol (Application Software)</t>
  </si>
  <si>
    <t>Sol</t>
  </si>
  <si>
    <t>Yoni Inc</t>
  </si>
  <si>
    <t>Developer of a digital community application designed to connect women all around the world. The company's application creates guided meditation-like experiences for women and lets them explore their inner spirit and entrepreneurship capabilities through storytelling, enabling women to grow and become more mindful than before.</t>
  </si>
  <si>
    <t>Application Software*, Social Content, Social/Platform Software</t>
  </si>
  <si>
    <t>health activation platform, meditation app, networking app, self healing technique, women community, women development program</t>
  </si>
  <si>
    <t>solmindfulness.com</t>
  </si>
  <si>
    <t>http://www.linkedin.com/company/solmindfulness</t>
  </si>
  <si>
    <t>2019: 2, 2021: 22, 2022: 20, 2023: 17, 2024: 10</t>
  </si>
  <si>
    <t>The company raised $5.19 million through a combination of Seed and Seed 1 funding in a deal led by BoxGroup and Northzone Ventures on June 23, 2021, putting the company's pre-money valuation at $15.5 million. Advancit Capital and 5 other investors also participated in the round.</t>
  </si>
  <si>
    <t>Advancit Capital, BoxGroup, Brynn Putnam, CASSIUS, Daniel Smith, Jennifer Fleiss, Matthew Hackett, Northzone Ventures</t>
  </si>
  <si>
    <t>Advancit Capital (www.advancitcapital.com), BoxGroup (www.boxgroup.com), CASSIUS (www.cassius.vc), Northzone Ventures (www.northzone.com)</t>
  </si>
  <si>
    <t>233304-04P</t>
  </si>
  <si>
    <t>Chloë Drimal</t>
  </si>
  <si>
    <t>chloe@yonicircle.com</t>
  </si>
  <si>
    <t>+1 (203) 554-5922</t>
  </si>
  <si>
    <t>309 East 10th Street</t>
  </si>
  <si>
    <t>Apartment 5</t>
  </si>
  <si>
    <t>521503-66</t>
  </si>
  <si>
    <t>Solomomo</t>
  </si>
  <si>
    <t>SOLOMOMO Corp.</t>
  </si>
  <si>
    <t>Developer of a skincare wellness platform designed to help people achieve better skin with personalized care. The company's platform offers a handheld device that combines hardware, software, and artificial intelligence to scan the skin and provides real-time data on various attributes such as pore cleanliness, exfoliation levels, pigmentation, wrinkle quantity, and line depth, enabling users to choose the right products and treatments for their individual needs and avail personalized skincare recommendations</t>
  </si>
  <si>
    <t>Application Software, Information Services (B2C), Other Hardware*</t>
  </si>
  <si>
    <t>Artificial Intelligence &amp; Machine Learning, Beauty, SaaS</t>
  </si>
  <si>
    <t>exfoliation products, intelligent device, intelligent sensors, intelligent sensors &amp; devices, intelligent sensors and devices, pigmentation detection, skin data analysis, skincare devices, skincare platform, skincare product, skincare software</t>
  </si>
  <si>
    <t>www.solomomo.com</t>
  </si>
  <si>
    <t>http://www.linkedin.com/company/solomomo</t>
  </si>
  <si>
    <t>2023: 9, 2024: 11</t>
  </si>
  <si>
    <t>The company raised $50,000 of venture funding from Loeb.nyc on July 18, 2023.</t>
  </si>
  <si>
    <t>Loeb.nyc</t>
  </si>
  <si>
    <t>Loeb.nyc (www.loeb.nyc)</t>
  </si>
  <si>
    <t>115867-81P</t>
  </si>
  <si>
    <t>Cindy Engstrom</t>
  </si>
  <si>
    <t>cindy@solomomo.com</t>
  </si>
  <si>
    <t>+1 (425) 985-0833</t>
  </si>
  <si>
    <t>9805 NorthEast 116th Avenue</t>
  </si>
  <si>
    <t>Suite 225</t>
  </si>
  <si>
    <t>98034</t>
  </si>
  <si>
    <t>500676-85</t>
  </si>
  <si>
    <t>Somalytics</t>
  </si>
  <si>
    <t>Somalytics, Inc.</t>
  </si>
  <si>
    <t>Developer of carbon nanotube-based capacitive touch sensors designed to offer improved sensitivity and also improve eye-tracking devices. The company's sensors help to improve and replace existing cameras and sensors used in eye tracking, human-machine interface, wearables and industrial safety, thereby enabling clients to improve the human experience through improved sensors.</t>
  </si>
  <si>
    <t>Electronic Equipment and Instruments*, Other Hardware</t>
  </si>
  <si>
    <t>E-Commerce, Nanotechnology</t>
  </si>
  <si>
    <t>carbon nanotube technology, gesture recognition technology, healthcare equipment developer, human machine interface, proximity sensors, sleep care device, sleep disorder testing, sleep technology, touch sensor, touch sensor technology</t>
  </si>
  <si>
    <t>Carbon Nanotubes, Sleep Tech</t>
  </si>
  <si>
    <t>www.somalytics.com</t>
  </si>
  <si>
    <t>http://www.linkedin.com/company/somalytics-inc</t>
  </si>
  <si>
    <t>The company is in the process of raising Series B seed funding on March 25, 2024. Previously, the company raised $1.9 million of Series A seed funding through a combination of equity and SAFE from WRF Capital and Longview Innovation on August 3, 2022.</t>
  </si>
  <si>
    <t>Longview Innovation, UW CoMotion, WRF Capital</t>
  </si>
  <si>
    <t>Longview Innovation (www.longviewinnovation.com), UW CoMotion (comotion.uw.edu), WRF Capital (www.wrfseattle.org)</t>
  </si>
  <si>
    <t>311695-48P</t>
  </si>
  <si>
    <t>Viggy Sak</t>
  </si>
  <si>
    <t>viggy@somalytics.com</t>
  </si>
  <si>
    <t>+1 (206) 376-3521</t>
  </si>
  <si>
    <t>Redmond, WA</t>
  </si>
  <si>
    <t>2525 152nd Avenue, North East</t>
  </si>
  <si>
    <t>North East</t>
  </si>
  <si>
    <t>Redmond</t>
  </si>
  <si>
    <t>98502</t>
  </si>
  <si>
    <t>+1 (240) 728-7451</t>
  </si>
  <si>
    <t>522486-28</t>
  </si>
  <si>
    <t>Somewhere Somehow</t>
  </si>
  <si>
    <t>SWSH</t>
  </si>
  <si>
    <t>Somewhere Somehow Inc.</t>
  </si>
  <si>
    <t>Developer of a social app intended to help customers strengthen relationships that matter. The company combines Google's shared calendar feature with Bereal.'s time-based, authentic posting to allow people to make plans and share the happenings nearby, enabling users to share time-based content and see when friends are available.</t>
  </si>
  <si>
    <t>social app, social calendar, social communication, social media</t>
  </si>
  <si>
    <t>www.joinswsh.com</t>
  </si>
  <si>
    <t>http://www.linkedin.com/company/joinswsh</t>
  </si>
  <si>
    <t>The company raised an undisclosed amount of venture funding from BoxGroup in approximately October 2024.</t>
  </si>
  <si>
    <t>Ansh Nanda, BoxGroup, Cory Levy, Cyril Berdugo, Glenn Solomon, MaC Venture Capital, Patrick De Picciotto, Richard Li, Stellation Capital</t>
  </si>
  <si>
    <t>BoxGroup (www.boxgroup.com), MaC Venture Capital (macventurecapital.com), Stellation Capital (www.stellation.vc)</t>
  </si>
  <si>
    <t>342214-84P</t>
  </si>
  <si>
    <t>Alexandra Debow</t>
  </si>
  <si>
    <t>alexandra@joinswsh.com</t>
  </si>
  <si>
    <t>+1 (484) 547-3979</t>
  </si>
  <si>
    <t>169 Madison Avennue</t>
  </si>
  <si>
    <t>Suite 2350</t>
  </si>
  <si>
    <t>contact@joinswsh.com</t>
  </si>
  <si>
    <t>537535-00</t>
  </si>
  <si>
    <t>Soopra</t>
  </si>
  <si>
    <t>MIMIO.ai</t>
  </si>
  <si>
    <t>Developer of an educational platform designed to offer accessible, interactive, and personalized learning experiences. The company's platform utilizes artificial intelligence to offer conversational learning courses designed by real human experts and interact with personality versions of renowned educators, enabling students to upskill and learn at their own pace.</t>
  </si>
  <si>
    <t>adaptive learning, ai-powered education, dynamic learning, interactive learning, online learning, personalized education</t>
  </si>
  <si>
    <t>www.soopra.ai</t>
  </si>
  <si>
    <t>http://www.linkedin.com/company/mimio-ai</t>
  </si>
  <si>
    <t>2023: 17, 2024: 14</t>
  </si>
  <si>
    <t>The company raised $100,000 of venture funding from R42 Group on May 15, 2024.</t>
  </si>
  <si>
    <t>R42 Group</t>
  </si>
  <si>
    <t>R42 Group (www.r42group.com)</t>
  </si>
  <si>
    <t>368748-82P</t>
  </si>
  <si>
    <t>Praveena Dhanalakota</t>
  </si>
  <si>
    <t>pdhanalakota@soopra.ai</t>
  </si>
  <si>
    <t>info@mimio.ai</t>
  </si>
  <si>
    <t>491499-37</t>
  </si>
  <si>
    <t>Sortium</t>
  </si>
  <si>
    <t>Sortium, Inc.</t>
  </si>
  <si>
    <t>Decentraland, Alpha3D, Axie Infinity, Unity Software, Splinterlands</t>
  </si>
  <si>
    <t>Developer of a content creation platform intended for real-time generation and modification of 3D assets and textures using natural language. The company's platform allows users to streamline tokenization, simulate economics and behavior, and craft professional assets for game and virtual productions, enabling businesses to produce high-quality content with increased efficiency.</t>
  </si>
  <si>
    <t>Artificial Intelligence &amp; Machine Learning, Cryptocurrency/Blockchain, FinTech, Gaming</t>
  </si>
  <si>
    <t>ai technology, assets control, blockchain gaming ecosystem, blockchain gaming platform, development platform, email and authoring, financial planner, game developer tools, gaming development, kms, knowledge management system, machine learning system, metaverse and gaming</t>
  </si>
  <si>
    <t>Blockchain Gaming</t>
  </si>
  <si>
    <t>www.sortium.com</t>
  </si>
  <si>
    <t>http://www.linkedin.com/company/sortium</t>
  </si>
  <si>
    <t>2022: 70, 2023: 50</t>
  </si>
  <si>
    <t>The company raised $12.01 million through a combination of Seed-1 and Seed-2 funding in a deal led by Signum Growth Capital on April 10, 2024, putting the company's pre-money valuation at $37.99 million. IDG Vietnam Capital Blockchain, Infinity Ventures Crypto, Polygon Studios, 1881 S Group AG, ARK Venture Fund, Taisu Ventures, Acacia Digital Holdings and ARK Investment Management also participated in the round.</t>
  </si>
  <si>
    <t>1881 S Group AG, Acacia Digital Holdings, Arca (Asset Management), ARK Investment Management, ARK Venture Fund, Berkeley Blockchain Xcelerator, IDG Vietnam Capital Blockchain, Infinity Ventures Crypto, Polygon Studios, Signum Growth Capital, Taisu Ventures</t>
  </si>
  <si>
    <t>Acacia Digital Holdings (www.acaciadigital.io), Arca (Asset Management) (www.ar.ca), ARK Investment Management (www.ark-invest.com), ARK Venture Fund (www.ark-ventures.com), Berkeley Blockchain Xcelerator (www.xcelerator.berkeley.edu), IDG Vietnam Capital Blockchain (www.idgblockchain.vc), Infinity Ventures Crypto (www.ivcrypto.io), Polygon Studios (www.polygonstudios.com), Signum Growth Capital (www.signumgrowth.com), Taisu Ventures (www.taisu.io)</t>
  </si>
  <si>
    <t>McDermott(Legal Advisor)</t>
  </si>
  <si>
    <t>140953-87P</t>
  </si>
  <si>
    <t>Marc Seal</t>
  </si>
  <si>
    <t>+1 (347) 830-5275</t>
  </si>
  <si>
    <t>114 North West 25th Street</t>
  </si>
  <si>
    <t>hello@sortium.com</t>
  </si>
  <si>
    <t>489735-91</t>
  </si>
  <si>
    <t>Space Runners</t>
  </si>
  <si>
    <t>SpaceRunners Inc.</t>
  </si>
  <si>
    <t>Developer of digitally wearable NFTs designed for virtual experiences. The company focuses on cross-chain fashion items that can be plugged into any metaverse and games which uses augmented reality technology to experience a fashionable metaverse, enabling NFT owners the chance to meet their respective athletes and celebrities after games or concerts.</t>
  </si>
  <si>
    <t>Business/Productivity Software, Media and Information Services (B2B)*, Other Financial Services</t>
  </si>
  <si>
    <t>Augmented Reality, Cryptocurrency/Blockchain, FemTech, Virtual Reality, Wearables &amp; Quantified Self</t>
  </si>
  <si>
    <t>augmented reality, digital fashion, digital products, metaverse and gaming, metaverse tech, virtual fashion, web4</t>
  </si>
  <si>
    <t>spacerunners.com</t>
  </si>
  <si>
    <t>http://www.linkedin.com/company/spacerunners</t>
  </si>
  <si>
    <t>2022: 32, 2023: 28, 2024: 27</t>
  </si>
  <si>
    <t>The company raised $10 million of seed funding in a deal led by Pantera Capital and Polychain Capital on March 7, 2022. Jump Crypto, and 22 other investors also participated in the round. The funds will be used to build a blockchain-backed fashion metaverse and extend the company's brand to be the largest supplier of interoperable fashion items for different metaverses and games.</t>
  </si>
  <si>
    <t>Accel, Ashwin Navin, Aulis Ventures, Core Finance, Dan Bunting, Divergence Ventures, Goodwater Capital, Holly Liu, Isaac Zu, Jump Capital, Jump Crypto, Justin Kan, Kevin Lin, Kevin Ma, Kun Gao, Megan Kaspar, Mehmet Korutuurk, Pantera Capital, Patrick Lee, Polychain Capital, Randy Chung, Ray Chan, Steven Goldfeder, XRM Media, Yat Siu</t>
  </si>
  <si>
    <t>Accel (www.accel.com), Aulis Ventures (aulis.ventures), Core Finance (www.core.ist), Divergence Ventures (www.div.vc), Goodwater Capital (www.goodwatercap.com), Jump Capital (jumpcap.com), Jump Crypto (jumpcrypto.com), Justin Kan (www.justinkan.com), Pantera Capital (www.panteracapital.com), Polychain Capital (polychain.capital), XRM Media (xrmmedia.com), Yat Siu (yatsiu.com)</t>
  </si>
  <si>
    <t>275755-87P</t>
  </si>
  <si>
    <t>Deniz Özgür</t>
  </si>
  <si>
    <t>deniz@spacerunners.com</t>
  </si>
  <si>
    <t>contact@spacerunners.com</t>
  </si>
  <si>
    <t>266501-98</t>
  </si>
  <si>
    <t>Spairo</t>
  </si>
  <si>
    <t>MindNest Health, LLC</t>
  </si>
  <si>
    <t>Learn To Live</t>
  </si>
  <si>
    <t>Developer of a digital parent training platform designed to promote children's development to their potential. The company's platform offers programs for ADHD, Autism, and Tantrums that are based on clinically validated approaches that work and help to identify and attain specific goals, enabling parents to practice their new skills first and then use them all day long.</t>
  </si>
  <si>
    <t>Application Software*, Other Healthcare Services, Other Healthcare Technology Systems</t>
  </si>
  <si>
    <t>behavioral health, behavioural training, digital parenting platform, digital parenting tools, parents training, training system</t>
  </si>
  <si>
    <t>www.spairo.com</t>
  </si>
  <si>
    <t>The company raised $370,000 of seed funding through a combination of convertible debt and equity on February 9, 2021. The equity portion of funding was led by NeuroNetworks Fund. A $15,000 convertible debt was provided by Connecticut Innovations and other undisclosed lenders. The funds will be used to advance the company's digital parent-training program to beta testing.</t>
  </si>
  <si>
    <t>American Academy of Child and Adolescent Psychiatry, Connecticut Innovations, Developmental Behavioral Pediatrics Network, HealthVenture, NeuroNetworks Fund, Yale New Haven Health System</t>
  </si>
  <si>
    <t>American Academy of Child and Adolescent Psychiatry (www.aacap.org), Connecticut Innovations (www.ctinnovations.com), HealthVenture (www.healthventure.com), NeuroNetworks Fund (neuronetworksfund.org), Yale New Haven Health System (www.ynhhs.org)</t>
  </si>
  <si>
    <t>203198-77P</t>
  </si>
  <si>
    <t>David Grodberg</t>
  </si>
  <si>
    <t>dgrodberg@mindnesthealth.com</t>
  </si>
  <si>
    <t>New Haven, CT</t>
  </si>
  <si>
    <t>77 Edgehill Road</t>
  </si>
  <si>
    <t>New Haven</t>
  </si>
  <si>
    <t>06511</t>
  </si>
  <si>
    <t>info@mindnesthealth.com</t>
  </si>
  <si>
    <t>436107-70</t>
  </si>
  <si>
    <t>Sparrow (Business/Productivity Software)</t>
  </si>
  <si>
    <t>Sparrow</t>
  </si>
  <si>
    <t>TrySparrow.com, Inc.</t>
  </si>
  <si>
    <t>Developer of human resource management software designed to take care of employee leaves. The company's software-based service manages the details of each leave, creates a personalized payroll plan for each employee's unique circumstances, and files the paperwork for employees so that they can focus on their health and family, enabling clients with the absence management of their employees.</t>
  </si>
  <si>
    <t>absence management, employee leave management, employee leave software, human resource management, management software, productivity software</t>
  </si>
  <si>
    <t>www.trysparrow.com</t>
  </si>
  <si>
    <t>http://www.linkedin.com/company/sparrowinc</t>
  </si>
  <si>
    <t>2021: 37, 2022: 83, 2023: 179, 2024: 200</t>
  </si>
  <si>
    <t>The company raised $8.00 million of Series A venture funding from Keiretsu Forum and other undisclosed investors on December 1, 2022, putting the company's pre-money valuation at $120 million.</t>
  </si>
  <si>
    <t>Authentic Ventures, Keiretsu Forum, PeopleTech Partners, SHRMLabs, WndrCo</t>
  </si>
  <si>
    <t>Authentic Ventures (www.authentic-ventures.com), Keiretsu Forum (www.keiretsuforum.com), PeopleTech Partners (peopletechpartners.com), SHRMLabs (www.shrmlabs.com), WndrCo (www.wndrco.com)</t>
  </si>
  <si>
    <t>232579-90P</t>
  </si>
  <si>
    <t>Deborah Hanus</t>
  </si>
  <si>
    <t>dh@trysparrow.com</t>
  </si>
  <si>
    <t>535 Market Street</t>
  </si>
  <si>
    <t>Suite 73767</t>
  </si>
  <si>
    <t>hi@trysparrow.com</t>
  </si>
  <si>
    <t>491405-05</t>
  </si>
  <si>
    <t>Speak_</t>
  </si>
  <si>
    <t>WB Labs, Inc.</t>
  </si>
  <si>
    <t>Findem, Ashby, Endorsed.ai, Covey (Personal Products)</t>
  </si>
  <si>
    <t>Provider of an artificial intelligence-powered hiring platform designed for fully managed employer talent communities. The company offers custom signals for bias-free screening, seamless applicant tracking system (ATS) integration, and insights on candidate strengths, enabling recruiters to find the most qualified candidates efficiently and make informed hiring decisions.</t>
  </si>
  <si>
    <t>application assessment, candidate assessment, evaluation tool, hiring platform, recruitment technology, resume screening, talent acquisition</t>
  </si>
  <si>
    <t>www.speak.careers</t>
  </si>
  <si>
    <t>http://www.linkedin.com/company/speakcareers</t>
  </si>
  <si>
    <t>2022: 10, 2023: 4, 2024: 20</t>
  </si>
  <si>
    <t>The company is reportedly seeking venture funding. Previously, the company raised $150,000 of pre-seed funding in the form of SAFE notes in a deal led by Precursor Ventures on April 12, 2024.</t>
  </si>
  <si>
    <t>Gagan Biyani, Isaac Saldana, Katelin Holloway, PeopleTech Partners, Precursor Ventures, Tariq Meyers, The Venture Collective, Wade Foster</t>
  </si>
  <si>
    <t>PeopleTech Partners (peopletechpartners.com), Precursor Ventures (precursorvc.com), The Venture Collective (www.theventurecollective.com)</t>
  </si>
  <si>
    <t>Novo (Commercial Banks)(General Business Banking), Pilot(Auditor)</t>
  </si>
  <si>
    <t>101156-77P</t>
  </si>
  <si>
    <t>Andrea Guendelman</t>
  </si>
  <si>
    <t>andrea@speak.careers</t>
  </si>
  <si>
    <t>+1 (505) 205-2723</t>
  </si>
  <si>
    <t>1564 North Street</t>
  </si>
  <si>
    <t>80304</t>
  </si>
  <si>
    <t>472232-98</t>
  </si>
  <si>
    <t>Sphere (Asset Management)</t>
  </si>
  <si>
    <t>Go Free</t>
  </si>
  <si>
    <t>Sphere</t>
  </si>
  <si>
    <t>Our Sphere, Inc.</t>
  </si>
  <si>
    <t>Operator of a registered public benefit corporation intended to offer climate-friendly options in retirement plans. The company provides financial products that allow HR managers and advisors to maintain their commitment to fiduciary duty without having to compromise on climate, making it possible for employers to provide employees with climate-friendly investment options and offer benchmark-type returns at reasonable fees, enabling employers to provide employees with authentic climate-friendly investment options while maintaining fiduciary duty with quality products at reasonable costs.</t>
  </si>
  <si>
    <t>Capital Markets/Institutions</t>
  </si>
  <si>
    <t>Asset Management</t>
  </si>
  <si>
    <t>Asset Management*, Financial Software</t>
  </si>
  <si>
    <t>Climate Tech, LOHAS &amp; Wellness</t>
  </si>
  <si>
    <t>climate friendly, environment investment, investment product, retirement house, retirement investment planning, retirement product, sustainable environment, sustainable investment</t>
  </si>
  <si>
    <t>www.oursphere.org</t>
  </si>
  <si>
    <t>http://www.linkedin.com/company/oursphereorg</t>
  </si>
  <si>
    <t>2021: 5, 2022: 5, 2023: 10, 2024: 6</t>
  </si>
  <si>
    <t>The company raised $1.99 million of venture funding through a combination of debt and equity from Fairbridge, Cool Climate Collective and other undisclosed investors on November 18, 2024.</t>
  </si>
  <si>
    <t>Climate Capital, Cool Climate Collective, Fairbridge (New York), Knickerbocker Financial Group, Pale blue dot</t>
  </si>
  <si>
    <t>Climate Capital (www.climatecapital.co), Cool Climate Collective (coolclimatecollective.com), Fairbridge (New York) (www.fairbridge.vc), Knickerbocker Financial Group (www.knickerbockerfg.com), Pale blue dot (www.paleblue.vc)</t>
  </si>
  <si>
    <t>117018-55P</t>
  </si>
  <si>
    <t>Alex Wright-Gladstein</t>
  </si>
  <si>
    <t>alex@oursphere.org</t>
  </si>
  <si>
    <t>+1 (510) 473-7301</t>
  </si>
  <si>
    <t>Suite 3149</t>
  </si>
  <si>
    <t>hello@oursphere.org</t>
  </si>
  <si>
    <t>128664-55</t>
  </si>
  <si>
    <t>Sphere Technology Solutions</t>
  </si>
  <si>
    <t>SPHERE</t>
  </si>
  <si>
    <t>Sphere Technology Solutions, Inc.</t>
  </si>
  <si>
    <t>Netwrix, Beyond Security, Veracode, Code Dx, Dell EMC, Pivot3, PrimaryIO</t>
  </si>
  <si>
    <t>Developer of an end-to-end security intelligence model designed to improve security and enhance compliance. The company's model combines a software and service solution to seamlessly provide actionable intelligence and remediation capabilities across end-user and privileged entitlements, enabling businesses to secure their sensitive data, create the right governance processes for their systems and assets, and make sure companies are compliant with the regulations.</t>
  </si>
  <si>
    <t>Media and Information Services (B2B), Network Management Software*, Other Commercial Services</t>
  </si>
  <si>
    <t>Artificial Intelligence &amp; Machine Learning, Cybersecurity, SaaS, TMT</t>
  </si>
  <si>
    <t>compliance data, cybersecurity business, cybersecurity tool, managed security services, regulatory compliance, remediation tools, security assessment, security operations, security reporting, structured data</t>
  </si>
  <si>
    <t>www.sphereco.com</t>
  </si>
  <si>
    <t>http://www.linkedin.com/company/sphere-technology-solutions</t>
  </si>
  <si>
    <t>2021: 62, 2022: 83, 2023: 112, 2024: 109</t>
  </si>
  <si>
    <t>The company raised $31 million of Series B venture funding through a combination of debt and equity on November 30, 2022, putting the company's pre-money valuation at $87 million. The equity portion of $28.25 million was led by led by Edison Partner. Forgepoint Capital and other undisclosed investors also participated in the round. $2.74 million was raised in the form of loan. The funds will be used to expand the company's SaaS offering, channel ecosystem and alliances, and sales and marketing to accelerate growth. Previously, the company raised $10.15 million of Series A venture funding in a deal led by Forgepoint Capital on November 25, 2020, putting the company's pre-money valuation at $17 million. Omkhar Arasaratnam, Sounil Yu, Joel Caminer, and Adnane Charchour also participated in the round. The funds will be used to expand the scope of the company's existing capabilities, with an emphasis on cloud platforms such as Office 365.</t>
  </si>
  <si>
    <t>Adnane Charchour, Edison Partners, Forgepoint Capital, Joel Caminer, Omkhar Arasaratnam, Sounil Yu</t>
  </si>
  <si>
    <t>Edison Partners (www.edisonpartners.com), Forgepoint Capital (www.forgepointcap.com)</t>
  </si>
  <si>
    <t>193424-86P</t>
  </si>
  <si>
    <t>Rita Gurevich</t>
  </si>
  <si>
    <t>rita.gurevich@sphereco.com</t>
  </si>
  <si>
    <t>+1 (201) 659-6204</t>
  </si>
  <si>
    <t>3 Gateway Center, 8th Floor</t>
  </si>
  <si>
    <t>100 Mulberry Street</t>
  </si>
  <si>
    <t>Other - $2.74M</t>
  </si>
  <si>
    <t>471267-55</t>
  </si>
  <si>
    <t>Spiritune</t>
  </si>
  <si>
    <t>Spiritune, Inc.</t>
  </si>
  <si>
    <t>Developer of a data-driven music application intended to offer a scientific approach to balanced mental health. The company's application uses principles of music therapy and neuroscience to reduce stress, regulate emotions, boost productivity, and induce sound sleep, enabling users to overcome anxiety through the power of audio.</t>
  </si>
  <si>
    <t>Application Software, Entertainment Software*, Movies, Music and Entertainment, Other Healthcare Technology Systems</t>
  </si>
  <si>
    <t>Digital Health, LOHAS &amp; Wellness, Mobile, SaaS</t>
  </si>
  <si>
    <t>brain health, emotional regulation, emotional wellbeing, mental health, mental wellness, music based application, music health, music software developer, music therapy, stress management app</t>
  </si>
  <si>
    <t>www.spiritune.com</t>
  </si>
  <si>
    <t>http://www.linkedin.com/company/spiritune</t>
  </si>
  <si>
    <t>2021: 9, 2022: 9, 2023: 10, 2024: 9</t>
  </si>
  <si>
    <t>The company raised $1.7 million of seed funding from Human Ventures and other undisclosed investors on July 20, 2021.</t>
  </si>
  <si>
    <t>Human Ventures</t>
  </si>
  <si>
    <t>Human Ventures (www.human.vc)</t>
  </si>
  <si>
    <t>272213-47P</t>
  </si>
  <si>
    <t>Jamie Pabst</t>
  </si>
  <si>
    <t>jpabst@spiritune.com</t>
  </si>
  <si>
    <t>29 Little West 12th Street</t>
  </si>
  <si>
    <t>info@spiritune.com</t>
  </si>
  <si>
    <t>495833-41</t>
  </si>
  <si>
    <t>Spoak</t>
  </si>
  <si>
    <t>Spoak Decor Inc.</t>
  </si>
  <si>
    <t>Developer of SaaS-based online interior design platform intended to make interior design easier, faster, and more fun. The company's platform offers a suite of easy-to-use design and business tools, including lifelike room mockups and renderings, to-scale plans and furniture layouts, project management from start to finish, product sourcing, mood boards, and more, enabling clients to design their workspace and manage their projects efficiently.</t>
  </si>
  <si>
    <t>EdTech, SaaS, TMT</t>
  </si>
  <si>
    <t>design education, design studio, designer tools, enterprise resource planning, human capital management, interior design, professional designer platform, workspace design</t>
  </si>
  <si>
    <t>www.spoak.com</t>
  </si>
  <si>
    <t>http://www.linkedin.com/company/spoak</t>
  </si>
  <si>
    <t>2022: 19, 2023: 18, 2024: 12</t>
  </si>
  <si>
    <t>The company raised $8.7 million of Series A venture funding from Neo and other undisclosed investors on December 11, 2022.</t>
  </si>
  <si>
    <t>January Ventures, Maveron, Neo (Consulting Services (B2B))</t>
  </si>
  <si>
    <t>January Ventures (january.ventures), Maveron (www.maveron.com), Neo (Consulting Services (B2B)) (www.neo.com)</t>
  </si>
  <si>
    <t>300120-49P</t>
  </si>
  <si>
    <t>Hilah Stahl</t>
  </si>
  <si>
    <t>hilah@spoak.com</t>
  </si>
  <si>
    <t>427 North Tatnall Street</t>
  </si>
  <si>
    <t>Suite 82846</t>
  </si>
  <si>
    <t>19801-2230</t>
  </si>
  <si>
    <t>hello@spoak.com</t>
  </si>
  <si>
    <t>327396-61</t>
  </si>
  <si>
    <t>Spoonful (Information Services (B2C))</t>
  </si>
  <si>
    <t>Spoonful</t>
  </si>
  <si>
    <t>Spoonful Inc.</t>
  </si>
  <si>
    <t>Developer of a label scanner and food discovery application designed to analyze the ingredients in a particular food product. The company's application offers to place a product under the scanner to analyze its ingredients and find out which ingredient contains high or moderate food maps, enabling consumers to find delicious fodmap eats wherever they shop and combat chronic health conditions with food.</t>
  </si>
  <si>
    <t>diet management, discovery &amp; review, discovery and review, food application, food discovery app, food discovery portal, food scanner, personalized nutrition, wellness fitness</t>
  </si>
  <si>
    <t>www.spoonfulapp.com</t>
  </si>
  <si>
    <t>http://www.linkedin.com/company/spoonfulapp</t>
  </si>
  <si>
    <t>2020: 7, 2021: 13, 2022: 9, 2023: 8</t>
  </si>
  <si>
    <t>The company raised $481,683 of debt financing in the form of a loan via Crowd Lustro on April 30, 2022. Previously, the company raised $500,000 of venture funding in a deal led by Operate on June 1, 2020. Precursor Ventures, Gaingels and Carey Ransom also participated in the round.</t>
  </si>
  <si>
    <t>Carey Ransom, Gaingels, Operate (Investor), Precursor Ventures</t>
  </si>
  <si>
    <t>Gaingels (www.gaingels.com), Operate (Investor) (operatestudio.com), Precursor Ventures (precursorvc.com)</t>
  </si>
  <si>
    <t>Lustro(Lead Manager or Arranger)</t>
  </si>
  <si>
    <t>86707-54P</t>
  </si>
  <si>
    <t>Deepa Krishnan</t>
  </si>
  <si>
    <t>dkrishnan@spoonfuleats.com</t>
  </si>
  <si>
    <t>Orinda, CA</t>
  </si>
  <si>
    <t>29 Orinda Way</t>
  </si>
  <si>
    <t>Orinda</t>
  </si>
  <si>
    <t>94563</t>
  </si>
  <si>
    <t>Term Loan - $0.48M</t>
  </si>
  <si>
    <t>521422-75</t>
  </si>
  <si>
    <t>Sproxxy</t>
  </si>
  <si>
    <t>Sproxxy, Inc.</t>
  </si>
  <si>
    <t>Developer of an enterprise Saas platform designed to help brands prove the business impact of their conference participation. The company's event intelligence platform quantifies conference activity and helps to identify high-value opportunities that deliver high ROI and participation, allows to find high-value conference opportunities to speak, pitch to conference organizers, track and manage booked speaking opportunities, collaborate across teams, and quantity business impact, enabling corporate event management firms to cut non-useful sponsoring, attending, and speaking at events.</t>
  </si>
  <si>
    <t>ai automation platform, booking platform, data analysis software, enterprise software, event management system, intelligence platform, management platform, martech platform</t>
  </si>
  <si>
    <t>www.sproxxy.com</t>
  </si>
  <si>
    <t>http://www.linkedin.com/company/sproxxy</t>
  </si>
  <si>
    <t>The company raised $1.1 million of venture funding in the form of convertible debt from Solidea Capital, Ivy Ventures and Techstars on September 27, 2023. Other undisclosed angel investors also participated in the round.</t>
  </si>
  <si>
    <t>Ivy Ventures (Indianapolis), Solidea Capital, Techstars</t>
  </si>
  <si>
    <t>Ivy Ventures (Indianapolis) (www.ivy.fund), Solidea Capital (www.solideacapital.com), Techstars (www.techstars.com)</t>
  </si>
  <si>
    <t>339733-90P</t>
  </si>
  <si>
    <t>Melanie Samba</t>
  </si>
  <si>
    <t>melanie@sproxxy.com</t>
  </si>
  <si>
    <t>+1 (212) 878-6687</t>
  </si>
  <si>
    <t>2 Park Avenue</t>
  </si>
  <si>
    <t>Floor 20</t>
  </si>
  <si>
    <t>info@sproxxy.com</t>
  </si>
  <si>
    <t>482506-84</t>
  </si>
  <si>
    <t>Staax</t>
  </si>
  <si>
    <t>Staax App, Inc.</t>
  </si>
  <si>
    <t>Developer of a social investment payments platform designed to build wealth by investing in stock shares as easily as receiving payment. The company's platform offers a peer-to-peer payment gateway that creates value from every transaction through investment in stocks, enabling investors to generate wealth by investing socially via fractional shares of stock in the financial market.</t>
  </si>
  <si>
    <t>consumer payment, financial application, financial gateway, online payment, payment gateway, peer-to-peer payment, stock investment, super app, superapp, wallets</t>
  </si>
  <si>
    <t>www.staaxapp.com</t>
  </si>
  <si>
    <t>http://www.linkedin.com/company/parrotfinance</t>
  </si>
  <si>
    <t>2021: 3, 2022: 13, 2023: 7, 2024: 9</t>
  </si>
  <si>
    <t>The company raised $97,100 of equity crowdfunding in the form of SAFE notes via Wefunder in a deal led by Tanvi Lal on April 30, 2023.</t>
  </si>
  <si>
    <t>Harlem Capital, Hustle Fund, Kube VC, Lightspeed Venture Partners, Litquidity Capital, North 50 Venture Capital, Plug and Play Tech Center, Stella Capital (Chicago), Tanvi Lal, Techstars, Western Union</t>
  </si>
  <si>
    <t>Harlem Capital (harlem.capital), Hustle Fund (www.hustlefund.vc), Kube VC (www.kubevc.com), Lightspeed Venture Partners (www.lsvp.com), Litquidity Capital (www.litquidity.co), North 50 Venture Capital (n50vc.com), Plug and Play Tech Center (www.plugandplaytechcenter.com), Stella Capital (Chicago) (www.stellacapital.io), Techstars (www.techstars.com), Western Union (www.westernunion.com)</t>
  </si>
  <si>
    <t>278940-70P</t>
  </si>
  <si>
    <t>Victoria Yang</t>
  </si>
  <si>
    <t>Folsom, CA</t>
  </si>
  <si>
    <t>1022 Hildebrand Circle</t>
  </si>
  <si>
    <t>Folsom</t>
  </si>
  <si>
    <t>95630</t>
  </si>
  <si>
    <t>hello@staaxapp.com</t>
  </si>
  <si>
    <t>437151-25</t>
  </si>
  <si>
    <t>Stagetime</t>
  </si>
  <si>
    <t>Stagetime Inc.</t>
  </si>
  <si>
    <t>Developer of an online networking software designed to build a professional network for the performing arts. The company builds a professional brand, showcases media and also provides a structured platform for sharing work-related news and for reaching out to connections and collaborators transparently and professionally, enabling artists, artistic administrators and agents to grow and maintain relationships.</t>
  </si>
  <si>
    <t>Application Software, Entertainment Software, Movies, Music and Entertainment, Social/Platform Software*</t>
  </si>
  <si>
    <t>AudioTech, Mobile, SaaS</t>
  </si>
  <si>
    <t>entertainment software, music networking platform, network marketing, online networking, online networking platform, performing arts, professional network</t>
  </si>
  <si>
    <t>www.stagetime.com</t>
  </si>
  <si>
    <t>http://www.linkedin.com/company/stagetime-inc</t>
  </si>
  <si>
    <t>2021: 7, 2022: 9, 2023: 10</t>
  </si>
  <si>
    <t>The company raised an undisclosed amount of venture funding in the form of safe notes from Connetic Ventures and IU Ventures on February 14, 2024.</t>
  </si>
  <si>
    <t>BAMco Enterprises, Chicago Early Growth Ventures, Connetic Ventures, Elevate Ventures, Field Creek Capital, Flywheel Fund, Gravity Ventures, Hyde Park Angels, IU Ventures, M25, MassChallenge, Service Provider Capital</t>
  </si>
  <si>
    <t>BAMco Enterprises (www.bamco.enterprises), Chicago Early Growth Ventures (www.chicagoearly.com), Connetic Ventures (www.conneticventures.com), Elevate Ventures (www.elevateventures.com), Field Creek Capital (www.fieldcreekcap.com), Flywheel Fund (www.flywheelfund.vc), Gravity Ventures (www.gravityventures.com), Hyde Park Angels (www.hpa.vc), IU Ventures (www.iuventures.com), M25 (www.m25vc.com), MassChallenge (www.masschallenge.org), Service Provider Capital (www.serviceprovidercapital.com)</t>
  </si>
  <si>
    <t>235467-28P</t>
  </si>
  <si>
    <t>Jennie Moser</t>
  </si>
  <si>
    <t>jennie@stagetimearts.com</t>
  </si>
  <si>
    <t>team@stagetimearts.com</t>
  </si>
  <si>
    <t>462472-93</t>
  </si>
  <si>
    <t>Stagger</t>
  </si>
  <si>
    <t>GreenStraw Creative, LLC</t>
  </si>
  <si>
    <t>Developer of a visual storytelling platform designed to serve small and medium-sized businesses. The company's platform has a drag and drops design, includes templates to create social media graphics, and presentations offers an analytics-based dashboard to track viewer engagement and provides actionable insights on content that attracts the most customer engagement, enabling business owners to create better digital marketing content and make informed decisions.</t>
  </si>
  <si>
    <t>advertising platform, advertising services, marketing content, marketing platform, marketing services, online audio</t>
  </si>
  <si>
    <t>www.stagger.com</t>
  </si>
  <si>
    <t>http://www.linkedin.com/company/wearestagger</t>
  </si>
  <si>
    <t>2021: 9, 2022: 10, 2023: 9</t>
  </si>
  <si>
    <t>Beam Angel Network sold a stake in the company to an undisclosed buyer.</t>
  </si>
  <si>
    <t>Active Capital, Adapt Ventures, Ben Tossell, Claire Diaz-Ortiz, Corner3 Ventures, DO Venture Partners, Great Oaks Venture Capital, Hustle Fund, LoftyInc Capital Management, Natural Bridge Ventures, Operator Partners, Spacecadet Ventures, Trajectory Capital</t>
  </si>
  <si>
    <t>Active Capital (active.vc), Adapt Ventures (www.adaptvc.com), Claire Diaz-Ortiz (clairediazortiz.com), Corner3 Ventures (www.corner3.vc), DO Venture Partners (www.doventurepartners.com), Great Oaks Venture Capital (www.greatoaksvc.com), Hustle Fund (www.hustlefund.vc), LoftyInc Capital Management (www.loftyinc.vc), Natural Bridge Ventures (www.naturalbridge.fund), Operator Partners (www.operatorpartners.com), Spacecadet Ventures (www.spacecadet.ventures), Trajectory Capital (www.trajectorycapital.com)</t>
  </si>
  <si>
    <t>227303-20P</t>
  </si>
  <si>
    <t>Chrissy Cowdrey</t>
  </si>
  <si>
    <t>chrissy@stagger.com</t>
  </si>
  <si>
    <t>4608 Santa Anna street</t>
  </si>
  <si>
    <t>78721</t>
  </si>
  <si>
    <t>601807-15</t>
  </si>
  <si>
    <t>Stanly</t>
  </si>
  <si>
    <t>Stanly, Inc.</t>
  </si>
  <si>
    <t>FanCircles</t>
  </si>
  <si>
    <t>Operator of a social platform intended to connect fans with fan clubs. The company's application allows to share about their favorite artists and creators by allowing users to join or create fan-generated artist fan clubs, enabling users to discover content, participate in gaming, chat, earn rewards, shop, and stay updated on the latest news and events.</t>
  </si>
  <si>
    <t>Application Software, Social Content*</t>
  </si>
  <si>
    <t>celebrity community, celebrity news, discussion forum, fans club, fans community, interaction app, internet application</t>
  </si>
  <si>
    <t>www.stanlyapp.com</t>
  </si>
  <si>
    <t>http://www.linkedin.com/company/stanlyapp</t>
  </si>
  <si>
    <t>2024: 20</t>
  </si>
  <si>
    <t>The company raised $8 million of venture funding in a deal led by C Capital on June 12, 2024. Palm Drive Capital, Goodwater Capital, AppWorks and other undisclosed investors also participated in the round. The funding will be used to expand its team across various departments, including engineering, operations, creator support, marketing, and sales also to continue to enhance its platform 's capabilities.</t>
  </si>
  <si>
    <t>AppWorks, C Capital (Hong Kong), Goodwater Capital, Palm Drive Capital</t>
  </si>
  <si>
    <t>AppWorks (www.appworks.tw), C Capital (Hong Kong) (www.c.capital.com), Goodwater Capital (www.goodwatercap.com), Palm Drive Capital (www.palmdrive.vc)</t>
  </si>
  <si>
    <t>400746-34P</t>
  </si>
  <si>
    <t>Rebecca Leung</t>
  </si>
  <si>
    <t>3578 Hayden Avenue</t>
  </si>
  <si>
    <t>Suite N1</t>
  </si>
  <si>
    <t>443024-56</t>
  </si>
  <si>
    <t>Stark (Business/Productivity Software)</t>
  </si>
  <si>
    <t>Stark</t>
  </si>
  <si>
    <t>Stark Lab, Inc.</t>
  </si>
  <si>
    <t>Mendix, Crownpeak Technology</t>
  </si>
  <si>
    <t>Developer of an integrated suite of tool designed to make software products accessible and compliant. The company's tools design accessible products by optimizing workflows through intelligent automation, enabling enterprises to improve production efficiency by reducing cost and time spent on compliance.</t>
  </si>
  <si>
    <t>app designing tool, devops, enterprise product, product compliance, product development, software product, workflow management</t>
  </si>
  <si>
    <t>www.getstark.co</t>
  </si>
  <si>
    <t>http://www.linkedin.com/company/getstarkco</t>
  </si>
  <si>
    <t>2020: 6, 2021: 17, 2022: 19, 2024: 34</t>
  </si>
  <si>
    <t>The company raised an undisclosed amount of venture funding from K5 Global on February 14, 2024.</t>
  </si>
  <si>
    <t>Alumni Ventures, Basecamp Fund, BaseCamp Ventures, Daniel Darling, Des Traynor, Foreword, Holly Gaal, Indicator Ventures, Jason Warner, Jelle Prins, K5 Global, Kleiner Perkins, Laura Wu, Mathilde Collin, Micha Hernandez van Leuffen, Pascal Unger, Paul Veugen, Scout Investments, Steve King, Uncork Capital, Zack Onisko</t>
  </si>
  <si>
    <t>Alumni Ventures (www.av.vc), Basecamp Fund (www.basecampfund.com), BaseCamp Ventures (www.basecampventures.com), Foreword (www.foreword.vc), Indicator Ventures (www.indicatorventures.com), K5 Global (www.k5global.com), Kleiner Perkins (www.kleinerperkins.com), Scout Investments (www.scoutinv.com), Steve King (steveking.house.gov), Uncork Capital (www.uncorkcapital.com)</t>
  </si>
  <si>
    <t>McCarter &amp; English(Legal Advisor)</t>
  </si>
  <si>
    <t>Brown Rudnick(Legal Advisor)</t>
  </si>
  <si>
    <t>239067-91P</t>
  </si>
  <si>
    <t>Catherine Noone</t>
  </si>
  <si>
    <t>cat@getstark.co</t>
  </si>
  <si>
    <t>+1 (347) 201-2621</t>
  </si>
  <si>
    <t>170 Old Georgetown Road</t>
  </si>
  <si>
    <t>+1 (347) 506-5287</t>
  </si>
  <si>
    <t>hello@getstark.co</t>
  </si>
  <si>
    <t>432634-42</t>
  </si>
  <si>
    <t>Statera</t>
  </si>
  <si>
    <t>Statera Software, Inc.</t>
  </si>
  <si>
    <t>Developer of a clinician compensation and performance management software designed to provide timely and actionable compensation and care insights to hospitals, medical groups, and clinicians. The company's software provides tools to monitor and communicate compensation equity by using compensation models, enabling physicians to read performance, salary, and earned compensation by reducing error-prone manual calculations.</t>
  </si>
  <si>
    <t>clinical management software, compensation data, compensation model, equity compensation, equity compensation service, financial management</t>
  </si>
  <si>
    <t>www.hellostatera.com</t>
  </si>
  <si>
    <t>http://www.linkedin.com/company/statera-health</t>
  </si>
  <si>
    <t>2022: 7, 2023: 7</t>
  </si>
  <si>
    <t>The company raised $2.5 million of seed funding in a deal led by DWP Capital on February 14, 2023, putting the company's pre-money valuation at $7.5 million. Income Capital, Revenue Capital, SoftWrap, In Revenue Capital and other undisclosed investors also participated in the round. The funds will be used to increase operations and improvement efforts.</t>
  </si>
  <si>
    <t>DWP Capital, Golden Section, In Revenue Capital, Income Capital, Revenue Capital, SoftWrap, Techstars, Walnut Ventures</t>
  </si>
  <si>
    <t>DWP Capital (www.dwpcapital.com), Golden Section (www.goldensection.com), In Revenue Capital (www.inrevenue.capital), Revenue Capital (www.revenuecapital.io), SoftWrap (softwrap.com.br/index.html), Techstars (www.techstars.com), Walnut Ventures (www.walnutventures.com)</t>
  </si>
  <si>
    <t>Osborne Maledon(Legal Advisor)</t>
  </si>
  <si>
    <t>223560-82P</t>
  </si>
  <si>
    <t>Mike Jackson</t>
  </si>
  <si>
    <t>Co-Founder and CDO</t>
  </si>
  <si>
    <t>mike@hellostatera.com</t>
  </si>
  <si>
    <t>Brookline, MA</t>
  </si>
  <si>
    <t>258 Harvard Street</t>
  </si>
  <si>
    <t>Suite 355</t>
  </si>
  <si>
    <t>Brookline</t>
  </si>
  <si>
    <t>02446</t>
  </si>
  <si>
    <t>info@hellostateera.com</t>
  </si>
  <si>
    <t>495383-86</t>
  </si>
  <si>
    <t>Stay AI</t>
  </si>
  <si>
    <t>Retextion</t>
  </si>
  <si>
    <t>Stay Ai, Inc.</t>
  </si>
  <si>
    <t>Glew (Business Software), Shop Circle, Supermetrics, Conversific, Crossbeam, GoodData, DemandJump, Retention Science, Tableau Software, Deep.BI, AppsFlyer, Ometria, NorthBeam, Qlik Technologies, Measured, Birst, Wigzo, Teradata, Datadog, Swell, Adobe Marketo Engage, Mixpanel, Kochava, Metabase, Funnel, Beckon, Listrak, ThoughtMetric, Commercetools, Constant Contact, EZ Texting, Braze, Postscript, Adverity, Leanplum, Klaviyo, Twilio Segment, Cometly, Yotpo, TapClicks, MoEngage, Anatwine, Improvado, Springbot, Datorama, Jirafe, Polar Analytics, Volusion, Sendlane, ActiveCampaign, AdStage, GetResponse, Orckestra Technologies, Cordial, StreamSets, SMSBump, Slemma, PrestaShop, Trumpia, Squarespace, Zirkarta, Karuschain, Marigold Engage by Sailthru, Emma (Email Marketing Software), BigCommerce, Jana Mobile, Webflow, CleverTap, Call Loop, TXT180, Emotive, Panoply (Database Software), Grow, SimpleTexting, Salesforce, Handshake (Media and Information Services), Jimdo, TextRecruit, Qubole, Hull, Databox, Medallia Concierge, Zipwhip, DreamingCode, Domo, Insite Software Solutions</t>
  </si>
  <si>
    <t>Developer of a commerce enablement platform designed to grow subscription revenue. The company's platform provides loyalty tools including a short message service chatbot, surveying, and rewards programs to test, learn, and scale different discount types, helping businesses to increase customer lifetime value.</t>
  </si>
  <si>
    <t>analytical tool, artificial system, crm, customer relationship management, ecommerce personalization, machine learning, marketing technology company, predictive analytics, subscription program, vertical application</t>
  </si>
  <si>
    <t>www.stay.ai</t>
  </si>
  <si>
    <t>http://www.linkedin.com/company/stayai</t>
  </si>
  <si>
    <t>2022: 21, 2023: 40, 2024: 69</t>
  </si>
  <si>
    <t>The company raised $4 million of Series A-6 venture funding from undisclosed investors on March 21, 2023, putting the company's pre-money valuation at $73 million.</t>
  </si>
  <si>
    <t>Adam Turner, Barrel Ventures, BFG Partners, Monogram Capital Partners, Nik Sharma, Propeller Industries, RiverPark Ventures, Telescope Partners, Vanterra Ventures, Watchfire Ventures, York IE</t>
  </si>
  <si>
    <t>Barrel Ventures (www.barrelvc.com), BFG Partners (www.bfgpartners.com), Monogram Capital Partners (www.monogramcapital.com), Propeller Industries (www.propellerindustries.com), RiverPark Ventures (www.riverparkvc.com), Telescope Partners (telescopepartners.com), Vanterra Ventures (www.vanterraventures.com), Watchfire Ventures (www.watchfireventures.com), York IE (www.york.ie)</t>
  </si>
  <si>
    <t>258121-99P</t>
  </si>
  <si>
    <t>Gina Perrelli</t>
  </si>
  <si>
    <t>gperrelli@lunarsolargroup.com</t>
  </si>
  <si>
    <t>Park City, UT</t>
  </si>
  <si>
    <t>3209 Daybreaker Drive</t>
  </si>
  <si>
    <t>Park City</t>
  </si>
  <si>
    <t>84098</t>
  </si>
  <si>
    <t>+1 (937) 557-1178</t>
  </si>
  <si>
    <t>info@stay.ai</t>
  </si>
  <si>
    <t>482264-02</t>
  </si>
  <si>
    <t>Stemuli</t>
  </si>
  <si>
    <t>Stemuli Studios, Inc.</t>
  </si>
  <si>
    <t>Developer of college and career readiness platform designed to help students get virtually prepared for workspace across industries. The company's platform provides utilization of their connectivity features, career exploration, virtual mentorship, ability to employ students via virtual job fairs, creation of digital portfolios that showcase achievements, and more, enabling students to engage and prepare for their dream jobs.</t>
  </si>
  <si>
    <t>Educational and Training Services (B2C), Educational Software*, Social/Platform Software</t>
  </si>
  <si>
    <t>career exploration, career readiness, career readiness platform, college readiness, digital portfolio, e learning platform, education technology, job fairs, social networking portal, video production, virtual job fairs, virtual platform</t>
  </si>
  <si>
    <t>www.stemuli.net</t>
  </si>
  <si>
    <t>http://www.linkedin.com/company/stemulistudios</t>
  </si>
  <si>
    <t>2021: 16, 2022: 16, 2023: 19, 2024: 30</t>
  </si>
  <si>
    <t>The company joined Google for Startups on February 2024. No equity or funding was exchanged as a result of this program.</t>
  </si>
  <si>
    <t>Bill &amp; Melinda Gates Foundation, Draper Associates, Google for Startups, Impact Assets, Slauson &amp; Co., The Yass Prize, Valor Ventures</t>
  </si>
  <si>
    <t>Bill &amp; Melinda Gates Foundation (www.gatesfoundation.org), Draper Associates (www.draper.vc), Google for Startups (startup.google.com), Impact Assets (www.impactassets.org), Slauson &amp; Co. (www.slauson.co), The Yass Prize (www.yassprize.org), Valor Ventures (www.valor.vc)</t>
  </si>
  <si>
    <t>277933-51P</t>
  </si>
  <si>
    <t>Taylor Shead</t>
  </si>
  <si>
    <t>taylor@stemuli.net</t>
  </si>
  <si>
    <t>+1 (214) 668-6738</t>
  </si>
  <si>
    <t>2001 Ross Avenue</t>
  </si>
  <si>
    <t>Suite 700-177</t>
  </si>
  <si>
    <t>info@stemuli.net</t>
  </si>
  <si>
    <t>454723-03</t>
  </si>
  <si>
    <t>Stimulus</t>
  </si>
  <si>
    <t>Stimulus, Inc.</t>
  </si>
  <si>
    <t>Operator of an intelligence platform intended to help companies make better sourcing, procurement, and purchasing decisions. The company's platform uses data and analytics to offer features such as supplier comparing and measuring, data collection, custom reports, and real-time data analysis, enabling businesses to avoid risks and save costs by identifying opportunities and disruptions across the supply chain.</t>
  </si>
  <si>
    <t>data access, data analysis, purchasing decision, relationship intelligence platform, supplier diversity, supply chain, vendor search</t>
  </si>
  <si>
    <t>getstimulus.io</t>
  </si>
  <si>
    <t>http://www.linkedin.com/company/stimulusinc</t>
  </si>
  <si>
    <t>2020: 8, 2021: 5, 2022: 8, 2023: 13</t>
  </si>
  <si>
    <t>The company joined Comcast NBCUniversal LIFT Labs in October 2024. No equity or funding was exchanged as a result of this program.</t>
  </si>
  <si>
    <t>Black Operator Ventures, Bronze Valley, Comcast NBCUniversal LIFT Labs, Darco Capital, Gabriel Investments, gener8tor, Genius Guild, Google for Startups, Juno Capital (United States), Microsoft Partner Capital Fund, Morgan Stanley, Morgan Stanley Inclusive Ventures Lab, Northwestern Mutual Future Ventures, Plain Sight Capital, REFASHIOND Ventures, Right Side Capital Management, Scott Petty, Segal Ventures, Startup PHL, The BFM Fund, University of Pennsylvania Health System</t>
  </si>
  <si>
    <t>Black Operator Ventures (blackopsvc.com), Bronze Valley (www.bronzevalley.com), Comcast NBCUniversal LIFT Labs (lift.comcast.com), Darco Capital (www.darcocapital.com), Gabriel Investments (www.gabriel-investments.com), gener8tor (www.gener8tor.com), Genius Guild (www.geniusguild.co), Google for Startups (startup.google.com), Juno Capital (United States) (www.juno.capital), Microsoft Partner Capital Fund (www.microsoftpartnercommunity.com/t5/take-advantage-of-key-benefits/apply-for-the-microsoft-partner-capital-fund/m-p/47490), Morgan Stanley (www.morganstanley.com), Northwestern Mutual Future Ventures (venture.northwesternmutual.com/future-ventures.html), Plain Sight Capital (www.plainsightcapital.com), REFASHIOND Ventures (www.refashiond.com), Right Side Capital Management (www.rightsidecapital.com), Startup PHL (www.startupphl.com), The BFM Fund (www.bfm.fund), University of Pennsylvania Health System (www.pennmedicine.org)</t>
  </si>
  <si>
    <t>Morgan Lewis(Legal Advisor)</t>
  </si>
  <si>
    <t>248073-76P</t>
  </si>
  <si>
    <t>Tiffanie Stanard</t>
  </si>
  <si>
    <t>Co-Founder, Board Member, Chief Executive Officer, President, Secretary &amp; Treasurer</t>
  </si>
  <si>
    <t>tstanard@getstimulus.io</t>
  </si>
  <si>
    <t>+1 (215) 370-3018</t>
  </si>
  <si>
    <t>3675 Market Street</t>
  </si>
  <si>
    <t>19104</t>
  </si>
  <si>
    <t>info@getstimulus.io</t>
  </si>
  <si>
    <t>493701-85</t>
  </si>
  <si>
    <t>Stockpress</t>
  </si>
  <si>
    <t>Stockpress Corp.</t>
  </si>
  <si>
    <t>Developer of file management platform designed for teams to process and organize data easily. The company's platform allows teams to organize, manage, collaborate and share any file type, from anywhere in the world, enabling businesses to efficiently manage files and data.</t>
  </si>
  <si>
    <t>Automation/Workflow Software, Business/Productivity Software*, Database Software</t>
  </si>
  <si>
    <t>data center, data infrastructure, data management, data management platorm, data management system, file sharing platform, files management, files manager</t>
  </si>
  <si>
    <t>www.stockpress.co</t>
  </si>
  <si>
    <t>http://www.linkedin.com/company/stockpress</t>
  </si>
  <si>
    <t>2022: 7, 2023: 8, 2024: 10</t>
  </si>
  <si>
    <t>The company raised $1.8 million of Series 2 seed funding in a deal led by Argon Ventures on September 14, 2023, putting the company's pre-money valuation at $4.2 million. Stage 2 Capital, Deftly Ventures, Everywhere Ventures, York IE and Two Lanterns Venture Partners also participated in the round. The fund will be used to grow its team and invest in its motion to attract, engage, and convert new customers from the content, marketing, and creative communities.</t>
  </si>
  <si>
    <t>Alumni Ventures, Argon Ventures, Deftly Ventures, Everywhere Ventures, Stage 2 Capital, Two Lanterns Venture Capital, York IE</t>
  </si>
  <si>
    <t>Alumni Ventures (www.av.vc), Argon Ventures (www.argon.vc), Deftly Ventures (www.deftly.vc), Everywhere Ventures (everywhere.vc), Stage 2 Capital (www.stage2.capital), Two Lanterns Venture Capital (www.2l.vc), York IE (www.york.ie)</t>
  </si>
  <si>
    <t>295384-51P</t>
  </si>
  <si>
    <t>Ian Parkes</t>
  </si>
  <si>
    <t>Co-Founder &amp; Chief Revenue Officer</t>
  </si>
  <si>
    <t>ian@stockpress.co</t>
  </si>
  <si>
    <t>contact@stockpress.co</t>
  </si>
  <si>
    <t>279813-34</t>
  </si>
  <si>
    <t>Stopwatch (Business/Productivity Software)</t>
  </si>
  <si>
    <t>Stonehenge Technology Labs, LLC</t>
  </si>
  <si>
    <t>Stopwatch</t>
  </si>
  <si>
    <t>Stonehenge Technology Labs, Inc</t>
  </si>
  <si>
    <t>Stackline, CommerceIQ, Profitero, SAP, E2open</t>
  </si>
  <si>
    <t>Developer of an augmented platform intended to execute real-time updates based on business rules. The company's platform offers real-time data signals to drive normalized analysis, works around the clock pulling both public and private data so marketers and supply chain leaders approve it, AI-automated workers drive cross-channel, collaborative execution between human SMEs so decisions that used to take days or even weeks execute can be done in minutes, enabling clients to empower talent and create simple services to complex challenges.</t>
  </si>
  <si>
    <t>ai automation platform, artificial intelligence, artificial intelligence automation, cloud software, commerce software, cross-channel, data signal, digital analyst, games theorists, syndication software</t>
  </si>
  <si>
    <t>www.stopwatch.tech</t>
  </si>
  <si>
    <t>http://www.linkedin.com/company/stopwatchtech</t>
  </si>
  <si>
    <t>2019: 10, 2020: 15, 2021: 20, 2022: 27, 2023: 25, 2024: 17</t>
  </si>
  <si>
    <t>The company raised $2 million of venture funding in the form of SAFE notes from undisclosed investors on February 3, 2023.</t>
  </si>
  <si>
    <t>Angeles Investors, Bonfire Ventures, Bread &amp; Butter Ventures, Diana Keating, Gaingels, IrishAngels, Joe Mueller, Living Grace Partners, Molibby Investments, National Science Foundation, Red Tail Ventures, Score3 Ventures</t>
  </si>
  <si>
    <t>Angeles Investors (www.angelesinvestors.com), Bonfire Ventures (www.bonfirevc.com), Bread &amp; Butter Ventures (www.breadandbutterventures.com), Gaingels (www.gaingels.com), IrishAngels (www.irishangels.com), National Science Foundation (nsf.gov), Red Tail Ventures (www.redtailventuresllc.com), Score3 Ventures (www.score3.vc)</t>
  </si>
  <si>
    <t>Anders CPAs + Advisors(Auditor), Arvest Bank(General Business Banking), Bryan Cave Leighton Paisner(Legal Advisor), Koley Jessen(Legal Advisor), Merchant &amp; Gould(Legal Advisor), SVB Financial Group(Advisor: General), TBD Chartered Accountants(Auditor)</t>
  </si>
  <si>
    <t>Anders CPAs + Advisors(Auditor), Bryan Cave Leighton Paisner(Legal Advisor), Koley Jessen(Legal Advisor), Merchant &amp; Gould(Legal Advisor)</t>
  </si>
  <si>
    <t>210171-25P</t>
  </si>
  <si>
    <t>Meagan Bowman</t>
  </si>
  <si>
    <t>mbowman@stopwatch.tech</t>
  </si>
  <si>
    <t>+1 (314) 495-7629</t>
  </si>
  <si>
    <t>6702 West Braebourne Drive</t>
  </si>
  <si>
    <t>72758</t>
  </si>
  <si>
    <t>+1 (216) 236-4431</t>
  </si>
  <si>
    <t>connect@stopwatch.tech</t>
  </si>
  <si>
    <t>Bridge Loan - $0.15M</t>
  </si>
  <si>
    <t>464224-15</t>
  </si>
  <si>
    <t>Storey</t>
  </si>
  <si>
    <t>TheStorey, Inc.</t>
  </si>
  <si>
    <t>Whering, Depop, Poshmark, Cladwell</t>
  </si>
  <si>
    <t>Operator of a virtual wardrobe social application intended to help users to store and share their wardrobe. The company's marketplace makes fashion circular and sustainable by closing the loop from purchase to resale by tracking online purchases and the apparel's resale value, one wardrobe at a time, enabling users to digitize closets by automatically uploading items they buy online as well as earn rewards for sharing.</t>
  </si>
  <si>
    <t>apparel clothing, apparel online, closet organization, clothing firm, clothing portal, clothing style, fashion marketplace, retail items, retail website</t>
  </si>
  <si>
    <t>www.storeytheapp.com</t>
  </si>
  <si>
    <t>http://www.linkedin.com/company/storeytheapp</t>
  </si>
  <si>
    <t>2021: 5, 2022: 5, 2023: 4, 2024: 4</t>
  </si>
  <si>
    <t>The company raised seed funding on May 1, 2022.</t>
  </si>
  <si>
    <t>Newfund Management, Progression Fund, Techstars</t>
  </si>
  <si>
    <t>Newfund Management (www.newfundcap.com), Progression Fund (www.progression.fund), Techstars (www.techstars.com)</t>
  </si>
  <si>
    <t>259408-90P</t>
  </si>
  <si>
    <t>Nicole Kobilansky</t>
  </si>
  <si>
    <t>nicole@storeytheapp.com</t>
  </si>
  <si>
    <t>info@storeytheapp.com</t>
  </si>
  <si>
    <t>541499-77</t>
  </si>
  <si>
    <t>Stork</t>
  </si>
  <si>
    <t>Storkapp Inc</t>
  </si>
  <si>
    <t>Developer of a product discovery and sourcing platform intended for jewelry retailers and suppliers to discover and connect with the luxury industry, bridging the gap between suppliers and digital sellers. The company's AI-driven platform addresses the challenges of luxury wholesale and strengthens the market demand supply and ensures e-sellers have the right products at the right time, providing e-sellers with easy access to on-demand supply that aligns well with market trends.</t>
  </si>
  <si>
    <t>digital warehouse, green logistics, inventory stock, logistics online, supply chain data, supply management, warehouse platform</t>
  </si>
  <si>
    <t>www.stork.inc</t>
  </si>
  <si>
    <t>http://www.linkedin.com/company/storkapp</t>
  </si>
  <si>
    <t>2023: 20</t>
  </si>
  <si>
    <t>The company is in the process of raising $10 million of Series A venture funding from Tal Ventures on July 24, 2024. It plans to close the round by October 24, 2024. Previously, the company raised $8.89 million of seed funding from Tal Ventures, Tiferes Ventures and Jordan Gotberg on November 27, 2023, putting the company's pre-money valuation at $12 million. Moises Gilinski also participated in the round.</t>
  </si>
  <si>
    <t>Jordan Gotberg, Moises Gilinski, Tal Ventures, Tiferes Ventures</t>
  </si>
  <si>
    <t>Tal Ventures (tal-ventures.com), Tiferes Ventures (www.tiferes.vc)</t>
  </si>
  <si>
    <t>170883-46P</t>
  </si>
  <si>
    <t>Roy Lugasi</t>
  </si>
  <si>
    <t>roy@stork.inc</t>
  </si>
  <si>
    <t>+1 (516) 603-8809</t>
  </si>
  <si>
    <t>11 East 44th Street</t>
  </si>
  <si>
    <t>hello@storkapp.io</t>
  </si>
  <si>
    <t>620743-78</t>
  </si>
  <si>
    <t>Stork (Financial Services)</t>
  </si>
  <si>
    <t>Stork Labs Inc.</t>
  </si>
  <si>
    <t>Developer of an open data marketplace designed to address the limitations of traditional blockchain oracles. The company's open data market unlocks access to decentralized, reliable and unique data, enabling users to build their vision without compromise.</t>
  </si>
  <si>
    <t>data provisioning, data quality, low-latency, open data, open data tool, open dataset</t>
  </si>
  <si>
    <t>www.stork.network</t>
  </si>
  <si>
    <t>http://www.linkedin.com/company/stork-labs</t>
  </si>
  <si>
    <t>The company raised $4.71 million through a combination of Seed-1 and Seed-2 funding in a deal led by Faction Ventures and Lattice Capital on August 22, 2024, putting the company's pre-money valuation at $14.5 million. CMS Holdings, Wintermute Ventures, and other undisclosed investors also participated in the round. The funds will be used to expand company's product suite including building out and bringing to market the Open Data Market, among other initiatives.</t>
  </si>
  <si>
    <t>CMS Holdings, Faction Ventures, Lattice Capital, Wintermute Ventures</t>
  </si>
  <si>
    <t>CMS Holdings (www.cms2020.com), Faction Ventures (www.faction.vc), Lattice Capital (www.lattice.fund)</t>
  </si>
  <si>
    <t>407901-88P</t>
  </si>
  <si>
    <t>Meredith Pitkoff</t>
  </si>
  <si>
    <t>mpitkoff@stork.network</t>
  </si>
  <si>
    <t>+1 (973) 820-1665</t>
  </si>
  <si>
    <t>185 Wythe Avenue F2</t>
  </si>
  <si>
    <t>info@stork.network</t>
  </si>
  <si>
    <t>308594-35</t>
  </si>
  <si>
    <t>STRATAFOLIO</t>
  </si>
  <si>
    <t>STRATAFOLIO, Inc.</t>
  </si>
  <si>
    <t>Developer of property management platform designed to provide real-time data analytics for commercial real estate portfolios. The company's platform offers wide range of services including cash flow management, debt management, file management, lease management, and investor management, enabling portfolio managers in real-time analytics and integration of data seamlessly.</t>
  </si>
  <si>
    <t>Real Estate Technology, SaaS</t>
  </si>
  <si>
    <t>business management software, commercial real estate, management software product, non commercial estate, portfolio management software, real estate company, real estate management software</t>
  </si>
  <si>
    <t>stratafolio.com</t>
  </si>
  <si>
    <t>http://www.linkedin.com/company/stratafolio</t>
  </si>
  <si>
    <t>2020: 6, 2021: 9, 2022: 9, 2023: 12</t>
  </si>
  <si>
    <t>The company raised an undisclosed amount of venture funding from InnoVenture Iowa on June 15, 2023.</t>
  </si>
  <si>
    <t>FIN Capital Angels, InnoVenture Iowa, ISA Ventures, Propellant Ventures, Second Century Ventures, University of Iowa College of Engineering</t>
  </si>
  <si>
    <t>FIN Capital Angels (fincapitalangels.com), InnoVenture Iowa (www.innoventureiowa.com), ISA Ventures (www.isaventures.com), Propellant Ventures (www.propellant.vc), Second Century Ventures (scv.vc), University of Iowa College of Engineering (www.engineering.uiowa.edu)</t>
  </si>
  <si>
    <t>144821-71P</t>
  </si>
  <si>
    <t>Jeri Frank</t>
  </si>
  <si>
    <t>jeri@stratafolio.com</t>
  </si>
  <si>
    <t>+1 (319) 214-3092</t>
  </si>
  <si>
    <t>Cedar Rapids, IA</t>
  </si>
  <si>
    <t>415 12th Avenue SouthEast</t>
  </si>
  <si>
    <t>Cedar Rapids</t>
  </si>
  <si>
    <t>52401</t>
  </si>
  <si>
    <t>501883-30</t>
  </si>
  <si>
    <t>Streamline AI</t>
  </si>
  <si>
    <t>LegalDesk</t>
  </si>
  <si>
    <t>Streamline</t>
  </si>
  <si>
    <t>Streamline AI, Inc</t>
  </si>
  <si>
    <t>Rossum</t>
  </si>
  <si>
    <t>Developer of a cloud-based intelligent intake and workflow platform designed for in-house legal teams to collaborate better with the business and to work more efficiently internally with each other. The company's dashboard helps teams to improve legal and business relationships by giving automated updates and workflow by eliminating manual tasks and creating built-in reports for clients balancing intuitive and delightful design with robust infrastructure and security, enabling clients to automate legal requests and bring order to chaos.</t>
  </si>
  <si>
    <t>legal analytics, legal data, legal database, legal platform, legal platform provider, legal process, legal solution, no coding workflow</t>
  </si>
  <si>
    <t>www.streamline.ai</t>
  </si>
  <si>
    <t>http://www.linkedin.com/company/streamline-ai</t>
  </si>
  <si>
    <t>2022: 12, 2023: 13, 2024: 23</t>
  </si>
  <si>
    <t>The company raised $2.25 million of venture funding from Scribble Ventures on an undisclosed date.</t>
  </si>
  <si>
    <t>Oceans Ventures, Operator Partners, Pareto Holdings, Ridge Ventures, RiverPark Ventures, Scribble Ventures, The Legal Tech Fund</t>
  </si>
  <si>
    <t>Oceans Ventures (www.oceans.ventures), Operator Partners (www.operatorpartners.com), Pareto Holdings (www.pareto20.com), Ridge Ventures (www.ridge.vc), RiverPark Ventures (www.riverparkvc.com), Scribble Ventures (www.scribble.vc), The Legal Tech Fund (www.legaltech.com)</t>
  </si>
  <si>
    <t>309775-87P</t>
  </si>
  <si>
    <t>Kathy Zhu</t>
  </si>
  <si>
    <t>Co-Founder, Chief Executive Officer and GC</t>
  </si>
  <si>
    <t>kzhu@streamline.ai</t>
  </si>
  <si>
    <t>Unit 319</t>
  </si>
  <si>
    <t>691856-74</t>
  </si>
  <si>
    <t>Strella (Business/Productivity Software)</t>
  </si>
  <si>
    <t>Corner3, Inc.</t>
  </si>
  <si>
    <t>Developer of a customer research platform designed for brands to analyze responses in real time. The company's platform uses artificial intelligence to analyze interviews in real-time, with insights tailored to user's objectives, backed by underlying verbatim and highlight clips, enabling enterprises to capture participants' real-time reactions and interactions at any place any time.</t>
  </si>
  <si>
    <t>ai insights, customer analytics tool, customer insights monitoring, customer insights platform, customer research platform, customer research technology</t>
  </si>
  <si>
    <t>www.strella.io</t>
  </si>
  <si>
    <t>http://www.linkedin.com/company/strella-io</t>
  </si>
  <si>
    <t>The company raised $3.98 million through a combination of Seed-1 and Seed-2 funding in a deal led by Decibel Partners on October 15, 2024, putting the company's pre-money valuation at $12 million. Unusual Ventures and other undisclosed investors also participated in the round. The funds will be used to expand its reach across industries and company sizes.</t>
  </si>
  <si>
    <t>Decibel Partners, Unusual Ventures</t>
  </si>
  <si>
    <t>Decibel Partners (www.decibel.vc), Unusual Ventures (www.unusual.vc)</t>
  </si>
  <si>
    <t>266607-91P</t>
  </si>
  <si>
    <t>Lydia Hylton</t>
  </si>
  <si>
    <t>110 Bank Street Apartment 1A</t>
  </si>
  <si>
    <t>322943-86</t>
  </si>
  <si>
    <t>Strongsuit</t>
  </si>
  <si>
    <t>Speedwell &amp; Yarrow, Inc</t>
  </si>
  <si>
    <t>Developer a professional task management services platform designed to help busy professionals manage life outside the office. The company offers a task management platform, which is based on technology and predictive analytics, along with a touch of human service, providing employers a new way to retain talent, enabling employees to remember their unfinished tasks and helping to manage their life outside their office.</t>
  </si>
  <si>
    <t>HR Tech, LOHAS &amp; Wellness</t>
  </si>
  <si>
    <t>employee mental health, employee wellbeing, employee wellness application, employee wellness platform, employee wellness solutions, task management dashboard, task management software</t>
  </si>
  <si>
    <t>www.strongsuit.co</t>
  </si>
  <si>
    <t>http://www.linkedin.com/company/strongsuitco</t>
  </si>
  <si>
    <t>2020: 10, 2021: 18, 2022: 16, 2023: 17, 2024: 15</t>
  </si>
  <si>
    <t>The company raised $3 million of venture funding from Bloomberg Beta, Rev1 Ventures, Eudemian Ventures and 10X Capital on November 23, 2022, putting the company's pre-money valuation at $10 million. North Coast Ventures and 4 other investors also participated in the round.</t>
  </si>
  <si>
    <t>10X Capital, Alumni Ventures, Bloomberg Beta, Eudemian Ventures, Gaingels, Jumpstart Ventures, MGV, North Coast Ventures, Precursor Ventures, Rev1 Ventures, Techstars, Tuesday Capital</t>
  </si>
  <si>
    <t>10X Capital (www.10xcapital.com), Alumni Ventures (www.av.vc), Bloomberg Beta (www.bloombergbeta.com), Eudemian Ventures (www.eudemian.vc), Gaingels (www.gaingels.com), Jumpstart Ventures (www.jumpstart.vc), MGV (www.mgv.vc), North Coast Ventures (www.northcoast.vc), Precursor Ventures (precursorvc.com), Rev1 Ventures (www.rev1ventures.com), Techstars (www.techstars.com), Tuesday Capital (www.tuesday.vc)</t>
  </si>
  <si>
    <t>212830-93P</t>
  </si>
  <si>
    <t>Ashley Lambrix</t>
  </si>
  <si>
    <t>ashley.lambrix@speedwellandyarrow.com</t>
  </si>
  <si>
    <t>+1 (216) 389-0037</t>
  </si>
  <si>
    <t>Columbus, OH</t>
  </si>
  <si>
    <t>21 East State Street</t>
  </si>
  <si>
    <t>Columbus</t>
  </si>
  <si>
    <t>43215</t>
  </si>
  <si>
    <t>info@strongsuit.co</t>
  </si>
  <si>
    <t>454787-83</t>
  </si>
  <si>
    <t>Stuf</t>
  </si>
  <si>
    <t>Stuuf Inc.</t>
  </si>
  <si>
    <t>Provider of self-storage services intended to provide storage in a warm and inviting environment for tech-enabled users. The company partners with real estate owners to monetize underutilized spaces in commercial buildings, creating new cash flow opportunities while providing neighborhoods with new amenities, enabling house owners and tenants to search for new renting options.</t>
  </si>
  <si>
    <t>Application Software, Other Services (B2C Non-Financial)*, Real Estate Services (B2C)</t>
  </si>
  <si>
    <t>consumer services platform, consumer services provider, real estate services, renting platform, renting platform operator, renting service, renting service firm, self storage, self storage operator, storage services</t>
  </si>
  <si>
    <t>www.stufstorage.com</t>
  </si>
  <si>
    <t>http://www.linkedin.com/company/stufstorage</t>
  </si>
  <si>
    <t>2021: 13, 2022: 16, 2024: 13</t>
  </si>
  <si>
    <t>The company raised $11 million of Series A venture funding in a deal led by Allegion Ventures and Altos Venture on February 16, 2023, putting the company's pre-money valuation at $19 million. Cerity Partners Ventures and 5 other investors also participated in the round. The funds will be used to expand nationally, bringing its tech-enabled storage closer to more people and businesses across the U.S.</t>
  </si>
  <si>
    <t>Allegion Ventures, Altos Venture, ANIM Fund, Cerity Partners Ventures, Good Friends, Harlem Capital, Palm Tree Crew Investments, Wilshire Lane Capital</t>
  </si>
  <si>
    <t>Allegion Ventures (www.AllegionVentures.com), ANIM Fund (www.animfund.com), Cerity Partners Ventures (www.touchdownvc.com), Good Friends (www.goodfriends.com), Harlem Capital (harlem.capital), Palm Tree Crew Investments (www.ptc-holdings.com), Wilshire Lane Capital (www.wilshirelanecapital.com)</t>
  </si>
  <si>
    <t>247815-82P</t>
  </si>
  <si>
    <t>Katharine Lau</t>
  </si>
  <si>
    <t>kat@stufstorage.com</t>
  </si>
  <si>
    <t>+1 (212) 677-0180</t>
  </si>
  <si>
    <t>220 5th Avenue</t>
  </si>
  <si>
    <t>+1 (833) 380-7883</t>
  </si>
  <si>
    <t>info@stufstorage.com</t>
  </si>
  <si>
    <t>533382-31</t>
  </si>
  <si>
    <t>Succinct</t>
  </si>
  <si>
    <t>Succinct Labs, Inc</t>
  </si>
  <si>
    <t>Developer of proof of stake consensus blockchain technology designed to read the Ethereum state securely on any chain. The company provides an open-source platform to write programs, reuse existing crates and libraries, and generate proofs blazingly fast, helping developers write rust without sacrificing performance.</t>
  </si>
  <si>
    <t>Cryptocurrency/Blockchain, SaaS</t>
  </si>
  <si>
    <t>blockchain technology company, blockchain technology developer, ethereum blockchain, ethereum network, proof of stake, proof of stake protocol</t>
  </si>
  <si>
    <t>www.succinct.xyz</t>
  </si>
  <si>
    <t>http://www.linkedin.com/company/succinctlabs</t>
  </si>
  <si>
    <t>2023: 8, 2024: 10</t>
  </si>
  <si>
    <t>The company raised $43 million of Series A venture funding in a deal led by Paradigm (Crypto Fund) on March 21, 2024, putting the company's pre-money valuation at $227 million. Zero Knowledge Validation, Bankless Ventures, Robot Ventures, John Adler , Geometry, Sandeep Nailwal, Daniel Lubarov, Standard Crypto ,and Sreeram Kannan also participated in the round.</t>
  </si>
  <si>
    <t>Bankless Ventures, Bluebirds Capital, Daniel Lubarov, F.actor, Geometry Ventures, John Adler, Paradigm (Crypto Fund), Robot Ventures, Sandeep Nailwal, Sreeram Kannan, Standard Crypto, Zero Knowledge Validation</t>
  </si>
  <si>
    <t>Bankless Ventures (www.bankless.ventures), Bluebirds Capital (www.bluebirds.capital), F.actor (www.f.actor), Geometry Ventures (www.geometry.xyz), Paradigm (Crypto Fund) (www.paradigm.xyz), Robot Ventures (robvc.com), Standard Crypto (www.standardcrypto.vc), Zero Knowledge Validation (zkv.xyz)</t>
  </si>
  <si>
    <t>Buhler Duggal &amp; Henry(Legal Advisor)</t>
  </si>
  <si>
    <t>360064-63P</t>
  </si>
  <si>
    <t>John Guibas</t>
  </si>
  <si>
    <t>555 Montgomery Street</t>
  </si>
  <si>
    <t>Suite 811</t>
  </si>
  <si>
    <t>hello@succinct.xyz</t>
  </si>
  <si>
    <t>443135-80</t>
  </si>
  <si>
    <t>Suma (Financial Services)</t>
  </si>
  <si>
    <t>Suma</t>
  </si>
  <si>
    <t>Suma Inc.</t>
  </si>
  <si>
    <t>Moneysoft (Financial Software), Personal Capital, Qapital, Buxfer, Guiabolso, MoneyBrilliant, Zeta, Instant Financial, NerdWallet, Monarch (Financial Software)</t>
  </si>
  <si>
    <t>Developer of a digital platform designed to teach the Latino community how to build and sustain wealth. The company's platform uses the holistic approach of digital media, fin-tech, and virtual experiences to teach topics of investment, debt management, and creating and sustaining wealth, enabling clients in the Latino community to deal with their financial issues and get them resolved in a hassle-free manner.</t>
  </si>
  <si>
    <t>debt management, financial inclusion, financial inclusion platform, financial inclusion services, financial issues, financial technology, personal financial management, wealthtech</t>
  </si>
  <si>
    <t>www.sumawealth.com</t>
  </si>
  <si>
    <t>http://www.linkedin.com/company/suma-wealth</t>
  </si>
  <si>
    <t>2020: 12, 2021: 29, 2024: 15</t>
  </si>
  <si>
    <t>The company raised $2.2 million of seed funding in a deal led by Radicle Impact on February 6, 2024. Resilience VC, American Heart Association, Altalurra Ventures, Chingona Ventures, OVO Fund, Female Founders Fund, VamosVentures, Acumen America, Ulu Ventures, Gaingels, RevTech Labs Capital and One World also participated in the round.</t>
  </si>
  <si>
    <t>2045 Ventures, Acumen America, Altalurra Ventures, American Heart Association, Anna Barber, Arlan Hamilton, Backstage Capital, Carmen Palafox, Chingona Ventures, Everywhere Ventures, Female Founders Fund, Gaingels, Gale Wilkinson, Ilse Calderon, Impact Assets, Ivelisse Simon, Kwanza Jones &amp; José E. Feliciano Supercharged Initiative, Lolita Taub, Noramay Cadena, One World, OVO Fund, Portfolia, Radicle Impact, Raina Kumra, Resilience VC, RevTech Labs Capital, Samara Hernández, Silicon Valley Social Venture Fund, Ulu Ventures, VamosVentures, VITALIZE Venture Capital</t>
  </si>
  <si>
    <t>2045 Ventures (www.2045vc.com), Acumen America (acumenamerica.org), Altalurra Ventures (www.altalurra.com), American Heart Association (www.heart.org), Backstage Capital (www.backstagecapital.com), Chingona Ventures (chingona.ventures), Everywhere Ventures (everywhere.vc), Female Founders Fund (www.femalefoundersfund.com), Gaingels (www.gaingels.com), Impact Assets (www.impactassets.org), Kwanza Jones &amp; José E. Feliciano Supercharged Initiative (jonesfeliciano.com), One World (www.oneworld.investments), OVO Fund (www.ovofund.com), Portfolia (www.portfolia.co), Radicle Impact (www.radicleimpact.com), Resilience VC (resilience.vc), RevTech Labs Capital (www.rtl.capital), Silicon Valley Social Venture Fund (www.sv2.org), Ulu Ventures (www.uluventures.com), VamosVentures (www.vamosventures.com), VITALIZE Venture Capital (vitalize.vc)</t>
  </si>
  <si>
    <t>Beneficial State Bank(General Business Banking)</t>
  </si>
  <si>
    <t>44877-97P</t>
  </si>
  <si>
    <t>Beatriz Greiff Acevedo</t>
  </si>
  <si>
    <t>bea@sumawealth.com</t>
  </si>
  <si>
    <t>+1 (323) 629-8732</t>
  </si>
  <si>
    <t>Washington Boulevard</t>
  </si>
  <si>
    <t>10000</t>
  </si>
  <si>
    <t>hola@wearesuma.com</t>
  </si>
  <si>
    <t>464385-52</t>
  </si>
  <si>
    <t>Sunday (Financial Software)</t>
  </si>
  <si>
    <t>Sunday</t>
  </si>
  <si>
    <t>Sunday App, Inc PBC</t>
  </si>
  <si>
    <t>Qlub (Financial Software), Qikserve</t>
  </si>
  <si>
    <t>Developer of a QR-based payment application designed to make payments in restaurants. The company's application uses artificial intelligence to track past bills and food allergies and saves users' favorite payment methods, enabling restaurants to increase table turnover rates by offering a way to check the menu and pay without touching anything.</t>
  </si>
  <si>
    <t>Artificial Intelligence &amp; Machine Learning, FinTech, Mobile, Restaurant Technology</t>
  </si>
  <si>
    <t>customer relationship management, digital commerce, ecommerce payment, enterprise payment, online payment, online payment app, payment platform, qr code developer, qr code reader, qr coding payment, restaurant payment application</t>
  </si>
  <si>
    <t>www.sundayapp.com</t>
  </si>
  <si>
    <t>http://www.linkedin.com/company/sundaytech</t>
  </si>
  <si>
    <t>2021: 170, 2022: 258, 2023: 148, 2024: 170</t>
  </si>
  <si>
    <t>The company raised $100 million of Series A venture funding in a deal led by Coatue Management on September 22, 2021. Convivialité Ventures, French Partners, DST Global, Xavier Niel and other undisclosed investors also participated in the round. The funds will be used to expand to new restaurants, launch new features, such as table booking, ordering, and loyalty programs, and double the company's number of team members over the next twelve months. Previously, the company raised $24 million of seed funding in a deal led by Coatue Management on April 14, 2021, putting the company's pre-money valuation at $116 million. New Wave VC, HEC ventures and other undisclosed investors also participated in the round.</t>
  </si>
  <si>
    <t>Coatue Management, Convivialité Ventures, DST Global, French Partners, HEC ventures, New Wave VC, Xavier Niel</t>
  </si>
  <si>
    <t>Coatue Management (www.coatue.com), Convivialité Ventures (www.convivialite-ventures.com), DST Global (www.dst-global.com), French Partners (www.frenchpartners.com), HEC ventures (www.hecalumni.fr), New Wave VC (www.newwave.vc)</t>
  </si>
  <si>
    <t>SwingSearch(Consulting)</t>
  </si>
  <si>
    <t>216258-22P</t>
  </si>
  <si>
    <t>Victor Lugger</t>
  </si>
  <si>
    <t>victor.lugger@sundayapp.com</t>
  </si>
  <si>
    <t>305 Delmont Drive, North East</t>
  </si>
  <si>
    <t>sundayforall@sundayapp.com</t>
  </si>
  <si>
    <t>460096-66</t>
  </si>
  <si>
    <t>Sundial</t>
  </si>
  <si>
    <t>Sundial Product Inc.</t>
  </si>
  <si>
    <t>Developer of a data insights system designed to automate product analysis. The company's software helps understand the product's story and provides insights related to the mission and vision with raw data to entities, metrics, and visualizations, enabling team members to prioritize meaningful goals, strategies, and tasks.</t>
  </si>
  <si>
    <t>business dashboard, business data, product analysis, product data, product insights, visual design</t>
  </si>
  <si>
    <t>www.sundial.so</t>
  </si>
  <si>
    <t>http://www.linkedin.com/company/sundialso</t>
  </si>
  <si>
    <t>2021: 25, 2022: 30, 2023: 50</t>
  </si>
  <si>
    <t>The company raised $23.35 million through a combination of Series A, Series A-1, and Series A-2 of venture funding in a deal led by GreatPoint Ventures on August 6, 2024, putting the company's pre-money valuation at $78.65 million. Mantis VC, Slow Ventures, Tribe Capital, Sequoia Capital, F7 Ventures, 515 Ventures, and Milkbox Partners also participated in the round.</t>
  </si>
  <si>
    <t>515 Ventures, F7 Ventures, GreatPoint Ventures, Mantis VC, Milkbox Partners, Sequoia Capital, Slow Ventures, Tribe Capital</t>
  </si>
  <si>
    <t>515 Ventures (www.515ventures.com), F7 Ventures (www.f7ventures.com), GreatPoint Ventures (www.gpv.com), Mantis VC (www.mantisvc.com), Milkbox Partners (www.milkboxpartners.com), Sequoia Capital (www.sequoiacap.com), Slow Ventures (www.slow.co), Tribe Capital (www.tribecap.co)</t>
  </si>
  <si>
    <t>253506-79P</t>
  </si>
  <si>
    <t>Chandrasekher Narayanan</t>
  </si>
  <si>
    <t>Co-Founder &amp; Product &amp; Sales Executive</t>
  </si>
  <si>
    <t>chandra@sundial.so</t>
  </si>
  <si>
    <t>+1 (408) 384-8427</t>
  </si>
  <si>
    <t>700 El Camino Real</t>
  </si>
  <si>
    <t>Suite 120</t>
  </si>
  <si>
    <t>hello@sundial.so</t>
  </si>
  <si>
    <t>523434-79</t>
  </si>
  <si>
    <t>Super Duper Secret</t>
  </si>
  <si>
    <t>Super Duper Secret Co</t>
  </si>
  <si>
    <t>FootballCoin, GRIPNR, InfiniGods, FACE IT (Entertainment Software), KingSpeed, Nirvana Interactive, Revolving Games, Big Time</t>
  </si>
  <si>
    <t>Operator of a meta-game platform intended to make a chess battle game. The company's platform offers ten players face off in a blazingly paced showdown, making their moves in synchronous matches against each of the other nine players, enabling users with a multiplayer game.</t>
  </si>
  <si>
    <t>Entertainment Software*, Information Services (B2C)</t>
  </si>
  <si>
    <t>Gaming, TMT</t>
  </si>
  <si>
    <t>chess games, chess platform, gaming content, gaming platform, meta games, multiplayer games, web 3 games</t>
  </si>
  <si>
    <t>www.superdupersecret.co</t>
  </si>
  <si>
    <t>http://www.linkedin.com/company/superdupersecret-co</t>
  </si>
  <si>
    <t>2023: 3, 2024: 3</t>
  </si>
  <si>
    <t>The company raised $1 million of seed funding from Overwolf, Big Brain Holdings and LD Capital on April 21, 2023. Round 13 Digital Asset Fund and 7 other investors also participated in the round.</t>
  </si>
  <si>
    <t>Big Brain Holdings, Cristian Manea, Gabby Dizon, LD Capital, Merit Circle, Overwolf, P2 Ventures, Round 13 Digital Asset Fund, Round13 Capital, Sebastien Borget, Solana Ventures</t>
  </si>
  <si>
    <t>Big Brain Holdings (www.bigbrain.holdings), LD Capital (www.ldcap.com), Merit Circle (www.meritcircle.io), Overwolf (www.overwolf.com), P2 Ventures (www.p2v.ventures), Round 13 Digital Asset Fund (r13daf.com), Round13 Capital (www.round13.com), Solana Ventures (solana.ventures)</t>
  </si>
  <si>
    <t>344589-94P</t>
  </si>
  <si>
    <t>Jazzlyn O'Reilly</t>
  </si>
  <si>
    <t>Weston, FL</t>
  </si>
  <si>
    <t>Weston</t>
  </si>
  <si>
    <t>469228-69</t>
  </si>
  <si>
    <t>Super Software (Business/Productivity Software)</t>
  </si>
  <si>
    <t>Super Software</t>
  </si>
  <si>
    <t>Super Software Inc.</t>
  </si>
  <si>
    <t>Developer of operating system software designed for residential real estate. The company's platform is designed to support multifamily and homeowner association-focused property managers, real estate developers, boards, and residents, property management software makes buildings smarter by streamlining communications and enhancing accountability, enabling property management teams to save time and money while building better relationships with residents.</t>
  </si>
  <si>
    <t>Real Estate Technology, TMT</t>
  </si>
  <si>
    <t>enterprise resource planning, erp, operating system software, property management platform, property management software, property management system, property software, proptech, real estate software</t>
  </si>
  <si>
    <t>www.hiresuper.com</t>
  </si>
  <si>
    <t>http://www.linkedin.com/company/hiresuper</t>
  </si>
  <si>
    <t>2021: 3, 2022: 5, 2023: 9, 2024: 8</t>
  </si>
  <si>
    <t>The company raised $5 million of seed funding from Plug and Play Tech Center and undisclosed investors on June 24, 2021, putting the company's pre-money valuation at $7.8 million.</t>
  </si>
  <si>
    <t>Plug and Play Tech Center</t>
  </si>
  <si>
    <t>267275-17P</t>
  </si>
  <si>
    <t>Lindsay Liu</t>
  </si>
  <si>
    <t>lindsay@hiresuper.com</t>
  </si>
  <si>
    <t>+1 (505) 600-1103</t>
  </si>
  <si>
    <t>61 Greenpoint Avenue</t>
  </si>
  <si>
    <t>Suite 635</t>
  </si>
  <si>
    <t>11222</t>
  </si>
  <si>
    <t>hello@hiresuper.com</t>
  </si>
  <si>
    <t>498312-19</t>
  </si>
  <si>
    <t>Superb (Human Capital Services)</t>
  </si>
  <si>
    <t>Superb</t>
  </si>
  <si>
    <t>Superb Shifts Inc.</t>
  </si>
  <si>
    <t>Developer of a healthcare staffing platform intended to connect healthcare workers to open shifts in senior living. The company's platform gives healthcare workers flexibility in their schedules by helping them to pick up shifts when and where they want which benefits both the healthcare worker and the facilities, enabling workers to get adequately paid for the shifts that they work for.</t>
  </si>
  <si>
    <t>Application Software, Human Capital Services*, Other Healthcare Services</t>
  </si>
  <si>
    <t>contract worker, healthcare staff, healthcare staffing, healthcare staffing app, staffing platform developer, staffing platform provider</t>
  </si>
  <si>
    <t>www.superbshifts.com</t>
  </si>
  <si>
    <t>http://www.linkedin.com/company/superbshifts</t>
  </si>
  <si>
    <t>2022: 28, 2023: 5</t>
  </si>
  <si>
    <t>The company joined Tampa Bay Wave as a part of HealthTech|X Accelerator on July 24, 2024. Previously, the company raised $2 million of venture funding in the form of convertible debt from Invest Nebraska, Nebraska Angels and Black Dog Ventures on April 3, 2024.</t>
  </si>
  <si>
    <t>Black Dog Ventures (PGSA), First National Bank of Omaha, Invest Nebraska, Nebraska Angels, Nelnet Ventures, Proven Ventures, Tampa Bay Wave</t>
  </si>
  <si>
    <t>Black Dog Ventures (PGSA) (www.pgsallc.com), First National Bank of Omaha (www.fnbo.com), Invest Nebraska (www.investnebraska.com), Nebraska Angels (www.nebraskaangels.org), Proven Ventures (www.proven.ventures), Tampa Bay Wave (www.tampabaywave.org)</t>
  </si>
  <si>
    <t>304964-65P</t>
  </si>
  <si>
    <t>Molly O'Neil</t>
  </si>
  <si>
    <t>molly@superbshifts.com</t>
  </si>
  <si>
    <t>+1 (402) 630-3522</t>
  </si>
  <si>
    <t>12329 Hickory Road</t>
  </si>
  <si>
    <t>68144</t>
  </si>
  <si>
    <t>info@superbshifts.com</t>
  </si>
  <si>
    <t>433369-63</t>
  </si>
  <si>
    <t>Superkind</t>
  </si>
  <si>
    <t>Peep</t>
  </si>
  <si>
    <t>Superkind, Inc.</t>
  </si>
  <si>
    <t>Operator of a scanning platform intended to peep and find the clothing details. The company's platform offers people the details of the products others wear by scanning, enabling users to save their search time.</t>
  </si>
  <si>
    <t>gaming content, gaming publisher, gaming studio, online platform, product search, scanning platform, scanning technology, search platform</t>
  </si>
  <si>
    <t>www.joinpeep.io</t>
  </si>
  <si>
    <t>http://www.linkedin.com/company/superkind</t>
  </si>
  <si>
    <t>2020: 26, 2021: 33, 2022: 41, 2023: 22, 2024: 27</t>
  </si>
  <si>
    <t>GC VR Gaming Tracker Fund and Chapman Office sold their stake in the company to undisclosed buyers.</t>
  </si>
  <si>
    <t>14W, 1Up Ventures, Alpha Edison, Everblue Management, Firstminute Capital, G9 Ventures, Hearst Ventures, JAWS Estates Capital, London Venture Partners, PLG Ventures, Third Kind Venture Capital, Tom Chapman</t>
  </si>
  <si>
    <t>Chapman Office, GC VR Gaming Tracker Fund</t>
  </si>
  <si>
    <t>14W (www.14w.com), 1Up Ventures (1upfund.com), Alpha Edison (www.alphaedison.com), Firstminute Capital (www.firstminute.capital), G9 Ventures (www.g9.ventures), JAWS Estates Capital (www.jawsvc.com), London Venture Partners (www.londonvp.com), PLG Ventures (www.plgventures.com), Third Kind Venture Capital (www.3kvc.com)</t>
  </si>
  <si>
    <t>225561-61P</t>
  </si>
  <si>
    <t>Jill Wilson</t>
  </si>
  <si>
    <t>jill-wilson@robingames.com</t>
  </si>
  <si>
    <t>+1 (310) 205-4800</t>
  </si>
  <si>
    <t>8605 Santa Monica Boulevard</t>
  </si>
  <si>
    <t>Suite 58869</t>
  </si>
  <si>
    <t>hi@superkind.com</t>
  </si>
  <si>
    <t>267777-01</t>
  </si>
  <si>
    <t>Swantide</t>
  </si>
  <si>
    <t>Swantide, Inc.</t>
  </si>
  <si>
    <t>Workbooks CRM, Nutshell, Teamgate, Nimble (Media and Information Services), Insightly, Pipedrive, TrustRadius, Adobe Marketo Engage, SalesLoft, Shore, Outreach, Agile CRM, ZynBit, Base (Sales Platform), HubSpot, Kommo, SugarCRM, Bitrix24, Salesboom, Copper (Business/Productivity Software), Salesforce, Right On Interactive, Velocify, Monday.com, BrightOffice, Zoho Corporation, Associates Solutions, Freshworks</t>
  </si>
  <si>
    <t>Developer of customer relationship management software designed for sales, marketing, and operations teams. The company's software provides an effortless way to set up and manage customer interactions and engagements to design, build, and manage the global transportation management systems and increase engagement, enabling businesses to grow and unlock better visibility and accuracy for their revenue teams.</t>
  </si>
  <si>
    <t>ai-powered application, customer interaction, customer interaction platform, customer relationship management, customer relationship platform, relationship management software, sale system management, sales management platform</t>
  </si>
  <si>
    <t>www.swantide.com</t>
  </si>
  <si>
    <t>http://www.linkedin.com/company/swantide</t>
  </si>
  <si>
    <t>2021: 6, 2022: 15, 2023: 15, 2024: 11</t>
  </si>
  <si>
    <t>The company raised $7 million of seed funding in a deal led by Menlo Ventures on October 27, 2022. Neo, Village Global, Burst Capital, and Scribble Ventures also participated in the round. The funds will be used to continue to expand operations and business reach.</t>
  </si>
  <si>
    <t>515 Ventures, Arash Ferdowsi, ASDF Ventures, Burst Capital, Frederic Kerrest, Jean-Denis Greze, Mathilde Collin, Menlo Ventures, Neo (Consulting Services (B2B)), Ramsey Homsany, Ryan Carlson, Ryan Johnson, Scribble Ventures, Stephanie Friedman, Village Global, Waseem Daher</t>
  </si>
  <si>
    <t>515 Ventures (www.515ventures.com), ASDF Ventures (www.asdfventures.com), Burst Capital (www.burst.llc), Menlo Ventures (www.menlovc.com), Neo (Consulting Services (B2B)) (www.neo.com), Scribble Ventures (www.scribble.vc), Village Global (www.villageglobal.vc)</t>
  </si>
  <si>
    <t>240443-65P</t>
  </si>
  <si>
    <t>Taylor Lint</t>
  </si>
  <si>
    <t>taylor@swantide.com</t>
  </si>
  <si>
    <t>+1 (914) 787-1923</t>
  </si>
  <si>
    <t>1808 Pacific Avenue</t>
  </si>
  <si>
    <t>Apartment 501</t>
  </si>
  <si>
    <t>hello@swantide.com</t>
  </si>
  <si>
    <t>322824-43</t>
  </si>
  <si>
    <t>Sware</t>
  </si>
  <si>
    <t>Boston Technology Research</t>
  </si>
  <si>
    <t>BTR</t>
  </si>
  <si>
    <t>Sware, Inc.</t>
  </si>
  <si>
    <t>ValGenesis, Rescop, SimplerQMS, Kneat</t>
  </si>
  <si>
    <t>Developer of enterprise-wide software designed to automate how companies ensure compliance with domestic and international regulatory requirements. The company's services include quality management implementation and remediation, risk management, auditing and training, computer systems validation, and many more, enabling clients to get product efficiency and cost reduction through the systems implementation process and integrated compliance ecosystem methodology.</t>
  </si>
  <si>
    <t>Business/Productivity Software, Consulting Services (B2B), IT Consulting and Outsourcing*</t>
  </si>
  <si>
    <t>automated testing, life science firm, life sciences market, regulatory compliance audits, validation platform, validation services</t>
  </si>
  <si>
    <t>www.sware.com</t>
  </si>
  <si>
    <t>http://www.linkedin.com/company/sware-by</t>
  </si>
  <si>
    <t>2020: 155, 2021: 90, 2022: 90, 2023: 87, 2024: 76</t>
  </si>
  <si>
    <t>The company raised $6.02 million of Series B venture funding in a deal led by First Analysis on April 29, 2024. Insight Partners, Simplex Ventures, LRVHealth, and New Stack Ventures also participated in the round. Out of which $1.5 million was raised in the form of convertible debt and subsequently was converted to equity. The funds will be used to expand the company's sales team; the company began the year with 40 employees and has now brought that number up to 50 and to incorporate artificial intelligence into the platform as way further reduce the time and cost for its customers, including by allowing them to content with concepts.</t>
  </si>
  <si>
    <t>First Analysis, Insight Partners, Jumpstart Foundry, LRVHealth, New Stack Ventures, Right Side Capital Management, Simplex Ventures</t>
  </si>
  <si>
    <t>First Analysis (www.firstanalysis.com), Insight Partners (www.insightpartners.com), Jumpstart Foundry (www.jsf.co), LRVHealth (www.lrvhealth.com), New Stack Ventures (www.newstack.com), Right Side Capital Management (www.rightsidecapital.com)</t>
  </si>
  <si>
    <t>Burns &amp; Levinson(Legal Advisor), The Loan Source(Debt Financing)</t>
  </si>
  <si>
    <t>212112-55P</t>
  </si>
  <si>
    <t>Kosal Keo</t>
  </si>
  <si>
    <t>Strategic Advisor &amp; Board Member</t>
  </si>
  <si>
    <t>+1 (978) 884-4275</t>
  </si>
  <si>
    <t>Chelsea, MA</t>
  </si>
  <si>
    <t>214 Arlington Street</t>
  </si>
  <si>
    <t>Chelsea</t>
  </si>
  <si>
    <t>02150</t>
  </si>
  <si>
    <t>info@sware.com</t>
  </si>
  <si>
    <t>Term Loan - $0.11M (Government - PPP: $150,000-350,000)</t>
  </si>
  <si>
    <t>442374-85</t>
  </si>
  <si>
    <t>SwayID</t>
  </si>
  <si>
    <t>Alcamy App, Swapay, Swaypay</t>
  </si>
  <si>
    <t>Swaypay It, Inc</t>
  </si>
  <si>
    <t>Developer of a digital verification platform designed to instantly authenticate the identities of creator-consumers. The company leverages thousands of authoritative data sources, and accurately verifies a shopper's status as a creator in real-time, seamlessly integrating within a retailer's shopping journey, this integration ensures a customer experience, diminishing churn and enhancing loyalty, enabling merchants to offer gated promotions specifically tailored to the valuable creator-consumer segment</t>
  </si>
  <si>
    <t>Application Software, Business/Productivity Software, Financial Software, Media and Information Services (B2B)*</t>
  </si>
  <si>
    <t>E-Commerce, FinTech, Mobile, Mobile Commerce</t>
  </si>
  <si>
    <t>digital verification, digital verification services, ecommerce personalization, enterprise payment, online shopping rewards, payment platform, pos, promotion platform, social commerce, social media shopping</t>
  </si>
  <si>
    <t>swayid.com</t>
  </si>
  <si>
    <t>http://www.linkedin.com/company/swayid</t>
  </si>
  <si>
    <t>2020: 8, 2021: 14, 2022: 14, 2023: 15, 2024: 6</t>
  </si>
  <si>
    <t>The company raised an undisclosed amount of venture funding from Big Sky Capital and Plug and Play Tech Center in February 2023.</t>
  </si>
  <si>
    <t>Andrew Gluck, Anthemis, AOL Ventures, Barclays, BBG Ventures (North America), Big Sky Capital, Centre Street Partners, Core91 VC, irrvrntVC, Jeremy Voss, Not Boring, Plug and Play Tech Center, Rajiv Kapoor, Revolution (Washington DC), Sequoia Benefits &amp; Insurance Services, Service Provider Capital, TechNexus Venture Collaborative, Tribe Capital</t>
  </si>
  <si>
    <t>Anthemis (www.anthemis.com), AOL Ventures (www.aolventures.com), Barclays (www.home.barclays), BBG Ventures (North America) (www.bbgventures.com), Big Sky Capital (www.bigskycapital.co), Centre Street Partners (www.centrestreet.partners), Core91 VC (core91.vc), irrvrntVC (www.irrvrnt.com), Not Boring (www.notboring.co), Plug and Play Tech Center (www.plugandplaytechcenter.com), Revolution (Washington DC) (www.revolution.com), Sequoia Benefits &amp; Insurance Services (www.sequoia.com), Service Provider Capital (www.serviceprovidercapital.com), TechNexus Venture Collaborative (www.technexus.com), Tribe Capital (www.tribecap.co)</t>
  </si>
  <si>
    <t>242936-92P</t>
  </si>
  <si>
    <t>Kaeya Majmundar</t>
  </si>
  <si>
    <t>kaeya@swaypayit.com</t>
  </si>
  <si>
    <t>+1 (847) 915-1271</t>
  </si>
  <si>
    <t>580 California Street</t>
  </si>
  <si>
    <t>459611-83</t>
  </si>
  <si>
    <t>Swishboom</t>
  </si>
  <si>
    <t>Swishboom, LLC</t>
  </si>
  <si>
    <t>Developer of babysitting application designed to help families schedule their babysitters and grow their sitter network. The company's application is used to post babysitting jobs that will get notified of the sitter's availability in real-time and helps families schedule their babysitters and grow their sitter network while making babysitter jobs easy to claim, enabling parents not to worry about their kids while they are out.</t>
  </si>
  <si>
    <t>baby sitting service, babysitters app, babysitters recruitment, babysitters services, networking products, secure babysitters</t>
  </si>
  <si>
    <t>www.swishboom.com</t>
  </si>
  <si>
    <t>http://www.linkedin.com/company/swishboom</t>
  </si>
  <si>
    <t>2021: 2, 2022: 5, 2023: 4</t>
  </si>
  <si>
    <t>The company received $10,000 of grant funding as a part of its Minority Small Business Summit Pitch Competition from University of Nebraska and Omaha on June 14, 2023. The funds will be used to expand Corporate Partnership platform, a component of the app that allows employers to offer its services as an employee benefit. Previously, the company raised $650,000 of seed funding from Husker Venture Fund, Invest Nebraska and Nebraska Angels in April 2023, putting the company's pre-money valuation at $2.35 million.</t>
  </si>
  <si>
    <t>Husch Blackwell, Husker Venture Fund, Invest Nebraska, Nebraska Angels, University of Nebraska, Omaha</t>
  </si>
  <si>
    <t>Husch Blackwell (www.huschblackwell.com), Invest Nebraska (www.investnebraska.com), Nebraska Angels (www.nebraskaangels.org), University of Nebraska, Omaha (unomaha.edu)</t>
  </si>
  <si>
    <t>Enterprise Legal Studio(Legal Advisor)</t>
  </si>
  <si>
    <t>252296-56P</t>
  </si>
  <si>
    <t>Kellee Mikuls</t>
  </si>
  <si>
    <t>kellee.mikuls@swishboom.com</t>
  </si>
  <si>
    <t>+1 (808) 247-7352</t>
  </si>
  <si>
    <t>105 South</t>
  </si>
  <si>
    <t>51st Street</t>
  </si>
  <si>
    <t>68132</t>
  </si>
  <si>
    <t>+1 (808) 389-4917</t>
  </si>
  <si>
    <t>439184-35</t>
  </si>
  <si>
    <t>Swoovy</t>
  </si>
  <si>
    <t>Swoovy, Inc.</t>
  </si>
  <si>
    <t>YourCause</t>
  </si>
  <si>
    <t>Developer of an employee volunteer platform intended to help clients focus on strategies to attract and retain talents in their organization. The company's SaaS-based employee volunteer platform makes it easy for companies to book volunteer events, connect colleagues through shared interests, and track impact, enabling companies to reduce turnover and achieve higher profitability.</t>
  </si>
  <si>
    <t>b2b platform, corporate social responsibility, corporate volunteering, employee engagement, employee engagement platform, service platform</t>
  </si>
  <si>
    <t>www.swoovy.com</t>
  </si>
  <si>
    <t>http://www.linkedin.com/company/swoovy</t>
  </si>
  <si>
    <t>2019: 2, 2020: 5, 2021: 7, 2023: 13, 2024: 10</t>
  </si>
  <si>
    <t>The company graduated from Sputnik ATX as a part of its Summer 2022 program on November 4, 2022 and received $100,000 in the form of SAFE notes.</t>
  </si>
  <si>
    <t>Blue Catalyst Group, Golden Section, MassChallenge, Sputnik ATX</t>
  </si>
  <si>
    <t>Golden Section (www.goldensection.com), MassChallenge (www.masschallenge.org), Sputnik ATX (www.sputnikatx.com)</t>
  </si>
  <si>
    <t>Fund Dreamer(Lead Manager or Arranger), Kickstarter(Lead Manager or Arranger)</t>
  </si>
  <si>
    <t>241012-45P</t>
  </si>
  <si>
    <t>Brooke Waupsh</t>
  </si>
  <si>
    <t>brooke.waupsh@swoovy.com</t>
  </si>
  <si>
    <t>1224 Havre Lafitte Drive</t>
  </si>
  <si>
    <t>info@swoovy.com</t>
  </si>
  <si>
    <t>528872-86</t>
  </si>
  <si>
    <t>Sword &amp; Wand</t>
  </si>
  <si>
    <t>Sword &amp; Wand Inc.</t>
  </si>
  <si>
    <t>Bonfire Studios, Velan Studios, Digit Game Studios</t>
  </si>
  <si>
    <t>Developer of AAA-quality video games designed for shared online experiences. The company's platform features support, tools, opportunities for developers to do the work, and systemically driven replayability, enabling players to create their own unique stories and experiences.</t>
  </si>
  <si>
    <t>Entertainment Software*, Publishing</t>
  </si>
  <si>
    <t>Augmented Reality, Esports, Gaming, Mobile, SaaS</t>
  </si>
  <si>
    <t>action games, computer games, console games, content media, game development, gaming content, gaming developer, gaming publisher, gaming studio, gaming world, online gameplay, video games</t>
  </si>
  <si>
    <t>www.swordandwand.com</t>
  </si>
  <si>
    <t>http://www.linkedin.com/company/swordandwand</t>
  </si>
  <si>
    <t>2023: 21, 2024: 22</t>
  </si>
  <si>
    <t>The company raised an estimated $4.3 million of seed funding from Galaxy Interactive, 1Up Ventures, and other undisclosed investors on October 25, 2022, putting the company's pre-money valuation at $10 million.</t>
  </si>
  <si>
    <t>1Up Ventures, Galaxy Interactive</t>
  </si>
  <si>
    <t>1Up Ventures (1upfund.com), Galaxy Interactive (interactive.galaxy.com)</t>
  </si>
  <si>
    <t>350801-74P</t>
  </si>
  <si>
    <t>Christina Hernandez</t>
  </si>
  <si>
    <t>Chief Executive Officer &amp; Production Director</t>
  </si>
  <si>
    <t>+1 (818) 259-7726</t>
  </si>
  <si>
    <t>Kissimmee, FL</t>
  </si>
  <si>
    <t>3275 South John Young Parkway</t>
  </si>
  <si>
    <t>Suite 506</t>
  </si>
  <si>
    <t>Kissimmee</t>
  </si>
  <si>
    <t>34746</t>
  </si>
  <si>
    <t>info@swordandwand.com</t>
  </si>
  <si>
    <t>518299-93</t>
  </si>
  <si>
    <t>Syky</t>
  </si>
  <si>
    <t>Syky, Inc.</t>
  </si>
  <si>
    <t>Operator of a Web 3-based fashion platform intended to provide creative fashion designs. The company's platform helps to showcase fashion designs in the form of non-fungible tokens from emerging and established brands, enabling designers to grow and create communities.</t>
  </si>
  <si>
    <t>fashion creative, fashion design, nft platform and collectibles, nft project, non-fungible tokens, non-fungible tokens platform, web 3-based platform, web4</t>
  </si>
  <si>
    <t>www.syky.com</t>
  </si>
  <si>
    <t>http://www.linkedin.com/company/syky</t>
  </si>
  <si>
    <t>2023: 22, 2024: 26</t>
  </si>
  <si>
    <t>The company joined The World Economic Forum on an undisclosed date. No equity or funding was exchanged as a result of this program.</t>
  </si>
  <si>
    <t>Brevan Howard Asset Management, CMT Digital, First Light Capital Group, Leadout Capital, P2 Ventures, Seven Seven Six, The World Economic Forum</t>
  </si>
  <si>
    <t>Brevan Howard Asset Management (www.brevanhoward.com), CMT Digital (cmt.digital), First Light Capital Group (www.firstlightcapitalgroup.com), Leadout Capital (www.leadoutcapital.com), P2 Ventures (www.p2v.ventures), Seven Seven Six (www.sevensevensix.com), The World Economic Forum (widgets.weforum.org)</t>
  </si>
  <si>
    <t>331830-19P</t>
  </si>
  <si>
    <t>Alice Delahunt</t>
  </si>
  <si>
    <t>alice@syky.com</t>
  </si>
  <si>
    <t>442 Lorimer Street</t>
  </si>
  <si>
    <t>Suite D Number 715</t>
  </si>
  <si>
    <t>contact@syky.com</t>
  </si>
  <si>
    <t>491624-56</t>
  </si>
  <si>
    <t>Taelor</t>
  </si>
  <si>
    <t>Taelor, Inc.</t>
  </si>
  <si>
    <t>Provider of on-demand men's clothing rental services intended to elevate everyday styles through branded clothes. The company's platform offers an AI-powered clothing service with a monthly subscription along with selection, return, and free dry cleaning service for the clothes, enabling men to wear fashionable clothes by getting them on rent instead of buying them.</t>
  </si>
  <si>
    <t>Application Software, Clothing, Other Services (B2C Non-Financial)*</t>
  </si>
  <si>
    <t>clothing online marketplace, clothing rental, clothing rental service, clothing service, mens clothing, rental services</t>
  </si>
  <si>
    <t>www.taelor.style</t>
  </si>
  <si>
    <t>http://www.linkedin.com/company/taelor</t>
  </si>
  <si>
    <t>2022: 32, 2023: 49, 2024: 48</t>
  </si>
  <si>
    <t>The company raised $4.07 million of pre-seed funding in the form of SAFE notes in a deal led by Bling Capital on September 9, 2024. Chicago Early Growth Ventures and 5 other investors also participated in the round. The funds will be used to open the company's service to customers on the waitlist, as well as expand its offerings and operations and refine its styling algorithms.</t>
  </si>
  <si>
    <t>Bling Capital, Chicago Early Growth Ventures, Draper University, Fundamental Ventures, Golden Seeds, Kai Huang, Samantha Chien, Sean Chao</t>
  </si>
  <si>
    <t>Bling Capital (www.blingcap.com), Chicago Early Growth Ventures (www.chicagoearly.com), Draper University (www.draperuniversity.com), Fundamental Ventures (www.fundamentalventures.com), Golden Seeds (www.goldenseeds.com)</t>
  </si>
  <si>
    <t>291443-77P</t>
  </si>
  <si>
    <t>Anya Cheng</t>
  </si>
  <si>
    <t>+1 (650) 546-1143</t>
  </si>
  <si>
    <t>Hayward, CA</t>
  </si>
  <si>
    <t>3501 Breakwater Avenue</t>
  </si>
  <si>
    <t>Hayward</t>
  </si>
  <si>
    <t>94545</t>
  </si>
  <si>
    <t>+1 (773) 501-8144</t>
  </si>
  <si>
    <t>hi@taelor.style</t>
  </si>
  <si>
    <t>493366-24</t>
  </si>
  <si>
    <t>Talkbase</t>
  </si>
  <si>
    <t>Talkbase, Inc.</t>
  </si>
  <si>
    <t>Operator of a community operations platform intended to build and execute community programs. The company provides services to create and manage communities by tracking community members' information, resources, and activities, from road mapping, and content preparation to collaborating with community advocates, enabling community managers to collaborate and communicate with members easily.</t>
  </si>
  <si>
    <t>Business/Productivity Software, Communication Software, Media and Information Services (B2B)*</t>
  </si>
  <si>
    <t>business data, business reporting, collaboration software, community collaboration, community communication, community management, data management, project management saas</t>
  </si>
  <si>
    <t>www.talkbase.io</t>
  </si>
  <si>
    <t>http://www.linkedin.com/company/talkbasehq</t>
  </si>
  <si>
    <t>2021: 2, 2022: 10</t>
  </si>
  <si>
    <t>The company joined Female Founders - Grow F on an undisclosed date.</t>
  </si>
  <si>
    <t>Credo Ventures, European Investment Fund, Female Founders - Grow F, Fiedler Capital, J&amp;T Ventures, m]x[v Capital, Plug and Play Tech Center</t>
  </si>
  <si>
    <t>Credo Ventures (www.credoventures.com), European Investment Fund (www.eif.org), Female Founders - Grow F (www.female-founders.org), Fiedler Capital (www.fiedler.capital), J&amp;T Ventures (www.jtventures.cz), m]x[v Capital (www.mxv.vc), Plug and Play Tech Center (www.plugandplaytechcenter.com)</t>
  </si>
  <si>
    <t>CEE Legal Matters(Legal Advisor)</t>
  </si>
  <si>
    <t>294108-85P</t>
  </si>
  <si>
    <t>Klara Losert</t>
  </si>
  <si>
    <t>klara@talkbase.io</t>
  </si>
  <si>
    <t>+1 (646) 522-0314</t>
  </si>
  <si>
    <t>hi@talkbase.io</t>
  </si>
  <si>
    <t>471621-25</t>
  </si>
  <si>
    <t>Talofa Games</t>
  </si>
  <si>
    <t>Talofa</t>
  </si>
  <si>
    <t>Talofa Corporation</t>
  </si>
  <si>
    <t>Developer of a mobile fitness game designed to make exercise enjoyable and engaging. The company offers immersive gameplay, real-time battles, and personalized fitness experiences with virtual running companions to explore new locations, enabling users to improve their physical and mental health while having fun.</t>
  </si>
  <si>
    <t>Entertainment Software*, Other Healthcare Services, Publishing</t>
  </si>
  <si>
    <t>Artificial Intelligence &amp; Machine Learning, Augmented Reality, Gaming</t>
  </si>
  <si>
    <t>exercise app, gaming content, gaming platform, gaming software, outdoor fitness, running games, social fitness application</t>
  </si>
  <si>
    <t>www.talofagames.com</t>
  </si>
  <si>
    <t>http://www.linkedin.com/company/talofagames</t>
  </si>
  <si>
    <t>2021: 6, 2022: 10, 2023: 9</t>
  </si>
  <si>
    <t>The company raised $6.28 million of seed funding in a deal led by Chamaeleon on August 31, 2023, putting the company's pre-money valuation at $9.72 million. Insight Partners, Andreessen Horowitz, Fusion Fund, Andover Ventures, Kicker Ventures, 1Up Ventures, Blizzard Avalanche Fund and Basis Set Ventures also participated in the round.</t>
  </si>
  <si>
    <t>1Up Ventures, Andover Ventures, Andreessen Horowitz, Basis Set Ventures, Blizzard Avalanche Fund, Chamaeleon, Fusion Fund, Insight Partners, Kicker Ventures, Niantic</t>
  </si>
  <si>
    <t>1Up Ventures (1upfund.com), Andover Ventures (www.andovervc.com), Andreessen Horowitz (www.a16z.com), Basis Set Ventures (www.basisset.com), Blizzard Avalanche Fund (www.blizzard.fund), Chamaeleon (www.chamaeleon.vc), Fusion Fund (www.fusionfund.com), Insight Partners (www.insightpartners.com), Kicker Ventures (www.kickerventures.com), Niantic (www.nianticlabs.com)</t>
  </si>
  <si>
    <t>Sheppard Mullin(Legal Advisor)</t>
  </si>
  <si>
    <t>272372-68P</t>
  </si>
  <si>
    <t>Jenny Xu</t>
  </si>
  <si>
    <t>+1 (408) 219-1709</t>
  </si>
  <si>
    <t>20911 Elenda Drive</t>
  </si>
  <si>
    <t>491652-46</t>
  </si>
  <si>
    <t>Tandym</t>
  </si>
  <si>
    <t>Tandym, Inc.</t>
  </si>
  <si>
    <t>C2FO, Storfund, SellersFi, Pollen VC, Credibly, FastPay</t>
  </si>
  <si>
    <t>Developer of a payments platform designed to convert transaction fees into future revenues. The company's platform connects people directly by cutting out the middle people, provides a calculator and allows the provision of fund rewards to customers, enabling merchants with a better payment option that saves processing costs, rewards customers and grows revenues.</t>
  </si>
  <si>
    <t>branding payment, consumer payment, credit card, crm, customer relationship management, digital commerce, ecommerce payment, financial platform, loyalty &amp; rewards, merchant dashboard, payment platform, payment technology, retail loyalty, retail rewards, transaction processing</t>
  </si>
  <si>
    <t>www.bytandym.com</t>
  </si>
  <si>
    <t>http://www.linkedin.com/company/tandym</t>
  </si>
  <si>
    <t>2022: 15, 2023: 26, 2024: 26</t>
  </si>
  <si>
    <t>The company raised $60 million of seed funding in June 2022. $10 million of venture funding was led in a deal by Gradient Ventures with participation from Obvious Ventures, Milkbox Partners, Riverside Ventures, Foundation Capital and SuperAngel.Fund. $50 million of loan was provided by Rivonia Road, Alinea Ventures, and other undisclosed lenders. The funds will be used to expand its internal team and operations while raising awareness of its platform's ability to help merchants strengthen their connections to the consumers they serve.</t>
  </si>
  <si>
    <t>Alinea Ventures, Foundation Capital, Gradient Ventures, Milkbox Partners, Obvious Ventures, Riverside Ventures, SuperAngel.Fund</t>
  </si>
  <si>
    <t>Alinea Ventures (alinea.vc), Foundation Capital (www.foundationcapital.com), Gradient Ventures (www.gradient.com), Milkbox Partners (www.milkboxpartners.com), Obvious Ventures (www.obvious.com), Riverside Ventures (www.riversideventures.com), SuperAngel.Fund (www.superangel.vc)</t>
  </si>
  <si>
    <t>Fenwick &amp; West(Legal Advisor), Rivonia Road Capital(Debt Financing)</t>
  </si>
  <si>
    <t>291482-11P</t>
  </si>
  <si>
    <t>David Anderson</t>
  </si>
  <si>
    <t>Co-Founder &amp; Chief People Officer</t>
  </si>
  <si>
    <t>david@bytandym.com</t>
  </si>
  <si>
    <t>+1 (888) 874-4889</t>
  </si>
  <si>
    <t>hello@bytandym.com</t>
  </si>
  <si>
    <t>Other - $50.00M</t>
  </si>
  <si>
    <t>454464-55</t>
  </si>
  <si>
    <t>TANGGapp</t>
  </si>
  <si>
    <t>Tang Group, Inc.</t>
  </si>
  <si>
    <t>Dwolla, Genoapay, Visa Europe, Paynamics, Dragonpay, Stripe, Gopay Vietnam Payment Services, Fundiin, ePayLater, Mastercard OB Services Europe, Klarna, ViaBill, PayMongo, Coast (Financial Software), QuadPay, Atome, Fundaztic, Simpl (Financial Software), Kissht, Splitit, infund, Toast (Financial Software), Boku, hoolah, Plati Potom, Speed Pay, Openpay (Financial Software), Futurepay, Qupital, WePay, SMECorner, Visa France, PayXpert, Flint (Financial Software)</t>
  </si>
  <si>
    <t>Developer of an online payment application platform designed to boost financial inclusion for people in the Philippines who don't have a bank account. The company's application facilitates sending airtime and money home and the receiver in the Philippines to pay bills with the same application, enabling customers to accept, process, and disburse money with its product suite.</t>
  </si>
  <si>
    <t>FinTech, Mobile, TMT</t>
  </si>
  <si>
    <t>consumer payment, debit, debit &amp; p2p, money transfer app, online money transfer, online payment app, online payment gateway, p2p, p2p money transfer, payment application</t>
  </si>
  <si>
    <t>www.tanggapp.com</t>
  </si>
  <si>
    <t>http://www.linkedin.com/company/tang-app</t>
  </si>
  <si>
    <t>2021: 4, 2022: 13, 2023: 14, 2024: 16</t>
  </si>
  <si>
    <t>The company is in the process of raising pre-Series A venture funding on February 6, 2024. Previously, the company raised $2.5 million of seed funding in a deal led by Goodwater Capital, TEN13 and Foxmont Capital Partners on September 5, 2023. North Fifth Asia and Manila Angel Investors Network also participated in the round. The company is being actively tracked by PitchBook.</t>
  </si>
  <si>
    <t>Bolster Ventures, Brighter Capital, Foxmont Capital Partners, Goodwater Capital, Harvard Innovation Launch Lab, Katrina Razon, Manila Angel Investors Network, MassChallenge, North Fifth Asia, TEN13, Visible Hands</t>
  </si>
  <si>
    <t>Bolster Ventures (bolsterventures.com), Brighter Capital (www.brightercapital.com), Foxmont Capital Partners (foxmontcapital.com), Goodwater Capital (www.goodwatercap.com), Harvard Innovation Launch Lab (www.innovationlabs.harvard.edu), Manila Angel Investors Network (www.main.ph), MassChallenge (www.masschallenge.org), TEN13 (www.ten13.vc), Visible Hands (www.visiblehands.vc)</t>
  </si>
  <si>
    <t>247230-37P</t>
  </si>
  <si>
    <t>Rebecca Kersh</t>
  </si>
  <si>
    <t>rebecca@tangapp.org</t>
  </si>
  <si>
    <t>+1 (205) 990-6691</t>
  </si>
  <si>
    <t>Londonderry, VT</t>
  </si>
  <si>
    <t>PO Box 689</t>
  </si>
  <si>
    <t>Londonderry</t>
  </si>
  <si>
    <t>05148</t>
  </si>
  <si>
    <t>501802-75</t>
  </si>
  <si>
    <t>Tangible (Environmental Services (B2B))</t>
  </si>
  <si>
    <t>Tangible</t>
  </si>
  <si>
    <t>Tangible Materials, Inc.</t>
  </si>
  <si>
    <t>Developer of a unified software platform designed for sustainable building materials. The company's platform offers a wide range of sustainable products including lines of carbon, material health, and resource consumption, enabling architects and contractors to identify, procure, manage, and report on products that meet their carbon, environmental, and social goals.</t>
  </si>
  <si>
    <t>Business/Productivity Software, Construction and Engineering, Environmental Services (B2B)*</t>
  </si>
  <si>
    <t>CleanTech, Climate Tech, Construction Technology</t>
  </si>
  <si>
    <t>building materials, built environment, carbon data, carbon emission control, carbon emission data, climate solutions, green construction, greenhouse solution, sustainable building materials, sustainable products</t>
  </si>
  <si>
    <t>www.tangiblematerials.com</t>
  </si>
  <si>
    <t>http://www.linkedin.com/company/tangible-materials</t>
  </si>
  <si>
    <t>The company raised $1 million of venture funding in the form of SAFE notes from undisclosed investors on October 8, 2024. JLL Foundation also participated in this round. Previously, the company joined Suffolk Technologies on September 9, 2024 as a part of its fifth annual BOOST program. No equity or funding was exchanged as a result of this program.</t>
  </si>
  <si>
    <t>Asymmetric Capital Partners, BuildTech VC, Climate Capital, Deco Ventures, Fifty Years, Flybridge Capital Partners, Foundamental, JLL Foundation, Pi Labs, Plug and Play Tech Center, Redstone VC, Suffolk Technologies</t>
  </si>
  <si>
    <t>Asymmetric Capital Partners (acp.vc), BuildTech VC (www.buildtech.vc), Climate Capital (www.climatecapital.co), Deco Ventures (www.decoventures.com), Fifty Years (www.fiftyyears.com), Flybridge Capital Partners (www.flybridge.com), Foundamental (www.foundamental.com), JLL Foundation (foundation.jll.com), Pi Labs (www.pilabs.vc), Plug and Play Tech Center (www.plugandplaytechcenter.com), Redstone VC (www.redstone.vc), Suffolk Technologies (suffolktech.com)</t>
  </si>
  <si>
    <t>309458-71P</t>
  </si>
  <si>
    <t>Anneli Tostar</t>
  </si>
  <si>
    <t>anneli@tangiblematerials.com</t>
  </si>
  <si>
    <t>+1 (203) 858-1123</t>
  </si>
  <si>
    <t>2 Embarcadero Center</t>
  </si>
  <si>
    <t>94122</t>
  </si>
  <si>
    <t>info@tangiblematerials.com</t>
  </si>
  <si>
    <t>432617-86</t>
  </si>
  <si>
    <t>Tangram (Software Development Applications)</t>
  </si>
  <si>
    <t>Pairi</t>
  </si>
  <si>
    <t>Tangram</t>
  </si>
  <si>
    <t>Pairi Inc.</t>
  </si>
  <si>
    <t>Developer of an online business automation platform intended to help freelancers build a booking website and get booked through social media. The company's platform offers automation of repetitive business logistics for scheduling, payment, appointment reminders, and travel fees, enabling freelancers to earn more money by serving more clientele on their own time.</t>
  </si>
  <si>
    <t>Media and Information Services (B2B), Software Development Applications*</t>
  </si>
  <si>
    <t>automatic scheduling, business automation, business automation application, business automation service, business logistics automation, business logistics software, devops, ecommerce platform, online booking, online booking platform, storefronts &amp; headless apis, storefronts and headless apis</t>
  </si>
  <si>
    <t>www.tangram.co</t>
  </si>
  <si>
    <t>http://www.linkedin.com/company/tangramco</t>
  </si>
  <si>
    <t>2022: 2, 2024: 3</t>
  </si>
  <si>
    <t>The company raised an estimated $5.5 million of pre-seed funding from Dorm Room Fund and other undisclosed investors on October 11, 2021, putting the company's pre-money valuation at $10 million.</t>
  </si>
  <si>
    <t>Dorm Room Fund, Techstars</t>
  </si>
  <si>
    <t>Dorm Room Fund (www.dormroomfund.com), Techstars (www.techstars.com)</t>
  </si>
  <si>
    <t>223527-16P</t>
  </si>
  <si>
    <t>Paris Mielke</t>
  </si>
  <si>
    <t>paris@tangram.co</t>
  </si>
  <si>
    <t>907 Brighton Road</t>
  </si>
  <si>
    <t>Unit 3</t>
  </si>
  <si>
    <t>15233</t>
  </si>
  <si>
    <t>497827-72</t>
  </si>
  <si>
    <t>TeaDAO</t>
  </si>
  <si>
    <t>Opeartor of a metaverse reserve currency platform intended to facilitate illiquidity for NFTs. The company's platform specializes in the community-owned decentralized, and censorship-resistant reserve currency, asset-backed, deep liquid, and used widely across web3, enabling users with a fair, community-governed, financial infrastructure for stable and dependable growth.</t>
  </si>
  <si>
    <t>bnb chain, community-owned platform, decentralized nft, metaverse gaming, multi-chain gamefi, nft games, web3 platform</t>
  </si>
  <si>
    <t>teadao.money</t>
  </si>
  <si>
    <t>NFVentures sold a stake in the company to an undisclosed buyer.</t>
  </si>
  <si>
    <t>7 O'clock Capital, AU21 Capital, AVstar Capital, Basics Capital, CoinW Ventures, Digital Finance Group, Dutch Flower Group, Fomocraft Ventures, HG Ventures (South Korea), HyperChain Capital, Jsquare, LD Capital, Mapleblock, Momentum 6, MXC Capital, Newave Capital, Parsiq, Pnyx Ventures, SatoshiPay, Shima Capital, Signum Capital, Spark Digital Capital, TokenHunter, UOB Venture Management, X21, ZBS Capital</t>
  </si>
  <si>
    <t>NFVentures</t>
  </si>
  <si>
    <t>7 O'clock Capital (www.7oclockcapital.com), AU21 Capital (www.au21.capital), AVstar Capital (avstar.capital), Basics Capital (www.basics.capital), CoinW Ventures (www.coinw.com/front/ventures), Digital Finance Group (www.dfg.group), Dutch Flower Group (www.dfg.nl), Fomocraft Ventures (fomocraft.com), HG Ventures (South Korea) (www.hgventures.io), HyperChain Capital (www.hyperchain.capital), Jsquare (www.jsquare.co), LD Capital (www.ldcap.com), Mapleblock (www.mapleblock.capital), Momentum 6 (www.momentum6.com), MXC Capital (www.mxccapital.com), Newave Capital (www.newave.fund), Parsiq (www.parsiq.net), Pnyx Ventures (pnyx.ventures), SatoshiPay (www.satoshipay.io), Shima Capital (www.shima.capital), Signum Capital (www.signum.capital), Spark Digital Capital (www.sparkdigitalcapital.com), TokenHunter (www.tokenhunter.fund), UOB Venture Management (www.uobvm.com.sg), ZBS Capital (www.zbs.capital)</t>
  </si>
  <si>
    <t>NFVentures (nf-venture.com)</t>
  </si>
  <si>
    <t>303599-44P</t>
  </si>
  <si>
    <t>Avalia A.</t>
  </si>
  <si>
    <t>507341-89</t>
  </si>
  <si>
    <t>Teleskope</t>
  </si>
  <si>
    <t>Teleskope, Inc.</t>
  </si>
  <si>
    <t>Bay Dynamics, Arctic Wolf, Panaseer, Decentriq, Protegrity USA, Porticor, OneLogin, Interset, Duo Security, iboss, Twistlock, Zettaset, Dataguise, Privitar, Claroty, Prime Factors, Skyhigh Networks, Dtex Systems, Loggly, Netskope, Lookout, RedSeal, Nagios, FireMon, Imperva, Datadog, Giesecke+Devrient, UpGuard, SafeNet, CloudPassage, LogRhythm, Axis Technology Software, New Net Technologies, NetSPI, EnSilo, SailPoint Technologies, BitDefender, Tripwire, CipherCloud, Tanium, SecurEnvoy, Illumio, Ivanti, NopSec, Keypasco, Utimaco, Auth0, CyberX (Network Management Software), Kaspersky Lab, Securonix, Vormetric, HackerOne, Alert Logic, Trustwave, Vectra, Adlumin, Threat Stack, RiskSense, HP Security Voltage, Dynatrace, Proofpoint, Comforte (Data Security Platform), Sqrrl, ControlScan, XYPRO Technology, Lumeta (Network Management Software), Veracode, Attivo Networks, CA Technologies, Arbor Networks, Bay31, StarForce Technologies, Bricata, Xage Security, Rubica, McAfee, Invicti Security, Carbon Black, Gemalto, F-Secure, Tufin, Trellix</t>
  </si>
  <si>
    <t>Developer of a data security platform designed to give a complete picture of data security and privacy posture. The company's platform supports structured and unstructured data stores, classifies the content of each data asset, and pinpoints what types of personal and sensitive data are stored within them, enabling organizations to comply with regulations like GDPR and CCPA and to customize detection rules to identify data elements and get a real-time catalog that continuously keeps track of their evergrowing data.</t>
  </si>
  <si>
    <t>Business/Productivity Software, Network Management Software*, Other Commercial Services</t>
  </si>
  <si>
    <t>data assets management, data classification platform, data compliance, data privacy, data privacy &amp; compliance, data privacy and compliance, data privacy tools, data security, data security platform, gdpr compliance tool, risk classification solutions</t>
  </si>
  <si>
    <t>www.teleskope.ai</t>
  </si>
  <si>
    <t>http://www.linkedin.com/company/teleskopeai</t>
  </si>
  <si>
    <t>2023: 6, 2024: 14</t>
  </si>
  <si>
    <t>The company raised $7.2 million through a combination of Seed, and Seed-1 funding in a deal led by Lerer Hippeau on April 30, 2024, putting the company's pre-money valuation at $10 million. Essence Global, Sequoia Capital, Primary Venture Partners, Correlation Ventures, AirAngels, Essence Venture Capital, A'Z Angels, Plug and Play Tech Center and CyLon Ventures also participated in the round. The funds will be used to expand operations and the company's business. Primary Venture Partners has also lead the round.</t>
  </si>
  <si>
    <t>AirAngels, A'Z Angels, Correlation Ventures, CyLon Ventures, Essence Global, Essence Venture Capital, Lerer Hippeau, Plug and Play Tech Center, Primary Venture Partners, Sequoia Capital</t>
  </si>
  <si>
    <t>AirAngels (airangels.co), A'Z Angels (azangels.vc), Correlation Ventures (www.correlationvc.com), CyLon Ventures (www.cylonventures.com), Essence Global (www.essenceglobal.com), Essence Venture Capital (www.essencevc.fund), Lerer Hippeau (www.lererhippeau.com), Plug and Play Tech Center (www.plugandplaytechcenter.com), Primary Venture Partners (www.primary.vc), Sequoia Capital (www.sequoiacap.com)</t>
  </si>
  <si>
    <t>317384-20P</t>
  </si>
  <si>
    <t>Elizabeth Nammour</t>
  </si>
  <si>
    <t>+1 (202) 320-0455</t>
  </si>
  <si>
    <t>PMB 79055</t>
  </si>
  <si>
    <t>contact@teleskope.ai</t>
  </si>
  <si>
    <t>494154-91</t>
  </si>
  <si>
    <t>TellTail</t>
  </si>
  <si>
    <t>TellTail Holdings Inc.</t>
  </si>
  <si>
    <t>Operator of a premier platform intended to match certified dog breeders with pet buyers, while emphasizing ethical breeding and responsible ownership. The company's platform addition to screening breeders, provides tools, including learning modules and a breed library, to ensure transparency and trust, allowing its users to seek modernized pet parenthood at every step of the journey.</t>
  </si>
  <si>
    <t>Information Services (B2C)*, Social/Platform Software</t>
  </si>
  <si>
    <t>Pet Technology</t>
  </si>
  <si>
    <t>breeder feed, breeding firm, dog breeder, parenthood guide, pet parents, pet service</t>
  </si>
  <si>
    <t>www.telltail.com</t>
  </si>
  <si>
    <t>http://www.linkedin.com/company/telltailpets</t>
  </si>
  <si>
    <t>2022: 10, 2023: 7, 2024: 8</t>
  </si>
  <si>
    <t>The company raised $3.4 million of seed funding in a deal led by General Catalyst on April 11, 2022. Scribble Ventures and 8 other investors also participated in the round. The funds will be used to support and accelerate the launch of their breeder community and provide "nose to tail," customizable business solutions for breeders.</t>
  </si>
  <si>
    <t>Amy Sezak, Digitalis Ventures, Edward Chiu, Garrett Smallwood, General Catalyst, Kevin Chiu, Mike Volpe, Olivia Tam, Paul Luning, Scribble Ventures</t>
  </si>
  <si>
    <t>Digitalis Ventures (www.digitalisventures.com), General Catalyst (www.generalcatalyst.com), Mike Volpe (www.mikevolpe.com), Scribble Ventures (www.scribble.vc)</t>
  </si>
  <si>
    <t>264934-27P</t>
  </si>
  <si>
    <t>Brittany Brody</t>
  </si>
  <si>
    <t>brittany@telltail.com</t>
  </si>
  <si>
    <t>+1 (213) 322-0008</t>
  </si>
  <si>
    <t>PMB 603</t>
  </si>
  <si>
    <t>hello@telltail.com</t>
  </si>
  <si>
    <t>483471-64</t>
  </si>
  <si>
    <t>Telmai</t>
  </si>
  <si>
    <t>Telm</t>
  </si>
  <si>
    <t>Telmai, Inc.</t>
  </si>
  <si>
    <t>Acceldata, Monte Carlo, Collibra, Bigeye, Anomalo, Unravel, Edge Delta, Gathr (Business/Productivity Software)</t>
  </si>
  <si>
    <t>Developer of data analytics platform designed to monitor and automate the quality of data across the entire pipeline. The company's artificial intelligence-based platform analyzes data across all data and automatically detects duplicates to ensure completeness and correctness, enabling businesses to reduce the time spent on analyzing and investigating data quality and build a secure, scalable system across the organization.</t>
  </si>
  <si>
    <t>ai automation platform, ai platform, analytics platform, data analysis trends, data infrastructure, data management software, data quality, data quality testing, data quality tools, data science platform, data search software, data software &amp; systems, data software and systems, proactive alerts, quality checking system</t>
  </si>
  <si>
    <t>www.telm.ai</t>
  </si>
  <si>
    <t>http://www.linkedin.com/company/telmai</t>
  </si>
  <si>
    <t>2021: 7, 2022: 6, 2023: 15</t>
  </si>
  <si>
    <t>The company raised $8.46 million through a combination of Seed-1, Seed-2, and Seed-3 in a deal led by .406 Ventures and Glasswing Ventures on June 15, 2023, putting the company's pre-money valuation at $10 million. Zetta Venture Partners, Y Combinator, Sam Ramji, Venkat Varadachary, Manish Sood, and other undisclosed investors also participated in the round. The funds will be used to expand the company's team and meet increased demand for its AI-driven data observability platform.</t>
  </si>
  <si>
    <t>.406 Ventures, Glasswing Ventures, Manish Sood, Sam Ramji, Venkat Varadachary, Y Combinator, Zetta Venture Partners</t>
  </si>
  <si>
    <t>.406 Ventures (www.406ventures.com), Glasswing Ventures (www.glasswing.vc), Y Combinator (www.ycombinator.com), Zetta Venture Partners (www.zettavp.com)</t>
  </si>
  <si>
    <t>Gunderson Dettmer(Legal Advisor), Orrick(Legal Advisor), Thomas Kwong(Advisor: General)</t>
  </si>
  <si>
    <t>281059-75P</t>
  </si>
  <si>
    <t>Maxim Lukichev</t>
  </si>
  <si>
    <t>max@telm.ai</t>
  </si>
  <si>
    <t>+1 (650) 275-3848</t>
  </si>
  <si>
    <t>Suite 5255</t>
  </si>
  <si>
    <t>513025-57</t>
  </si>
  <si>
    <t>Tephra Labs</t>
  </si>
  <si>
    <t>Tephra</t>
  </si>
  <si>
    <t>Tephra Labs, Inc.</t>
  </si>
  <si>
    <t>Operator of a large-scale human coordination platform intended for connecting independent workers and teams to projects in web3.The company's platform specializes in building decentralized reputation systems, skills attestation protocols, and a user-owned and value-accretive economy, enabling workers with educational curricula and programs that onboard them successfully into web3 work opportunities.</t>
  </si>
  <si>
    <t>coordination platform, decentralized network, educational curriculum, enterprise resource planning, erp, financial operation, human capital management, infrastructure market, tooling systems</t>
  </si>
  <si>
    <t>www.tephra.com</t>
  </si>
  <si>
    <t>http://www.linkedin.com/company/tephralabs</t>
  </si>
  <si>
    <t>2022: 3, 2023: 5, 2024: 5</t>
  </si>
  <si>
    <t>The company raised $6.5 million of seed funding from BlueYard Capital, Variant Fund and Archetype on August 1, 2022. Protocol VC also participated in this round.</t>
  </si>
  <si>
    <t>Archetype (venture firm), BlueYard Capital, Protocol VC, Variant (Brooklyn)</t>
  </si>
  <si>
    <t>Archetype (venture firm) (www.archetype.fund), BlueYard Capital (www.blueyard.com), Protocol VC (www.protocol.vc), Variant (Brooklyn) (variant.fund)</t>
  </si>
  <si>
    <t>323097-49P</t>
  </si>
  <si>
    <t>Pooja Shah</t>
  </si>
  <si>
    <t>12207-2543</t>
  </si>
  <si>
    <t>593870-77</t>
  </si>
  <si>
    <t>Termina (Software Development Applications)</t>
  </si>
  <si>
    <t>Termina</t>
  </si>
  <si>
    <t>Nitro Labs Inc</t>
  </si>
  <si>
    <t>Developer of a SVM cloud platform designed for running applications built with blockchain's virtual machine. The company's platform offers features like parallel processing, local fee markets and token extensions that can leverage the speed and security of a wider user base and access liquidity from other blockchain ecosystems, enabling developers to build interoperable blockchain applications.</t>
  </si>
  <si>
    <t>Financial Software, Other Financial Services, Software Development Applications*</t>
  </si>
  <si>
    <t>CloudTech &amp; DevOps, Cryptocurrency/Blockchain, FinTech</t>
  </si>
  <si>
    <t>blockchain network, blockchain program, gateway systems, token development, transaction management, web3 tools</t>
  </si>
  <si>
    <t>www.termina.technology</t>
  </si>
  <si>
    <t>http://www.linkedin.com/company/nitro-svm</t>
  </si>
  <si>
    <t>The company raised $4 million of seed funding in a deal led by Lemniscap on October 30, 2024. Bing Ventures and 5 other investors also participated in the round. The funds will be used to accelerate Termina's growth, support its open-source development efforts, and pave the way for an upcoming testnet launch this year.</t>
  </si>
  <si>
    <t>Animoca Ventures, Bing Ventures, Borderless Capital, Finality Capital Partners, Lemniscap, No Limit Holdings, Race Capital, Sei (Financial Software)</t>
  </si>
  <si>
    <t>Animoca Ventures (www.animoca.ventures), Bing Ventures (www.bing-ventures.com), Borderless Capital (www.borderlesscapital.io), Finality Capital Partners (www.finality.capital), Lemniscap (lemniscap.com), No Limit Holdings (www.nolimitholdings.xyz), Race Capital (www.race.capital), Sei (Financial Software) (www.sei.io)</t>
  </si>
  <si>
    <t>419569-75P</t>
  </si>
  <si>
    <t>Yiwen Gao</t>
  </si>
  <si>
    <t>ygao@termina.technology</t>
  </si>
  <si>
    <t>1489 Webster Street</t>
  </si>
  <si>
    <t>Suite 902</t>
  </si>
  <si>
    <t>594260-47</t>
  </si>
  <si>
    <t>Tesorai</t>
  </si>
  <si>
    <t>Tesorai, Inc.</t>
  </si>
  <si>
    <t>Developer of artificial intelligence platform designed to facilitate analyses of life science data. The company's application aims to tackle key challenges in data workflows, including small labeled datasets, multi-modal data integration, and information loss in pre-processing, enabling companies to integrate with drug discovery workflows seamlessly.</t>
  </si>
  <si>
    <t>Automation/Workflow Software, Business/Productivity Software*, Other Healthcare Technology Systems</t>
  </si>
  <si>
    <t>artficial intelligence platform, artificial intelligence, big data, biotech research, drug development, drug discovery</t>
  </si>
  <si>
    <t>www.tesorai.com</t>
  </si>
  <si>
    <t>The company raised $200,000 of Series 1 seed funding from NextGen Venture Partners and New Stack Ventures on April 1, 2024, putting the company's pre-money valuation at $600,000.</t>
  </si>
  <si>
    <t>New Stack Ventures, NextGen Venture Partners</t>
  </si>
  <si>
    <t>New Stack Ventures (www.newstack.com), NextGen Venture Partners (www.nextgenvp.com)</t>
  </si>
  <si>
    <t>384258-88P</t>
  </si>
  <si>
    <t>Peter Cimermancic</t>
  </si>
  <si>
    <t>peter@tesorai.com</t>
  </si>
  <si>
    <t>Del Mar Heights Road</t>
  </si>
  <si>
    <t>Suite 284</t>
  </si>
  <si>
    <t>92130</t>
  </si>
  <si>
    <t>453401-83</t>
  </si>
  <si>
    <t>The Archivist</t>
  </si>
  <si>
    <t>Archivists</t>
  </si>
  <si>
    <t>Archivists, Inc.</t>
  </si>
  <si>
    <t>Developer of a cloud-based online platform designed to help in brand management. The company's platform offers to sell, rent, or buy pre-owned, archive, and vintage fashion and jewelry, enabling clients to manage their heritage through conservation and commerce.</t>
  </si>
  <si>
    <t>Accessories, Business/Productivity Software, Media and Information Services (B2B)*</t>
  </si>
  <si>
    <t>accessories apparel, accessories rent, accessories retail, accessories retailer, accessories seller, ecommerce-as-a-service, online platform</t>
  </si>
  <si>
    <t>thearchivist.com</t>
  </si>
  <si>
    <t>The company raised $3.34 million of venture funding from Amplifyher Ventures, Sound Ventures and LAUNCH Fund on November 19, 2021, putting the company's pre-money valuation at $20 million. Other undisclosed investors also participated in the round. Previously, the company raised $2 million of seed funding from Ashton Kutcher, Edward Norton and and other undisclosed investors on May 7, 2021, putting the company's pre-money valuation at $4 million.</t>
  </si>
  <si>
    <t>Amplifyher Ventures, Ashton Kutcher, Edward Norton, LAUNCH Fund, Sound Ventures</t>
  </si>
  <si>
    <t>Amplifyher Ventures (www.amplifyherventures.com), LAUNCH Fund (www.launch.co), Sound Ventures (www.soundventures.com)</t>
  </si>
  <si>
    <t>40377-79P</t>
  </si>
  <si>
    <t>Ashley Granata</t>
  </si>
  <si>
    <t>+1 (646) 538-1500</t>
  </si>
  <si>
    <t>8601 Lincoln Boulevard</t>
  </si>
  <si>
    <t>Suite 180279</t>
  </si>
  <si>
    <t>+1 (212) 433-0962</t>
  </si>
  <si>
    <t>hello@thearchivist.com</t>
  </si>
  <si>
    <t>501211-36</t>
  </si>
  <si>
    <t>The Design League</t>
  </si>
  <si>
    <t>Design League Co.</t>
  </si>
  <si>
    <t>Developer of a design platform intended to assist and enhance the wedding planning experience. The company's platform offers visual inspiration, creative tools, and custom recommendations, and provides easy-to-use design board tools to organize photos into a visual guide, enabling planners and event designers to inspire potential customers and demonstrate their expertise.</t>
  </si>
  <si>
    <t>creative tools, design collaboration, design portfolio, visual guide, wedding design, wedding planner platform</t>
  </si>
  <si>
    <t>www.designleague.co</t>
  </si>
  <si>
    <t>http://www.linkedin.com/company/design-league-co</t>
  </si>
  <si>
    <t>The company raised $850,000 of pre-seed funding in a deal led by Precursor Ventures on January 1, 2024, putting the company's pre-money valuation at $6.15 million. StoryHouse Ventures also participated in the round.</t>
  </si>
  <si>
    <t>Precursor Ventures, StoryHouse Ventures</t>
  </si>
  <si>
    <t>Precursor Ventures (precursorvc.com), StoryHouse Ventures (www.storyhousevc.com)</t>
  </si>
  <si>
    <t>Bier Legal(Legal Advisor)</t>
  </si>
  <si>
    <t>308370-43P</t>
  </si>
  <si>
    <t>Emily de Ayora</t>
  </si>
  <si>
    <t>+1 (415) 909-5909</t>
  </si>
  <si>
    <t>1459 18th Street</t>
  </si>
  <si>
    <t>Suite 118</t>
  </si>
  <si>
    <t>hello@designleague.co</t>
  </si>
  <si>
    <t>434440-63</t>
  </si>
  <si>
    <t>The Dipp</t>
  </si>
  <si>
    <t>Dipp</t>
  </si>
  <si>
    <t>TK Media Group, Inc.</t>
  </si>
  <si>
    <t>Developer of a subscription-based platform designed to offer media information related to TV shows and movies. The company offers an online community, prioritizing women and their passion, and provides personalized subscription news, shows, and reading content, enabling audiences and readers to enjoy niche fandoms created daily.</t>
  </si>
  <si>
    <t>beauty community, culture and entertainment, entertainment community, lifestyle community, podcast network, women community</t>
  </si>
  <si>
    <t>www.thedipp.com</t>
  </si>
  <si>
    <t>http://www.linkedin.com/company/the-dipp</t>
  </si>
  <si>
    <t>2020: 6, 2022: 26, 2023: 5, 2024: 3</t>
  </si>
  <si>
    <t>Tribe Capital sold a stake in the company to an undisclosed buyer.</t>
  </si>
  <si>
    <t>Defy Partners Management, Imagination Capital</t>
  </si>
  <si>
    <t>Tribe Capital</t>
  </si>
  <si>
    <t>Defy Partners Management (www.defy.vc), Imagination Capital (www.imaginationvc.com)</t>
  </si>
  <si>
    <t>Tribe Capital (www.tribecap.co)</t>
  </si>
  <si>
    <t>130818-43P</t>
  </si>
  <si>
    <t>Kate Ward</t>
  </si>
  <si>
    <t>kate@thedipp.com</t>
  </si>
  <si>
    <t>+1 (646) 461-7331</t>
  </si>
  <si>
    <t>PO Box 310424</t>
  </si>
  <si>
    <t>11231</t>
  </si>
  <si>
    <t>hi@thedipp.com</t>
  </si>
  <si>
    <t>469226-71</t>
  </si>
  <si>
    <t>The Equity Brain Trust</t>
  </si>
  <si>
    <t>TBBT, EquiScore BI</t>
  </si>
  <si>
    <t>The Black Brain Trust, LLC</t>
  </si>
  <si>
    <t>Operator of a social technology platform intended to help individual and corporate citizens to take data-driven actions. The company's platform aims to empower leaders who are serious about equity to track the data they need to create an equitable company and offers a clear and easy scoring process, enabling clients to avail the required data and make proper decisions.</t>
  </si>
  <si>
    <t>business decision, business decision tools, business operations, equity analysis, equity data, social technology</t>
  </si>
  <si>
    <t>www.equitybraintrust.com</t>
  </si>
  <si>
    <t>http://www.linkedin.com/company/the-black-brain-trust</t>
  </si>
  <si>
    <t>2022: 7, 2023: 10, 2024: 5</t>
  </si>
  <si>
    <t>The company raised $300,000 of venture funding from TEDCO and other undisclosed investors on March 10, 2023. Out of the total amount, $200,000 was raised in the form of convertible debt.</t>
  </si>
  <si>
    <t>Civstart, Fearless (IT Consulting and Outsourcing), TEDCO, The Harbor Bank of Maryland Community Development</t>
  </si>
  <si>
    <t>Accelerate Baltimore</t>
  </si>
  <si>
    <t>Civstart (www.civstart.org), Fearless (IT Consulting and Outsourcing) (www.fearless.tech), TEDCO (www.tedcomd.com), The Harbor Bank of Maryland Community Development (www.harborcdc.org)</t>
  </si>
  <si>
    <t>Accelerate Baltimore (www.acceleratebaltimore.com)</t>
  </si>
  <si>
    <t>267272-65P</t>
  </si>
  <si>
    <t>Travis Hamburg</t>
  </si>
  <si>
    <t>thamburg@equitybraintrust.com</t>
  </si>
  <si>
    <t>606 Reservoir Street</t>
  </si>
  <si>
    <t>21217</t>
  </si>
  <si>
    <t>491635-81</t>
  </si>
  <si>
    <t>The Host Co.</t>
  </si>
  <si>
    <t>The Host Company HC, Inc.</t>
  </si>
  <si>
    <t>Operator of a travel tech platform intended for community, resource, and retail for short-term rental hosts. The company offers a mini-bar, concierge, and gift shop for their clients, enabling guests to sell products in their short-term rental spaces.</t>
  </si>
  <si>
    <t>Business/Productivity Software, Other Restaurants, Hotels and Leisure*, Other Services (B2C Non-Financial)</t>
  </si>
  <si>
    <t>Industrials, Restaurant Technology, SaaS</t>
  </si>
  <si>
    <t>community solutions, gift shop, mini bar, rental solutions, retail solutions, travel tech, travel technology platform</t>
  </si>
  <si>
    <t>www.thehost.co</t>
  </si>
  <si>
    <t>http://www.linkedin.com/company/thehostco</t>
  </si>
  <si>
    <t>2022: 11, 2023: 14</t>
  </si>
  <si>
    <t>The company joined Techstars as part of its Techstars Oakland powered by J.P. Morgan on March 27, 2023 and received $20,000 in funding.</t>
  </si>
  <si>
    <t>Hearst Communications, Techstars, The Artemis Fund, Untapped Capital</t>
  </si>
  <si>
    <t>Hearst Communications (www.hearst.com), Techstars (www.techstars.com), The Artemis Fund (www.theartemisfund.com), Untapped Capital (www.untapped.vc)</t>
  </si>
  <si>
    <t>291399-67P</t>
  </si>
  <si>
    <t>Annie Sloan</t>
  </si>
  <si>
    <t>annie@thehost.co</t>
  </si>
  <si>
    <t>846 52nd Street</t>
  </si>
  <si>
    <t>94608</t>
  </si>
  <si>
    <t>info@thehost.co</t>
  </si>
  <si>
    <t>491214-61</t>
  </si>
  <si>
    <t>The Humane Space</t>
  </si>
  <si>
    <t>The Humane Space, Inc.</t>
  </si>
  <si>
    <t>Developer of an application designed to feed curiosity, encourage lifelong learning, and prompt deep thinking. The company's application unpacks complex ideas in curated, easy-to-understand presentations of data, historical reference, artistic rigor, and common sense, enabling users to learn through wellness programs.</t>
  </si>
  <si>
    <t>creative thinking, learning app, lifelong learning, lifelong learning program, mental health care, public relations, wellness service, workplace wellness</t>
  </si>
  <si>
    <t>www.thehumane.space</t>
  </si>
  <si>
    <t>http://www.linkedin.com/company/thehumanespace</t>
  </si>
  <si>
    <t>2022: 8, 2023: 10</t>
  </si>
  <si>
    <t>The company raised $750,000 of seed funding from Maine Venture Fund and Copper Wire Ventures in February 2023.</t>
  </si>
  <si>
    <t>Copper Wire Ventures, Maine Venture Fund</t>
  </si>
  <si>
    <t>Copper Wire Ventures (www.copperwire.ventures), Maine Venture Fund (www.maineventurefund.com)</t>
  </si>
  <si>
    <t>290253-79P</t>
  </si>
  <si>
    <t>Lauren Henkin</t>
  </si>
  <si>
    <t>henkin@thehumane.space</t>
  </si>
  <si>
    <t>Rockland, ME</t>
  </si>
  <si>
    <t>Rockland</t>
  </si>
  <si>
    <t>04841</t>
  </si>
  <si>
    <t>hi@thehumane.space</t>
  </si>
  <si>
    <t>481586-59</t>
  </si>
  <si>
    <t>The Mintable</t>
  </si>
  <si>
    <t>Mintable</t>
  </si>
  <si>
    <t>The Mintable, Inc.</t>
  </si>
  <si>
    <t>Growthspace, BetterUp, 15Five, Humu</t>
  </si>
  <si>
    <t>Developer of virtual learning and training platform intended to empower managers. The company's platform provides cohort-based learning for individuals as well as partners with organizations, enabling managers to raise the performance of teams through the habit of feedback</t>
  </si>
  <si>
    <t>business productivity, cohort-based learning, content services, kms, knowledge management system, learning platform, organizational skills, people tech, skills building, talent management, training and development</t>
  </si>
  <si>
    <t>www.themintable.co</t>
  </si>
  <si>
    <t>http://www.linkedin.com/company/the-mintable</t>
  </si>
  <si>
    <t>2021: 2, 2022: 14, 2023: 18, 2024: 10</t>
  </si>
  <si>
    <t>The company raised venture funding from Recall Capital on an undisclosed date.</t>
  </si>
  <si>
    <t>Black Nova Venture Capital, Blackbird Ventures, Blackbird Ventures (US), Flying Fox Ventures, Global Founders Capital, Recall Capital, Saniel Ventures, Startmate, Treble (San Francisco)</t>
  </si>
  <si>
    <t>Black Nova Venture Capital (blacknova.vc), Blackbird Ventures (www.blackbird.vc), Blackbird Ventures (US) (www.blackbirdventures.com), Flying Fox Ventures (www.flyingfox.vc), Global Founders Capital (www.globalfounderscapital.com), Recall Capital (www.recall.capital), Saniel Ventures (www.saniel.vc), Startmate (www.startmate.com), Treble (San Francisco) (www.treble.vc)</t>
  </si>
  <si>
    <t>276103-45P</t>
  </si>
  <si>
    <t>Lauren Humphrey</t>
  </si>
  <si>
    <t>lauren@getmintable.com</t>
  </si>
  <si>
    <t>+1 (720) 772-1639</t>
  </si>
  <si>
    <t>Arvada, CO</t>
  </si>
  <si>
    <t>13980 West 78th Avenue</t>
  </si>
  <si>
    <t>Arvada</t>
  </si>
  <si>
    <t>80005</t>
  </si>
  <si>
    <t>hello@getmintable.com</t>
  </si>
  <si>
    <t>466551-55</t>
  </si>
  <si>
    <t>The Postage</t>
  </si>
  <si>
    <t>Resteasiest.com, Inc.</t>
  </si>
  <si>
    <t>Operator of a fintech software platform designed to offer comprehensive life planning and succession planning for families and small businesses. The company's platform helps banks, credit unions, and partners across the US build multi-generational relationships with retail and small business customers while increasing deposits, new accounts, and non-interest income, enabling people to become more prepared for the event of death and provide a clear and straightforward way to organize the affairs without hassle.</t>
  </si>
  <si>
    <t>business succession, digital asset, digital platform, digital platform gift, digital vault, estate plan, funeral planning, legacy planning, password management</t>
  </si>
  <si>
    <t>www.thepostage.com</t>
  </si>
  <si>
    <t>http://www.linkedin.com/company/the-postage</t>
  </si>
  <si>
    <t>2021: 8, 2022: 9, 2023: 11, 2024: 10</t>
  </si>
  <si>
    <t>The company raised $85,311 of equity crowdfunding in the form of convertible notes via MicroVentures on April 05, 2022. Previously, the company raised $1.31 million of venture funding in the form of convertible debt from Ben Jen Holdings, Long View Tech Ventures, and other undisclosed investors on October 21, 2021.</t>
  </si>
  <si>
    <t>Ben Jen Holdings, Long View Tech Ventures</t>
  </si>
  <si>
    <t>Ben Jen Holdings (www.benjenholdings.com), Long View Tech Ventures (www.longviewtechventures.com)</t>
  </si>
  <si>
    <t>MicroVentures(Lead Manager or Arranger)</t>
  </si>
  <si>
    <t>263140-12P</t>
  </si>
  <si>
    <t>Emily Cisek</t>
  </si>
  <si>
    <t>ecisek@thepostage.com</t>
  </si>
  <si>
    <t>+1 (844) 977-2437</t>
  </si>
  <si>
    <t>2607 Lawrence Street</t>
  </si>
  <si>
    <t>info@thepostage.com</t>
  </si>
  <si>
    <t>462949-21</t>
  </si>
  <si>
    <t>The*gamehers</t>
  </si>
  <si>
    <t>The gameHERs LLC.</t>
  </si>
  <si>
    <t>Provider of gaming community services intended to create a community for women gamers who want to connect. The company's services are a women-led community dedicated to amplifying and centering the voices of women, femme-identifying gamers, and non-binary gamers, enabling women gamers to advance their role, voice, and image of the gaming world.</t>
  </si>
  <si>
    <t>Entertainment Software, Other Services (B2C Non-Financial), Social Content*</t>
  </si>
  <si>
    <t>gaming community, gaming experience, gaming social, video games, women network, women's community</t>
  </si>
  <si>
    <t>www.thegamehers.com</t>
  </si>
  <si>
    <t>http://www.linkedin.com/company/thegamehers</t>
  </si>
  <si>
    <t>2020: 15, 2021: 16, 2022: 35, 2024: 35</t>
  </si>
  <si>
    <t>The company joined Tampa Bay Wave on an undisclosed date. Previously, the company raised $355,458 of equity crowdfunding in the form of convertible debt via Wefunder as of March 15, 2024. Amanda Solomon and other undisclosed investors also participated in the round. The funds will be used by the company to complete its strategic hires and to continue growing its community and platform to unlock new and emerging revenue streams. The company is actively tracked by PitchBook.</t>
  </si>
  <si>
    <t>Amanda Solomon, Hatcher+, Madison Paige Capital, Riot Games, Stadia Ventures, Tampa Bay Wave</t>
  </si>
  <si>
    <t>Hatcher+ (hq.hatcher.com), Madison Paige Capital (maddiecap.com), Riot Games (www.riotgames.com), Stadia Ventures (www.stadiaventures.com), Tampa Bay Wave (www.tampabaywave.org)</t>
  </si>
  <si>
    <t>164511-19P</t>
  </si>
  <si>
    <t>Rebecca Dixon</t>
  </si>
  <si>
    <t>Co-Founder, Co-Chief Marketing Officer &amp; Chief Executive Officer</t>
  </si>
  <si>
    <t>rebecca@thegamehers.com</t>
  </si>
  <si>
    <t>+1 (917) 572-9192</t>
  </si>
  <si>
    <t>714 Broadway</t>
  </si>
  <si>
    <t>Unit 9</t>
  </si>
  <si>
    <t>Bridge Loan - $0.36M (Convertible)</t>
  </si>
  <si>
    <t>454253-14</t>
  </si>
  <si>
    <t>TheLoops</t>
  </si>
  <si>
    <t>Loops</t>
  </si>
  <si>
    <t>TheLoopsai, Inc.</t>
  </si>
  <si>
    <t>Developer of an all-in-one intelligent platform designed to provide actionable insights for CX teams using prediction and GenAI to increase team's productivity. The company's platform offers real-time prediction, trends, sentiment, topics and all in one easy to use AI platform and unifies data from multiple sources and provides a 360-degree view of customers, and automates ticket classification and routing, enabling customer experience teams to deliver personalized and efficient support to customers, while reducing costs and increasing customer satisfaction.</t>
  </si>
  <si>
    <t>customer interaction data, data integration platform, data integration system, enterprise resource planning, erp, intelligent operations, productivity software, tooling interaction</t>
  </si>
  <si>
    <t>www.theloops.io</t>
  </si>
  <si>
    <t>http://www.linkedin.com/company/theloops</t>
  </si>
  <si>
    <t>2021: 8, 2022: 22, 2023: 18, 2024: 28</t>
  </si>
  <si>
    <t>The company raised an undisclosed amount of venture funding from GoingVC Partners on August 22, 2023.</t>
  </si>
  <si>
    <t>Dell Technologies Capital, GoingVC Partners, Tidal Ventures (Australia), Tim Armandpour, WestWave Capital, Zachary Smith</t>
  </si>
  <si>
    <t>Dell Technologies Capital (www.delltechnologiescapital.com), Tidal Ventures (Australia) (www.tidalvc.com), WestWave Capital (www.westwavecapital.com)</t>
  </si>
  <si>
    <t>266780-44P</t>
  </si>
  <si>
    <t>Ravi Bulusu</t>
  </si>
  <si>
    <t>ravi@theloops.ai</t>
  </si>
  <si>
    <t>400 Concar Drive</t>
  </si>
  <si>
    <t>484612-48</t>
  </si>
  <si>
    <t>Themis (Business/Productivity Software)</t>
  </si>
  <si>
    <t>Themis</t>
  </si>
  <si>
    <t>Themis, Inc.</t>
  </si>
  <si>
    <t>Venminder, Marquis Software Solutions, 360factors, Fusion Risk Management, CLDigital, PatSnap, ComplySci, LogicGate, StarCompliance, Behavox, Ventiv Technology, Avalution Consulting, Alertus Technologies, Riskonnect, AQMetrics, Rsam, SAI Global, Phone.com (Communication Software), MetricStream, Ncontracts, iconicchain, Solutionary, ProcessUnity, Zywave, Quantivate, Axiom Software Laboratories, Numerix, Visual Risk, Origami Risk, RecoveryPlanner.com, LogicManager, Tenable, Strategic BCP</t>
  </si>
  <si>
    <t>Developer of a governance, risk, and compliance platform designed to help companies accelerate partnerships with vendors, banks, and fintech. The company's platform offers a strong compliance environment to onboard vendors, conduct due diligence and receive documentation using secure, private workspaces, track policy approvals collaborate on marketing material, and provide auditors, consultants, and regulators access to the internal control environment, enabling businesses to make informed decisions and contribute to sales and strategy, increasing top-line revenue.</t>
  </si>
  <si>
    <t>compliance data, compliance risk, compliance solution, digital transformations, risk engine, risk management system</t>
  </si>
  <si>
    <t>www.themis.com</t>
  </si>
  <si>
    <t>http://www.linkedin.com/company/askthemis</t>
  </si>
  <si>
    <t>2022: 21, 2023: 24, 2024: 36</t>
  </si>
  <si>
    <t>The company raised an undisclosed amount of venture funding from The Fintech Fund in approximately October 2022. Previously, the company joined The Venture Center as a part of the 2022 Cohort of IS Fintech Accelerator program on August 17, 2022, and received an undisclosed amount in funding. The funding was originally raised in the form of SAFE Notes and was subsequently converted into equity.</t>
  </si>
  <si>
    <t>Alloy Labs, Felicis, FIS Ventures, The Fintech Fund, The Venture Center, TTV Capital, Walkabout Ventures</t>
  </si>
  <si>
    <t>Alloy Labs (www.alloylabs.com), Felicis (www.felicis.com), The Fintech Fund (www.thefintechfund.com), The Venture Center (www.venturecenter.co), TTV Capital (www.ttvcapital.com), Walkabout Ventures (www.walkabout.vc)</t>
  </si>
  <si>
    <t>196613-38P</t>
  </si>
  <si>
    <t>Neepa Patel</t>
  </si>
  <si>
    <t>neepa@askthemis.com</t>
  </si>
  <si>
    <t>hello@askthemis.com</t>
  </si>
  <si>
    <t>538936-03</t>
  </si>
  <si>
    <t>TheraDriver</t>
  </si>
  <si>
    <t>Basil Therapy Inc.</t>
  </si>
  <si>
    <t>Developer of an applied behavior analysis (ABA) software designed to improve productivity in behavioral health clinics. The company's software offers an artificial intelligence-powered smart scheduling system, one-click cancellation management, staff optimization based on intelligent data tags, push-notification-based parent training, automated staff notifications on schedule changes and electronic health record (EHR) integration to streamline workflows and enhance staff training, enabling clients to improve team efficiency and deliver good-quality care.</t>
  </si>
  <si>
    <t>Artificial Intelligence &amp; Machine Learning, HealthTech, SaaS</t>
  </si>
  <si>
    <t>applied behavior analysis firm, data driven analytics, ehr integration, health staffing services, hospital and health care, staff optimization</t>
  </si>
  <si>
    <t>www.theradriver.com</t>
  </si>
  <si>
    <t>http://www.linkedin.com/company/theradriver</t>
  </si>
  <si>
    <t>The company raised $1.78 million of venture funding from Euclid Ventures and Eniac Ventures on August 21, 2023.</t>
  </si>
  <si>
    <t>Eniac Ventures, Euclid Ventures</t>
  </si>
  <si>
    <t>Eniac Ventures (www.eniac.vc), Euclid Ventures (www.euclid.vc)</t>
  </si>
  <si>
    <t>186057-28P</t>
  </si>
  <si>
    <t>Malavica Sridhar</t>
  </si>
  <si>
    <t>mal@theradriver.com</t>
  </si>
  <si>
    <t>+1 (630) 306-4136</t>
  </si>
  <si>
    <t>Apartment 411</t>
  </si>
  <si>
    <t>info@theradriver.com</t>
  </si>
  <si>
    <t>458160-13</t>
  </si>
  <si>
    <t>TheXPlace</t>
  </si>
  <si>
    <t>TheXPlace Inc.</t>
  </si>
  <si>
    <t>Developer of a professional networking platform designed to handle any project, scope, and need. The company's platform connects verified talent and studios to build exceptional teams and create epic gaming experiences, enabling the video game community to find rewarding work that matches their skills and ambitions, and studios to hire top talent efficiently.</t>
  </si>
  <si>
    <t>Entertainment Software, Human Capital Services*</t>
  </si>
  <si>
    <t>Artificial Intelligence &amp; Machine Learning, Gaming, HR Tech</t>
  </si>
  <si>
    <t>gaming community management, gaming experience, gaming talent, jobs offer, professional gaming portal, professional networking, video game community</t>
  </si>
  <si>
    <t>www.thexplace.ai</t>
  </si>
  <si>
    <t>http://www.linkedin.com/company/thexplace</t>
  </si>
  <si>
    <t>2020: 4, 2021: 7, 2022: 12</t>
  </si>
  <si>
    <t>The company raised $1.5 million of Series 1 venture funding from Hustle Fund, XFactor Ventures, and 05 Ventures on March 26, 2021, putting the company's pre-money valuation at $5.5 million. Two Lanterns Venture Partners, Angel Ventures Mexico, Gimmel Ventures, and other undisclosed investors also participated in the round. Of the total amount, $100,000 was originally raised in the form of convertible debt and subsequently converted to equity. Previously, the company raised $500,000 of seed funding from Angel Ventures Mexico and Brighter Capital on October 29, 2020.</t>
  </si>
  <si>
    <t>05 Ventures, Angel Ventures Mexico, Brighter Capital, Gimmel Ventures, Hustle Fund, Two Lanterns Venture Capital, XFactor Ventures</t>
  </si>
  <si>
    <t>Angel Ventures Mexico (www.angelventures.vc), Brighter Capital (www.brightercapital.com), Gimmel Ventures (www.gimmelfund.com), Hustle Fund (www.hustlefund.vc), Two Lanterns Venture Capital (www.2l.vc), XFactor Ventures (www.xfactor.ventures)</t>
  </si>
  <si>
    <t>249229-27P</t>
  </si>
  <si>
    <t>Maya Rand</t>
  </si>
  <si>
    <t>maya@thexplace.ai</t>
  </si>
  <si>
    <t>145 Muir Avenue</t>
  </si>
  <si>
    <t>465330-34</t>
  </si>
  <si>
    <t>Thistle Technologies</t>
  </si>
  <si>
    <t>Thistle</t>
  </si>
  <si>
    <t>Thistle Technologies Inc.</t>
  </si>
  <si>
    <t>Foundries.io, JFrog</t>
  </si>
  <si>
    <t>Developer of a comprehensive security platform designed for IoT and embedded device manufacturers. The company's platform offers a set of security tools and services designed for embedded devices that allow teams to address major areas of security risk immediately and build verifiable security improvements into their products, enabling developers to create a security architecture for devices, quickly and easily.</t>
  </si>
  <si>
    <t>application security, device security, device security solutions, endpoint security, iot security, iot security platform, iot software, iot/ot security, ot security, security architecture, security software, security updates</t>
  </si>
  <si>
    <t>www.thistle.tech</t>
  </si>
  <si>
    <t>http://www.linkedin.com/company/thistle-technology</t>
  </si>
  <si>
    <t>2021: 4, 2022: 9, 2023: 9</t>
  </si>
  <si>
    <t>The company raised an undisclosed amount of venture funding from Newtype Ventures in 2023.</t>
  </si>
  <si>
    <t>DCVC, Newtype Ventures, Operator Collective, True Ventures</t>
  </si>
  <si>
    <t>DCVC (www.dcvc.com), Newtype Ventures (www.newtypeventures.com), Operator Collective (www.operatorcollective.com), True Ventures (www.trueventures.com)</t>
  </si>
  <si>
    <t>188394-31P</t>
  </si>
  <si>
    <t>Window Snyder</t>
  </si>
  <si>
    <t>window@thistle.tech</t>
  </si>
  <si>
    <t>Suite 324</t>
  </si>
  <si>
    <t>info@thistle.tech</t>
  </si>
  <si>
    <t>482383-72</t>
  </si>
  <si>
    <t>Thola</t>
  </si>
  <si>
    <t>3DIMO</t>
  </si>
  <si>
    <t>Thola, Inc.</t>
  </si>
  <si>
    <t>Cenosco, Visma, RedTeam</t>
  </si>
  <si>
    <t>Operator of a community-based marketplace platform intended to help prospective asset buyers make informed purchasing or rental decisions by providing technical safety, compliance, and integrity insights. The company offers an on-demand auditing marketplace that connects buyers with the nearest independent compliance auditors to assess assets before purchase, ensuring buyers receive safety and compliance assurance before committing, enhances asset safety, integrity, compliance, and performance while optimizing management costs, helping investors to invest in agricultural commodities without any barriers.</t>
  </si>
  <si>
    <t>biosecurity services, business compliance, climate tech, commercial finance, compliance automation, data analytics, non-dilutive finance, sustainable agricultural</t>
  </si>
  <si>
    <t>www.getthola.com</t>
  </si>
  <si>
    <t>http://www.linkedin.com/company/thola-inc</t>
  </si>
  <si>
    <t>2021: 5, 2022: 6, 2023: 3, 2024: 6</t>
  </si>
  <si>
    <t>The company raised an undisclosed amount of venture funding from The Baobab Network, Forum Ventures, and Catalyst Fund on December 7, 2023. Other undisclosed investors also participated in the round. Previously, the company joined Roux Institute at Northeastern University on September 13, 2023, and received $25,000 in the form of grant funding.</t>
  </si>
  <si>
    <t>Catalyst Fund, Forum Ventures, Hustle Fund, Roux Institute at Northeastern University, SDG Impact Accelerator, Sharjah Entrepreneurship Center, Techstars, The Baobab Network</t>
  </si>
  <si>
    <t>Catalyst Fund (www.thecatalystfund.com), Forum Ventures (www.forumvc.com), Hustle Fund (www.hustlefund.vc), Roux Institute at Northeastern University (www.roux.northeastern.edu), SDG Impact Accelerator (www.sdgia.org), Sharjah Entrepreneurship Center (www.sheraa.ae), Techstars (www.techstars.com), The Baobab Network (www.thebaobabnetwork.com)</t>
  </si>
  <si>
    <t>Amazon Web Services(Advisor: General), Brex(General Business Banking), Intuit QuickBooks(Tax)</t>
  </si>
  <si>
    <t>278611-39P</t>
  </si>
  <si>
    <t>Nneile Nkholise</t>
  </si>
  <si>
    <t>nneilen@getthola.com</t>
  </si>
  <si>
    <t>+1 (415) 847-5116</t>
  </si>
  <si>
    <t>1 Sansome Street</t>
  </si>
  <si>
    <t>info@getthola.com</t>
  </si>
  <si>
    <t>590209-48</t>
  </si>
  <si>
    <t>Thoras AI</t>
  </si>
  <si>
    <t>Thoras</t>
  </si>
  <si>
    <t>Developer of an adaptive reliability platform designed to proactively detect and resolve system issues to prevent downtime and optimize cloud operations. The company's platform offers AI-driven performance monitoring, autonomous scaling, cloud forecasting, prevention of system failures, fault prevention, and cost management, enabling businesses to achieve reliability, minimize costs, and ensure seamless performance at scale.</t>
  </si>
  <si>
    <t>Artificial Intelligence &amp; Machine Learning, CloudTech &amp; DevOps, SaaS</t>
  </si>
  <si>
    <t>cloud app, cloud management tool, cloud storage, cloud system management, data safety, downtime management, fault management</t>
  </si>
  <si>
    <t>www.thoras.ai</t>
  </si>
  <si>
    <t>http://www.linkedin.com/company/thoras-ai</t>
  </si>
  <si>
    <t>The company raised $1.5 million in pre-seed funding in the form of SAFE notes in a deal led by Storytime Capital and Focal on March 26, 2024, putting the company's pre-money valuation at $4.5 million. Precursor Ventures and 4 other investors also participated in the round. The funds will be used to fuel the rapid product development of the company's platform to optimize and strengthen enterprise cloud computing.</t>
  </si>
  <si>
    <t>Creative Destruction Lab, Focal (VC), Hustle Fund, Long Journey Ventures, Northside Ventures, Precursor Ventures, Storytime Capital, The Pitch Fund &amp; Syndicate, University of Toronto Entrepreneurship</t>
  </si>
  <si>
    <t>Creative Destruction Lab (www.creativedestructionlab.com), Focal (VC) (www.focal.vc), Hustle Fund (www.hustlefund.vc), Long Journey Ventures (www.longjourney.vc), Northside Ventures (www.northside.ventures), Precursor Ventures (precursorvc.com), Storytime Capital (www.storytime.capital), University of Toronto Entrepreneurship (www.entrepreneurs.utoronto.ca)</t>
  </si>
  <si>
    <t>389076-40P</t>
  </si>
  <si>
    <t>Nilo Rahmani</t>
  </si>
  <si>
    <t>nilo@thoras.ai</t>
  </si>
  <si>
    <t>+1 (571) 888-5169</t>
  </si>
  <si>
    <t>538929-01</t>
  </si>
  <si>
    <t>Thoughtful (Social/Platform Software)</t>
  </si>
  <si>
    <t>Thoughtful</t>
  </si>
  <si>
    <t>Thoughtful Inc.</t>
  </si>
  <si>
    <t>Developer of a social connection application designed for people to improve their mental health. The company's application helps to connect to family and friends to combat loneliness and isolation by reaching out to people in their lives, enabling users to address their mental health needs by deepening our connections with others.</t>
  </si>
  <si>
    <t>communication application, mental wellness, mental wellness app, relationship app, wellness app, wellness platform</t>
  </si>
  <si>
    <t>www.thoughtful.com</t>
  </si>
  <si>
    <t>http://www.linkedin.com/company/thoughtful-life</t>
  </si>
  <si>
    <t>2023: 13</t>
  </si>
  <si>
    <t>The company raised $7 million of seed funding in a deal led by VCP Ventures and A-Rod on October 24, 2023. Other undisclosed individual investors also participated in the round.</t>
  </si>
  <si>
    <t>A-Rod, VCP Ventures</t>
  </si>
  <si>
    <t>A-Rod (www.arodcorp.com), VCP Ventures (www.vcpventures.com)</t>
  </si>
  <si>
    <t>74176-03P</t>
  </si>
  <si>
    <t>Elizabeth Shaffer</t>
  </si>
  <si>
    <t>elizabeth@thoughtful.com</t>
  </si>
  <si>
    <t>info@thoughtful.com</t>
  </si>
  <si>
    <t>615663-55</t>
  </si>
  <si>
    <t>Thread AI</t>
  </si>
  <si>
    <t>Thread AI, Inc</t>
  </si>
  <si>
    <t>Developer of composable Artificial Intelligence (AI) infrastructure platform intended to design, implement, and manage an organization's mission-critical workflows. The company's platform integrates combinations of models and services, infrastructure, and applications into one cohesive system to solve complex workflows securely and at scale, enabling companies to easily build mission-critical, automated workflows while seamlessly incorporating important constraints, like cost and human-in-the-loop handoffs.</t>
  </si>
  <si>
    <t>ai model, ai systems, automated workflow, human augmentation, identity management, model service, workflow planning</t>
  </si>
  <si>
    <t>www.threadai.com</t>
  </si>
  <si>
    <t>http://www.linkedin.com/company/thread-ai</t>
  </si>
  <si>
    <t>The company raised $6 million of seed funding in a deal led by Index Ventures on October 1, 2024. Greycroft and other investors also participated in the round. The funds will be used to fuel growth as the company seeks to hire aggressively in the coming months and expand its public sector footprint.</t>
  </si>
  <si>
    <t>Daniel Sturman, Greycroft, Hunter Walk, Index Ventures, Olivier Pomel, Satya Patel</t>
  </si>
  <si>
    <t>Greycroft (www.greycroft.com), Index Ventures (www.indexventures.com)</t>
  </si>
  <si>
    <t>415285-75P</t>
  </si>
  <si>
    <t>Angela McNeal</t>
  </si>
  <si>
    <t>131 Varick Street</t>
  </si>
  <si>
    <t>Suite 1029</t>
  </si>
  <si>
    <t>info@threadai.com</t>
  </si>
  <si>
    <t>608856-58</t>
  </si>
  <si>
    <t>Thumbprint</t>
  </si>
  <si>
    <t>Operator of a furniture design platform intended to simplify the customized furniture purchase. The company's platform connects commercial furniture manufacturers with buyers, simplifying the commercial furniture design and specification process by automatically generating fully specified furniture packages using artificial intelligence, enabling customers to have a simplified process for buying customized furniture.</t>
  </si>
  <si>
    <t>automation tools, commercial furniture, customized design, customized furniture, furniture design, furniture marketplace, furniture package</t>
  </si>
  <si>
    <t>www.thumbprintfurniture.com</t>
  </si>
  <si>
    <t>http://www.linkedin.com/company/thumbprintfurniture</t>
  </si>
  <si>
    <t>2024: 3</t>
  </si>
  <si>
    <t>The company raised $1.5 million of seed funding from Iron Prairie Ventures in July 2024.</t>
  </si>
  <si>
    <t>Iron Prairie Ventures</t>
  </si>
  <si>
    <t>Iron Prairie Ventures (www.ironprairie.vc)</t>
  </si>
  <si>
    <t>405499-42P</t>
  </si>
  <si>
    <t>Katherine Friedman</t>
  </si>
  <si>
    <t>901 North Glebe Road</t>
  </si>
  <si>
    <t>hello@thumbprintfurniture.com</t>
  </si>
  <si>
    <t>519670-54</t>
  </si>
  <si>
    <t>Tidalwave</t>
  </si>
  <si>
    <t>Tidalwave Tech Inc</t>
  </si>
  <si>
    <t>Developer of a fintech platform intended to streamline the mortgage loan origination process. The company's AI-powered platform helps to provide banks, credit unions, and mortgage brokers with an automated system for loan approvals by automating tasks like eligibility checks, pricing calculations, and document reviews, enabling clients to reduce the processing time and manual workload.</t>
  </si>
  <si>
    <t>Artificial Intelligence &amp; Machine Learning, FinTech, Mortgage Tech, Real Estate Technology, SaaS</t>
  </si>
  <si>
    <t>digital mortgage platform, digital mortgage service, financial technology, fintech platform, mortgage automation, mortgage platform</t>
  </si>
  <si>
    <t>tidalwave.ai</t>
  </si>
  <si>
    <t>http://www.linkedin.com/company/tidalwave-ai</t>
  </si>
  <si>
    <t>The company raised an estimated $2.08 million of seed funding from RevTech Labs Capital, and other undisclosed investors on March 6, 2023, putting the company's pre-money valuation at $10 million.</t>
  </si>
  <si>
    <t>RevTech Labs Capital</t>
  </si>
  <si>
    <t>RevTech Labs Capital (www.rtl.capital)</t>
  </si>
  <si>
    <t>46320-94P</t>
  </si>
  <si>
    <t>Diane Yu</t>
  </si>
  <si>
    <t>dyu@tidalwave.ai</t>
  </si>
  <si>
    <t>615 South College Street</t>
  </si>
  <si>
    <t>9th Floor, Unit 190A</t>
  </si>
  <si>
    <t>28202</t>
  </si>
  <si>
    <t>info@tidalwave.ai</t>
  </si>
  <si>
    <t>280133-65</t>
  </si>
  <si>
    <t>Tilt (Human Capital Services)</t>
  </si>
  <si>
    <t>Tilt</t>
  </si>
  <si>
    <t>Career Allies, Inc.</t>
  </si>
  <si>
    <t>Greythr, Keka, LeaveLogic, EmployeeConnect, Cocoon (Business/Productivity Software), Staff Squared, Namely, Payworks Incorporation, UKG, Automatic Payroll Systems, AbsenceSoft, Sparrow (Business/Productivity Software), Ultimate Software Group, SumHR, Breathe (Business/Productivity Software), Deputy, BambooHR, Quinyx, Darwinbox, WorkForce Software, LeaveBoard, ZingHR, Advantage Club, Ventiv Technology, Humanity, Ascentis, SAP SuccessFactors</t>
  </si>
  <si>
    <t>Developer of an employee retention platform designed to automate leave workflow management. The company's platform tracks legal changes like compliance with local, state, and federal leave laws, offers leave planning, and a dashboard to access employee leave, enabling companies to improve retention, streamline processes, reinforce culture, support teams and stay compliant.</t>
  </si>
  <si>
    <t>enterprise resource planning, erp, hr technology, human capital management, human resources program, leave management, recruitment platform, retention platform, talent acquisition, workflow management</t>
  </si>
  <si>
    <t>www.hellotilt.com</t>
  </si>
  <si>
    <t>http://www.linkedin.com/company/hello-tilt</t>
  </si>
  <si>
    <t>2020: 13, 2021: 42, 2022: 87, 2023: 107, 2024: 112</t>
  </si>
  <si>
    <t>The company raised $15 million of Series B venture funding from HearstLab, and other undisclosed investors on May 3, 2024, putting the company's pre-money valuation at $58.5 million.</t>
  </si>
  <si>
    <t>Bramalea Partners, Firework Ventures, HearstLab, Innosphere Ventures, Kokopelli Capital, Matchstick Ventures, Nelnet Ventures, Origin Ventures, Portland Seed Fund, Rockies Venture Club, Sofia Fund, Techstars, University of Colorado Deming Center Venture Fund</t>
  </si>
  <si>
    <t>Bramalea Partners (www.bramaleapartners.com), Firework Ventures (www.firework.vc), HearstLab (www.hearstlab.com), Innosphere Ventures (www.innosphereventures.org), Kokopelli Capital (www.kokopelli.vc), Matchstick Ventures (www.matchstick.vc), Origin Ventures (www.originventures.com), Portland Seed Fund (portlandseedfund.com), Rockies Venture Club (www.rockiesventureclub.org), Sofia Fund (sofiafund.com), Techstars (www.techstars.com)</t>
  </si>
  <si>
    <t>212981-14P</t>
  </si>
  <si>
    <t>Jennifer Henderson</t>
  </si>
  <si>
    <t>jen@hellotilt.com</t>
  </si>
  <si>
    <t>+1 (970) 999-4999</t>
  </si>
  <si>
    <t>Fort Collins, CO</t>
  </si>
  <si>
    <t>1281 East Magnolia Street</t>
  </si>
  <si>
    <t>Suite D</t>
  </si>
  <si>
    <t>Fort Collins</t>
  </si>
  <si>
    <t>80524</t>
  </si>
  <si>
    <t>494415-64</t>
  </si>
  <si>
    <t>TitanSpace</t>
  </si>
  <si>
    <t>Titan Space Technologies Inc.</t>
  </si>
  <si>
    <t>Developer a commercial research and development system designed to increase the speed and efficiency of real-time data analysis for space research. The company's platform accelerates the next generation of medical research, climate technology, and materials science, enabling companies to solve mission-critical problems for humanity.</t>
  </si>
  <si>
    <t>Aerospace and Defense, Business/Productivity Software*</t>
  </si>
  <si>
    <t>aerospace components, data analysis, materials science, medical research, space economy, space research</t>
  </si>
  <si>
    <t>www.titanspace.co</t>
  </si>
  <si>
    <t>http://www.linkedin.com/company/titanspaceco</t>
  </si>
  <si>
    <t>2022: 14, 2023: 14</t>
  </si>
  <si>
    <t>The company raised $10.5 million of seed funding from Accenture Ventures, Untapped Capital and Scrum Ventures on April 1, 2022, putting the company's pre-money valuation at $30 million. Village Global, Monochrome Capital and other undisclosed investors also participated in the round.</t>
  </si>
  <si>
    <t>Accenture Ventures, Monochrome Capital, Scrum Ventures, Untapped Capital, Village Global</t>
  </si>
  <si>
    <t>Monochrome Capital (www.monochrome.vc), Scrum Ventures (www.scrum.vc), Untapped Capital (www.untapped.vc), Village Global (www.villageglobal.vc)</t>
  </si>
  <si>
    <t>23 Calle Vista Del Sol</t>
  </si>
  <si>
    <t>info@titanspace.co</t>
  </si>
  <si>
    <t>496327-33</t>
  </si>
  <si>
    <t>Toki (Business/Productivity Software)</t>
  </si>
  <si>
    <t>Toki Commerce, Inc.</t>
  </si>
  <si>
    <t>Developer of an incentive infrastructure platform designed for brands and communities. The company's platform is engaged in creating growth programs that incentivize loyal customers and followers to promote business with tools for retention, affiliate management and cross-brand acquisition, enabling clients to boost customer engagement and overall company growth.</t>
  </si>
  <si>
    <t>affiliate management agency, affiliate management platform, infrastructure planning service, infrastructure planning software, infrastructure platform, infrastructure platform developer, loyalty and incentive</t>
  </si>
  <si>
    <t>www.buildwithtoki.com</t>
  </si>
  <si>
    <t>http://www.linkedin.com/company/buildwithtoki</t>
  </si>
  <si>
    <t>The company raised $2 million of venture funding from MaC Venture Capital and The Venture Collective on April 26, 2022.</t>
  </si>
  <si>
    <t>MaC Venture Capital, The Venture Collective</t>
  </si>
  <si>
    <t>MaC Venture Capital (macventurecapital.com), The Venture Collective (www.theventurecollective.com)</t>
  </si>
  <si>
    <t>301516-66P</t>
  </si>
  <si>
    <t>Elise Decamp</t>
  </si>
  <si>
    <t>hello@buildwithtoki.com</t>
  </si>
  <si>
    <t>491797-72</t>
  </si>
  <si>
    <t>Topanga.io</t>
  </si>
  <si>
    <t>Topanga</t>
  </si>
  <si>
    <t>Topanga.io Corp.</t>
  </si>
  <si>
    <t>Reath, Right, Circular IQ, Ehab, AerisWeather</t>
  </si>
  <si>
    <t>Operator of a climate tech company intended to manage operations and prepare reusable packaging programs. The company's track-and-trace technology makes it possible to see the economic and environmental return on investment (ROI) through a reusable packaging program, enterprise-grade application programming interface (API), and a suite of connected products, helping companies and organizations switch from single-use to reusable packaging at scale.</t>
  </si>
  <si>
    <t>Business/Productivity Software, Environmental Services (B2B)*, Media and Information Services (B2B), Other Containers and Packaging</t>
  </si>
  <si>
    <t>circular economy, climate tech, digital tools, environmental impact, management platform, reusable packaging, reusable packaging product, reusable packaging program, track and trace software</t>
  </si>
  <si>
    <t>www.topanga.io</t>
  </si>
  <si>
    <t>http://www.linkedin.com/company/topanga-io</t>
  </si>
  <si>
    <t>2022: 6, 2024: 21</t>
  </si>
  <si>
    <t>The company raised $3.6 million of seed funding in a deal led by Amasia and Struck Capital on May 19, 2023, putting the company's pre-money valuation at $7.81 million. Wonder Ventures and Clocktower Ventures also participated in the round.</t>
  </si>
  <si>
    <t>Amasia, Clocktower Ventures, Edward Lando, Jetstream (San Francisco), Kiran Bhatraju, Orrick, Pareto Holdings, Struck Capital, Wonder Ventures</t>
  </si>
  <si>
    <t>Amasia (www.amasia.vc), Clocktower Ventures (www.clocktowerventures.com), Jetstream (San Francisco) (www.jetstream.io), Orrick (www.orrick.com), Pareto Holdings (www.pareto20.com), Struck Capital (www.struckcapital.com), Wonder Ventures (www.wondervc.com)</t>
  </si>
  <si>
    <t>261326-44P</t>
  </si>
  <si>
    <t>Adam Bailey</t>
  </si>
  <si>
    <t>Co-Founder, Chief Technology Officer, President &amp; Board Member</t>
  </si>
  <si>
    <t>adam@topanga.io</t>
  </si>
  <si>
    <t>+1 (816) 678-2954</t>
  </si>
  <si>
    <t>3716 McLaughlin Avenue</t>
  </si>
  <si>
    <t>90066</t>
  </si>
  <si>
    <t>hello@topanga.io</t>
  </si>
  <si>
    <t>Other - $0.41M</t>
  </si>
  <si>
    <t>491509-90</t>
  </si>
  <si>
    <t>Topsort</t>
  </si>
  <si>
    <t>NAP</t>
  </si>
  <si>
    <t>Topsort, Inc.</t>
  </si>
  <si>
    <t>Criteo, Adelphic, Kayzen, Socius Live</t>
  </si>
  <si>
    <t>Developer of auction-based native ad infrastructure and API (Application Programming Interface) software designed to monetize marketplaces, retailers, and super apps with fast, easy-to-use, and modular technology. The company provides auction-powered API that accelerates marketplace growth, from multi-brand retailers and marketplaces, to create better relevancy, and margin, enabling marketplaces and brands to give customers democratized access to modern marketplace services.</t>
  </si>
  <si>
    <t>ad network, api infrastructure, crm, customer relationship management, media platform developer, media platform operator, media platform provider, retail media services</t>
  </si>
  <si>
    <t>www.topsort.com</t>
  </si>
  <si>
    <t>http://www.linkedin.com/company/topsort</t>
  </si>
  <si>
    <t>2022: 38, 2023: 45, 2024: 67</t>
  </si>
  <si>
    <t>The company raised $25 million of Series A venture funding in a deal led by Upload Ventures (Sao Paulo) on July 1, 2024, putting the company's pre-money valuation at $130 million. Moloco, Lojas Renner, RX Ventures, Quiet Capital, and Pear (California) also participated in the round. The funds will be used to fuel the company's mission of accelerating the clean advertising revolution, which is free of third-party cookie tracking and invasive privacy sharing data.</t>
  </si>
  <si>
    <t>Akhil Paul, Comma Capital, Deciens Capital, FJ Labs, Lojas Renner, Lydia Jett, Micky Malka, Moloco, Pear (California), Quiet Capital, RX Ventures, Upload Ventures (Sao Paulo)</t>
  </si>
  <si>
    <t>Comma Capital (comma.vc), Deciens Capital (www.deciens.com), FJ Labs (www.fjlabs.com), Lojas Renner (www.lojasrennersa.com.br), Moloco (www.moloco.com), Pear (California) (www.pear.vc), Quiet Capital (www.quiet.com), Upload Ventures (Sao Paulo) (www.upload.ventures)</t>
  </si>
  <si>
    <t>38264-23P</t>
  </si>
  <si>
    <t>Francisco Larrain</t>
  </si>
  <si>
    <t>Co-Founder, Co-Chief Executive Officer, Chief Technology Officer and Board Member</t>
  </si>
  <si>
    <t>francisco@topsort.com</t>
  </si>
  <si>
    <t>+1 (650) 644-6036</t>
  </si>
  <si>
    <t>2459 Greer Road</t>
  </si>
  <si>
    <t>94303-3513</t>
  </si>
  <si>
    <t>+1 (202) 256-1269</t>
  </si>
  <si>
    <t>hello@topsort.com</t>
  </si>
  <si>
    <t>484809-13</t>
  </si>
  <si>
    <t>Total Life</t>
  </si>
  <si>
    <t>Total Life Inc.</t>
  </si>
  <si>
    <t>Developer of an artificial intelligence-powered digital health services platform designed to offer senior mental health services to older adults to live happier, fulfilling lives together. The company's therapists specialize in helping older adults reclaim their joy through online talk therapy, work across diverse specialties, cultures, and languages, and offer mental health tools and support seniors who deserve to live longer, enabling customers to work through their mental health issues including dealing with chronic health conditions.</t>
  </si>
  <si>
    <t>Application Software, Business/Productivity Software, Clinics/Outpatient Services*, Other Healthcare Technology Systems</t>
  </si>
  <si>
    <t>Digital Health</t>
  </si>
  <si>
    <t>artificial intelligence healthcare platform, digital health, digital health platform, longevity and aging, mental health therapy, mental healthcare, online counseling, online therapy, rcm solutions, remote monitoring software, revenue cycle management rcm, senior care application, senior care service provider, senior mental health, talk therapy, telehealth platform, teletherapy platform, therapist care, therapy platform, value based care solutions, virtual therapy session</t>
  </si>
  <si>
    <t>www.totallife.com</t>
  </si>
  <si>
    <t>http://www.linkedin.com/company/totallifeapp</t>
  </si>
  <si>
    <t>2021: 20, 2022: 50, 2023: 75, 2024: 250</t>
  </si>
  <si>
    <t>The company is reportedly seeking $20 million of Series A venture funding. The company plans to start the round by the first quarter of 2025. Previously,The company joined AARP Innovation Labs on an undisclosed date.</t>
  </si>
  <si>
    <t>AARP Innovation Labs, CABHI, Google for Startups, HDS Capital, Primetime Partners</t>
  </si>
  <si>
    <t>AARP Innovation Labs (www.aarpinnovationlabs.org), CABHI (www.cabhi.com), Google for Startups (startup.google.com), HDS Capital (www.hdscapital.com), Primetime Partners (www.primetimepartners.com)</t>
  </si>
  <si>
    <t>15799-60P</t>
  </si>
  <si>
    <t>Neelam Brar</t>
  </si>
  <si>
    <t>neelam@totallife.com</t>
  </si>
  <si>
    <t>+1 (604) 404-5666</t>
  </si>
  <si>
    <t>Jupiter, FL</t>
  </si>
  <si>
    <t>110 Front Street</t>
  </si>
  <si>
    <t>33477</t>
  </si>
  <si>
    <t>+1 (800) 567-5433</t>
  </si>
  <si>
    <t>info@totallife.com</t>
  </si>
  <si>
    <t>Revolving Credit - $0.80M</t>
  </si>
  <si>
    <t>501440-14</t>
  </si>
  <si>
    <t>Totem (Application Software)</t>
  </si>
  <si>
    <t>Totem Technologies, Inc.</t>
  </si>
  <si>
    <t>Operator of a digital bank intended to create pathways for financial inclusion. The company provides digital banking facilities like checking accounts, debit cards, credit-building features, and other key financial products via mobile application services, enabling tribal communities to have easy access to financial services in the palms of their hand and fully participate in the modern economy.</t>
  </si>
  <si>
    <t>banking application, banking services, credit &amp; banking, credit and banking, digital banking, financial inclusion, financial system, mobile banking</t>
  </si>
  <si>
    <t>www.mytotem.app</t>
  </si>
  <si>
    <t>http://www.linkedin.com/company/totem-technologies-inc</t>
  </si>
  <si>
    <t>2022: 4, 2023: 9, 2024: 6</t>
  </si>
  <si>
    <t>The company raised an undisclosed amount of venture funding in the form of convertible debt from ImpactAssets on March 1, 2024.</t>
  </si>
  <si>
    <t>Alloy Labs, AWS Startups, Candide Group, Debut Capital, Impact Assets, Raven Indigenous Capital Partners, Ruthless for Good Fund</t>
  </si>
  <si>
    <t>Alloy Labs (www.alloylabs.com), AWS Startups (aws-startup-lofts.com), Candide Group (www.candidegroup.com), Debut Capital (debutcapital.com), Impact Assets (www.impactassets.org), Raven Indigenous Capital Partners (www.ravencapitalpartners.com), Ruthless for Good Fund (www.ruthlessforgood.com)</t>
  </si>
  <si>
    <t>308525-68P</t>
  </si>
  <si>
    <t>Amber Buker</t>
  </si>
  <si>
    <t>+1 (888) 426-0895</t>
  </si>
  <si>
    <t>PO Box 33188</t>
  </si>
  <si>
    <t>74133-3188</t>
  </si>
  <si>
    <t>info@mytotem.app</t>
  </si>
  <si>
    <t>534513-43</t>
  </si>
  <si>
    <t>Trayd (Business/Productivity Software)</t>
  </si>
  <si>
    <t>Trayd, Inc.</t>
  </si>
  <si>
    <t>Developer of a construction payroll platform designed for same-day pay &amp; attendance capture. The company's platform offers a back office management system that includes time-tracking, schedule management, people management, and payroll automation, enabling clients to get hassle-free payroll services.</t>
  </si>
  <si>
    <t>Application Software, Business/Productivity Software*, Media and Information Services (B2B)</t>
  </si>
  <si>
    <t>construction payroll, construction payroll platform, construction payroll platform developer, payroll platform, payroll platform software, time tracking tools</t>
  </si>
  <si>
    <t>www.buildtrayd.com</t>
  </si>
  <si>
    <t>http://www.linkedin.com/company/traydinc</t>
  </si>
  <si>
    <t>The company raised $1.87 million of venture funding from Sunstone Management, Bloomberg Beta, Olive Hill Group, Oasis Capital (United States) and 468 Capital on September 30, 2023. Dupe Ventures, Pioneer Fund and Leonis Investissement also participated in the round. Previously, the company joined Y Combinator on June 1, 2023 and received $125,000 in funding. The funding was raised initially in the form of SAFE notes and subsequently converted into equity.</t>
  </si>
  <si>
    <t>468 Capital, Bloomberg Beta, Dupe Ventures, Leonis Investissement, Oasis Capital (United States), Olive Hill Group, Pioneer Fund, Sunstone Management, Y Combinator</t>
  </si>
  <si>
    <t>468 Capital (www.468cap.com), Bloomberg Beta (www.bloombergbeta.com), Dupe Ventures (dupeventures.com), Leonis Investissement (www.leonis.vc), Oasis Capital (United States) (oasiscap.vc), Olive Hill Group (www.olivehill.com), Pioneer Fund (www.pioneerfund.vc), Sunstone Management (www.sunstoneinvestment.com), Y Combinator (www.ycombinator.com)</t>
  </si>
  <si>
    <t>361389-07P</t>
  </si>
  <si>
    <t>Anna Berger</t>
  </si>
  <si>
    <t>anna@buildtrayd.com</t>
  </si>
  <si>
    <t>250 Lafayette Street</t>
  </si>
  <si>
    <t>3R</t>
  </si>
  <si>
    <t>support@buildtrayd.com</t>
  </si>
  <si>
    <t>471041-92</t>
  </si>
  <si>
    <t>Tribe (Educational Software)</t>
  </si>
  <si>
    <t>Tribe</t>
  </si>
  <si>
    <t>Tribe Fitness Inc</t>
  </si>
  <si>
    <t>Operator of an e-fitness platform intended for boutique studios and local gyms to deliver a digital workout experience. The company's platform provides online, live workout classes, and functional training, enabling users with the real boutique experience to digital by providing ways to connect and interact with members as they would in the physical location.</t>
  </si>
  <si>
    <t>digital workout, fitness platform, functional training, gym space, gym training, live workout, wellness fitness</t>
  </si>
  <si>
    <t>www.tribe.fitness</t>
  </si>
  <si>
    <t>http://www.linkedin.com/company/tribe-fitness-inc</t>
  </si>
  <si>
    <t>2021: 16, 2022: 13, 2023: 13, 2024: 15</t>
  </si>
  <si>
    <t>KB Partners sold its stake in the company to an undisclosed buyer.</t>
  </si>
  <si>
    <t>Executive Venture Fund, Precursor Ventures, Stacey Seldin</t>
  </si>
  <si>
    <t>KB Partners</t>
  </si>
  <si>
    <t>Executive Venture Fund (www.evf.vc), Precursor Ventures (precursorvc.com)</t>
  </si>
  <si>
    <t>KB Partners (www.kbpartners.com)</t>
  </si>
  <si>
    <t>212790-70P</t>
  </si>
  <si>
    <t>Justin Marston</t>
  </si>
  <si>
    <t>+1 (512) 559-7568</t>
  </si>
  <si>
    <t>13359 North Highway 183</t>
  </si>
  <si>
    <t>Suite 406-615</t>
  </si>
  <si>
    <t>78750</t>
  </si>
  <si>
    <t>info@tribe.fitness</t>
  </si>
  <si>
    <t>398871-10</t>
  </si>
  <si>
    <t>Tribe AI</t>
  </si>
  <si>
    <t>Mercury Inc.</t>
  </si>
  <si>
    <t>Digimind, Medallia, ListenFirst, Optimizely, Introhive, Qlik Technologies, Terminus Software, Certain, Gwabbit, Clarabridge, Simpplr, GoodData, Contentful, Hyland Software, Innovation Strategies, Highspot, Akumina, Brandwatch, InMoment, Percolate, Influitive, Folloze, Clarizen, Jahia Solutions, Mzinga, Hootsuite, Act-On Software, Ahrefs, Censhare, Skyword, Socialbakers, Nice, Oktopost, Uberflip, Friendbuy, Rival IQ, UserVoice, Contently, Union Metrics Software, ReferralCandy, Odoo, OneSpace, Datanyze, Aurea, Yotpo, Sparkcentral, Tableau Software, Bloomreach, SAS Institute, Ambassador Software, Mobilize Networks, TRACX, Salsify, Eleve Media, Insurity, Crowdly, Sisense, Mediaspectrum, Uptake Canada, Beezy, Riskonnect, Qualtrics, Talkwalker, Outreach, Help Scout, Conversocial, Jebbit, Engagio, Unily, eXo (Business/Productivity Software), Extole, Acquia, Zignal Labs, Cloud Software Group, Intercom, Starmind, TapInfluence, Pixlee TurnTo, Episerver Research &amp; Development, CrowdRiff, Zesty (Business/Productivity Software), Sitecore, ForeSee Results, Epicor Software, Marketing G2, Folio3, SugarCRM, UserTesting, Infor Global Solutions, Socotra, Liferay, ServiceNow, Oracle, Damco Solutions</t>
  </si>
  <si>
    <t>Operator of a modern talent agency intended to help clients with the intersection of strategy, technology and data to improve performance outcomes for organizations. The company specializes in building and executing a complete ML strategy from the ground up, enabling organizations to drive change with machine learning and applied artificial intelligence adoption to drive real results.</t>
  </si>
  <si>
    <t>Artificial Intelligence &amp; Machine Learning, Big Data, HR Tech</t>
  </si>
  <si>
    <t>advanced analytics agency, analytics, analytics platform, applied ai, machine learning, talent agency</t>
  </si>
  <si>
    <t>www.tribe.ai</t>
  </si>
  <si>
    <t>http://www.linkedin.com/company/tribe-ai</t>
  </si>
  <si>
    <t>2024: 73</t>
  </si>
  <si>
    <t>The company raised $3.25 million of seed funding in a deal led by Bryce Roberts on July 17, 2024. Other undisclosed individual investor also participated in the round.</t>
  </si>
  <si>
    <t>Bryce Roberts</t>
  </si>
  <si>
    <t>218709-19P</t>
  </si>
  <si>
    <t>Noah Gale</t>
  </si>
  <si>
    <t>noah@tribeai.com</t>
  </si>
  <si>
    <t>Incline Village, NV</t>
  </si>
  <si>
    <t>930 Tahoe Boulevard</t>
  </si>
  <si>
    <t>Suite 802 PMB 74</t>
  </si>
  <si>
    <t>Incline Village</t>
  </si>
  <si>
    <t>89451</t>
  </si>
  <si>
    <t>hello@tribe.ai</t>
  </si>
  <si>
    <t>327340-63</t>
  </si>
  <si>
    <t>Tribute</t>
  </si>
  <si>
    <t>Tribute Co.</t>
  </si>
  <si>
    <t>Homage</t>
  </si>
  <si>
    <t>Developer of peer-to-peer mentorship platform designed to redefine and improve mentorship for both employers and employees. The company's platform uses the transformative power of personal stories and shared life experiences to create the next-gen learning experience as well as create real-time access to knowledge sharing via micro-mentorship to enhance team collaboration, learning, and productivity, enabling employees to have a mentorship experience that provides long-term engagement, connection, and success.</t>
  </si>
  <si>
    <t>enterprise saas, enterprise saas platform, human resources, hybrid work, knowledge sharing, mentorship program, productivity tool, remote work</t>
  </si>
  <si>
    <t>www.tributeapp.co</t>
  </si>
  <si>
    <t>http://www.linkedin.com/company/tributeappco</t>
  </si>
  <si>
    <t>2020: 13, 2021: 16</t>
  </si>
  <si>
    <t>The company raised an undisclosed amount of venture funding from Capital Eleven, Scout Fund, and Stout Street Capital on January 28, 2023. Engage Venture Partners, Portland Seed Fund, Mastersfund, Tech Square Ventures, and Kickstart Fund also participated in the round. Previously, the company raised an undisclosed amount of venture funding from Tech Square Ventures and Kickstart Fund on June 24, 2022. The funding was originally raised as promissory notes and subsequently converted into equity.</t>
  </si>
  <si>
    <t>Alliance of Angels, Avalanche VC, Capital Eleven, Engage Venture Partners, Founders First, Kickstart Fund, Mastersfund, Portland Seed Fund, Scout Fund, Seattle Angel Conference, Stout Street Capital, Tapas Capital, Tech Square Ventures</t>
  </si>
  <si>
    <t>Alliance of Angels (www.allianceofangels.com), Avalanche VC (www.avalanche.vc), Capital Eleven (www.capitaleleven.com), Engage Venture Partners (www.engagevp.com), Founders First (www.foundersfirst.fund), Kickstart Fund (www.kickstartfund.com), Mastersfund (www.masters.vc), Portland Seed Fund (portlandseedfund.com), Scout Fund (www.scoutfund.com), Seattle Angel Conference (seattleangelconference.com), Stout Street Capital (www.stoutstreetcapital.com), Tapas Capital (www.tapas.capital), Tech Square Ventures (www.techsquareventures.com)</t>
  </si>
  <si>
    <t>212761-72P</t>
  </si>
  <si>
    <t>Sarah Haggard</t>
  </si>
  <si>
    <t>sarah@tributementorship.com</t>
  </si>
  <si>
    <t>+1 (206) 973-2530</t>
  </si>
  <si>
    <t>9306 26th Place North West</t>
  </si>
  <si>
    <t>98117</t>
  </si>
  <si>
    <t>info@tributementorship.com</t>
  </si>
  <si>
    <t>532917-28</t>
  </si>
  <si>
    <t>TripSuite</t>
  </si>
  <si>
    <t>TripSuite, Inc.</t>
  </si>
  <si>
    <t>Operator of a financial platform intended to grow the travel agency business. The company's platform generate supplier invoices that automatically match commission payments, and resolve unknown commissions and also manage the revenue, enabling businesses to avoid manual work.</t>
  </si>
  <si>
    <t>ap automation, ar automation, cfo stack, commissioning payment, expense management, inputting payment, supplier invoice, travel agency</t>
  </si>
  <si>
    <t>www.tripsuite.com</t>
  </si>
  <si>
    <t>http://www.linkedin.com/company/tripsuite</t>
  </si>
  <si>
    <t>The company raised $2.5 million through a combination of Seed-3 and Seed-4 funding from Thayer Ventures and other undisclosed investors on September 17, 2024, putting the company's pre-money valuation at $14.5 million.</t>
  </si>
  <si>
    <t>Fractal Software, Thayer Ventures</t>
  </si>
  <si>
    <t>Fractal Software (www.fractalsoftware.com), Thayer Ventures (www.thayerventures.com)</t>
  </si>
  <si>
    <t>358278-85P</t>
  </si>
  <si>
    <t>Jacey Jones</t>
  </si>
  <si>
    <t>jacey@tripsuite.com</t>
  </si>
  <si>
    <t>+1 (201) 632-3891</t>
  </si>
  <si>
    <t>84 Front Street, Apartment 5 Avenue</t>
  </si>
  <si>
    <t>hello@tripsuite.com</t>
  </si>
  <si>
    <t>98752-06</t>
  </si>
  <si>
    <t>TrueClaim</t>
  </si>
  <si>
    <t>TrueClaim Inc.</t>
  </si>
  <si>
    <t>Operator of a medical claims verification platform designed to reduce the cost of fraud, waste, abuse, and errors in medical billing for patients. The company's platform communicates with health insurance plan members during the billing cycle to substantiate claims that have been made on their behalf through simple, specific question-and-answer dialogue, enabling patients to see healthcare providers and also offer feedback regarding medical consultations.</t>
  </si>
  <si>
    <t>Financial Software, Other Healthcare Technology Systems*</t>
  </si>
  <si>
    <t>InsurTech, TMT</t>
  </si>
  <si>
    <t>bill processing, claims analysis, healthcare automation, insurance fraud, medical bill analysis, medical claims</t>
  </si>
  <si>
    <t>www.trytrueclaim.com</t>
  </si>
  <si>
    <t>http://www.linkedin.com/company/trytrueclaim</t>
  </si>
  <si>
    <t>The company raised $2.1 million of seed funding in the form of SAFE notes from Kaya VC, Rebel Fund and Surge Ventures on April 5, 2024. The Explorer Fund, Litquidity Capital, SurgePoint Capital, Y Combinator and Orange Collective also participated in the round. Previously, the company joined Y Combinator in 2024 and received $500,000 in funding, putting the company's pre-money valuation at $6.66 million. The funding was initially raised in the form of SAFE notes and was subsequently converted into equity.</t>
  </si>
  <si>
    <t>Dreamit Ventures, Kaya VC, Litquidity Capital, N1 (Prague), Orange Collective, Rebel Fund, Surge Ventures, SurgePoint Capital, The Explorer Fund, Y Combinator</t>
  </si>
  <si>
    <t>Dreamit Ventures (www.dreamit.com), Kaya VC (www.kaya.vc), Litquidity Capital (www.litquidity.co), N1 (Prague) (n1.rocks), Orange Collective (www.orangecollective.vc), Rebel Fund (www.rebelfund.vc), Surge Ventures (www.surgeventures.com), SurgePoint Capital (www.surgepointcap.com), The Explorer Fund (www.theexplorer.fund), Y Combinator (www.ycombinator.com)</t>
  </si>
  <si>
    <t>129532-06P</t>
  </si>
  <si>
    <t>Chris Garson</t>
  </si>
  <si>
    <t>Co-Founder &amp; Co-Chief Technology Officer</t>
  </si>
  <si>
    <t>cgarson@trytrueclaim.com</t>
  </si>
  <si>
    <t>34th and Market Street</t>
  </si>
  <si>
    <t>hello@trytrueclaim.com</t>
  </si>
  <si>
    <t>432820-00</t>
  </si>
  <si>
    <t>TrueNorth</t>
  </si>
  <si>
    <t>TrueNorth Technologies Inc.</t>
  </si>
  <si>
    <t>Convoy (Road), FourKites, Next Trucking, Flock Freight, Trucker Path, Cargomatic, SmartHop, Uber Freight, ShipHawk, Flexe, Dray Alliance, Flexport, Transfix, CloudTrucks, Quicargo, Alvys, Xeneta, project44, Yunmanman, e-CARGOWARE, TruckSmarter, Loadsmart, Drivewyze, Huochebang, FretLink, PostBidShip, uShip, NYSHEX, AnyVan, Cargo Chief, Mandaê, GoShare, Echo Global Logistics, iContainers, DHL International, Motive (Hardware), Coyote Logistics, Dolly (Logistics), Total Quality Logistics, Freightos</t>
  </si>
  <si>
    <t>Developer of a logistics platform designed to manage insurance, fuel, and maintenance. The company's platform offers large-fleet resources with a lower take rate as an alternative to solve various pain points that come with running personal operations like finding good routes and consistently well-paying jobs, enabling businesses to set up route optimization, load coordination, and dispatch.</t>
  </si>
  <si>
    <t>Business/Productivity Software*, Logistics, Road</t>
  </si>
  <si>
    <t>Artificial Intelligence &amp; Machine Learning, Supply Chain Tech</t>
  </si>
  <si>
    <t>auto commerce, carrier network, enterprise resource planning, erp, fleet management, freight technology, loading systems, logistics service, transportation services, trucking industry, trucking logistics, trucking management, trucking services</t>
  </si>
  <si>
    <t>Auto Commerce</t>
  </si>
  <si>
    <t>www.gettruenorth.com</t>
  </si>
  <si>
    <t>http://www.linkedin.com/company/truenorthfleet</t>
  </si>
  <si>
    <t>2020: 8, 2021: 50, 2022: 70, 2023: 65, 2024: 48</t>
  </si>
  <si>
    <t>The company raised $60 million of venture funding through a combination of debt and equity on December 8, 2021. $50 million of equity was raised in a deal led by Sam Altman, and Lachy Groom with participation from Snow Fox Partners and 10 other investors. A $10 million loan was provided by undisclosed lenders. The funds will be used to further invest in the company's platform.</t>
  </si>
  <si>
    <t>137 Ventures, Fifth Down Capital, Flexport, Holly Liu, Jack Altman, K5 Global, Kevin Lin, Lachy Groom, Liquid 2 Ventures, Max Altman, Mischief, Original Capital, Parker Conrad, Peter Fishman, PJC, Sam Altman, Script Capital (United States), Snow Fox Partners, Soma Capital, Tribe Capital, Y Combinator</t>
  </si>
  <si>
    <t>137 Ventures (www.137ventures.com), Fifth Down Capital (fifthdown.com), Flexport (www.flexport.com), Jack Altman (jackealtman.com), K5 Global (www.k5global.com), Liquid 2 Ventures (www.liquid2.vc), Mischief (www.mischief.xyz), Original Capital (www.originalcapital.com), PJC (www.pjc.vc), Script Capital (United States) (www.script.capital), Snow Fox Partners (www.snowfoxpartners.com), Soma Capital (somacap.com), Tribe Capital (www.tribecap.co), Y Combinator (www.ycombinator.com)</t>
  </si>
  <si>
    <t>224140-69P</t>
  </si>
  <si>
    <t>Sanjaya Wijeratne</t>
  </si>
  <si>
    <t>sanjaya@truenorthfleet.com</t>
  </si>
  <si>
    <t>+1 (512) 807-0881</t>
  </si>
  <si>
    <t>1 Saint Francis Place</t>
  </si>
  <si>
    <t>hello@truenorthfleet.com</t>
  </si>
  <si>
    <t>Term Loan - $10.00M</t>
  </si>
  <si>
    <t>528225-04</t>
  </si>
  <si>
    <t>Trunk Tools</t>
  </si>
  <si>
    <t>Trunk Tools, Inc.</t>
  </si>
  <si>
    <t>viACT</t>
  </si>
  <si>
    <t>Developer of an AI-powered cloud-based workforce construction management software designed to augment teams using construction-specific workflows trained for their job site. The company's platform tracks the productivity of workers on the field and shortlists them and also offers features such as workplace security and safety for employees, enabling construction clients to increase workforce productivity and safety throughout the building process and to help them attract, retain, and employ talent effectively.</t>
  </si>
  <si>
    <t>Artificial Intelligence &amp; Machine Learning, Construction Technology, SaaS</t>
  </si>
  <si>
    <t>employee payment platform, enterprise resource planning, human capital management, labor productivity, workforce management, workforce management firm</t>
  </si>
  <si>
    <t>www.trunktools.com</t>
  </si>
  <si>
    <t>http://www.linkedin.com/company/trunktools</t>
  </si>
  <si>
    <t>2023: 15, 2024: 33</t>
  </si>
  <si>
    <t>The company raised $20 million of Series A venture funding in a deal led by Redpoint Ventures on July 17, 2024, putting the company's pre-money valuation at $55 million. Liberty Mutual Strategic Ventures and other investors also participated in the round. The funds will be used to grow the company's 30-person, New York-based team as well as develop new services.</t>
  </si>
  <si>
    <t>AEC Angels, Alumni Ventures, Charps, Definition, Fifth Wall, Foundation Capital, Innovation Endeavors, Liberty Mutual Strategic Ventures, PruVen Capital, Redpoint Ventures, STO Building Group, Suffolk Technologies, TTWiiN, WND Ventures</t>
  </si>
  <si>
    <t>AEC Angels (aec-angels.com), Alumni Ventures (www.av.vc), Charps (www.charps.com), Definition (www.definitioncap.com), Fifth Wall (www.fifthwall.com), Foundation Capital (www.foundationcapital.com), Innovation Endeavors (www.innovationendeavors.com), Liberty Mutual Strategic Ventures (lmstrategicventures.com), PruVen Capital (www.pruvencap.com), Redpoint Ventures (www.redpoint.com), STO Building Group (www.stobuildinggroup.com), Suffolk Technologies (suffolktech.com), TTWiiN (www.ttwiin.com)</t>
  </si>
  <si>
    <t>348742-27P</t>
  </si>
  <si>
    <t>Sarah Buchner</t>
  </si>
  <si>
    <t>sarah@trunktools.com</t>
  </si>
  <si>
    <t>+1 (833) 878-6524</t>
  </si>
  <si>
    <t>PO Box 683</t>
  </si>
  <si>
    <t>Other - $0.98M</t>
  </si>
  <si>
    <t>493816-15</t>
  </si>
  <si>
    <t>Try Your Best</t>
  </si>
  <si>
    <t>TYB</t>
  </si>
  <si>
    <t>TYB, Inc</t>
  </si>
  <si>
    <t>Developer of an online play-to-earn portal intended to influence the brands and get rewarded. The company's portal is dedicated to building an energy-efficient and sustainable web3 experience where engagement is rewarded and redeemed for perks, enabling users and their communities to participate mindfully.</t>
  </si>
  <si>
    <t>AdTech, Mobile, SaaS</t>
  </si>
  <si>
    <t>crm, customer relationship management, loyalty and incentive, online platform operator, online portal, online publicity, online reward application, online rewards platform, web experience</t>
  </si>
  <si>
    <t>www.tyb.xyz</t>
  </si>
  <si>
    <t>http://www.linkedin.com/company/tryyourbest</t>
  </si>
  <si>
    <t>2022: 22, 2023: 18, 2024: 27</t>
  </si>
  <si>
    <t>The company raised $4 million of venture funding in the form of SAFE notes from Castle Island Ventures, Blizzard Avalanche Fund, Araya Ventures, and Sfermion on August 25, 2023</t>
  </si>
  <si>
    <t>Arāya Ventures, Blizzard Avalanche Fund, Castle Island Ventures, Color (Portland), Great Wave Ventures, Intersection Growth Partners, New York Fashion Tech Lab, Pentas Ventures, Sfermion, SoGal Ventures, Unusual Ventures</t>
  </si>
  <si>
    <t>Arāya Ventures (araya.ventures), Blizzard Avalanche Fund (www.blizzard.fund), Castle Island Ventures (www.castleislandventures.com), Color (Portland) (color.capital), Great Wave Ventures (www.greatwave.vc), Intersection Growth Partners (www.intersectiongp.com), New York Fashion Tech Lab (www.nyftlab.com), Pentas Ventures (www.pentasventures.com), Sfermion (www.sfermion.io), SoGal Ventures (www.sogalventures.com), Unusual Ventures (www.unusual.vc)</t>
  </si>
  <si>
    <t>90400-06P</t>
  </si>
  <si>
    <t>Tyler Haney</t>
  </si>
  <si>
    <t>+1 (218) 209-2618</t>
  </si>
  <si>
    <t>4764 East Sunrise Drive Unit</t>
  </si>
  <si>
    <t>Suite 464</t>
  </si>
  <si>
    <t>help@tyb.xyz</t>
  </si>
  <si>
    <t>494615-80</t>
  </si>
  <si>
    <t>Twali</t>
  </si>
  <si>
    <t>Twali Inc.</t>
  </si>
  <si>
    <t>Layer3, Braintrust, Dework, Mazury Labs, Sublime</t>
  </si>
  <si>
    <t>Developer of a decentralized professional services platform designed to offer DAO consulting services. The company's platform interacts, operates, and serves the on-chain definition of what consulting can be and aims to transform professional DAO services, enabling knowledgeable, passionate people around the globe to pursue opportunities in web3 for economic mobility, sovereignty, and agency.</t>
  </si>
  <si>
    <t>consulting services, dao community, dao data, decentralized platform, enablement platform and marketplace, financial services, professional services platform, web4</t>
  </si>
  <si>
    <t>www.twali.xyz</t>
  </si>
  <si>
    <t>http://www.linkedin.com/company/twali</t>
  </si>
  <si>
    <t>2021: 4, 2022: 9, 2023: 4, 2024: 2</t>
  </si>
  <si>
    <t>The company raised an estimated $6.50 million through a combination of Seed 1, Seed 2, and Seed 3 funding from Better Tomorrow Ventures, DAO Jones, and Reach Capital on June 23, 2022, putting the company's pre-money valuation at $20 million. M13, Dragonfly, and WhiteBlock Ventures also participated in the round.</t>
  </si>
  <si>
    <t>Better Tomorrow Ventures, DAO Jones, Dragonfly Capital (San Francisco), M13, Reach Capital, WhiteBlock Ventures</t>
  </si>
  <si>
    <t>Better Tomorrow Ventures (btv.vc), DAO Jones (www.daojones.wtf), Dragonfly Capital (San Francisco) (www.dragonfly.xyz), M13 (www.m13.co), Reach Capital (www.reachcapital.com), WhiteBlock Ventures (www.whiteblockventures.xyz)</t>
  </si>
  <si>
    <t>317402-38P</t>
  </si>
  <si>
    <t>Casey Blustein</t>
  </si>
  <si>
    <t>Chief of Staff</t>
  </si>
  <si>
    <t>casey@twali.xyz</t>
  </si>
  <si>
    <t>+1 647 296 6263</t>
  </si>
  <si>
    <t>160 Imlay Street</t>
  </si>
  <si>
    <t>Apartment 5e1, Brooklyn</t>
  </si>
  <si>
    <t>509233-42</t>
  </si>
  <si>
    <t>Tweed (Financial Software)</t>
  </si>
  <si>
    <t>Tweed</t>
  </si>
  <si>
    <t>Tweed Payments Inc.</t>
  </si>
  <si>
    <t>Developer of a payment rails platform designed for building block platforms to create seamless and immersive web3 experiences with minimal integration work. The company offers a platform that prioritizes user experience without sacrificing security or user ownership, providing clients with a white-label wallet infrastructure that includes key management, comprehensive wallet features, and payment infrastructure.</t>
  </si>
  <si>
    <t>account recovery, payment platform, payment platform developer, payment platform software, wallets app, web3 infrastructure</t>
  </si>
  <si>
    <t>www.paytweed.com</t>
  </si>
  <si>
    <t>http://www.linkedin.com/company/paytweed</t>
  </si>
  <si>
    <t>The company joined Andreessen Horowitz's Crypto Startup Accelerator Spring 2024 Cohort in April 2024 and received $500,000 in funding. Previously, the company raised venture funding on December 28, 2023.</t>
  </si>
  <si>
    <t>Accel, Ameet Patel, Andreessen Horowitz, Communitas Capital Partners, Cristbal Conde, Intel Ignite, Michael Vaughan, Nicolas Julia, Zero Knowledge</t>
  </si>
  <si>
    <t>Accel (www.accel.com), Andreessen Horowitz (www.a16z.com), Communitas Capital Partners (www.communitascapital.com), Intel Ignite (intelignite.com), Michael Vaughan (michaelvaughan.net), Zero Knowledge (www.zero-knowledge.xyz)</t>
  </si>
  <si>
    <t>316993-15P</t>
  </si>
  <si>
    <t>Michelle Latzer</t>
  </si>
  <si>
    <t>michelle@paytweed.com</t>
  </si>
  <si>
    <t>+1 (347) 607-8210</t>
  </si>
  <si>
    <t>300 Delaware Avenue</t>
  </si>
  <si>
    <t>+1 (302) 401-4220</t>
  </si>
  <si>
    <t>hello@paytweed.com</t>
  </si>
  <si>
    <t>481295-71</t>
  </si>
  <si>
    <t>Ubiquitous</t>
  </si>
  <si>
    <t>The Ubiquitous Agency, Inc.</t>
  </si>
  <si>
    <t>Developer of an influencer marketing platform designed for deploying TikTok influencer campaigns at scale. The company works directly with the network of TikTok creators to allow brands to create, position, and execute viral, compelling, and data-driven campaigns across audiences and demographics, enabling clients and brands to improve their market positioning and grow their business.</t>
  </si>
  <si>
    <t>AdTech, Marketing Tech</t>
  </si>
  <si>
    <t>brand management firm, business growth, influencer marketing, influencer marketing campaign, social marketing agency, social media influencer</t>
  </si>
  <si>
    <t>www.ubiquitousinfluence.com</t>
  </si>
  <si>
    <t>http://www.linkedin.com/company/ubiquitous-influencer-marketing</t>
  </si>
  <si>
    <t>2021: 11, 2022: 44, 2023: 44</t>
  </si>
  <si>
    <t>The company raised an undisclosed amount of seed funding from CP Overture on August 19, 2022.</t>
  </si>
  <si>
    <t>100 Thieves, CP Overture, Duke Capital Partners, Front Porch Venture Partners, Niche Capital (San Francisco), Starting Line, Uncork Capital</t>
  </si>
  <si>
    <t>100 Thieves (www.100thieves.com), Duke Capital Partners (www.dukecapitalpartners.duke.edu), Front Porch Venture Partners (www.frontporchvp.com), Niche Capital (San Francisco) (www.niche-cap.com), Starting Line (www.startingline.vc), Uncork Capital (www.uncorkcapital.com)</t>
  </si>
  <si>
    <t>275328-64P</t>
  </si>
  <si>
    <t>Alex Elsea</t>
  </si>
  <si>
    <t>alex@ubiquitousinfluence.com</t>
  </si>
  <si>
    <t>+1 (423) 805-9574</t>
  </si>
  <si>
    <t>728 Market Street</t>
  </si>
  <si>
    <t>Suite 1016</t>
  </si>
  <si>
    <t>hello@ubiquitousinfluence.com</t>
  </si>
  <si>
    <t>459704-17</t>
  </si>
  <si>
    <t>Ulendo</t>
  </si>
  <si>
    <t>S2A Technologies</t>
  </si>
  <si>
    <t>Ulendo Technologies, Inc.</t>
  </si>
  <si>
    <t>Operator of a software development company intended to improve the productivity and quality of manufacturing machines at low cost. The company's software utilizes advanced vibration compensation, extrusion control, fault detection and temperature control algorithms, enabling small businesses to optimize their designs and deliver high-performing, industry-leading systems without increasing hardware costs or sacrificing output quality.</t>
  </si>
  <si>
    <t>Business/Productivity Software, IT Consulting and Outsourcing*, Media and Information Services (B2B)</t>
  </si>
  <si>
    <t>3D Printing, SaaS</t>
  </si>
  <si>
    <t>3d printer software, industrial engineering, manufacturing machine optimization, printing software platform, robots controllers, software development company, software development company operator, software tools</t>
  </si>
  <si>
    <t>www.ulendo.io</t>
  </si>
  <si>
    <t>http://www.linkedin.com/company/ulendo</t>
  </si>
  <si>
    <t>2021: 4, 2022: 5, 2023: 9, 2024: 10</t>
  </si>
  <si>
    <t>The company received $1 million of grant funding from National Science Foundation on April 5, 2023. Earlier, the company raised $1 million of seed funding from Invest Detroit Ventures, CitySide Ventures and BELLE Impact Fund on March 14, 2023. Centrepolis Accelerator and 3 other investors also participated in the round.</t>
  </si>
  <si>
    <t>Automation Alley, BELLE Impact Fund, Birmingham Angels &amp; Great Lakes Angels Fund, Centrepolis Accelerator, CitySide Ventures, Innovation Partnerships, Invest Detroit Ventures, Lean Rocket Lab, Michigan Economic Development, National Science Foundation</t>
  </si>
  <si>
    <t>Automation Alley (www.automationalley.com), BELLE Impact Fund (www.bellefunds.com), Centrepolis Accelerator (www.centrepolisaccelerator.com), CitySide Ventures (www.citysideventures.com), Innovation Partnerships (innovationpartnerships.umich.edu), Invest Detroit Ventures (www.idventures.com), Lean Rocket Lab (www.leanrocketlab.org), Michigan Economic Development (www.michiganbusiness.org), National Science Foundation (nsf.gov)</t>
  </si>
  <si>
    <t>252538-03P</t>
  </si>
  <si>
    <t>Chinedum Okwudire</t>
  </si>
  <si>
    <t>chi@ulendo.io</t>
  </si>
  <si>
    <t>+1 (734) 355-6014</t>
  </si>
  <si>
    <t>333 Jackson Plaza</t>
  </si>
  <si>
    <t>48103</t>
  </si>
  <si>
    <t>info@ulendo.io</t>
  </si>
  <si>
    <t>539581-51</t>
  </si>
  <si>
    <t>Unlisted</t>
  </si>
  <si>
    <t>Unlisted Software, Inc.</t>
  </si>
  <si>
    <t>Developer of a real estate technology platform designed to connect off-market homeowners with potential buyers and agents. The company offers cloud-based software leveraging AI and machine learning that focuses exclusively on homes not listed for sale, enabling buyers, sellers, and agents to explore and align off-market properties for potential future sales, transforming the real estate industry's approach to property transactions.</t>
  </si>
  <si>
    <t>Business/Productivity Software, Real Estate Services (B2C)*</t>
  </si>
  <si>
    <t>Artificial Intelligence &amp; Machine Learning, Real Estate Technology</t>
  </si>
  <si>
    <t>ai technology, homeowners services, property technology, property transaction, real estate, technology project</t>
  </si>
  <si>
    <t>unlistedhomes.com</t>
  </si>
  <si>
    <t>http://www.linkedin.com/company/unlistedinc</t>
  </si>
  <si>
    <t>The company raised $2.97 million of venture funding from HearstLab, VC 414 and StageNext Fund on November 4, 2024.</t>
  </si>
  <si>
    <t>HearstLab, StageNext Fund, VC 414</t>
  </si>
  <si>
    <t>HearstLab (www.hearstlab.com), StageNext Fund (www.stagenext.vc), VC 414 (www.vc414.com)</t>
  </si>
  <si>
    <t>373389-94P</t>
  </si>
  <si>
    <t>Katherine Hill</t>
  </si>
  <si>
    <t>+1 (312) 519-0743</t>
  </si>
  <si>
    <t>31 South Main Street</t>
  </si>
  <si>
    <t>Suite 414</t>
  </si>
  <si>
    <t>hello@unlistedinc.com</t>
  </si>
  <si>
    <t>466653-79</t>
  </si>
  <si>
    <t>Upfront (Media and Information Services (B2B))</t>
  </si>
  <si>
    <t>Upfront</t>
  </si>
  <si>
    <t>Upfront Online Inc.</t>
  </si>
  <si>
    <t>Developer of a management platform intended to find and manage childcare services. The company's platform consolidates various types of early care and education data systems into standardized databases, enabling government agencies and early childhood education (ECE) organizations and families to make informed policy decisions and to access services respectively.</t>
  </si>
  <si>
    <t>child care center, day care discovery, government analytics, government information technology, information link, information platform</t>
  </si>
  <si>
    <t>www.allupfront.com</t>
  </si>
  <si>
    <t>http://www.linkedin.com/company/upfrontonline</t>
  </si>
  <si>
    <t>2021: 2, 2023: 10</t>
  </si>
  <si>
    <t>The company raised $225,000 of venture funding in the combination of options and SAFE notes from undisclosed investors on June 21, 2024.</t>
  </si>
  <si>
    <t>New York Ventures, Techstars</t>
  </si>
  <si>
    <t>Techstars (www.techstars.com)</t>
  </si>
  <si>
    <t>263338-21P</t>
  </si>
  <si>
    <t>Dana Levin-Robinson</t>
  </si>
  <si>
    <t>dana@allupfront.com</t>
  </si>
  <si>
    <t>+1 (617) 910-7526</t>
  </si>
  <si>
    <t>224 West 74th Street</t>
  </si>
  <si>
    <t>Suite 500 Number 754</t>
  </si>
  <si>
    <t>hi@allupfront.com</t>
  </si>
  <si>
    <t>482681-71</t>
  </si>
  <si>
    <t>Uplimit</t>
  </si>
  <si>
    <t>CoRise</t>
  </si>
  <si>
    <t>Veda Education, Inc.</t>
  </si>
  <si>
    <t>Schoology, Centum Learning, Descomplica, ClassDojo, CrossKnowledge, Tutellus, Skillshare, TareasPlus, Edmodo, Udacity, Edvance360, Oja.la Edu, Cypher Learning, GlobalScholar, Blue Ocean Brain, LearnUpon, Blackboard</t>
  </si>
  <si>
    <t>Developer of education technology platform designed to accelerate career growth by learning alongside professional peers. The company's platform offers live, small machine learning and data science group courses created and taught by top experts for working employees and students, enabling employees and students to enhance their professional skills through educative courses with a supportive community and accountability.</t>
  </si>
  <si>
    <t>analytics engineering, career growth solutions, consumer data analytics, data science education, ed tech platform, group courses, machine learning courses, natural language processing platform, professional growth training, vertical application</t>
  </si>
  <si>
    <t>www.uplimit.com</t>
  </si>
  <si>
    <t>http://www.linkedin.com/company/co-rise</t>
  </si>
  <si>
    <t>2022: 23, 2023: 45, 2024: 17</t>
  </si>
  <si>
    <t>The company raised $11 million through a combination of Series A, and Series A-1 venture funding in a deal led by Salesforce Ventures on July 24, 2024, putting the company's pre-money valuation at $45 million. Workday Ventures, Conviction Partners, GSV Ventures, Cowboy Ventures, Greylock, and TransLink Capital also participated in the round. The funding will be used to expand the company's enterprise platform offerings to upskill organizations and employees.</t>
  </si>
  <si>
    <t>Conviction Partners, Cowboy Ventures, Garrett Lord, Greg Brockman, Greylock, GSV Ventures, Jenny Dearborn, Josh Bersin, Karie Willyerd, Mustafa Suleyman, Salesforce Ventures, TransLink Capital, Workday Ventures</t>
  </si>
  <si>
    <t>Conviction Partners (conviction.com), Cowboy Ventures (www.cowboy.vc), Greg Brockman (www.gregbrockman.com), Greylock (www.greylock.com), GSV Ventures (www.gsv.ventures), Salesforce Ventures (www.salesforceventures.com), TransLink Capital (www.translinkcapital.com), Workday Ventures (ventures.workday.com)</t>
  </si>
  <si>
    <t>317903-59P</t>
  </si>
  <si>
    <t>Jacob Samuelson</t>
  </si>
  <si>
    <t>jacob@corise.com</t>
  </si>
  <si>
    <t>Suite 4517</t>
  </si>
  <si>
    <t>hello@corise.com</t>
  </si>
  <si>
    <t>463167-28</t>
  </si>
  <si>
    <t>Uprise (Financial Services)</t>
  </si>
  <si>
    <t>Ontrail</t>
  </si>
  <si>
    <t>Uprise</t>
  </si>
  <si>
    <t>Ontrail, Inc.</t>
  </si>
  <si>
    <t>Provider of an AI-powered financial advisory platform intended to optimize financial health. The company's services cover aspects such as building credit, paying debt, taking advantage of company benefits, and picking the right cards and bank accounts, enabling new clients to get customized financial tips based on their current financial situation.</t>
  </si>
  <si>
    <t>financial advice, financial advisory, financial consulting, financial services, personal finance adviser, personalized financial advice</t>
  </si>
  <si>
    <t>www.uprise.us</t>
  </si>
  <si>
    <t>http://www.linkedin.com/company/join-uprise</t>
  </si>
  <si>
    <t>2021: 3, 2022: 8, 2023: 8</t>
  </si>
  <si>
    <t>The company raised $3.3 million of Seed funding in a deal led by Blank Ventures on October 21, 2024, putting the company's pre-money valuation at $13.7 million. TruStage Ventures, Graham &amp; Walker, Dash Fund, Hustle Fund, Edward Kim, Dan Macklin, and other undisclosed investors also participated in the round.</t>
  </si>
  <si>
    <t>Anne Raimondi, Blank Ventures, Brooke Monk, Contrary (San Francisco), Daniel Macklin, Dash Fund, Edward Kim, Exponent Founders Capital, Finovate, gener8tor, Graham &amp; Walker, Hustle Fund, Michael Giles, Nicholas Hungerford, On Deck, Oxonian Ventures, Sean Harper, Taylor Price, TruStage Ventures</t>
  </si>
  <si>
    <t>Blank Ventures (www.blank.com), Contrary (San Francisco) (www.contrary.com), Dash Fund (www.dashfund.co), Exponent Founders Capital (www.pathlight.vc), Finovate (www.finovate.com), gener8tor (www.gener8tor.com), Graham &amp; Walker (www.grahamwalker.com), Hustle Fund (www.hustlefund.vc), On Deck (www.beondeck.com), Oxonian Ventures (www.oxonianventures.com), TruStage Ventures (www.cmfgventures.com)</t>
  </si>
  <si>
    <t>257367-52P</t>
  </si>
  <si>
    <t>Jessica Chen Riolfi</t>
  </si>
  <si>
    <t>jessica@uprise.us</t>
  </si>
  <si>
    <t>Private Mailbox 48325</t>
  </si>
  <si>
    <t>hello@uprise.us</t>
  </si>
  <si>
    <t>497210-59</t>
  </si>
  <si>
    <t>Upwage</t>
  </si>
  <si>
    <t>Upwage, Inc.</t>
  </si>
  <si>
    <t>Developer of an employment platform based in Wilmington, Delware. The company's platform helps to get matched to employers in the local area paying for current skills, enabling people who earn less wages to find jobs.</t>
  </si>
  <si>
    <t>Business/Productivity Software, Human Capital Services, Information Services (B2C)*</t>
  </si>
  <si>
    <t>employment platform, employment support, job platform, job search platform, job searching, jobs information</t>
  </si>
  <si>
    <t>www.upwage.com</t>
  </si>
  <si>
    <t>http://www.linkedin.com/company/upwageofficial</t>
  </si>
  <si>
    <t>2022: 3, 2023: 10</t>
  </si>
  <si>
    <t>The company raised $9.24 million of seed funding in a deal led by VITALIZE Venture Capital and Precursor Ventures on August 14, 2023, putting the company's pre-money valuation at $18 million. Bloomberg Beta and 7 other investors also participated in the round.</t>
  </si>
  <si>
    <t>AlleyCorp, BBG Ventures (North America), Bloomberg Beta, Core Innovation Capital, J4.Ventures, Kevin Ryan, Moai Capital, Precursor Ventures, Pure Imagination Brands, VITALIZE Venture Capital</t>
  </si>
  <si>
    <t>AlleyCorp (www.alleycorp.com), BBG Ventures (North America) (www.bbgventures.com), Bloomberg Beta (www.bloombergbeta.com), Core Innovation Capital (www.corevc.com), J4.Ventures (www.j4.ventures), Moai Capital (www.moai.vc), Precursor Ventures (precursorvc.com), Pure Imagination Brands (www.pureimaginationbrands.com), VITALIZE Venture Capital (vitalize.vc)</t>
  </si>
  <si>
    <t>128205-01P</t>
  </si>
  <si>
    <t>Greg Call</t>
  </si>
  <si>
    <t>greg@upwage.com</t>
  </si>
  <si>
    <t>+1 (586) 801-5505</t>
  </si>
  <si>
    <t>Powell, OH</t>
  </si>
  <si>
    <t>8693 Coldwater Drive</t>
  </si>
  <si>
    <t>Powell</t>
  </si>
  <si>
    <t>43065</t>
  </si>
  <si>
    <t>493528-06</t>
  </si>
  <si>
    <t>USEFULL</t>
  </si>
  <si>
    <t>Coffee Cup Collective</t>
  </si>
  <si>
    <t>USEFULL Inc.</t>
  </si>
  <si>
    <t>Manufacturer of tech-enabled packaging products designed to eliminate single-use food or beverage containers. The company manufactures stainless steel and silicone to-go cups, bowls and containers that allow a returnable, plastic-free takeout solution that is paired with a proprietary easy-to-use application, through which containers are as easy to check out and return, enabling organizations to save money, meet their sustainability goals and market their zero waste initiatives.</t>
  </si>
  <si>
    <t>Metal Containers and Packaging</t>
  </si>
  <si>
    <t>Application Software, Metal Containers and Packaging*</t>
  </si>
  <si>
    <t>CleanTech, Manufacturing, Mobile</t>
  </si>
  <si>
    <t>plastic-free packaging, returnable container, returnable packaging, reusable cups, stainless steel container, stainless steel cups, zero waste solutions</t>
  </si>
  <si>
    <t>www.usefull.us</t>
  </si>
  <si>
    <t>http://www.linkedin.com/company/usefull</t>
  </si>
  <si>
    <t>2022: 7, 2023: 5</t>
  </si>
  <si>
    <t>The company raised $5.72 million through a combination of Series A, and Series A-1 venture funding from UBMB,LLC and other undisclosed investors on May 30, 2024, putting the company's pre-money valuation at $14.28 million.</t>
  </si>
  <si>
    <t>BlueSwell, U.S. Environmental Protection Agency, UBMB</t>
  </si>
  <si>
    <t>BlueSwell (www.blueswell.sea-ahead.com), U.S. Environmental Protection Agency (www.epa.gov)</t>
  </si>
  <si>
    <t>294501-43P</t>
  </si>
  <si>
    <t>Alison Cove</t>
  </si>
  <si>
    <t>alison@usefull.us</t>
  </si>
  <si>
    <t>+1 (410) 991-7651</t>
  </si>
  <si>
    <t>One Broadway</t>
  </si>
  <si>
    <t>info@usefull.us</t>
  </si>
  <si>
    <t>492592-87</t>
  </si>
  <si>
    <t>Utiliz</t>
  </si>
  <si>
    <t>Utiliz, LLC</t>
  </si>
  <si>
    <t>Operator of an energy-efficient technology company intended to save money on electricity and gas bills by switching to lower-cost plans. The company's technology specializes in handling electricity supplier switching by exploring other electricity-supplying options, enabling customers save money on their power bills.</t>
  </si>
  <si>
    <t>CleanTech, Mobile</t>
  </si>
  <si>
    <t>electricity cost, electricity cost optimization, electricity cost reduction, electricity cost saver, electricity supplier, electricity supplier alternatives, power bill</t>
  </si>
  <si>
    <t>www.myutiliz.com</t>
  </si>
  <si>
    <t>http://www.linkedin.com/company/utiliz</t>
  </si>
  <si>
    <t>The company raised $20,000 of Series 1 venture funding from Elevate Ventures and other undisclosed investors on August 4, 2022.</t>
  </si>
  <si>
    <t>7880 San Felipe Street</t>
  </si>
  <si>
    <t>77063</t>
  </si>
  <si>
    <t>+1 (844) 707-5757</t>
  </si>
  <si>
    <t>info@myutiliz.com</t>
  </si>
  <si>
    <t>466148-08</t>
  </si>
  <si>
    <t>V-Art</t>
  </si>
  <si>
    <t>V-Art Corp.</t>
  </si>
  <si>
    <t>Developer of an automated IP (internet protocol) licensing solution designed for brands, creators, and AI (artificial intelligence) developers who want to streamline the licensing process, monetize content, and minimize legal risks. The company's platform verifies, secures, and tracks IP rights on supported blockchains and provides new revenue from creative digital assets using blockchain-powered licensing, enabling brands to monetize any digital asset on any platform.</t>
  </si>
  <si>
    <t>Artificial Intelligence &amp; Machine Learning, Big Data, Cryptocurrency/Blockchain, FinTech, SaaS</t>
  </si>
  <si>
    <t>ai license management, blockchain protocol, digital art, intellectual property access, intellectual property data, intellectual property management, ip licensing</t>
  </si>
  <si>
    <t>v-art.digital</t>
  </si>
  <si>
    <t>http://www.linkedin.com/company/v-аrt</t>
  </si>
  <si>
    <t>2022: 23, 2023: 20, 2024: 10</t>
  </si>
  <si>
    <t>The company raised $2 million of seed funding on an undisclosed date. The funds will be used for extend team, marketing and R&amp;D to scale through SaaS model.</t>
  </si>
  <si>
    <t>Adrian Slywotzky, Geek Ventures, NEAR Foundation, Outlier Ventures, SID Venture Partners, Ukrainian Startup Fund</t>
  </si>
  <si>
    <t>Geek Ventures (geek.vc), Outlier Ventures (www.outlierventures.io), SID Venture Partners (sid.fund), Ukrainian Startup Fund (www.usf.com.ua)</t>
  </si>
  <si>
    <t>262636-12P</t>
  </si>
  <si>
    <t>Anastasiia Gliebova</t>
  </si>
  <si>
    <t>anastasiia.gliebova@v-art.digital</t>
  </si>
  <si>
    <t>+380664611135</t>
  </si>
  <si>
    <t>178 Columbus Avenue 237190</t>
  </si>
  <si>
    <t>+1 (302) 608-0768</t>
  </si>
  <si>
    <t>info@v-art.digital</t>
  </si>
  <si>
    <t>471307-87</t>
  </si>
  <si>
    <t>Valdera</t>
  </si>
  <si>
    <t>Valdera Inc.</t>
  </si>
  <si>
    <t>Developer of a product sourcing management platform designed to find the specialized formulations needed to build sustainable and branded products. The company's cloud-based platform mechanizes the chemicals and raw materials procurement workflow by taking the contract negotiations and paperwork online, enabling pharmaceutical and other multilateral industries to streamline their workflow and launch products in the market while saving time and money.</t>
  </si>
  <si>
    <t>goods procurement services, procurement and sourcing, product procurement services, product sourcing platform, product sourcing tool, sourcing management platform</t>
  </si>
  <si>
    <t>www.valdera.com</t>
  </si>
  <si>
    <t>http://www.linkedin.com/company/valdera</t>
  </si>
  <si>
    <t>2022: 14, 2023: 18, 2024: 29</t>
  </si>
  <si>
    <t>The company raised $15 million of Series A venture funding in a deal led by Index Ventures on October 3, 2024, putting the company's pre-money valuation at $56 million. BoxGroup, Susa Ventures, Lerer Hippeau, and other undisclosed investors also participated in the round. The funds will be used by the company to help manufacturers make the next generation of products - faster, safer, and more sustainably than ever before.</t>
  </si>
  <si>
    <t>BoxGroup, Index Ventures, Lerer Hippeau, Susa Ventures</t>
  </si>
  <si>
    <t>BoxGroup (www.boxgroup.com), Index Ventures (www.indexventures.com), Lerer Hippeau (www.lererhippeau.com), Susa Ventures (www.susaventures.com)</t>
  </si>
  <si>
    <t>271647-01P</t>
  </si>
  <si>
    <t>Sruti Arulmani</t>
  </si>
  <si>
    <t>sruti@valdera.com</t>
  </si>
  <si>
    <t>+1 (415) 323-6646</t>
  </si>
  <si>
    <t>Suite Number 85314</t>
  </si>
  <si>
    <t>info@valdera.com</t>
  </si>
  <si>
    <t>535499-11</t>
  </si>
  <si>
    <t>Valis (Business/Productivity Software)</t>
  </si>
  <si>
    <t>Valis</t>
  </si>
  <si>
    <t>VALIS Insights Inc.</t>
  </si>
  <si>
    <t>Developer of an insights platform designed to make material supply chains more sustainable, and close the loop on a circular economy for metal fabrication. The company's platform integrates with sorting equipment and other critical data sources to provide real-time information on sorting performance, quality of material streams, and material value, enabling industries to create a circular economy for scrap metal by reducing waste and promoting the reuse of materials.</t>
  </si>
  <si>
    <t>Artificial Intelligence &amp; Machine Learning, CleanTech, Climate Tech</t>
  </si>
  <si>
    <t>ai automation platform, artifical intellegence, circular economy, recycling analytics, scrap metal disposal, scrap metal processer, scrap metal recycling, scrap metal sorting, scrap recycler</t>
  </si>
  <si>
    <t>www.valisinsights.com</t>
  </si>
  <si>
    <t>http://www.linkedin.com/company/valis-insights</t>
  </si>
  <si>
    <t>2023: 3, 2024: 14</t>
  </si>
  <si>
    <t>The company raised $1.10 million of seed funding in a deal led by Closed Loop Partners on September 1, 2023, putting the company's pre-money valuation at $2.90 million. GS Futures, REFASHIOND Ventures, Massachusetts Clean Energy Center, and Wire Group also participated in the round.</t>
  </si>
  <si>
    <t>Closed Loop Partners, GS Futures, Massachusetts Clean Energy Center, REFASHIOND Ventures, Wire Group (Massachusetts)</t>
  </si>
  <si>
    <t>Closed Loop Partners (www.closedlooppartners.com), GS Futures (www.gsfutures.vc), Massachusetts Clean Energy Center (www.masscec.com), REFASHIOND Ventures (www.refashiond.com), Wire Group (Massachusetts) (www.wiregroup.co)</t>
  </si>
  <si>
    <t>365517-28P</t>
  </si>
  <si>
    <t>Emily Molstad</t>
  </si>
  <si>
    <t>emily.molstad@valisinsights.com</t>
  </si>
  <si>
    <t>+1 (860) 559-6542</t>
  </si>
  <si>
    <t>Worcester, MA</t>
  </si>
  <si>
    <t>104 Prescott Street</t>
  </si>
  <si>
    <t>Worcester</t>
  </si>
  <si>
    <t>01604</t>
  </si>
  <si>
    <t>inquiries@valisinsights.com</t>
  </si>
  <si>
    <t>537390-19</t>
  </si>
  <si>
    <t>Vectari</t>
  </si>
  <si>
    <t>Vectari Solutions, Inc.</t>
  </si>
  <si>
    <t>EY, Deloitte, BRG</t>
  </si>
  <si>
    <t>Developer of bank-grade AI tools designed to help in compliance functions. The company's tools specialize in complaint management, regulatory language-aware translation services, scam detection and prevention, policy-aware chat interfaces, and complaint insights, enabling clients to maximize efficiency and compliance in client-focused functions.</t>
  </si>
  <si>
    <t>client service, complaints management, compliance functions, regulatory risk, regulatory translation</t>
  </si>
  <si>
    <t>www.vectari.ai</t>
  </si>
  <si>
    <t>http://www.linkedin.com/company/vectari</t>
  </si>
  <si>
    <t>2023: 4, 2024: 10</t>
  </si>
  <si>
    <t>The company raised $600,000 of venture funding in the form of SAFE notes from Charlotte Fund and undisclosed investors on August 5, 2023. Previously, the company raised $1.7 million of angel funding from undisclosed investors on September 15, 2023.</t>
  </si>
  <si>
    <t>Charlotte Fund</t>
  </si>
  <si>
    <t>Charlotte Fund (www.charlottefund.com)</t>
  </si>
  <si>
    <t>Fourscore Business Law(Legal Advisor)</t>
  </si>
  <si>
    <t>127408-78P</t>
  </si>
  <si>
    <t>Chris Hart</t>
  </si>
  <si>
    <t>chris@vectari.ai</t>
  </si>
  <si>
    <t>+1 (980) 253-5050</t>
  </si>
  <si>
    <t>101 South Tryon Street</t>
  </si>
  <si>
    <t>Suite 2700</t>
  </si>
  <si>
    <t>28280</t>
  </si>
  <si>
    <t>+1 (888) 487-3849</t>
  </si>
  <si>
    <t>hello@vectari.ai</t>
  </si>
  <si>
    <t>522484-75</t>
  </si>
  <si>
    <t>Vellum (Business/Productivity Software)</t>
  </si>
  <si>
    <t>Vellum</t>
  </si>
  <si>
    <t>Vertafore, Duck Creek Technologies, Insuresoft, AgencyBloc, Carpe Data, MotionsCloud, OneShield, FirstBest, Lityx, Insurity, EFT Analytics, Galaxy.AI, PCMS (Insurance Administration Platform), Majesco, RightIndem, InsurAnalytics.ai, Keylane, Gradient AI, BigML, Flow, Sentenai, Logical Glue, Zelros</t>
  </si>
  <si>
    <t>Developer of a reinsurance software platform designed to transform the management of reinsurance capacity in the industry. The company's platform offers real-time risk monitoring, customizable dashboards, automated reporting, and predictive analytics, enabling insurers and reinsurers to effectively identify and manage risks in their portfolios, resulting in improved returns and decreased operational expenses.</t>
  </si>
  <si>
    <t>Business/Productivity Software*, Re-Insurance</t>
  </si>
  <si>
    <t>abi custom application, analytics platform, data analytics, operational efficiency, portfolio optimization, predictive modeling, reinsurance software, risk management</t>
  </si>
  <si>
    <t>www.velluminsurance.com</t>
  </si>
  <si>
    <t>http://www.linkedin.com/company/velluminsurance</t>
  </si>
  <si>
    <t>The company joined Plug and Play Tech Center as a part of its Batch 16 on April 4, 2024.</t>
  </si>
  <si>
    <t>1Sharpe Ventures, Acrew Capital, Endurance Ventures, Fin Capital, Flourish Ventures, Plug and Play Tech Center, Samuel Hodges, Vera Equity</t>
  </si>
  <si>
    <t>1Sharpe Ventures (www.1sharpe.ventures), Acrew Capital (www.acrewcapital.com), Endurance Ventures (enduranceventures.com), Fin Capital (fin.capital), Flourish Ventures (www.flourishventures.com), Plug and Play Tech Center (www.plugandplaytechcenter.com), Vera Equity (www.veraequity.com)</t>
  </si>
  <si>
    <t>43818-31P</t>
  </si>
  <si>
    <t>John Cappiello</t>
  </si>
  <si>
    <t>jcappiello@velluminsurance.com</t>
  </si>
  <si>
    <t>New york, NY</t>
  </si>
  <si>
    <t>New york</t>
  </si>
  <si>
    <t>438280-39</t>
  </si>
  <si>
    <t>Velma</t>
  </si>
  <si>
    <t>Vardo</t>
  </si>
  <si>
    <t>Vardo, Inc.</t>
  </si>
  <si>
    <t>Developer of an artificial intelligence assistant designed to automate project planning for software teams. The company's assistant integrates into the existing workflows to manage projects and send updates and alerts directly through the tools already in use, enabling companies to optimize for the long-term success of their business.</t>
  </si>
  <si>
    <t>ai assistant, developer tools, project management, software add-on, software manager, workflow automation</t>
  </si>
  <si>
    <t>www.heyvelma.com</t>
  </si>
  <si>
    <t>http://www.linkedin.com/company/heyvelma</t>
  </si>
  <si>
    <t>2021: 9, 2022: 14</t>
  </si>
  <si>
    <t>The company raised an undisclosed amount of seed funding from Harlem Capital and Flexcap Ventures on November 15, 2023.</t>
  </si>
  <si>
    <t>Adam Sah, Alchemist Accelerator, Flexcap Ventures, Harlem Capital, Pareto Holdings, Quiet Capital, Sterling Road, Unpopular Ventures, Vision Capital Group</t>
  </si>
  <si>
    <t>Alchemist Accelerator (www.alchemistaccelerator.com), Flexcap Ventures (www.flexcap.com), Harlem Capital (harlem.capital), Pareto Holdings (www.pareto20.com), Quiet Capital (www.quiet.com), Sterling Road (www.sterlingroad.com), Unpopular Ventures (www.unpopular.vc), Vision Capital Group (www.visioncapital.group)</t>
  </si>
  <si>
    <t>238663-45P</t>
  </si>
  <si>
    <t>Lisa Jiang</t>
  </si>
  <si>
    <t>lisa@vardo.co</t>
  </si>
  <si>
    <t>+1 (415) 580-0644</t>
  </si>
  <si>
    <t>team@heyvelma.com</t>
  </si>
  <si>
    <t>178830-37</t>
  </si>
  <si>
    <t>Velocity Global</t>
  </si>
  <si>
    <t>Velocity Global, LLC</t>
  </si>
  <si>
    <t>Gusto, Deel, Rival Technology., Boundless (Business/Productivity Software), ClearCompany, PrimePay, Atlas Technology Solutions, Omnipresent, Remote, iCIMS, Papaya Global, Ultimate Software Group, UKG, Justworks, Namely, Paycom, Horizons (Business/Productivity Software), NGA Human Resources, Paycor HCM, Cornerstone OnDemand, Professional Payroll, Empower Software Solutions, Celergo, Lever (San Francisco), Oyster, Dayforce (Business/Productivity Software), Automatic Data Processing, TriNet Group, BambooHR, Globalization Partners, Insperity, Paychex, SafeGuard Global, Ascentis, Vibe HCM, Shield GEO, BirdDogHR, Radius Worldwide, Reflexis Systems, Sapling, IRIS FMP, Greenshades, iiPAY, Bright Software Group, SyncHR, CloudPay, Anaplan, JobMatch, Greenhouse Software, Cintra HR &amp; Payroll Services, Epicor Software, Natural HR, PwC, The Ceridian (UK and Ireland unit)</t>
  </si>
  <si>
    <t>Developer of a human resource platform intended for businesses across the world. The company's platform specializes in hiring talent, streamlining onboarding, benefits, and payroll for a permanent workforce, and simplifying contractor classification, compliance, and payments, enabling enterprises to reduce hiring and relocation costs and increase profitability.</t>
  </si>
  <si>
    <t>HR Tech, Industrials, SaaS</t>
  </si>
  <si>
    <t>employee onboarding, enterprise resource planning, erp, global payroll, hr platform, human capital management, human resource platform, international employment, payroll management, talent management</t>
  </si>
  <si>
    <t>www.velocityglobal.com</t>
  </si>
  <si>
    <t>http://www.linkedin.com/company/velocity-global-llc</t>
  </si>
  <si>
    <t>2019: 130, 2020: 250, 2021: 359, 2022: 902, 2023: 890, 2024: 990</t>
  </si>
  <si>
    <t>Competitor (New) Automatic Data Processing</t>
  </si>
  <si>
    <t>The company raised $400 million of Series B venture funding in a deal led by Norwest Venture Partners and Eldridge on May 16, 2022. FFL Partners also participated in the round. The funds will be used to continue enhancing the customer experience for both businesses and talent and it will make further strategic investments in technology, sales, and marketing, as well as potential future acquisitions to execute its vision to provide a frictionless solution for businesses and talent to work with anyone, anywhere, anyhow.</t>
  </si>
  <si>
    <t>Eldridge Industries, FFL Partners, Norwest Venture Partners</t>
  </si>
  <si>
    <t>Eldridge Industries (www.eldridge.com), FFL Partners (www.fflpartners.com), Norwest Venture Partners (www.nvp.com)</t>
  </si>
  <si>
    <t>Cooley(Legal Advisor), Financial Technology Partners(Advisor: Financial Due Diligence)</t>
  </si>
  <si>
    <t>159436-18P</t>
  </si>
  <si>
    <t>Ben Wright</t>
  </si>
  <si>
    <t>Founder &amp; Chairman</t>
  </si>
  <si>
    <t>benwright@velocityglobal.com</t>
  </si>
  <si>
    <t>+1 (303) 309-2894</t>
  </si>
  <si>
    <t>1701 Platte Street</t>
  </si>
  <si>
    <t>hello@velocityglobal.com</t>
  </si>
  <si>
    <t>459673-75</t>
  </si>
  <si>
    <t>Venteur</t>
  </si>
  <si>
    <t>Venteur, Inc.</t>
  </si>
  <si>
    <t>Hixme, Stride Health, Lumity, BenefitMall, HealthCompare, Joany, Collective Health, Thatch, Ethos (Insurance Brokers), BenefitBay, Gravie, Take Command, Benecaid Health Benefit Solutions, Benefix, PeopleKeep</t>
  </si>
  <si>
    <t>Developer of an artificial intelligence (AI) powered marketplace designed to help companies offer their employees personalized health benefits that work best for them. The company's platform provides ICHRA (individual coverage health reimbursement arrangement) solutions that give employees full control over their healthcare purchasing decisions and give employers predictability in their benefits budget and control over costs, enabling businesses to optimize plan selection and streamline plan administration.</t>
  </si>
  <si>
    <t>Financial Software, Information Services (B2C), Other Insurance*</t>
  </si>
  <si>
    <t>Artificial Intelligence &amp; Machine Learning, FinTech, InsurTech</t>
  </si>
  <si>
    <t>accident insurance, health insurance, health reimbursement arrangement, job opportunities, life insurance, marketplace service, regtech, regulatory affairs and compliance, tax credit</t>
  </si>
  <si>
    <t>www.venteur.com</t>
  </si>
  <si>
    <t>http://www.linkedin.com/company/venteur-inc</t>
  </si>
  <si>
    <t>2021: 8, 2022: 7, 2023: 15, 2024: 48</t>
  </si>
  <si>
    <t>The company joined United Healthcare Accelerator on an undisclosed date and received $50,000 in funding in the form of SAFE notes.</t>
  </si>
  <si>
    <t>CRCM Ventures, GSR Ventures, Headwater Ventures, Health Engine Accelerator, Houghton Street Ventures, Plug and Play Tech Center, Revelry Venture Partners, Tampa Bay Wave, Techstars, United Healthcare Accelerator</t>
  </si>
  <si>
    <t>CRCM Ventures (www.crcmventures.com), GSR Ventures (www.gsrventuresus.com), Headwater Ventures (www.headwater.vc), Health Engine Accelerator (www.readysethealth.io), Houghton Street Ventures (www.houghtonstreet.com), Plug and Play Tech Center (www.plugandplaytechcenter.com), Revelry Venture Partners (revelryventurepartners.notion.site), Tampa Bay Wave (www.tampabaywave.org), Techstars (www.techstars.com), United Healthcare Accelerator (www.uhcaccelerator.com)</t>
  </si>
  <si>
    <t>252502-39P</t>
  </si>
  <si>
    <t>Stacy Edgar</t>
  </si>
  <si>
    <t>sedgar@venteur.co</t>
  </si>
  <si>
    <t>+1 (415) 801-3676</t>
  </si>
  <si>
    <t>2081 Center Street</t>
  </si>
  <si>
    <t>hello@venteur.co</t>
  </si>
  <si>
    <t>458388-19</t>
  </si>
  <si>
    <t>Vera (Business/Productivity Software)</t>
  </si>
  <si>
    <t>Vera</t>
  </si>
  <si>
    <t>Vera AI, Inc.</t>
  </si>
  <si>
    <t>Arthur (Business/Productivity Software), Credo AI</t>
  </si>
  <si>
    <t>Developer of an assessment platform designed to help companies move beyond AI (artificial intelligence) principles and into AI practice, without surrendering privacy and security through the process. The company's collaborative platform allows companies to control inputs and outputs of commercially available generative AI models, governing what teams are allowed to ask, and how models are allowed to respond, enabling organizations to navigate through uncertainty and protecting companies and individuals from risky artificial intelligence systems.</t>
  </si>
  <si>
    <t>ai adoption, ai cores, ai protection, ai software, analytics platform, application security, artificial intelligence, assessment platform, generative ai, model governance, responsible ai</t>
  </si>
  <si>
    <t>www.askvera.io</t>
  </si>
  <si>
    <t>http://www.linkedin.com/company/ask-vera-ai</t>
  </si>
  <si>
    <t>2021: 4, 2022: 4, 2023: 5</t>
  </si>
  <si>
    <t>The company raised $3.3 million of pre-seed funding in a deal led by Differential Ventures on July 26, 2023, putting the company's pre-money valuation at $8.03 million. Mozilla Ventures and 13 other investors also participated in the round. The funds will be used to scale our team and product and begin the onboarding process for a growing waitlist of customers who are eager to get started on their [safe and reliable] Generative AI strategy.</t>
  </si>
  <si>
    <t>Accel, ATP Fund, ATP Ventures, BDMI, Betaworks, Datapower Ventures, Differential Ventures, Empty Set Group, Essence Venture Capital, Everywhere Ventures, Greycroft, Mozilla Ventures, Parity Innovation Fund, SaaS Ventures, TRK Group</t>
  </si>
  <si>
    <t>Accel (www.accel.com), ATP Fund (www.atpfund.com), ATP Ventures (www.atpinv.com), BDMI (www.bdmifund.com), Betaworks (www.betaworks.com), Datapower Ventures (datapower.vc), Differential Ventures (www.differential.vc), Empty Set Group (www.emptysetgroup.com), Essence Venture Capital (www.essencevc.fund), Everywhere Ventures (everywhere.vc), Greycroft (www.greycroft.com), Mozilla Ventures (www.mozilla.vc), Parity Innovation Fund (www.parity-fund.com), SaaS Ventures (www.saasventurecapital.com), TRK Group (www.trkgroup.no)</t>
  </si>
  <si>
    <t>Bärí A. Williams(Advisor: General)</t>
  </si>
  <si>
    <t>218559-88P</t>
  </si>
  <si>
    <t>Elizabeth O'Sullivan</t>
  </si>
  <si>
    <t>liz@askvera.io</t>
  </si>
  <si>
    <t>info@askvera.io</t>
  </si>
  <si>
    <t>502850-08</t>
  </si>
  <si>
    <t>Verility</t>
  </si>
  <si>
    <t>Verility, Inc.</t>
  </si>
  <si>
    <t>Developer of a veterinary medical device intended to address the critical demand for the projected need for more meat protein. The company offers animal-side sperm quality checks and ovulation detection by rapidly analyzing cell morphology using image recognition and artificial intelligence, helping clients to confirm if an animal is ready to enter the breeding herd.</t>
  </si>
  <si>
    <t>AgTech, Artificial Intelligence &amp; Machine Learning, Life Sciences</t>
  </si>
  <si>
    <t>ag biotech, agricultural device, animal biotech, animal biotechnology, biotechnology research, breeding farm, livestock producer, ovulation detection, sperm analysis</t>
  </si>
  <si>
    <t>www.verilityco.com</t>
  </si>
  <si>
    <t>http://www.linkedin.com/company/verility-inc</t>
  </si>
  <si>
    <t>2022: 6, 2023: 5, 2024: 4</t>
  </si>
  <si>
    <t>The company raised $3.5 million through a combination of Series A-1 and Series A-2 venture funding in a deal led by Mountain Group Partners on July 27, 2022, putting the company's pre-money valuation at $4 million. Other undisclosed investors also participated in the round. The funds will be used to develop the company's product for swine producers and breeders in a major segment of production.</t>
  </si>
  <si>
    <t>gBETA, Mountain Group Partners, Purdue Ventures</t>
  </si>
  <si>
    <t>gBETA (gbetastartups.com), Mountain Group Partners (www.mtngp.com)</t>
  </si>
  <si>
    <t>140382-46P</t>
  </si>
  <si>
    <t>Brian Kopp</t>
  </si>
  <si>
    <t>Chief Financial Officer, Head of Business Strategy &amp; Chairman</t>
  </si>
  <si>
    <t>bkopp@speechvive.com</t>
  </si>
  <si>
    <t>+1 (317) 258-8904</t>
  </si>
  <si>
    <t>Greenfield, IN</t>
  </si>
  <si>
    <t>2955 East 625 North</t>
  </si>
  <si>
    <t>Greenfield</t>
  </si>
  <si>
    <t>46140</t>
  </si>
  <si>
    <t>+1 (317) 997-2651</t>
  </si>
  <si>
    <t>501935-23</t>
  </si>
  <si>
    <t>Versana</t>
  </si>
  <si>
    <t>Versana LLC</t>
  </si>
  <si>
    <t>Xceptor, StreamLoan, Blend, Vlocity</t>
  </si>
  <si>
    <t>Developer of a loan data platform intended to bring transparency, efficiency and velocity to the syndicated loan market. The company's platform provides real-time insight into loan-level details and portfolio positions by digitally capturing agent banks' reference data directly from its source, enabling clients to eliminate discrepancies by having direct digital access.</t>
  </si>
  <si>
    <t>Business/Productivity Software, Financial Software, Information Services (B2C)*, Other Services (B2C Non-Financial)</t>
  </si>
  <si>
    <t>Big Data, FinTech, SaaS</t>
  </si>
  <si>
    <t>capital markets technology, data management firm, data management service, enterprise resource planning, erp, financial management system, financial service infrastructure, financial services infrastructure, fintech, loan platform, loans data, loans market, loans tracking, vertical application</t>
  </si>
  <si>
    <t>www.versana.io</t>
  </si>
  <si>
    <t>http://www.linkedin.com/company/versanatech</t>
  </si>
  <si>
    <t>2022: 9, 2023: 22, 2024: 72</t>
  </si>
  <si>
    <t>The company raised $26 million of venture funding from Wells Fargo, Morgan Stanley and Deutsche Bank on September 10, 2024. Bank of America and 3 other investors also participated in the round. The company intends to use the funds to expand globally.</t>
  </si>
  <si>
    <t>Bank of America, Barclays, Citigroup, Deutsche Bank, J.P. Morgan, Morgan Stanley, U.S. Bank, Wells Fargo</t>
  </si>
  <si>
    <t>Bank of America (www.bankofamerica.com), Barclays (www.home.barclays), Citigroup (www.citigroup.com), Deutsche Bank (www.db.com), J.P. Morgan (www.jpmorgan.com), Morgan Stanley (www.morganstanley.com), U.S. Bank (www.usbank.com), Wells Fargo (www.wellsfargo.com)</t>
  </si>
  <si>
    <t>116280-73P</t>
  </si>
  <si>
    <t>Cynthia Sachs</t>
  </si>
  <si>
    <t>Founding Chief Executive Officer and Board Member</t>
  </si>
  <si>
    <t>csachs@versana.io</t>
  </si>
  <si>
    <t>+1 (646) 868-0210</t>
  </si>
  <si>
    <t>530 7th Avenue 2nd Floor</t>
  </si>
  <si>
    <t>Suite 405</t>
  </si>
  <si>
    <t>info@versana.io</t>
  </si>
  <si>
    <t>501277-69</t>
  </si>
  <si>
    <t>Violet Labs</t>
  </si>
  <si>
    <t>Violet Labs, Inc</t>
  </si>
  <si>
    <t>Developer of cloud-based software integration platform designed for complex hardware engineering. The company's platform aggregates data from software tools used across the engineering lifecycle into one central platform, enabling clients to reduce inefficiencies and errors in the development process and allowing teams to bring their products to market faster.</t>
  </si>
  <si>
    <t>Aerospace and Defense, Business/Productivity Software*, Software Development Applications</t>
  </si>
  <si>
    <t>aerospace and defense, cloud application, cloud platform, data aggregator, data analysis, hardware based, hardware development, integration platform</t>
  </si>
  <si>
    <t>www.violetlabs.com</t>
  </si>
  <si>
    <t>http://www.linkedin.com/company/violet-labs-inc</t>
  </si>
  <si>
    <t>2022: 5, 2023: 7, 2024: 11</t>
  </si>
  <si>
    <t>The company joined The AWS Space Accelerator 2023 cohort on April 18, 2023. No equity or funding was exchanged as a result of this program.</t>
  </si>
  <si>
    <t>AWS Startups, Felicis, Inverted Ventures, MaC Venture Capital, Space Capital, V1.vc</t>
  </si>
  <si>
    <t>AWS Startups (aws-startup-lofts.com), Felicis (www.felicis.com), Inverted Ventures (www.invertedventures.com), MaC Venture Capital (macventurecapital.com), Space Capital (www.spacecapital.com), V1.vc (www.v1.vc)</t>
  </si>
  <si>
    <t>308272-24P</t>
  </si>
  <si>
    <t>Lucille Hoag</t>
  </si>
  <si>
    <t>+1 (415) 212-8844</t>
  </si>
  <si>
    <t>Suite 5187</t>
  </si>
  <si>
    <t>info@violetlabs.com</t>
  </si>
  <si>
    <t>Term Loan - $1.00M</t>
  </si>
  <si>
    <t>265688-83</t>
  </si>
  <si>
    <t>Viora Health</t>
  </si>
  <si>
    <t>Viora</t>
  </si>
  <si>
    <t>Viora Health, Inc.</t>
  </si>
  <si>
    <t>Developer of a healthcare compliance platform designed to improve adherence to diabetes prevention. The company's platform connects patients to programs, tracks data, engages patients through online tools, and reports progress to DPP programs for outcome-based reimbursement, enabling diabetes prevention programs to maintain compliance with insurance requirements and get paid by helping their patients stay on the program.</t>
  </si>
  <si>
    <t>Business/Productivity Software, Other Healthcare Services*, Other Healthcare Technology Systems</t>
  </si>
  <si>
    <t>health program, health services, healthcare adherence, healthcare compliance, healthcare compliance services, healthcare compliance software</t>
  </si>
  <si>
    <t>viorahealth.com</t>
  </si>
  <si>
    <t>http://www.linkedin.com/company/viorahealth</t>
  </si>
  <si>
    <t>2021: 3, 2023: 6, 2024: 3</t>
  </si>
  <si>
    <t>The company joined Village Capital as a part of its Health Equity Alumni 2023 Program on July 10, 2023, and received $5,000 as a grant.</t>
  </si>
  <si>
    <t>American Heart Association, Johnson &amp; Johnson Innovation - JJDC, Lighthouse Labs (Richmond), National Science Foundation, Penn Center for Innovation, VentureWell, Village Capital</t>
  </si>
  <si>
    <t>American Heart Association (www.heart.org), Johnson &amp; Johnson Innovation - JJDC (www.jnjinnovation.com/jjdc), Lighthouse Labs (Richmond) (www.lighthouselabsrva.org), National Science Foundation (nsf.gov), Penn Center for Innovation (www.pci.upenn.edu/upstart), VentureWell (www.venturewell.org), Village Capital (www.vilcap.com)</t>
  </si>
  <si>
    <t>272765-08P</t>
  </si>
  <si>
    <t>Charlie Berg</t>
  </si>
  <si>
    <t>chb@tacticalbusinesspartners.com</t>
  </si>
  <si>
    <t>+1 (617) 571-6336</t>
  </si>
  <si>
    <t>info@viorahealth.com</t>
  </si>
  <si>
    <t>483633-37</t>
  </si>
  <si>
    <t>VirgilHR</t>
  </si>
  <si>
    <t>VirgilHR, Inc.</t>
  </si>
  <si>
    <t>ComplianceHR, Bayzat, Justworks, Namely, Empyrean Benefit Solutions, Gusto, Businessolver, Ceipal, BetterWorks, Manatal, HR Cloud, Kenjo, HiBob, isolved HCM, Remote, Comparably, Take Command, Panther (Human Capital Services), Zenefits, AmCheck</t>
  </si>
  <si>
    <t>Developer of human resource compliance software designed to empower organizations to make well-informed employment and labor law decisions. The company's platform offers real-time, automated employment and labor law guidance without the need to research regulatory requirements and deliver real-time, prescriptive guidance across federal, state, labor laws, and local employment, helping HR professionals to maximize their full potential, equipping organizations with smart data to improve the work experience.</t>
  </si>
  <si>
    <t>Business/Productivity Software*, Legal Services (B2B), Media and Information Services (B2B)</t>
  </si>
  <si>
    <t>employment law, employment services, enterprise resource planning, erp, guidance service, hr compliance, human capital management, labor law, legal experts, legal tech</t>
  </si>
  <si>
    <t>www.virgilhr.com</t>
  </si>
  <si>
    <t>http://www.linkedin.com/company/virgil-hr</t>
  </si>
  <si>
    <t>2021: 3, 2022: 12, 2023: 10</t>
  </si>
  <si>
    <t>The company closed on $3 million of an undisclosed targeted amount of seed funding on an undisclosed date.</t>
  </si>
  <si>
    <t>Dingman Center Angels, Ruxton Ventures, SHRMLabs, Squadra Ventures, Techstars, TEDCO</t>
  </si>
  <si>
    <t>Ruxton Ventures (ruxtonventures.com), SHRMLabs (www.shrmlabs.com), Squadra Ventures (www.squadra.vc), Techstars (www.techstars.com), TEDCO (www.tedcomd.com)</t>
  </si>
  <si>
    <t>281037-97P</t>
  </si>
  <si>
    <t>Jocelyn King</t>
  </si>
  <si>
    <t>jking@virgilhr.com</t>
  </si>
  <si>
    <t>+1 (808) 436-1775</t>
  </si>
  <si>
    <t>Gaithersburg, MD</t>
  </si>
  <si>
    <t>15720 Winners Drive</t>
  </si>
  <si>
    <t>Gaithersburg</t>
  </si>
  <si>
    <t>20878</t>
  </si>
  <si>
    <t>+1 (833) 484-7445</t>
  </si>
  <si>
    <t>info@virgilhr.com</t>
  </si>
  <si>
    <t>223540-57</t>
  </si>
  <si>
    <t>Virtanza</t>
  </si>
  <si>
    <t>Virtanza, LLC</t>
  </si>
  <si>
    <t>Flockjay, SV Academy</t>
  </si>
  <si>
    <t>Operator of a virtual class program intended to offer sales education, certification, and job placement services. The company's program helps aspiring professional salespeople turn their natural skills into rewarding careers in industries like health care, technology, insurance, media, business services, manufacturing, and other sectors, enabling college students and adult learners to get employment opportunities and connect with employers in need of qualified business sales candidates.</t>
  </si>
  <si>
    <t>Education and Training Services (B2B)*, Educational Software, Human Capital Services</t>
  </si>
  <si>
    <t>EdTech, HR Tech, TMT</t>
  </si>
  <si>
    <t>business skills, education technology, mentoring platform, sales program, sales skills training, sales training, workforce development, workforce skills development</t>
  </si>
  <si>
    <t>www.virtanza.com</t>
  </si>
  <si>
    <t>http://www.linkedin.com/company/virtanzacareerpathwaysco</t>
  </si>
  <si>
    <t>2020: 12, 2021: 15, 2022: 15, 2023: 14</t>
  </si>
  <si>
    <t>The company raised $1.4 million of seed funding from Kern Venture Group, Expert DOJO, and Dan Lok Ventures on November 8, 2021, putting the company's pre-money valuation at $4 million. Pasadena Angels, Ariel Savannah Angel Partners, Band of Angels, Arizona Tech Investors, OSEA Angel Investors, and NuFund also participated in the round.</t>
  </si>
  <si>
    <t>Ariel Savannah Angel Partners, Arizona Tech Investors, Band of Angels, Dan Lok Ventures, Expert DOJO, Kern Venture Group, OSEA Angel Investors, Pasadena Angels, TCA Venture Group, Village Capital</t>
  </si>
  <si>
    <t>Ariel Savannah Angel Partners (www.asap-invests.com), Arizona Tech Investors (arizonatechinvestors.com), Band of Angels (www.bandangels.com), Dan Lok Ventures (www.danlokventures.com), Expert DOJO (www.expertdojo.com), Kern Venture Group (www.kernventuregroup.com), OSEA Angel Investors (www.oseaangelinvestors.com), Pasadena Angels (www.pasadenaangels.com), TCA Venture Group (www.tcaventuregroup.com), Village Capital (www.vilcap.com)</t>
  </si>
  <si>
    <t>Bend Law Group(Legal Advisor), Chief Outsiders(Advisor: General), JP Morgan Chase(General Business Banking)</t>
  </si>
  <si>
    <t>Archetype Legal(Legal Advisor)</t>
  </si>
  <si>
    <t>176839-84P</t>
  </si>
  <si>
    <t>Debbie Holzkamp</t>
  </si>
  <si>
    <t>debbie@virtanza.com</t>
  </si>
  <si>
    <t>+1 (714) 932-2284</t>
  </si>
  <si>
    <t>Laguna Beach, CA</t>
  </si>
  <si>
    <t>31964 10th Avenue</t>
  </si>
  <si>
    <t>Laguna Beach</t>
  </si>
  <si>
    <t>92651</t>
  </si>
  <si>
    <t>+1 (866) 580-9393</t>
  </si>
  <si>
    <t>info@virtanza.com</t>
  </si>
  <si>
    <t>Expected 04-Jun-2027</t>
  </si>
  <si>
    <t>234450-73</t>
  </si>
  <si>
    <t>Vital4</t>
  </si>
  <si>
    <t>Vital4Data</t>
  </si>
  <si>
    <t>Vital4Data, LLC</t>
  </si>
  <si>
    <t>Developer of corporate risk and compliance software designed to offer a globally accessible due diligence data search. The company's platform provides automated AML/KYC data tools to analyze global watchlists to help identify subjects involved in financial crimes, terrorism, or corruption, enabling clients to save time, and money and mitigate risk with customers, suppliers, contractors, partners, volunteers, and associated third-party relationships.</t>
  </si>
  <si>
    <t>Artificial Intelligence &amp; Machine Learning, Big Data, Industrials, SaaS</t>
  </si>
  <si>
    <t>ai automation platform, background check, background screening, background screening technology, compliance risk, data infrastructure, data quality tools, data tool, due diligence advisory, politically exposed persons, risk monitoring, risk screening</t>
  </si>
  <si>
    <t>www.vital4.net</t>
  </si>
  <si>
    <t>http://www.linkedin.com/company/vital4data</t>
  </si>
  <si>
    <t>2021: 25, 2022: 33, 2023: 36, 2024: 444</t>
  </si>
  <si>
    <t>The company raised an undisclosed amount of venture funding in a deal led by Bryce Catalyst on March 9, 2022. Scalare Partners and other undisclosed investors also participated in the round. The funds will be used to enable more seamless solutions for the company's customers and support its accelerated growth as a business.</t>
  </si>
  <si>
    <t>Bryce Catalyst, Metro Atlanta Chamber Export Plan, Scalare Partners, Valor Ventures</t>
  </si>
  <si>
    <t>Bryce Catalyst (www.brycecatalyst.com), Metro Atlanta Chamber Export Plan (atlantaexportportal.com), Scalare Partners (www.scalarepartners.com), Valor Ventures (www.valor.vc)</t>
  </si>
  <si>
    <t>Access Private Capital(Debt Financing)</t>
  </si>
  <si>
    <t>252233-74P</t>
  </si>
  <si>
    <t>Robin Boyle</t>
  </si>
  <si>
    <t>rboyle@vital4.net</t>
  </si>
  <si>
    <t>+1 (636) 898-3306</t>
  </si>
  <si>
    <t>Marietta, GA</t>
  </si>
  <si>
    <t>3901 Mary Eliza Trace North West</t>
  </si>
  <si>
    <t>Marietta</t>
  </si>
  <si>
    <t>30064</t>
  </si>
  <si>
    <t>+1 (770) 763-8931</t>
  </si>
  <si>
    <t>info@vital4.net</t>
  </si>
  <si>
    <t>465423-13</t>
  </si>
  <si>
    <t>Vivrelle</t>
  </si>
  <si>
    <t>Vivrelle, LLC</t>
  </si>
  <si>
    <t>Bag Borrow or Steal, Ziniosa</t>
  </si>
  <si>
    <t>Operator of an online platform intended to offer access to a closet of luxury accessories monthly. The company's platform offers subscription-based services to provide a collection of handbags, designer jewelry, fine jewelry, and influencer's closet, enabling users to buy the products or rent them.</t>
  </si>
  <si>
    <t>Accessories</t>
  </si>
  <si>
    <t>Accessories*, Application Software, Information Services (B2C), Specialty Retail</t>
  </si>
  <si>
    <t>lifestyle membership, luxury goods, luxury products, online rental platform, rental accessories, rental website</t>
  </si>
  <si>
    <t>www.vivrelle.com</t>
  </si>
  <si>
    <t>http://www.linkedin.com/company/vivrelle</t>
  </si>
  <si>
    <t>2021: 16, 2022: 48, 2023: 48</t>
  </si>
  <si>
    <t>The company raised $43 million of Series B venture funding in a deal led by 3L Capital on July 11, 2022. Plus Capital, Origin Ventures, Nina Dobrev, Morgan Stewart McGraw., Lily Collins, Big Loud Capital and Chapford Capital Group also participated in the round. The funds will be used to promote accelerated growth across all verticals of the company's business.</t>
  </si>
  <si>
    <t>3L Capital, Big Loud Capital, Chapford Capital Group, Lily Collins, Morgan McGraw, Nina Dobrev, Origin Ventures, Plus Capital</t>
  </si>
  <si>
    <t>3L Capital (3lcap.com), Big Loud Capital (www.bigloud.com), Chapford Capital Group (www.chapfordcapitalgroup.com), Origin Ventures (www.originventures.com), Plus Capital (www.pluscapital.com)</t>
  </si>
  <si>
    <t>260743-69P</t>
  </si>
  <si>
    <t>Blake Geffen</t>
  </si>
  <si>
    <t>blake@vivrelle.com</t>
  </si>
  <si>
    <t>+1 (516) 314-1176</t>
  </si>
  <si>
    <t>118 East 28th Street</t>
  </si>
  <si>
    <t>hello@vivrelle.com</t>
  </si>
  <si>
    <t>442894-69</t>
  </si>
  <si>
    <t>Vody</t>
  </si>
  <si>
    <t>Vody LLC</t>
  </si>
  <si>
    <t>Developer of multimodal foundational models designed for production in e-commerce. The company offers platform-agnostic, fixed-cost, server-less techniques to accelerate model development, supercharge performance, and solve a variety of problems, including visual question answering, image classification, and image text comparison, enabling clients to understand and utilize their data and improve their machine learning pipeline's performance and adaptability.</t>
  </si>
  <si>
    <t>cloud integration, consumer data analytics, ecommerce optimization, ecommerce optimization platform, ecommerce personalization, generative ai, machine learning, product discovery tools, semantic search, vertical application</t>
  </si>
  <si>
    <t>www.vody.com</t>
  </si>
  <si>
    <t>http://www.linkedin.com/company/vody</t>
  </si>
  <si>
    <t>2020: 15, 2021: 10, 2022: 8, 2023: 14, 2024: 15</t>
  </si>
  <si>
    <t>The company raised venture funding from Bacchus Venture Capital on an undisclosed date.</t>
  </si>
  <si>
    <t>Bacchus Venture Capital, Clemons Management, Endless Frontier Labs, Threadneedle Ventures</t>
  </si>
  <si>
    <t>Cacker Capital</t>
  </si>
  <si>
    <t>Bacchus Venture Capital (bacchusventurecapital.com), Endless Frontier Labs (www.endlessfrontierlabs.com), Threadneedle Ventures (threadneedlestrategies.com)</t>
  </si>
  <si>
    <t>40063-33P</t>
  </si>
  <si>
    <t>Stephanie Horbaczewski</t>
  </si>
  <si>
    <t>stephanie@vody.com</t>
  </si>
  <si>
    <t>+1 (917) 680-1629</t>
  </si>
  <si>
    <t>1601 Vine Street</t>
  </si>
  <si>
    <t>+1 (323) 275-1849</t>
  </si>
  <si>
    <t>hello@vody.com</t>
  </si>
  <si>
    <t>437828-50</t>
  </si>
  <si>
    <t>Vurbl</t>
  </si>
  <si>
    <t>Vurbl Media, Inc.</t>
  </si>
  <si>
    <t>Developer of a creator-first, free streaming audio platform designed to find and organize all audio types, including user-generated audio, across multiple categories. The company's platform allows creating, uploading, and sharing podcasts with daily commentary on several topics such as conspiracies, wellness, business, and history and revolutionizes the way people distribute and listen to audio-centric information across the web, allowing content creators to upload, earn subscribers and monetize their work.</t>
  </si>
  <si>
    <t>Entertainment Software*, Information Services (B2C), Social Content, Social/Platform Software</t>
  </si>
  <si>
    <t>audio platform, audio sharing app, audio streaming platform, creator platform, programmatic advertising, streaming audio</t>
  </si>
  <si>
    <t>www.vurbl.com</t>
  </si>
  <si>
    <t>http://www.linkedin.com/company/vurbl</t>
  </si>
  <si>
    <t>2020: 22, 2021: 26, 2022: 28</t>
  </si>
  <si>
    <t>The company raised an estimated $6 million of seed funding from Skyview Capital, Spacebar Ventures and GFR Fund on February 1, 2022, putting the company's pre-money valuation at $18 million. Calvert Drive Ventures, and 10 other investors also participated in the round.</t>
  </si>
  <si>
    <t>Ad Astra Ventures, ALIAVIA Ventures, Alpha Edison, Calvert Drive Ventures, Charles Marsh, Dasharatham Bitla, Duro Ventures, Empty Set Group, GFR Fund, greyrock investments, Halogen Ventures, Harshith Dmello, James Lu Morrissey, Kartheek Pulavarthi, Ludis Capital, Michael Hanley, Michael Jarmuz, Saad AlSogair, Sam Liu, Sebastian Dobrincu, Skyview Capital, Sound Media Ventures, Spacebar Ventures, TEN13</t>
  </si>
  <si>
    <t>Ad Astra Ventures (adastra.ventures), ALIAVIA Ventures (www.aliavia.vc), Alpha Edison (www.alphaedison.com), Calvert Drive Ventures (www.calvertdrive.ventures), Duro Ventures (www.duro.vc), Empty Set Group (www.emptysetgroup.com), GFR Fund (www.gfrfund.com), greyrock investments (www.greyrock.com.au), Halogen Ventures (www.halogenvc.com), Ludis Capital (www.ludis.capital), Saad AlSogair (www.DrSogair.com), Sam Liu (www.paleobreadrecipe.com), Sebastian Dobrincu (www.sebastiandobrincu.com), Skyview Capital (www.skyviewcapital.com), Sound Media Ventures (soundmedia.vc), Spacebar Ventures (www.spacebarventures.com), TEN13 (www.ten13.vc)</t>
  </si>
  <si>
    <t>1025 Westwood Boulevard</t>
  </si>
  <si>
    <t>90026</t>
  </si>
  <si>
    <t>+1 (415) 632-8711</t>
  </si>
  <si>
    <t>hello@vurbl.com</t>
  </si>
  <si>
    <t>498313-09</t>
  </si>
  <si>
    <t>WA+TS</t>
  </si>
  <si>
    <t>WATS</t>
  </si>
  <si>
    <t>Win Win Tech Inc</t>
  </si>
  <si>
    <t>Developer of a digital waste management platform digitizing waste management workflows and increasing access to waste reduction opportunities. The company's platform offers waste management planning, waste operations standardization, waste-focused training, and education, waste vendor information organization, and waste collection scheduling management, enabling businesses to recycle more, divert materials from end-of-line landfills and incinerators, and reduce their impacts on our social and natural ecosystems.</t>
  </si>
  <si>
    <t>CleanTech, Real Estate Technology, SaaS</t>
  </si>
  <si>
    <t>climate tech, commercial real estate, facilities management tool, waste management tech, waste management tool, waste reduction, waste reduction system, waste reduction tech, zero waste</t>
  </si>
  <si>
    <t>www.getwats.com</t>
  </si>
  <si>
    <t>http://www.linkedin.com/company/getwats</t>
  </si>
  <si>
    <t>2022: 4, 2023: 8</t>
  </si>
  <si>
    <t>The company joined Urban Future Lab on an undisclosed date.</t>
  </si>
  <si>
    <t>Bill Murphy, C2 Ventures, Entrepreneurs Roundtable Accelerator, Everywhere Ventures, Female Founders Fund, Gutter Capital, Jonathan Wasserstrum, New York Ventures, Urban Future Lab</t>
  </si>
  <si>
    <t>C2 Ventures (www.c2ventures.co), Entrepreneurs Roundtable Accelerator (www.eranyc.com), Everywhere Ventures (everywhere.vc), Female Founders Fund (www.femalefoundersfund.com), Gutter Capital (gutter.cc), Urban Future Lab (www.ufl.nyc)</t>
  </si>
  <si>
    <t>305349-76P</t>
  </si>
  <si>
    <t>Meredith Danberg-Ficarelli</t>
  </si>
  <si>
    <t>meredith@getwats.com</t>
  </si>
  <si>
    <t>+1 (212) 262-9823</t>
  </si>
  <si>
    <t>32 3rd Avenue</t>
  </si>
  <si>
    <t>Suite 173</t>
  </si>
  <si>
    <t>hello@getwats.com</t>
  </si>
  <si>
    <t>471922-66</t>
  </si>
  <si>
    <t>Wander</t>
  </si>
  <si>
    <t>Wander App Inc.</t>
  </si>
  <si>
    <t>Developer of an interactive mapping application designed to enhance the destination experience and replace paper maps. The company's software utilizes 3D terrain technology and allows users to place trails, points of interest, attractions, and landmarks with pictures, and descriptions, enabling companies in the tourism industry to help travelers guide themselves to attractions, ski resorts, state parks, and historical sites with or without any cell connection.</t>
  </si>
  <si>
    <t>destination information, map viewer, mapping application, mapping application service, mapping technology, maps &amp; navigation, maps search optimization, tour map, tourist maps, travellers tracking</t>
  </si>
  <si>
    <t>www.wandermaps.com</t>
  </si>
  <si>
    <t>http://www.linkedin.com/company/wander-app-inc</t>
  </si>
  <si>
    <t>2021: 19, 2022: 30, 2023: 22, 2024: 22</t>
  </si>
  <si>
    <t>The company raised $1 million of Seed-3 funding in a deal led by Arieli Capital on July 8, 2024, putting the company's pre-money valuation at $13.5 million. Rocky Woods Investments, Joan and Tim Fenton Founders Fund, Silver Lake and Triangle Tweener Fund also participated in the round. The funds will be used to develop new features that combine travel inspiration, route mapping, and itinerary building on a global basis.</t>
  </si>
  <si>
    <t>Alex Bean, Arieli Capital, Convoi, Convoi Ventures, Dundee Venture Capital, HELM Investment Group, Joan and Tim Fenton Founders Fund, RevRoad, Rocky Woods Investments, Service Provider Capital, Silver Lake, Triangle Tweener Fund, TribeAngels</t>
  </si>
  <si>
    <t>Arieli Capital (www.arielicapital.com), Convoi (www.convoi.com), Convoi Ventures (www.convoiventures.com), Dundee Venture Capital (www.dundeeventurecapital.com), HELM Investment Group (www.helmgroup.co), RevRoad (www.revroad.com), Service Provider Capital (www.serviceprovidercapital.com), Silver Lake (www.silverlake.com), Triangle Tweener Fund (tweenerfund.com), TribeAngels (www.tribeangels.org)</t>
  </si>
  <si>
    <t>273071-08P</t>
  </si>
  <si>
    <t>Angela Brau</t>
  </si>
  <si>
    <t>aj@wandermaps.com</t>
  </si>
  <si>
    <t>+1 (801) 899-5498</t>
  </si>
  <si>
    <t>Provo, UT</t>
  </si>
  <si>
    <t>1083 Terrace Drive</t>
  </si>
  <si>
    <t>Provo</t>
  </si>
  <si>
    <t>84604</t>
  </si>
  <si>
    <t>info@wandermaps.com</t>
  </si>
  <si>
    <t>484206-85</t>
  </si>
  <si>
    <t>Wave (Clinics/Outpatient Services)</t>
  </si>
  <si>
    <t>Gray.Life, Scense</t>
  </si>
  <si>
    <t>Wave</t>
  </si>
  <si>
    <t>Wave Life, Inc</t>
  </si>
  <si>
    <t>Meru Health, Ginger (Clinics/Outpatient Services), Sleep Reset, Zeera, Vida Health, SilverCloud Health, Big Health, SonderMind, Sleep Reset (Simple Habit Application), 98point6, Spring Health, Modern Health, Lyra Health, AbleTo, Kumanu, Mindoula, Cerebral, Unmind, Mevoked, MDLive, Headspace, Lark, GetWellNetwork, Quartet Health, Sanvello, HealthTap, Noom, Omada, Wellview (Practice Management (Healthcare)), uMore</t>
  </si>
  <si>
    <t>Operator of an emotional health platform intended to give tools to navigate life's challenges. The company's platform offers interactive content to help to understand the science and psychology behind actions and measurements that encourage introspection and vulnerability, enabling people to learn the skills that they need to support all parts of their emotional well-being, every day.</t>
  </si>
  <si>
    <t>behavioral health, emotional health care, emotional health platform, emotional health treatment, emotional support, personalized coaching, personalized coaching platform, personalized coaching services, telatherapy, telehealth</t>
  </si>
  <si>
    <t>www.wavelife.io</t>
  </si>
  <si>
    <t>http://www.linkedin.com/company/livewavelife</t>
  </si>
  <si>
    <t>2022: 25, 2023: 25, 2024: 31</t>
  </si>
  <si>
    <t>The company raised $5.95 million of venture funding from Kube VC and other undisclosed investors on March 21, 2023. Earlier, the company raised an estimated $6.5 million of seed funding in a deal led by Santé Ventures on December 21, 2022, putting the company's pre-money valuation at $11 million. Hannah Gray VC and 5 other investors also participated in the round. The funds will be used to refine their product offering and expand further into the employer space, where mental health has become pivotal for employee satisfaction and retention.</t>
  </si>
  <si>
    <t>10X Capital, Alumni Ventures, Conscience, Gaingels, Hannah Gray VC, Hannah Grey Ventures, Joyance Partners, K50 Ventures, Kube VC, Santé Ventures, Telosity, Tribe Capital, Verissimo Ventures</t>
  </si>
  <si>
    <t>10X Capital (www.10xcapital.com), Alumni Ventures (www.av.vc), Conscience (www.conscience.vc), Gaingels (www.gaingels.com), Hannah Grey Ventures (www.hannahgrey.com), Joyance Partners (www.joyancepartners.com), K50 Ventures (www.k50ventures.com), Kube VC (www.kubevc.com), Santé Ventures (www.sante.com), Telosity (telosity.co), Tribe Capital (www.tribecap.co), Verissimo Ventures (verissimo.vc)</t>
  </si>
  <si>
    <t>215508-88P</t>
  </si>
  <si>
    <t>Sarah Adler</t>
  </si>
  <si>
    <t>sarah@wavelife.io</t>
  </si>
  <si>
    <t>+1 (917) 601-6840</t>
  </si>
  <si>
    <t>584 Cuesta Drive</t>
  </si>
  <si>
    <t>680245-93</t>
  </si>
  <si>
    <t>Wave 7 Communications</t>
  </si>
  <si>
    <t>Wave 7</t>
  </si>
  <si>
    <t>Wave 7 Communiations, LLC</t>
  </si>
  <si>
    <t>Provider of wireless internet services intended to bridge the digital divide by providing high-speed internet connectivity to communities. The company offers residents a better option, providing a wireless solution with high speed internet, providing the unconnected rural community with high speed broadband access.</t>
  </si>
  <si>
    <t>Internet Service Providers</t>
  </si>
  <si>
    <t>Internet Service Providers*</t>
  </si>
  <si>
    <t>broadband solutions, internet service provider, rural connectivity, wireless internet, wireless internet service, wireless solutions</t>
  </si>
  <si>
    <t>www.catchwave7.com</t>
  </si>
  <si>
    <t>The company raised $350,000 of venture funding from Connect Humanity on November 21, 2022. The funds will be used to expand the company's internet service to 400+ additional homes in Enfield, North Carolina.</t>
  </si>
  <si>
    <t>Connect Humanity</t>
  </si>
  <si>
    <t>Connect Humanity (www.connecthumanity.fund)</t>
  </si>
  <si>
    <t>415262-98P</t>
  </si>
  <si>
    <t>LaShawn Williamson</t>
  </si>
  <si>
    <t>lwilliamson@catchwave7.com</t>
  </si>
  <si>
    <t>+1 (877) 356-0741</t>
  </si>
  <si>
    <t>Greensboro, NC</t>
  </si>
  <si>
    <t>2715-D Grandview Avenue</t>
  </si>
  <si>
    <t>Suite 229</t>
  </si>
  <si>
    <t>Greensboro</t>
  </si>
  <si>
    <t>27408</t>
  </si>
  <si>
    <t>info@wave7comm.net</t>
  </si>
  <si>
    <t>458171-11</t>
  </si>
  <si>
    <t>WavelyDx</t>
  </si>
  <si>
    <t>Edus Health</t>
  </si>
  <si>
    <t>Wavely, Wavely Diagnostics</t>
  </si>
  <si>
    <t>Wavely Diagnostics, Inc.</t>
  </si>
  <si>
    <t>Developer of an ear care application designed to detect fluid in the middle ear. The company's application is easy to use and it puts value in pediatric diagnostics on smartphones with no added electronic components, enabling doctors to diagnose ear infections and customers to get virtual pediatric care.</t>
  </si>
  <si>
    <t>Application Software*, Clinics/Outpatient Services, Other Healthcare Technology Systems</t>
  </si>
  <si>
    <t>connected healthcare, connected service, digital diagnostics, digital health, ear infection, healthcare industry, healthcare industry service, pediatrics healthcare, pediatrics online</t>
  </si>
  <si>
    <t>Clinical Trials - General</t>
  </si>
  <si>
    <t>www.wavelydx.com</t>
  </si>
  <si>
    <t>http://www.linkedin.com/company/wavelydx</t>
  </si>
  <si>
    <t>2019: 2, 2020: 6, 2021: 12, 2022: 13, 2023: 14</t>
  </si>
  <si>
    <t>The company received a $7,834,864 grant from National Institutes of Health on September 25, 2022. Previously, the company raised an undisclosed amount of seed funding from GrowthX Capital and Totipotent Capital on June 1, 2023.</t>
  </si>
  <si>
    <t>2Raze, Alliance of Angels, Ambit Health Ventures, Cascade Seed Fund, Catalytic Impact Foundation, Crosstimbers Capital Group, Gaingels, GrowthX Capital, HealthTech Capital, Impact Assets, National Institute on Deafness and Other Communication Disorders, National Institute on Minority Health and Health Disparities, National Institutes of Health, New York Angels, Purpose Built Ventures, Robin Hood Ventures, The West Coast Consortium for Technology &amp; Innovation in Pediatrics, Totipotent Capital, UW CoMotion, Vantage Partners Texas, Wealthing VC Club, Wealthing VC Fund, WRF Capital, WXR Venture Fund</t>
  </si>
  <si>
    <t>2Raze (www.2raze.com), Alliance of Angels (www.allianceofangels.com), Ambit Health Ventures (ambithealthventures.com), Cascade Seed Fund (www.cascadeseedfund.com), Catalytic Impact Foundation (www.cifimpact.org), Crosstimbers Capital Group (www.crosstimbers.com), Gaingels (www.gaingels.com), GrowthX Capital (www.growthx.com), HealthTech Capital (www.healthtechcapital.com), Impact Assets (www.impactassets.org), National Institute on Deafness and Other Communication Disorders (www.nidcd.nih.gov), National Institute on Minority Health and Health Disparities (www.nimhd.nih.gov), National Institutes of Health (www.nih.gov), New York Angels (www.newyorkangels.com), Purpose Built Ventures (www.purposebuilt.vc), Robin Hood Ventures (www.robinhoodventures.com), The West Coast Consortium for Technology &amp; Innovation in Pediatrics (westcoastctip.org), Totipotent Capital (www.totipotent.vc), UW CoMotion (comotion.uw.edu), Wealthing VC Club (www.wealthing.club), Wealthing VC Fund (www.wealthing.vc), WRF Capital (www.wrfseattle.org), WXR Venture Fund (www.wxrfund.com)</t>
  </si>
  <si>
    <t>122797-18P</t>
  </si>
  <si>
    <t>Ehud Gelblum</t>
  </si>
  <si>
    <t>ehud@wavelydx.com</t>
  </si>
  <si>
    <t>+33 (0)9 72 53 13 00</t>
  </si>
  <si>
    <t>2311 North 45th Street</t>
  </si>
  <si>
    <t>Suite 270</t>
  </si>
  <si>
    <t>98103-6905</t>
  </si>
  <si>
    <t>+1 (650) 224-7504</t>
  </si>
  <si>
    <t>info@wavelydx.com</t>
  </si>
  <si>
    <t>529244-47</t>
  </si>
  <si>
    <t>Wayo (Middletown)</t>
  </si>
  <si>
    <t>USourced</t>
  </si>
  <si>
    <t>Wayo</t>
  </si>
  <si>
    <t>TheWayo Inc.</t>
  </si>
  <si>
    <t>Developer of a product sourcing platform designed to optimize supply chain management. The company's platform uses artificial intelligence and a large language model to automate custom sourcing that allows product designing, getting mockups approved, and tracking orders, enabling businesses and clients to connect with manufacturers worldwide.</t>
  </si>
  <si>
    <t>ai technology, apparel accessory, custom modeling, office supplies, packaging supplies, product sourcing, supply chain</t>
  </si>
  <si>
    <t>thewayo.com</t>
  </si>
  <si>
    <t>http://www.linkedin.com/company/thewayo</t>
  </si>
  <si>
    <t>2023: 4</t>
  </si>
  <si>
    <t>The company is reportedly seeking an undisclosed amount of Series A venture funding as of October 3, 2024. Previously, the company raised $2.5 million of seed funding in the form of SAFE notes in a deal led by Neo in approximately June 2023. Brown Angel Group and other undisclosed investors also participated in the round. The company is actively tracked by PitchBook.</t>
  </si>
  <si>
    <t>Brown Angel Group, Neo (Consulting Services (B2B))</t>
  </si>
  <si>
    <t>Brown Angel Group (www.brownangelgroup.org), Neo (Consulting Services (B2B)) (www.neo.com)</t>
  </si>
  <si>
    <t>352205-38P</t>
  </si>
  <si>
    <t>Julia Xu</t>
  </si>
  <si>
    <t>Suite 5 number 3766</t>
  </si>
  <si>
    <t>hello@thewayo.com</t>
  </si>
  <si>
    <t>433118-08</t>
  </si>
  <si>
    <t>We Sparkle</t>
  </si>
  <si>
    <t>We Sparkle Co.</t>
  </si>
  <si>
    <t>Developer of an artificial intelligence-based conversation platform intended to create positive and transformational changes in business communities. The company's platform focuses on improving client communications through proper administration and marketing, enabling clients to save time, increase their revenues and invest in their communities.</t>
  </si>
  <si>
    <t>ai assistant, ai power software, clients communication platform, conversation platform, conversation platform operator, conversational ai</t>
  </si>
  <si>
    <t>www.wesparkle.co</t>
  </si>
  <si>
    <t>http://www.linkedin.com/company/we-sparkle-co</t>
  </si>
  <si>
    <t>2021: 10, 2022: 4, 2023: 9, 2024: 6</t>
  </si>
  <si>
    <t>The company joined gener8tor as a part of its MSP Equity Accelerator program on October 20, 2023 and received $100,000 in the form of SAFE notes. Concurrently, Allianz Group invested in the company.</t>
  </si>
  <si>
    <t>Allianz Group, Bush Foundation, gener8tor, Groove Capital, Minnesota Cup, Minnesota Department of Employment and Economic Development, Techstars, Transparent Collective, Tundra Ventures</t>
  </si>
  <si>
    <t>Allianz Group (www.allianz.com), Bush Foundation (www.bushfoundation.org), gener8tor (www.gener8tor.com), Groove Capital (www.groovecap.com), Minnesota Department of Employment and Economic Development (www.mn.gov/deed), Techstars (www.techstars.com), Transparent Collective (www.transparentcollective.com), Tundra Ventures (www.tundravc.com)</t>
  </si>
  <si>
    <t>224934-58P</t>
  </si>
  <si>
    <t>Michelle Maryns</t>
  </si>
  <si>
    <t>michelle@wesparkle.org</t>
  </si>
  <si>
    <t>+1 (651) 349-4918</t>
  </si>
  <si>
    <t>825 Washington Avenue Southeast</t>
  </si>
  <si>
    <t>55414</t>
  </si>
  <si>
    <t>info@wesparkle.co</t>
  </si>
  <si>
    <t>437243-05</t>
  </si>
  <si>
    <t>We4C</t>
  </si>
  <si>
    <t>We4C LLC</t>
  </si>
  <si>
    <t>Developer of a predictive analytics platform intended to ensure the integrity of digital content. The company's software specializes in detecting deep fake audio detection technology to counter fabricated audio content swiftly and reliably and can handle large volumes of concurrent audio streams, enabling government agencies, defense, and private companies to disseminate misinformation, and detect financial fraud, and protect professional and personal privacy.</t>
  </si>
  <si>
    <t>Business/Productivity Software, Media and Information Services (B2B), Network Management Software*</t>
  </si>
  <si>
    <t>Big Data, Cybersecurity, SaaS</t>
  </si>
  <si>
    <t>ai cores, analysis tool, analytics platform, cybersecurity risk, data analysis, deepfake detection, detection product, predictive analytics</t>
  </si>
  <si>
    <t>www.we4c.ai</t>
  </si>
  <si>
    <t>http://www.linkedin.com/company/we4c-ai</t>
  </si>
  <si>
    <t>The company raised $1.76 million of seed funding from Granicus Group, Holt Xchange and Mary Ann Bartels on June 22, 2023. Jeffery M. Dunn and other undisclosed investors also participated in the round.</t>
  </si>
  <si>
    <t>Granicus Group, Holt Xchange, Jeffery Dunn, Mary Bartels</t>
  </si>
  <si>
    <t>Holt Xchange (www.holtxchange.com)</t>
  </si>
  <si>
    <t>235692-37P</t>
  </si>
  <si>
    <t>Lauren Seiler</t>
  </si>
  <si>
    <t>Co-Founder, Head of Strategy, Corporate Development, Investor Relations, Managing Director &amp; Chief Executive Officer</t>
  </si>
  <si>
    <t>+1 (305) 546-5944</t>
  </si>
  <si>
    <t>92 Southwest 3rd Street</t>
  </si>
  <si>
    <t>Suite 3801</t>
  </si>
  <si>
    <t>532722-79</t>
  </si>
  <si>
    <t>WealthMore</t>
  </si>
  <si>
    <t>Wealth More Enterprise, Inc.</t>
  </si>
  <si>
    <t>Operator of a wealth management platform intended to help individuals and families achieve their financial goals. The company's platform offers a variety of features, including portfolio management, investment research, and retirement planning, enabling users to access financial advice and services for wealth generation.</t>
  </si>
  <si>
    <t>Asset Management, Financial Software, Other Financial Services*</t>
  </si>
  <si>
    <t>financial advisory, investment advisory, investment platform, investment tool, wealth advisory firm, wealth management, wealth manager, wealth planning, wealthtech</t>
  </si>
  <si>
    <t>www.wealthmore.net</t>
  </si>
  <si>
    <t>http://www.linkedin.com/company/wealthmore</t>
  </si>
  <si>
    <t>The company raised an estimated $1 million of pre-seed funding from Emmeline Ventures, First Row Partners, Andreessen Horowitz and Ben Franklin Technology Partners of Southeastern Pennsylvania on February 22, 2024. Other undisclosed investors also participated in the round.</t>
  </si>
  <si>
    <t>Andreessen Horowitz, Ben Franklin Technology Partners of Southeastern Pennsylvania, Emmeline Ventures, First Row Partners</t>
  </si>
  <si>
    <t>Andreessen Horowitz (www.a16z.com), Ben Franklin Technology Partners of Southeastern Pennsylvania (www.sep.benfranklin.org), Emmeline Ventures (www.emmelineventures.vc), First Row Partners (www.firstrowpartners.vc)</t>
  </si>
  <si>
    <t>357780-43P</t>
  </si>
  <si>
    <t>Mical White</t>
  </si>
  <si>
    <t>mwhite@wealthmore.net</t>
  </si>
  <si>
    <t>+1 (888) 303-6361</t>
  </si>
  <si>
    <t>Springfield, PA</t>
  </si>
  <si>
    <t>1180 Baltimore Pike</t>
  </si>
  <si>
    <t>Suite 230</t>
  </si>
  <si>
    <t>Springfield</t>
  </si>
  <si>
    <t>19064</t>
  </si>
  <si>
    <t>hello@wealthmore.net</t>
  </si>
  <si>
    <t>277648-66</t>
  </si>
  <si>
    <t>Wealthramp</t>
  </si>
  <si>
    <t>FourLeaf Technologies, Wealth Ramp</t>
  </si>
  <si>
    <t>Wealthramp, Inc.</t>
  </si>
  <si>
    <t>Zoe Financial, Fintso, Edelman Financial Engines</t>
  </si>
  <si>
    <t>Developer of fintech platform designed to connect consumers with online financial advisors. The company's platform offers personalized and unbiased financial referral services connecting investors with fiduciary advisors who match an individual's investing priorities, enabling users to find the advisor that fits their investment goals.</t>
  </si>
  <si>
    <t>fee-only advisor, fiduciary financial advisor, financial advisor, financial advisor finder, financial planning, investment advisor</t>
  </si>
  <si>
    <t>www.wealthramp.com</t>
  </si>
  <si>
    <t>http://www.linkedin.com/company/wealthramp</t>
  </si>
  <si>
    <t>2019: 5, 2021: 11, 2022: 12, 2023: 11</t>
  </si>
  <si>
    <t>The company raised $1.38 million of Series A venture funding from White Shark Management, Stage 1 Ventures, and other undisclosed investors on September 11, 2024, putting the company's pre-money valuation at $4 million.</t>
  </si>
  <si>
    <t>Stage 1 Ventures, White Shark Management</t>
  </si>
  <si>
    <t>Stage 1 Ventures (www.stage1ventures.com), White Shark Management (www.whitesharkmgmt.com)</t>
  </si>
  <si>
    <t>Gennari Aronson(Legal Advisor), Santander US(General Business Banking)</t>
  </si>
  <si>
    <t>208649-26P</t>
  </si>
  <si>
    <t>Pamela Krueger</t>
  </si>
  <si>
    <t>pam@wealthramp.com</t>
  </si>
  <si>
    <t>+1 (415) 378-8240</t>
  </si>
  <si>
    <t>Osterville, MA</t>
  </si>
  <si>
    <t>51 Oak Lane</t>
  </si>
  <si>
    <t>Osterville</t>
  </si>
  <si>
    <t>02655</t>
  </si>
  <si>
    <t>contact@wealthramp.com</t>
  </si>
  <si>
    <t>512815-24</t>
  </si>
  <si>
    <t>Wedy</t>
  </si>
  <si>
    <t>Wedy, Inc.</t>
  </si>
  <si>
    <t>Zola, WeddingWire, The Knot Worldwide, PartySlate, Aisle Planner, HoneyBook</t>
  </si>
  <si>
    <t>Developer of a booking platform designed for engaged couples to bundle services into an all-inclusive wedding package, powered by SaaS (software as a service) tools for businesses like venues, photographers and caterers. The company's platform offers a variety of customizable packages encompassing photography, florals, catering and other related services, enabling couples to navigate the wedding planning process and management.</t>
  </si>
  <si>
    <t>b2b2c marketplace, consumer tech, marketplace, proptech, wedding management platform, wedding marketplace, wedding planning app, wedding planning application, wedding planning service</t>
  </si>
  <si>
    <t>www.wedyapp.com</t>
  </si>
  <si>
    <t>http://www.linkedin.com/company/wedy-inc</t>
  </si>
  <si>
    <t>2022: 7, 2024: 10</t>
  </si>
  <si>
    <t>The company joined Techstars on March 15, 2024 and received $120,000 in funding.</t>
  </si>
  <si>
    <t>Amir Nagarajan, Capital Factory, Olivier Grinda, Techstars</t>
  </si>
  <si>
    <t>Capital Factory (www.capitalfactory.com), Techstars (www.techstars.com)</t>
  </si>
  <si>
    <t>322334-11P</t>
  </si>
  <si>
    <t>Rumaiza Ali</t>
  </si>
  <si>
    <t>rumaiza@wedyapp.com</t>
  </si>
  <si>
    <t>+1 (720) 485-0691</t>
  </si>
  <si>
    <t>25 West 45th Street</t>
  </si>
  <si>
    <t>hello@wedypay.com</t>
  </si>
  <si>
    <t>484207-48</t>
  </si>
  <si>
    <t>Well Traveled</t>
  </si>
  <si>
    <t>Well Traveled Group Inc.</t>
  </si>
  <si>
    <t>Developer of a members-only social platform intended for travelers, foodies, and adventure seekers. The company's platform offers young professionals, travelers, foodies, and adventure seekers a private membership community, to discover, plan and book incredible trips, find and share insider travel information and trending spots, helping users with travel planning services, and find the right accommodations to create memories.</t>
  </si>
  <si>
    <t>social platform, travel app, travel planning, travel planning management, travel planning platform, travel planning service</t>
  </si>
  <si>
    <t>www.welltraveledclub.com</t>
  </si>
  <si>
    <t>http://www.linkedin.com/company/welltraveledclub</t>
  </si>
  <si>
    <t>2020: 2, 2021: 12, 2022: 12</t>
  </si>
  <si>
    <t>The company raised $889,400 of equity crowdfunding in the form of a SAFE note via Wefunder in September 2023.</t>
  </si>
  <si>
    <t>Copper Wire Ventures, Gaingels, Goodwater Capital, Imran Khan, Irfan Kamal, Mana Ventures, Snap Yellow Accelerator</t>
  </si>
  <si>
    <t>Copper Wire Ventures (www.copperwire.ventures), Gaingels (www.gaingels.com), Goodwater Capital (www.goodwatercap.com), Mana Ventures (www.manaventures.vc), Snap Yellow Accelerator (www.yellowla.com)</t>
  </si>
  <si>
    <t>283005-28P</t>
  </si>
  <si>
    <t>Samantha Patil</t>
  </si>
  <si>
    <t>samantha@welltraveledclub.com</t>
  </si>
  <si>
    <t>+1 (916) 847-2064</t>
  </si>
  <si>
    <t>hello@welltraveledclub.com</t>
  </si>
  <si>
    <t>527528-71</t>
  </si>
  <si>
    <t>Whitebalance</t>
  </si>
  <si>
    <t>Whitebalance Video, Corp.</t>
  </si>
  <si>
    <t>Developer of an audio technology designed to solve content copyright issues in live entertainment. The company's software allows to upload of raw clips through the web, mobile applications, or API, flags copyrighted audio quickly and accurately, and instantly removes copyrighted material, enabling clients to publish the processed version.</t>
  </si>
  <si>
    <t>audio platform, audio technology, copyright music, copyright tools, production platform, video production software</t>
  </si>
  <si>
    <t>www.whitebalance.co</t>
  </si>
  <si>
    <t>http://www.linkedin.com/company/whitebalanceco</t>
  </si>
  <si>
    <t>The company raised an estimated $1.65 million through a combination of Seed 1 and Seed 2 in a deal led by Dundee Venture Capital on May 12, 2023, putting the company's pre-money valuation at $4.75 million. Bread &amp; Butter Ventures and Techstars also participated in the round.</t>
  </si>
  <si>
    <t>Bread &amp; Butter Ventures, Dundee Venture Capital, Techstars</t>
  </si>
  <si>
    <t>Bread &amp; Butter Ventures (www.breadandbutterventures.com), Dundee Venture Capital (www.dundeeventurecapital.com), Techstars (www.techstars.com)</t>
  </si>
  <si>
    <t>347323-69P</t>
  </si>
  <si>
    <t>Lorraine Ma</t>
  </si>
  <si>
    <t>lma@whitebalance.co</t>
  </si>
  <si>
    <t>team@whitebalance.co</t>
  </si>
  <si>
    <t>624915-91</t>
  </si>
  <si>
    <t>why?!</t>
  </si>
  <si>
    <t>why</t>
  </si>
  <si>
    <t>Manual, Inc.</t>
  </si>
  <si>
    <t>Developer of a question-based conversation platform designed to spark meaningful interactions. The platform offers a daily stream of diverse, thought-provoking questions, enabling individuals and groups to connect on a deeper level and foster stronger relationships.</t>
  </si>
  <si>
    <t>chatting app, group conversation, group messages, relationship app, relationship building, social app, social media</t>
  </si>
  <si>
    <t>www.whyapp.co</t>
  </si>
  <si>
    <t>http://www.linkedin.com/company/whytheapp</t>
  </si>
  <si>
    <t>The company raised $1.65 million of pre-seed funding in the form of SAFE Notes from BluePrint, Bistro Partners and Sister Holdings on August 7, 2024, putting the company's pre-money valuation at $5.85 million. Clubhouse, FullCircle (New York), Bain Capital Ventures, Zeal Capital Partners and Precursor Ventures also participated in the round.</t>
  </si>
  <si>
    <t>Bain Capital Ventures, Bistro Partners, BluePrint, Clubhouse, FullCircle (New York), Precursor Ventures, Sister Holdings, Zeal Capital Partners</t>
  </si>
  <si>
    <t>Bain Capital Ventures (www.baincapitalventures.com), Bistro Partners (www.bistro-partners.com), BluePrint (www.blueprint.com), Clubhouse (www.clubhouse.com), FullCircle (New York) (www.fullcirclefund.io), Precursor Ventures (precursorvc.com), Sister Holdings (www.sister.net), Zeal Capital Partners (www.zealvc.co)</t>
  </si>
  <si>
    <t>408159-37P</t>
  </si>
  <si>
    <t>Maya Watson</t>
  </si>
  <si>
    <t>Decatur, GA</t>
  </si>
  <si>
    <t>223 Avery Street</t>
  </si>
  <si>
    <t>Decatur</t>
  </si>
  <si>
    <t>30030</t>
  </si>
  <si>
    <t>info@whyapp.co</t>
  </si>
  <si>
    <t>416522-62</t>
  </si>
  <si>
    <t>WhyLabs</t>
  </si>
  <si>
    <t>WhyLabs, Inc.</t>
  </si>
  <si>
    <t>Logmatic.io, Circonus, Opscruise, Loggly, observIQ, LogicMonitor, SignalFx, SAS Institute, Cloudyn Software, Talligent, Netsil, VictorOps, InfluxData, Uptrends, LogRocket, Pentaho, Logz.io, Veriato, Rocana, Kentik, Dynatrace, Dashbird, Nagios, ITRS Group, Aporia, Graylog, Cloud Cruiser, New Relic, Librato, Salesforce, Google UK, KloudFuse, Epsagon, Niksun, Sysdig, Urchin Software, ScienceLogic, Cedexis, Tricentis, Scalr, Pulseway, Mezmo, Turbonomic, Lucidworks, eG Innovations, PagerDuty, Vectra, Twistlock, Prometheus (Business/Productivity Software), Functionize, LiveAction, Moogsoft, BMC Software, Qbox, IOPipe, Wavefront, Ivanti, Embotics, BlazeMeter, Paessler, Datadog, Logentries.com, Prometheus Information, SmartBear, CloudHealth by VMware, Instana, Slack, Testim, BeyondTrust, Sumo Logic, Imperva, Arize, StackRox, Aviatrix, Cypress.io, BigPanda, Nexthink, CloudBolt, Riverbed Technology, ThousandEyes, Egenera, Neptune.io, Ostrato, Portworx, Catchpoint, RadView Software, Platform9, Scalyr, Exabeam, Aqua Security, Maana, ExtraHop Networks, Firebase, Darktrace, Compuware, ServiceNow, Parasoft, Splunk, NetScout Systems, Neotys, Cloudability</t>
  </si>
  <si>
    <t>Developer of an AI observability platform intended to analyze structured and unstructured data from models. The company's platform processes TBs of data without breaking storage and continuously tracks data in real-time at any level of granularity along with monitoring model accuracy, and concept drift, and investigates model behavior on key segments, enabling data scientists to save time and catch problems before they make trouble for businesses or customers.</t>
  </si>
  <si>
    <t>ai cores, ai monitoring, ai monitoring system, ai protection, analytics platform, application security, data driven tools, data monitoring tools, devops, generative ai, machine learning infrastructure, observability platform</t>
  </si>
  <si>
    <t>www.whylabs.ai</t>
  </si>
  <si>
    <t>http://www.linkedin.com/company/whylabsai</t>
  </si>
  <si>
    <t>2020: 9, 2021: 17, 2022: 38, 2023: 47</t>
  </si>
  <si>
    <t>The company joined Find Ventures as a part of its Equitable Innovations Accelerator on April 7, 2022, and received an undisclosed amount in the form of a grant. Previously, the company raised $10 million of Series A venture funding in a deal led by Defy Partners Management and AI Fund on October 5, 2021, putting the company's pre-money valuation at $27 million. Madrona Venture Group and Bezos Expeditions also participated in the round.</t>
  </si>
  <si>
    <t>AI Fund, AI2 Incubator, Ascend Venture Capital (Seattle), Bezos Expeditions, Defy Partners Management, Find Ventures, Madrona Venture Group</t>
  </si>
  <si>
    <t>AI Fund (www.aifund.ai), AI2 Incubator (www.ai2incubator.com), Ascend Venture Capital (Seattle) (www.ascend.vc), Bezos Expeditions (www.bezosexpeditions.com), Defy Partners Management (www.defy.vc), Find Ventures (www.findventures.org), Madrona Venture Group (www.madrona.com)</t>
  </si>
  <si>
    <t>241701-22P</t>
  </si>
  <si>
    <t>Alessya Visnjic</t>
  </si>
  <si>
    <t>alessya@whylabs.ai</t>
  </si>
  <si>
    <t>+1 (425) 270-0066</t>
  </si>
  <si>
    <t>2157 North Northlake Way</t>
  </si>
  <si>
    <t>Suite 110</t>
  </si>
  <si>
    <t>98103</t>
  </si>
  <si>
    <t>info@whylabs.ai</t>
  </si>
  <si>
    <t>494599-33</t>
  </si>
  <si>
    <t>Wicked Saints</t>
  </si>
  <si>
    <t>Wicked Saints Studio, Inc.</t>
  </si>
  <si>
    <t>Developer of game studio platform designed to create interactive media. The company's platform uses behavioral technology with narrative augmented reality experience for a generation that cares about their mental health and the state of the world, enabling clients with real-life quests that are facilitated by augmented reality.</t>
  </si>
  <si>
    <t>ar game developer, ar game platform, augmented reality games, augmented reality games developer, behavioral science, behavioral technology, game development studio, game studio, game studio operator, gaming content, gaming developer, gaming publisher, gaming studio, interactive game developer, interactive games</t>
  </si>
  <si>
    <t>www.wickedsaints.studio</t>
  </si>
  <si>
    <t>http://www.linkedin.com/company/wickedsaints</t>
  </si>
  <si>
    <t>2022: 5, 2023: 6</t>
  </si>
  <si>
    <t>The company raised $4.60 million of Series 1 &amp; Series 2 pre-seed funding in a deal led by Riot Games and Oregon Venture Fund on September 13, 2023, putting the company's pre-money valuation at $5.70 million. Precursor Ventures and 18 other investors also participated in the round.</t>
  </si>
  <si>
    <t>1Up Ventures, Andy Chmyz, Authentic Ventures, Bronze VC, Cap Table Coalition, Celia Hodent, Gaingels, Holly Liu, Katie Jansen, Mark Eckhardt, Nancy Lubin, Oregon Venture Fund, Origins Capital, Origins Fund, Paul Joffe, Precursor Ventures, Reid Hoffman, Riot Games, Rogue Women, The Mini Fund, Van Jones</t>
  </si>
  <si>
    <t>1Up Ventures (1upfund.com), Authentic Ventures (www.authentic-ventures.com), Bronze VC (www.bronze.vc), Cap Table Coalition (www.captablecoalition.com), Gaingels (www.gaingels.com), Oregon Venture Fund (oregonventurefund.com), Origins Fund (www.origins.fund), Precursor Ventures (precursorvc.com), Reid Hoffman (www.reidhoffman.org), Riot Games (www.riotgames.com), Rogue Women (www.roguewmn.com), The Mini Fund (www.themini.fund)</t>
  </si>
  <si>
    <t>297525-88P</t>
  </si>
  <si>
    <t>Jessica Murrey</t>
  </si>
  <si>
    <t>+1 (716) 704-3799</t>
  </si>
  <si>
    <t>Medford, OR</t>
  </si>
  <si>
    <t>1708 West Main Street</t>
  </si>
  <si>
    <t>Medford</t>
  </si>
  <si>
    <t>97501</t>
  </si>
  <si>
    <t>team@wickedsaints.studio</t>
  </si>
  <si>
    <t>225729-46</t>
  </si>
  <si>
    <t>Wildnote</t>
  </si>
  <si>
    <t>Wildnote, Inc.</t>
  </si>
  <si>
    <t>Zerion Software, Fulcrum (Systems and Information Management)</t>
  </si>
  <si>
    <t>Developer of an environmental compliance data platform intended to streamline the process of field data collection, project management and reporting. The company's platform offers a mixture of technology to collect, manage and report information to regulatory agencies to reduce inaccurate and inconsistent data, enabling environmental consultants, utilities and construction companies to save time, effort and money when complying with detailed environmental regulations.</t>
  </si>
  <si>
    <t>Business/Productivity Software*, Database Software, Media and Information Services (B2B), Other Commercial Services</t>
  </si>
  <si>
    <t>Big Data, Construction Technology, Mobile, SaaS</t>
  </si>
  <si>
    <t>analysis and reporting, big data management, cultural resources preservation, data collection, environmental compliance, environmental compliance consulting, environmental compliance services, environmental data</t>
  </si>
  <si>
    <t>www.wildnoteapp.com</t>
  </si>
  <si>
    <t>http://www.linkedin.com/company/wildnote</t>
  </si>
  <si>
    <t>2018: 10, 2019: 8, 2020: 14, 2021: 14, 2022: 12</t>
  </si>
  <si>
    <t>The company raised $2.00 million of seed funding in a deal led by HG Ventures and Entrada Ventures on January 21, 2020, putting the company's pre-money valuation at $4 million. Other undisclosed investors also participated in the round. The funds will be used to scale the company to ever-increasing value for its customers, investors and employees, while achieving its mission of protecting our natural resources by delivering the best platform to collect, manage and report on environmental compliance. Earlier, the company joined Techstars as a part of its Heritage Group Accelerator on September 9, 2019 and received $20,000 in funding.</t>
  </si>
  <si>
    <t>CIE HotHouse, Entrada Ventures, HG Ventures, Techstars</t>
  </si>
  <si>
    <t>CIE HotHouse (cie.calpoly.edu/hothouse), Entrada Ventures (www.entradaventures.com), HG Ventures (www.hgventures.com), Techstars (www.techstars.com)</t>
  </si>
  <si>
    <t>Paradigm Legal(Legal Advisor)</t>
  </si>
  <si>
    <t>192192-94P</t>
  </si>
  <si>
    <t>Nancy Douglas</t>
  </si>
  <si>
    <t>Director of Customer Success &amp; Board Member</t>
  </si>
  <si>
    <t>nancy@wildnoteapp.com</t>
  </si>
  <si>
    <t>+1 (805) 458-2690</t>
  </si>
  <si>
    <t>793 East Foothill Boulevard</t>
  </si>
  <si>
    <t>Suite A 11</t>
  </si>
  <si>
    <t>93405</t>
  </si>
  <si>
    <t>+1 (805) 664-0090</t>
  </si>
  <si>
    <t>info@wildnoteapp.com</t>
  </si>
  <si>
    <t>493234-66</t>
  </si>
  <si>
    <t>Willow Servicing</t>
  </si>
  <si>
    <t>LMCA, Inc.</t>
  </si>
  <si>
    <t>Sagent Lending Technologies, Applied Business Software, Nortridge Software</t>
  </si>
  <si>
    <t>Developer of mortgage servicing technology intended to automate mortgage servicing operations and compliance. The company's software automates routine tasks, such as generating tax forms and reporting servicing transfers and other mortgage-related services, enabling borrowers to get visibility into the status of their mortgage and control over their home and finances.</t>
  </si>
  <si>
    <t>borrower communications, enterprise resource planning, erp, mortgage app, mortgage repayment, mortgage service platform, mortgage servicing software, secondary market trading</t>
  </si>
  <si>
    <t>www.willowservicing.com</t>
  </si>
  <si>
    <t>http://www.linkedin.com/company/willowservicing</t>
  </si>
  <si>
    <t>The company raised $5.75 million of seed funding in a deal led by Thomvest Ventures on August 11, 2022. Zigg Capital, TMC Emerging Technology Fund, Webb Investment Network, and Global Asset Capital also participated in the round. The funds will be used to continue investing in their customers and solving their pain points.</t>
  </si>
  <si>
    <t>Global Asset Capital, Thomvest Ventures, TMC Emerging Technology Fund, Webb Investment Network, Zigg Capital</t>
  </si>
  <si>
    <t>Global Asset Capital (www.gacapital.com), Thomvest Ventures (www.thomvest.com), TMC Emerging Technology Fund (tmctechfund.com), Webb Investment Network (www.winfunding.com), Zigg Capital (www.ziggcap.com)</t>
  </si>
  <si>
    <t>293743-54P</t>
  </si>
  <si>
    <t>Teddy Coleman</t>
  </si>
  <si>
    <t>teddy@willowservicing.com</t>
  </si>
  <si>
    <t>+1 (415) 825-6022</t>
  </si>
  <si>
    <t>3161 College Avenue</t>
  </si>
  <si>
    <t>94705</t>
  </si>
  <si>
    <t>hello@willowservicing.com</t>
  </si>
  <si>
    <t>543704-05</t>
  </si>
  <si>
    <t>WinWon</t>
  </si>
  <si>
    <t>WinWon Technologies</t>
  </si>
  <si>
    <t>WinWon Technologies, Inc.</t>
  </si>
  <si>
    <t>Developer of sports technology software designed for athlete management through automation. The company's platform facilitates eligibility management, academic monitoring, time tracking, recruiting resources, and record-keeping, enabling clients to streamline processes, integrate systems, and bridge connections between coaches and staff.</t>
  </si>
  <si>
    <t>academic monitoring, athletes data, athletic department, eligibility management, recruiting resources, sports technology, streamline process</t>
  </si>
  <si>
    <t>www.winwontech.com</t>
  </si>
  <si>
    <t>http://www.linkedin.com/company/winwon</t>
  </si>
  <si>
    <t>The company raised an estimated $4.50 million through a combination of Seed-1, Seed-2 and Seed-3 funding from Fractal Software, and other undisclosed investors on January 16, 2024, putting the company's pre-money valuation at $10 million.</t>
  </si>
  <si>
    <t>Fractal Software</t>
  </si>
  <si>
    <t>Fractal Software (www.fractalsoftware.com)</t>
  </si>
  <si>
    <t>403808-32P</t>
  </si>
  <si>
    <t>Alex Hanley</t>
  </si>
  <si>
    <t>ahanley@winwontech.com</t>
  </si>
  <si>
    <t>+1 (469) 955-3571</t>
  </si>
  <si>
    <t>85 Broad Street</t>
  </si>
  <si>
    <t>10280</t>
  </si>
  <si>
    <t>info@winwontech.com</t>
  </si>
  <si>
    <t>470049-22</t>
  </si>
  <si>
    <t>Wiz Kid Learning</t>
  </si>
  <si>
    <t>WKC</t>
  </si>
  <si>
    <t>Wiz Kid Coding Inc.</t>
  </si>
  <si>
    <t>Juni Learning</t>
  </si>
  <si>
    <t>Developer of an online learning platform designed to provide leading coding and science, technology, engineering, and mathematics education The company's platform offers immersive, social, and interest-based asynchronous and live-online, asynchronous courses covering topics like coding, game design, 3D animation, and entrepreneurship at-home learning experiences to families and partnering with forward-thinking and impact-driven organizations and brands, enabling students to strive everywhere access for inspiring educational experiences that expand opportunities to succeed now and in the future.</t>
  </si>
  <si>
    <t>coding courses, education technology platform, learning skills, online school, project-based learning, stem education, stem education system</t>
  </si>
  <si>
    <t>www.wizkidlearning.com</t>
  </si>
  <si>
    <t>http://www.linkedin.com/company/wiz-kid-coding</t>
  </si>
  <si>
    <t>2021: 8, 2022: 9, 2023: 20, 2024: 15</t>
  </si>
  <si>
    <t>The company raised $1.04 million of seed funding in a deal led by New Age Capital on July 29, 2022. Right Side Capital Management, Westbound Equity Partners, gener8tor and other undisclosed investors also participated in the round. Previously, the company joined gener8tor on June 13, 2022 and received $100,000 in funding.</t>
  </si>
  <si>
    <t>gener8tor, Google for Startups, New Age Capital, Right Side Capital Management, Westbound Equity Partners</t>
  </si>
  <si>
    <t>gener8tor (www.gener8tor.com), Google for Startups (startup.google.com), New Age Capital (www.newage.vc), Right Side Capital Management (www.rightsidecapital.com), Westbound Equity Partners (www.westboundequity.com)</t>
  </si>
  <si>
    <t>269161-57P</t>
  </si>
  <si>
    <t>Kyla Bolden</t>
  </si>
  <si>
    <t>kyla@wizkidcoding.com</t>
  </si>
  <si>
    <t>+1 (416) 554-3771</t>
  </si>
  <si>
    <t>201 Allen Street</t>
  </si>
  <si>
    <t>+1 (415) 484-1952</t>
  </si>
  <si>
    <t>info@wizkidlearning.com</t>
  </si>
  <si>
    <t>264870-64</t>
  </si>
  <si>
    <t>Womp</t>
  </si>
  <si>
    <t>Womp Studio</t>
  </si>
  <si>
    <t>Womp 3D Inc.</t>
  </si>
  <si>
    <t>Developer of 3D creation software intended to provide 3D scanning, 3D modeling, and 3D printing services. The company's studio specializes in offering 3d prints of any size and materials and offers 3d scanning to capture width, depth, and height, and turns it into a 3d mesh file, enabling customers to build intuitive, and easy-to-use physical-object from a digital model.</t>
  </si>
  <si>
    <t>Multimedia and Design Software*, Other Commercial Services, Printing Services (B2B)</t>
  </si>
  <si>
    <t>3D Printing, Advanced Manufacturing</t>
  </si>
  <si>
    <t>3d content creation, 3d content platform, 3d digital model, 3d platform, 3d printing service, 3d scanning platform, printing services, printing services firm</t>
  </si>
  <si>
    <t>www.womp.com</t>
  </si>
  <si>
    <t>http://www.linkedin.com/company/womp3d</t>
  </si>
  <si>
    <t>2019: 4, 2020: 6, 2021: 9, 2022: 20, 2023: 23, 2024: 41</t>
  </si>
  <si>
    <t>The company raised an undisclosed amount of seed funding from Founders, Inc and Valhalla Ventures on February 22, 2023. Coho Deeptech and Calm Ventures also participated in the round.</t>
  </si>
  <si>
    <t>AEON Foundry, Calm Ventures, Coho Deeptech, Daniel Katz, Female Founders Fund, Founders, Inc, Haystack Management Company, Neo (Consulting Services (B2B)), NEO Investment Partners, Stanley Black &amp; Decker, Techstars, V1.vc, Valhalla Ventures</t>
  </si>
  <si>
    <t>AEON Foundry (www.aeonfoundry.com), Calm Ventures (www.calmvc.com), Coho Deeptech (www.cohovc.com), Female Founders Fund (www.femalefoundersfund.com), Founders, Inc (www.f.inc), Haystack Management Company (haystack.vc), Neo (Consulting Services (B2B)) (www.neo.com), NEO Investment Partners (www.neoinvestmentpartners.com), Stanley Black &amp; Decker (www.stanleyblackanddecker.com), Techstars (www.techstars.com), V1.vc (www.v1.vc), Valhalla Ventures (www.valhalla.ventures)</t>
  </si>
  <si>
    <t>199744-75P</t>
  </si>
  <si>
    <t>Gabriela Trueba</t>
  </si>
  <si>
    <t>gtrueba@womp.com</t>
  </si>
  <si>
    <t>+1 (646) 306-3323</t>
  </si>
  <si>
    <t>11207</t>
  </si>
  <si>
    <t>womp@womp.com</t>
  </si>
  <si>
    <t>454415-32</t>
  </si>
  <si>
    <t>WorkWhile</t>
  </si>
  <si>
    <t>Workforce as a Service, Inc.</t>
  </si>
  <si>
    <t>Shiftsmart, Springshot, Wooqer, WorkMarket, Workstream, When I Work, Exosite, FactoryFour, Hike One, Humanity, Provectus, RedBooth, Snap.hr, Riffyn, GoFormz, Silvon, Adexa, Radixweb</t>
  </si>
  <si>
    <t>Developer of a contract labor recruitment platform designed to match workers to shifts that fit their skills, schedule and location. The company's platform helps fill open positions from last-minute shifts to full-time positions with reliable and qualified workers from a pre-screened workforce, enabling employers with a quality, reliable workforce they can scale up or down.</t>
  </si>
  <si>
    <t>HR Tech, Impact Investing, SaaS, TMT</t>
  </si>
  <si>
    <t>enterprise resource planning, erp, human capital management, labor technology, labor technology platform, recruitment application software, workforce app, workforce application, workforce manager</t>
  </si>
  <si>
    <t>www.workwhilejobs.com</t>
  </si>
  <si>
    <t>http://www.linkedin.com/company/workwhilejobs</t>
  </si>
  <si>
    <t>2020: 7, 2021: 13, 2022: 40</t>
  </si>
  <si>
    <t>The company joined The World Economic Forum as part of its Cohort 2023 of Technology Pioneers on June 21, 2023. No equity or funding was exchanged as a result of this program.</t>
  </si>
  <si>
    <t>Chamaeleon, F7 Ventures, Gaingels, Jennifer Fonstad, Katrina Lake, Khosla Ventures, Nicholas Pilkington, Owl Capital, Philipp Brenner, Position Ventures, Reach Capital, Siqi Chen, The World Economic Forum, Zouhair Belkoura</t>
  </si>
  <si>
    <t>Chamaeleon (www.chamaeleon.vc), F7 Ventures (www.f7ventures.com), Gaingels (www.gaingels.com), Khosla Ventures (www.khoslaventures.com), Owl Capital (www.owlcapital.com), Position Ventures (www.positionventures.com), Reach Capital (www.reachcapital.com), The World Economic Forum (widgets.weforum.org)</t>
  </si>
  <si>
    <t>57652-75P</t>
  </si>
  <si>
    <t>Jarah Euston</t>
  </si>
  <si>
    <t>jarah@workwhilejobs.com</t>
  </si>
  <si>
    <t>+1 (212) 571-3939</t>
  </si>
  <si>
    <t>169 11th Street</t>
  </si>
  <si>
    <t>hello@workwhilejobs.com</t>
  </si>
  <si>
    <t>608754-43</t>
  </si>
  <si>
    <t>World Labs</t>
  </si>
  <si>
    <t>Developer of an AI platform designed for humanlike processing of visual data. The company focuses on spatial intelligence that will be used in the future for augmented and virtual reality through a combination of synthetic data to train the models, enabling companies to access computer vision technologies that could identify objects reliably.</t>
  </si>
  <si>
    <t>Artificial Intelligence &amp; Machine Learning, Augmented Reality, SaaS, Virtual Reality</t>
  </si>
  <si>
    <t>artificial general intelligence, artificial intelligence firm, model rocket, spatial intelligence, vision technology, visual data, visual data analysis</t>
  </si>
  <si>
    <t>Synthetic Data, Artificial General Intelligence (AGI) Research</t>
  </si>
  <si>
    <t>www.worldlabs.ai</t>
  </si>
  <si>
    <t>http://www.linkedin.com/company/world-labs</t>
  </si>
  <si>
    <t>The company raised $230 million of Series B venture funding in a deal led by Radical Ventures, Andreessen Horowitz and New Enterprise Associates on September 13, 2024, putting the company's pre-money valuation at $900 million. AMD Ventures, Intel Capital, NVentures (Santa Clara), Adobe Ventures, Databricks Ventures, Nvidia, Salesforce Ventures, Sound Ventures, Marc Benioff, Jim Breyer, Ronald Conway, Jeff Dean, Geoffrey Hinton, Reid Hoffman, Andrej Karpathy, Ashton Kutcher, Eric Schmidt, Ram Shriram, Anne Wojcicki, Susan Wojcicki and Shinrai Investments also participated in the round. The funds will be used to develop 3D-AI technology. Previously, the company raised an estimated $61.5 million through a combination of Series A and Series A-1 venture funding from Radical Ventures and Andreessen Horowitz on April 1, 2024, putting the company's pre-money valuation at $238.5 million. Other undisclosed investors also participated in this round.</t>
  </si>
  <si>
    <t>Adobe Ventures, AMD Ventures, Andreessen Horowitz, Andrej Karpathy, Anne Wojcicki, Ashton Kutcher, Databricks Ventures, Eric Schmidt, Geoffrey Hinton, Intel Capital, Jeff Dean, Jim Breyer, Marc Benioff, New Enterprise Associates, NVentures (Santa Clara), Nvidia, Radical Ventures, Ram Shriram, Reid Hoffman, Ronald Conway, Salesforce Ventures, Shinrai Investments, Sound Ventures, Susan Wojcicki</t>
  </si>
  <si>
    <t>AMD Ventures (www.amdventures.com), Andreessen Horowitz (www.a16z.com), Intel Capital (www.intelcapital.com), New Enterprise Associates (www.nea.com), NVentures (Santa Clara) (www.nventures.ai), Nvidia (www.nvidia.com/en-us), Radical Ventures (radical.vc), Reid Hoffman (www.reidhoffman.org), Salesforce Ventures (www.salesforceventures.com), Shinrai Investments (www.shinrai-investments.com), Sound Ventures (www.soundventures.com)</t>
  </si>
  <si>
    <t>242154-64P</t>
  </si>
  <si>
    <t>Fei-Fei Li</t>
  </si>
  <si>
    <t>+1 (415) 222-9670</t>
  </si>
  <si>
    <t>info@worldlabs.ai</t>
  </si>
  <si>
    <t>549538-66</t>
  </si>
  <si>
    <t>Worth AI</t>
  </si>
  <si>
    <t>Worth</t>
  </si>
  <si>
    <t>Worth AI, Inc.</t>
  </si>
  <si>
    <t>Developer of a patent-pending platform designed to offer risk management and business valuation expertise. The company's platform predicts business futures, reduces risks, and eliminates biases with real-time data by leveraging traditional and non-traditional data sources, enabling banks, credit unions, fintech, and financial service providers to rapidly accelerate approvals for business loans and lines of credit.</t>
  </si>
  <si>
    <t>artificial intelligence technology, business credit score, compliance tool, financial data insights, onboarding tools, operational needs, predictive monitoring, risk management saas</t>
  </si>
  <si>
    <t>www.worthai.com</t>
  </si>
  <si>
    <t>http://www.linkedin.com/company/worth-ai</t>
  </si>
  <si>
    <t>2024: 28</t>
  </si>
  <si>
    <t>The company raised $12 million through a combination of Seed and Seed-1 funding from Florida Opportunity Fund, Florida Funders, Deepwork Capital, Ingeborg Investments and Thrrive on January 17, 2024, putting the company's pre-money valuation at $46 million. Gray Ventures and other undisclosed investors also participated in the round.</t>
  </si>
  <si>
    <t>Deepwork Capital, Florida Funders, Florida Opportunity Fund, Gray Ventures, Ingeborg Investments, Thrrive</t>
  </si>
  <si>
    <t>Deepwork Capital (www.deepworkcapital.com), Florida Funders (www.floridafunders.com), Florida Opportunity Fund (www.floridaopportunityfund.com), Gray Ventures (www.grayventures.com), Ingeborg Investments (Ingeborginvestments.com), Thrrive (www.thrrive.co)</t>
  </si>
  <si>
    <t>311719-96P</t>
  </si>
  <si>
    <t>Sal Rehmetullah</t>
  </si>
  <si>
    <t>+1 (321) 947-0077</t>
  </si>
  <si>
    <t>Orlando, FL</t>
  </si>
  <si>
    <t>300 South Orange Avenue</t>
  </si>
  <si>
    <t>Orlando</t>
  </si>
  <si>
    <t>32801</t>
  </si>
  <si>
    <t>471966-85</t>
  </si>
  <si>
    <t>Xata</t>
  </si>
  <si>
    <t>Xatabase Inc.</t>
  </si>
  <si>
    <t>Fauna, Stackery, Airtable</t>
  </si>
  <si>
    <t>Developer of a serverless database platform designed to match users' development workflow. The company's database helps in inserting, querying, aggregating, and searching on JavaScript, APIs, and Markup development platforms, and data is automatically replicated in several regions across the globe, enabling clients to provide minimal response time to their users.</t>
  </si>
  <si>
    <t>Business/Productivity Software, Database Software*, Software Development Applications, Systems and Information Management</t>
  </si>
  <si>
    <t>api cloud, application development, data infrastructure, data modeling, database management system, database platform, development workflow, jamstack app, reverse etl, serverless database</t>
  </si>
  <si>
    <t>www.xata.io</t>
  </si>
  <si>
    <t>http://www.linkedin.com/company/xataio</t>
  </si>
  <si>
    <t>2021: 3, 2022: 24, 2023: 31, 2024: 27</t>
  </si>
  <si>
    <t>The company raised $30.00 million of Series A venture funding in a deal led by Index Ventures and Redpoint Ventures on March 10, 2022, putting the company's pre-money valuation at $145 million. Other undisclosed investors also participated in the round. The funds will be used to build the go-to serverless database that engineers have been waiting for, with powerful features including a fully serverless design that provides automatic scaling, ACID transactions, database branches, zero-downtime migrations, and a full-text search engine with analytics.</t>
  </si>
  <si>
    <t>Andreas Klinger, Charles Songhurst, Christian Bach, Elad Gil, Firstminute Capital, Guillermo Rauch, Index Ventures, Keenan Rice, Liu Jiang, Mathias Biilmann, Neha Narkhede, Operator Collective, Redpoint Ventures, Shay Banon, Stephanie Friedman, SV Angel, Uri Boness, XFactor Ventures</t>
  </si>
  <si>
    <t>Elad Gil (www.eladgil.com), Firstminute Capital (www.firstminute.capital), Index Ventures (www.indexventures.com), Operator Collective (www.operatorcollective.com), Redpoint Ventures (www.redpoint.com), SV Angel (www.svangel.com), XFactor Ventures (www.xfactor.ventures)</t>
  </si>
  <si>
    <t>102204-46P</t>
  </si>
  <si>
    <t>Monica Sarbu</t>
  </si>
  <si>
    <t>monica@xata.io</t>
  </si>
  <si>
    <t>+1 (415) 358-0822</t>
  </si>
  <si>
    <t>Suite 2144</t>
  </si>
  <si>
    <t>info@xata.io</t>
  </si>
  <si>
    <t>492746-59</t>
  </si>
  <si>
    <t>XY Retail</t>
  </si>
  <si>
    <t>XY</t>
  </si>
  <si>
    <t>XY Retail Inc.</t>
  </si>
  <si>
    <t>Developer of an integrated platform designed for lifestyle brands to manage stores, e-commerce, customers, orders, products and inventory. The company's platform offers a global point of sale and unified commerce technology, which includes order orchestration, inventory management, made-to-measure, private sales channel, ship-from-store, CRM, clienteling and operational intelligence, enabling brands to develop and deliver their omnichannel strategies.</t>
  </si>
  <si>
    <t>Big Data, CloudTech &amp; DevOps</t>
  </si>
  <si>
    <t>big data system, cloud platform provider, cloud platform solution, consumer data analytics, crm, customer relationship management, digital commerce, ecommerce tools, integrated platform developer, omnichannel tools, retail technology platform</t>
  </si>
  <si>
    <t>www.xyretail.com</t>
  </si>
  <si>
    <t>http://www.linkedin.com/company/xyretail</t>
  </si>
  <si>
    <t>2022: 27, 2023: 34, 2024: 106</t>
  </si>
  <si>
    <t>The company raised $5 million of seed funding through a combination of Seed-1 and Seed-2 in a deal led by Monta Vista Capital on June 30, 2022, putting the company's pre-money valuation at $15 million. Stage 1 Ventures also participated in the round.</t>
  </si>
  <si>
    <t>Monta Vista Capital, Stage 1 Ventures</t>
  </si>
  <si>
    <t>Monta Vista Capital (www.montavc.com), Stage 1 Ventures (www.stage1ventures.com)</t>
  </si>
  <si>
    <t>293008-87P</t>
  </si>
  <si>
    <t>Ashif Dhanani</t>
  </si>
  <si>
    <t>Advisor</t>
  </si>
  <si>
    <t>ashif@xyretail.com</t>
  </si>
  <si>
    <t>+1 (646) 883-2533</t>
  </si>
  <si>
    <t>50 East 28th Street</t>
  </si>
  <si>
    <t>Suite 16K</t>
  </si>
  <si>
    <t>hello@xyretail.com</t>
  </si>
  <si>
    <t>502826-59</t>
  </si>
  <si>
    <t>YeshID</t>
  </si>
  <si>
    <t>YeshID, Inc.</t>
  </si>
  <si>
    <t>Developer of a cloud identity and access management software designed to make identity management effortless. The company's platform offers a simple way to manage employee authentication, authorization, on and off-boarding and compliance, enabling companies to manage the identification process.</t>
  </si>
  <si>
    <t>access management, access management technology, cloud identity, compliance requirement, identity &amp; access management, identity and access management, identity data, security management tool</t>
  </si>
  <si>
    <t>www.yeshid.com</t>
  </si>
  <si>
    <t>http://www.linkedin.com/company/yeshid</t>
  </si>
  <si>
    <t>2022: 10, 2023: 10</t>
  </si>
  <si>
    <t>The company raised an estimated $5.2 million of seed funding from Amplify Partners and Lara Druyan on July 18, 2022, putting the company's pre-money valuation at $14.8 million. Dan Hubbard and 3 other investors also participated in the round.</t>
  </si>
  <si>
    <t>Amplify Partners, Dan Hubbard, David Eckstein, Lara Druyan, Sean Leach, Tom Daly</t>
  </si>
  <si>
    <t>Amplify Partners (www.amplifypartners.com)</t>
  </si>
  <si>
    <t>311233-06P</t>
  </si>
  <si>
    <t>Dana Wolf</t>
  </si>
  <si>
    <t>+1 (617) 964-2297</t>
  </si>
  <si>
    <t>PO Box 460664</t>
  </si>
  <si>
    <t>80246</t>
  </si>
  <si>
    <t>442978-12</t>
  </si>
  <si>
    <t>YvesBlue</t>
  </si>
  <si>
    <t>Flat World Partners Technologies</t>
  </si>
  <si>
    <t>YB</t>
  </si>
  <si>
    <t>Yves Blue Corporation</t>
  </si>
  <si>
    <t>MSCI, MSCI (Global Corporate Occupiers Benchmarking Business)</t>
  </si>
  <si>
    <t>Operator of a data analytics and reporting platform intended to provide Environmental, social, and governance (ESG) analysis and portfolio management. The company's platform offers sector-specific metrics, streamlined onboarding, a consolidated dashboard, tailored reporting, carbon budget insights, and news-based analysis, providing investment companies and institutions with a clear picture of their portfolio health and associated risks.</t>
  </si>
  <si>
    <t>analytics platform, business intelligence platform, data &amp; analytics, esg assessment, investment insights, portfolio analysis</t>
  </si>
  <si>
    <t>www.yves.blue</t>
  </si>
  <si>
    <t>http://www.linkedin.com/company/yvesblue</t>
  </si>
  <si>
    <t>2020: 9, 2022: 16, 2023: 16</t>
  </si>
  <si>
    <t>The company joined Global Markets Incubator on April 4, 2023. No equity or funding was exchanged as a result of this program.</t>
  </si>
  <si>
    <t>Aflac Ventures, Day One Ventures, George Fox, Global Markets Incubator, Illuminate Financial Management, SixThirty Ventures, Tribeca Early Stage Partners, Walter Ventures</t>
  </si>
  <si>
    <t>Aflac Ventures (www.aflacventures.com), Day One Ventures (dayoneventures.com), Global Markets Incubator (www.globalmarketsincubator.societegenerale.com), Illuminate Financial Management (www.illuminatefinancial.com), SixThirty Ventures (www.sixthirty.co), Tribeca Early Stage Partners (www.tribecaesp.com), Walter Ventures (www.waltervc.com)</t>
  </si>
  <si>
    <t>140821-84P</t>
  </si>
  <si>
    <t>Anna-Marie Wascher</t>
  </si>
  <si>
    <t>Co-Founder, Chief Executive Officer, President &amp; Chairman</t>
  </si>
  <si>
    <t>anna@yves.blue</t>
  </si>
  <si>
    <t>+1 (305) 776-0473</t>
  </si>
  <si>
    <t>386 Park Avenue South</t>
  </si>
  <si>
    <t>18th Floor</t>
  </si>
  <si>
    <t>489005-38</t>
  </si>
  <si>
    <t>ZAGE (Elder and Disabled Care)</t>
  </si>
  <si>
    <t>ZAGE</t>
  </si>
  <si>
    <t>GetZage Inc.</t>
  </si>
  <si>
    <t>Papa</t>
  </si>
  <si>
    <t>Developer of an on-demand elder services app designed for assistance and healthcare services for elder people. The company's application connects elders and family members to the network of verified local service providers for managing daily tasks along with allowing users to find providers for on-demand remote assistance services for services such as doctor appointments, grocery shopping, home services, emergency services, and regular check-ins, enabling family members to take care of their elders from their mobile phones.</t>
  </si>
  <si>
    <t>Application Software, Elder and Disabled Care*</t>
  </si>
  <si>
    <t>elder care, elder healthcare, elder healthcare service, elder services, senior care, senior services</t>
  </si>
  <si>
    <t>www.getzage.com</t>
  </si>
  <si>
    <t>http://www.linkedin.com/company/getzage</t>
  </si>
  <si>
    <t>2020: 2, 2021: 5, 2022: 5, 2023: 3, 2024: 3</t>
  </si>
  <si>
    <t>The company raised $550,000 of venture funding from KiwiTech on August 30, 2021, putting the company's pre-money valuation at $15 million.</t>
  </si>
  <si>
    <t>KiwiTech, Seismic Capital</t>
  </si>
  <si>
    <t>KiwiTech (www.kiwitech.com), Seismic Capital (www.seismic.company)</t>
  </si>
  <si>
    <t>285234-40P</t>
  </si>
  <si>
    <t>Claudine Halpern</t>
  </si>
  <si>
    <t>chalpern@getzage.com</t>
  </si>
  <si>
    <t>+1 (877) 328-1637</t>
  </si>
  <si>
    <t>463 Lincoln Place Number 182</t>
  </si>
  <si>
    <t>info@getzage.com</t>
  </si>
  <si>
    <t>520994-17</t>
  </si>
  <si>
    <t>Zarta</t>
  </si>
  <si>
    <t>TapTap Labs, Inc.</t>
  </si>
  <si>
    <t>Wibbitz</t>
  </si>
  <si>
    <t>Operator of a creative platform designed to focus on pay-per-view video content. The company's platform assists users in generating income through microtransactions, while properly serving their fans with authentic content, enabling creators to create add-free and subscription-free videos for their fans.</t>
  </si>
  <si>
    <t>creative platform, creator content, creator platform, crm, customer relationship management, video creation, video making, video platform</t>
  </si>
  <si>
    <t>www.zarta.com</t>
  </si>
  <si>
    <t>http://www.linkedin.com/company/zarta</t>
  </si>
  <si>
    <t>The company raised $5.7 million of Seed funding in a deal led by Andreessen Horowitz on March 1, 2023, putting the company's pre-money valuation at $29.3 million. Endeavor, AirAngels, Dragonfly and other undisclosed investors also participated in the round. The funds will be used to open up the platform to additional creators soon and eventually open it up to all creators.</t>
  </si>
  <si>
    <t>AirAngels, Andreessen Horowitz, Dragonfly Capital (San Francisco), Endeavor</t>
  </si>
  <si>
    <t>AirAngels (airangels.co), Andreessen Horowitz (www.a16z.com), Dragonfly Capital (San Francisco) (www.dragonfly.xyz), Endeavor (www.endeavorco.com)</t>
  </si>
  <si>
    <t>337871-98P</t>
  </si>
  <si>
    <t>Luba Yudasina</t>
  </si>
  <si>
    <t>149 New Montgomery Street</t>
  </si>
  <si>
    <t>info@zarta.com</t>
  </si>
  <si>
    <t>464381-83</t>
  </si>
  <si>
    <t>Zartico</t>
  </si>
  <si>
    <t>Entrada Insights</t>
  </si>
  <si>
    <t>Zartico, Inc.</t>
  </si>
  <si>
    <t>Sense360, PlaceIQ, Qubit (Business/Productivity Software), Mobiquity Networks, Placed, Teralytics, Ubimo, Placer.ai, Blis Global, StreetLight Data, Simpleview, Optimove, Airsage, Leadspace, Citi Logik, Retention Science, AgilOne, BlueConic, Xtract Ai, Foursquare, Spotright, GroundTruth, Cuebiq, BlueVenn, Path, Simpli.fi, Unacast, Adara, Sojern, Factual, Yext, Boxever, Marigold Engage by Sailthru, NinthDecimal, Quantcast, Adobe, CARTO, Maptive, UpSnap (VoodooVox), Arrivalist, Transerve, Happiest Minds, Keen (IO), INRIX, Smaato, Cardlytics, Rocket Fuel, Xtract (Business/Productivity Software)</t>
  </si>
  <si>
    <t>Developer of a data intelligence platform designed to elevate the well-being of global communities for making informed decisions. The company's platform leverages data intelligence, analytics and visualizations and combines them with context and strategic input to assist destination management organization's data-driven decisions , enabling firms to get a spectrum of data science, benchmarking and analytical services for use in marketing, community development and sustainability efforts.</t>
  </si>
  <si>
    <t>Operating Systems Software</t>
  </si>
  <si>
    <t>Business/Productivity Software, Media and Information Services (B2B), Operating Systems Software*, Other Commercial Services</t>
  </si>
  <si>
    <t>analytical services, analytics platform, business intelligence platform, data intelligence platform, data intelligence service, destination marketing, tourism marketing, travel technology platform</t>
  </si>
  <si>
    <t>www.zartico.com</t>
  </si>
  <si>
    <t>http://www.linkedin.com/company/zartico</t>
  </si>
  <si>
    <t>2021: 38, 2022: 56, 2023: 82, 2024: 100</t>
  </si>
  <si>
    <t>The company raised $5.59 million of Series A1 venture funding from undisclosed investors on July 17, 2024, putting the company's pre-money valuation at $45.5 million.</t>
  </si>
  <si>
    <t>Arthur Ventures, Bigfoot Capital, Peterson Partners</t>
  </si>
  <si>
    <t>Arthur Ventures (www.arthurventures.com), Bigfoot Capital (www.bigfootcap.com), Peterson Partners (www.petersonpartners.com)</t>
  </si>
  <si>
    <t>120844-09P</t>
  </si>
  <si>
    <t>Sarah Lehman</t>
  </si>
  <si>
    <t>sarah.lehman@zartico.com</t>
  </si>
  <si>
    <t>+1 (801) 476-3363</t>
  </si>
  <si>
    <t>26 South Rio Grande Street</t>
  </si>
  <si>
    <t>+1 (813) 474-9388</t>
  </si>
  <si>
    <t>279628-66</t>
  </si>
  <si>
    <t>Zeal</t>
  </si>
  <si>
    <t>Puzzl</t>
  </si>
  <si>
    <t>Puzzl Group Inc.</t>
  </si>
  <si>
    <t>Check (New York), Ascentis, Finch</t>
  </si>
  <si>
    <t>Developer of a campaign tracking platform designed to automate payroll for hourly workers. The company's platform eliminates needless complexity and extraneous details to provide robust, scalable, and flexible integrations, enabling companies to integrate and automate hours of operational overhead and reduce opportunities for human error.</t>
  </si>
  <si>
    <t>FinTech, HR Tech, SaaS</t>
  </si>
  <si>
    <t>application infrastructure, automated payroll, campaign tracking, enterprise resource planning, financial services infrastructure, human capital management, payroll api, payroll work</t>
  </si>
  <si>
    <t>www.zeal.com</t>
  </si>
  <si>
    <t>http://www.linkedin.com/company/zealdotcom</t>
  </si>
  <si>
    <t>2021: 13, 2022: 41, 2023: 50, 2024: 43</t>
  </si>
  <si>
    <t>The company raised $14.5 million of Series B venture funding in a deal led by Portage on October 10, 2024, putting the company's pre-money valuation at $48 million. Spark Capital and Commerce Ventures also participated in the round. The funds will be used to revolutionize Payroll for Modern Work.</t>
  </si>
  <si>
    <t>Bob Manne, BoxGroup, Charley Ma, Commerce Ventures, Cyan Banister, Form Capital, Helen Min, Jason Gardner, Kevin Moore, Long Journey Ventures, Lorimer Ventures, Matt Straz, Mitchell Dauerman, Nico Chinot, Omri Dahan, Patrick Gannon, Portage, Robert Manne, Scott Banister, Spark Capital, Vlad Tenev, Y Combinator</t>
  </si>
  <si>
    <t>BoxGroup (www.boxgroup.com), Commerce Ventures (commerce.vc), Form Capital (www.formcapital.com), Kevin Moore (www.agileangel.com), Long Journey Ventures (www.longjourney.vc), Lorimer Ventures (www.lorimerventures.com), Portage (portageinvest.com), Scott Banister (www.banister.net), Spark Capital (www.sparkcapital.com), Y Combinator (www.ycombinator.com)</t>
  </si>
  <si>
    <t>234261-82P</t>
  </si>
  <si>
    <t>Kirti Shenoy</t>
  </si>
  <si>
    <t>kirti@joinpuzzl.com</t>
  </si>
  <si>
    <t>+1 (415) 214-9698</t>
  </si>
  <si>
    <t>80 Langton Street</t>
  </si>
  <si>
    <t>info@zeal.com</t>
  </si>
  <si>
    <t>343531-72</t>
  </si>
  <si>
    <t>Zeera</t>
  </si>
  <si>
    <t>Zeera, Inc.</t>
  </si>
  <si>
    <t>Ginger (Clinics/Outpatient Services), SilverCloud Health, TAO Connect, 98point6, MDLive, Blue Mesa Health, Mindoula, Big Health, Vida Health, myStrength, MeetDoctor, Amwell, Lyra Health, AbleTo, Quartet Health, Spring Health, Heal, Unmind, Mevoked, Lark, Headspace, Wellview (Practice Management (Healthcare)), Coa, Carena, TreVia, SuperBetter, Sanvello, Soma Sketch, HealthTap, Solera., Halodoc, Pager, Alma, Noom, Lemonaid Health, Lucid Lane, MAP Health Management, Omada, Push Doctor, BetterHelp, Optum, Welltok, CareClix, Virta Health, SeamlessMD</t>
  </si>
  <si>
    <t>Operator of a mental healthcare platform intended to offer a therapy model based on member-centered care that is affordable and effective. The company's platform aims at redesigning mental health care through a digital platform and in-person experiences, integrating empathy, design and progressive care, enabling people to access research-based therapy tools to reflect and take actionable steps for their mental wellbeing.</t>
  </si>
  <si>
    <t>Application Software, Clinics/Outpatient Services*, Information Services (B2C), Other Healthcare Technology Systems</t>
  </si>
  <si>
    <t>Digital Health, LOHAS &amp; Wellness, Mobile</t>
  </si>
  <si>
    <t>behavioral health, mental healthcare, mental healthcare app, mental healthcare service, mental wellness platform, mental wellness service, mental wellness technology, telatherapy, telehealth</t>
  </si>
  <si>
    <t>www.zeera.com</t>
  </si>
  <si>
    <t>http://www.linkedin.com/company/zeeracare</t>
  </si>
  <si>
    <t>2020: 16, 2021: 45, 2022: 115</t>
  </si>
  <si>
    <t>The company raised $37 million of Series B venture funding in a deal led by Owl Ventures on January 14, 2022, putting the company's pre-money valuation at $110 million. Female Founders Fund and 5 other investors also participated in the round. The funds will be used to expand its platform and add more resources, therapists, and Pathways, or the comprehensive therapist-created programs about mental health issues that are the app's core feature. Previously, the company raised $10 million of Series A venture funding in a deal led by Lightspeed Venture Partners on April 6, 2021, putting the company's pre-money valuation at $25 million. Reshape Ventures, Megan Rapinoe, and Eric Kendricks also participated in the round.</t>
  </si>
  <si>
    <t>Andrew Dunn, BBG Ventures (North America), Eric Kendricks, Female Founders Fund, Forerunner Ventures, G9 Ventures, Great Oaks Venture Capital, Gwyneth Paltrow, Iyah Romm, K50 Ventures, Katherine Ryder, Lightspeed Venture Partners, Megan Rapinoe, MetaProp NYC, Owl Ventures, Reshape Ventures, SoGal Ventures, Sylvia Romm</t>
  </si>
  <si>
    <t>BBG Ventures (North America) (www.bbgventures.com), Female Founders Fund (www.femalefoundersfund.com), Forerunner Ventures (www.forerunnerventures.com), G9 Ventures (www.g9.ventures), Great Oaks Venture Capital (www.greatoaksvc.com), K50 Ventures (www.k50ventures.com), Lightspeed Venture Partners (www.lsvp.com), MetaProp NYC (www.metaprop.com), Owl Ventures (www.owlvc.com), Reshape Ventures (www.reshape.co), SoGal Ventures (www.sogalventures.com)</t>
  </si>
  <si>
    <t>216938-80P</t>
  </si>
  <si>
    <t>Ariela Safira</t>
  </si>
  <si>
    <t>ariela@join-real.com</t>
  </si>
  <si>
    <t>+1 (201) 681-6168</t>
  </si>
  <si>
    <t>125 5th Avenue</t>
  </si>
  <si>
    <t>hi@join-real.com</t>
  </si>
  <si>
    <t>185520-70</t>
  </si>
  <si>
    <t>Zemble</t>
  </si>
  <si>
    <t>ClaimSpace</t>
  </si>
  <si>
    <t>Claimspace Holdings, Inc.</t>
  </si>
  <si>
    <t>Insly, Brolly [Financial Software], Instanda, ClaimVantage, Setoo, EIS Group Software, Benefix</t>
  </si>
  <si>
    <t>Developer of a software as a service-based insurance platform designed to engage, assist and empower insurance clients during the claim process. The company's platform is powered by the Amazon platform, which is used by government agencies and financial institutions to securely store information that is accessible from any device, anywhere and at all times and allows clients to retain data within their geographical area, ensuring that it does not leave the jurisdiction, enabling insurers to efficiently communicate and foster a closer relationship with their customers.</t>
  </si>
  <si>
    <t>Financial Software*, Other Insurance</t>
  </si>
  <si>
    <t>InsurTech, SaaS, TMT</t>
  </si>
  <si>
    <t>case management, claims handles, customer satisfaction, efficient communication, insurance claims app, insurance claims handles, insurance platform</t>
  </si>
  <si>
    <t>www.getzemble.com</t>
  </si>
  <si>
    <t>http://www.linkedin.com/company/zemble</t>
  </si>
  <si>
    <t>2020: 7, 2021: 12, 2022: 8</t>
  </si>
  <si>
    <t>The company joined WEVE Acceleration on an undisclosed date. No equity or funding was exchanged as a result of this program.</t>
  </si>
  <si>
    <t>Allectus Capital, Counterview Capital, gener8tor, H2 Ventures, Hartford InsurTech Hub, Insuretech Connect, InsurTech Hub Munich, Plug and Play Tech Center, Startupbootcamp, Stone &amp; Chalk, Werk 1, WEVE Acceleration</t>
  </si>
  <si>
    <t>Allectus Capital (www.allectuscapital.limited), Counterview Capital (www.counterview.vc), gener8tor (www.gener8tor.com), H2 Ventures (www.h2.vc), Hartford InsurTech Hub (www.hartfordinsurtechhub.com), Insuretech Connect (vegas.insuretechconnect.com), InsurTech Hub Munich (insurtech-munich.com), Plug and Play Tech Center (www.plugandplaytechcenter.com), Startupbootcamp (www.startupbootcamp.org), Stone &amp; Chalk (www.stoneandchalk.com.au), Werk 1 (www.werk1.com), WEVE Acceleration (weveacceleration.com)</t>
  </si>
  <si>
    <t>182208-88P</t>
  </si>
  <si>
    <t>Aurora Voss</t>
  </si>
  <si>
    <t>aurora@claimspace.io</t>
  </si>
  <si>
    <t>Suite 4082</t>
  </si>
  <si>
    <t>hello@zemble.com.au</t>
  </si>
  <si>
    <t>482318-20</t>
  </si>
  <si>
    <t>Zeno (Oklahoma)</t>
  </si>
  <si>
    <t>Zeno</t>
  </si>
  <si>
    <t>Zeno Technologies, Inc.</t>
  </si>
  <si>
    <t>Operator of a cloud-based platform designed to assist energy companies, investors, and partners to adapt and thrive in the face of new market realities. The company provides clarity to understand and improve business performance and provides insight to assess and pursue new investment opportunities, offering energy-focused organizations with modern tools to unlock data to inform more intelligent faster business decisions.</t>
  </si>
  <si>
    <t>Business/Productivity Software*, Other Energy Services</t>
  </si>
  <si>
    <t>business decision, business insights, interactive mapping, interactive mapping platform, interactive mapping services, real time business</t>
  </si>
  <si>
    <t>www.zenotech.io</t>
  </si>
  <si>
    <t>http://www.linkedin.com/company/zenotechnologies</t>
  </si>
  <si>
    <t>2021: 2, 2022: 19, 2024: 19</t>
  </si>
  <si>
    <t>The company received $250,000 of debt financing in the form of a senior secured loan from WTI Fund X BDC on December 31, 2022. Previously, the company received $750,000 of debt financing in the form of a $250,000 senior secured loan and a $250,000 unfunded commitments loan from Venture Lending &amp; Leasing IX BDC &amp; WTI Fund X BDC on June 30, 2022.</t>
  </si>
  <si>
    <t>8VC, Echo Investment Capital, Floating Point, Navigate Ventures, Western Technology Investment</t>
  </si>
  <si>
    <t>8VC (www.8vc.com), Echo Investment Capital (echo.global), Floating Point (www.floating.vc), Navigate Ventures (www.navigatevc.com), Western Technology Investment (www.westerntech.com)</t>
  </si>
  <si>
    <t>Western Technology Investment(Debt Financing)</t>
  </si>
  <si>
    <t>343048-06P</t>
  </si>
  <si>
    <t>Sean Carnahan</t>
  </si>
  <si>
    <t>sean.carnahan@zenotech.io</t>
  </si>
  <si>
    <t>Oklahoma City, OK</t>
  </si>
  <si>
    <t>120 Robert South Kerr Avenue</t>
  </si>
  <si>
    <t>Suite 701</t>
  </si>
  <si>
    <t>Oklahoma City</t>
  </si>
  <si>
    <t>73102</t>
  </si>
  <si>
    <t>info@zenotech.io</t>
  </si>
  <si>
    <t>Term Loan - $0.25M (Senior Secured)</t>
  </si>
  <si>
    <t>468975-16</t>
  </si>
  <si>
    <t>Zenoya</t>
  </si>
  <si>
    <t>ArchSlate</t>
  </si>
  <si>
    <t>The ArchSlate Company, LLC</t>
  </si>
  <si>
    <t>Developer of a talent management and productivity platform intended to help companies become profitable through resource optimization and automated workflows. The company's platform caters to the architecture, engineering, and construction industries by connecting companies with job seekers through a one-click application process, enabling clients to easily connect without any middleman, recruiters, or percentage cuts.</t>
  </si>
  <si>
    <t>Artificial Intelligence &amp; Machine Learning, Construction Technology, HR Tech, SaaS</t>
  </si>
  <si>
    <t>document management tool, job portal, online job portal, productivity platform software, project management, talent management company, talent management tool, task management platform, task management tool</t>
  </si>
  <si>
    <t>www.zenoya.ai</t>
  </si>
  <si>
    <t>http://www.linkedin.com/company/archslate</t>
  </si>
  <si>
    <t>2021: 15, 2022: 16, 2024: 15</t>
  </si>
  <si>
    <t>The company raised an undisclosed amount of venture funding from Forum Ventures in approximately December 2023.</t>
  </si>
  <si>
    <t>Forum Ventures, Harvard Innovation Launch Lab, New York Angels, On Grid Ventures, OneSixOne Ventures, Seedfunders, Tampa Bay Innovation Center, Tampa Bay Ventures, Tampa Bay Wave</t>
  </si>
  <si>
    <t>Forum Ventures (www.forumvc.com), Harvard Innovation Launch Lab (www.innovationlabs.harvard.edu), New York Angels (www.newyorkangels.com), On Grid Ventures (www.ongridventures.com), OneSixOne Ventures (www.onesixone.ventures), Seedfunders (www.seedfunders.com), Tampa Bay Innovation Center (www.tbinnovates.com), Tampa Bay Ventures (www.tampabay.ventures), Tampa Bay Wave (www.tampabaywave.org)</t>
  </si>
  <si>
    <t>266723-38P</t>
  </si>
  <si>
    <t>Vaishnavi More</t>
  </si>
  <si>
    <t>vm@archslate.com</t>
  </si>
  <si>
    <t>+1 (734) 548-7868</t>
  </si>
  <si>
    <t>21 Peabody Terrace</t>
  </si>
  <si>
    <t>Apartment 21</t>
  </si>
  <si>
    <t>02138</t>
  </si>
  <si>
    <t>info@archslate.com</t>
  </si>
  <si>
    <t>541926-55</t>
  </si>
  <si>
    <t>Zeplyn</t>
  </si>
  <si>
    <t>DeepInsights AI Inc.</t>
  </si>
  <si>
    <t>Developer of financial software designed to optimize the workflows of advisory firms, including broker-dealers and private wealth banks. The company's software reduces the admin burden on advisors by automating time-consuming manual meeting workflows and admin tasks such as preparing agendas, logging call notes, delegating tasks, and synthesizing structured notes and action items from client meetings, enabling firms to streamline advisory workflows and drive client engagement.</t>
  </si>
  <si>
    <t>advisory software, ai advisory, financial advising platform, financial advisor, wealth management, wealth management software, work automation</t>
  </si>
  <si>
    <t>www.zeplyn.ai</t>
  </si>
  <si>
    <t>http://www.linkedin.com/company/zeplyn-ai</t>
  </si>
  <si>
    <t>2023: 2, 2024: 15</t>
  </si>
  <si>
    <t>The company raised $3 million of seed funding in a deal led by Leo Capital on November 13, 2024. Converge Venture Partners and other angel investors also participated in the round. The funds will be used to support the company as it rebuilds wealth management from an AI-native perspective. Previously, the company joined The Founders Arena as a part of its WealthTech Accelerator Cohort on October 1, 2024. No equity or funding was exchanged as a result of this program. Prior, the company raised $2.61 million of seed funding through a combination of Seed-1 and Seed-2 from SYN Ventures on July 2, 2024, putting the company's pre-money valuation at $7.40 million. The amount was raised in the form of convertible debt that subsequently got converted into equity.</t>
  </si>
  <si>
    <t>Converge Venture Partners, Leo Capital, SYN Ventures, The Founders Arena</t>
  </si>
  <si>
    <t>Converge Venture Partners (converge.vc), Leo Capital (www.leo.capital), SYN Ventures (www.synventures.com), The Founders Arena (www.thefoundersarena.com)</t>
  </si>
  <si>
    <t>395957-17P</t>
  </si>
  <si>
    <t>Era Jain</t>
  </si>
  <si>
    <t>era@zeplyn.ai</t>
  </si>
  <si>
    <t>+1 (917) 257-1013</t>
  </si>
  <si>
    <t>500 West 56th Street</t>
  </si>
  <si>
    <t>info@zeplyn.ai</t>
  </si>
  <si>
    <t>232710-40</t>
  </si>
  <si>
    <t>Zeta Help Inc.</t>
  </si>
  <si>
    <t>Honeydue, Honeyfi, Mint (Social/Platform Software)</t>
  </si>
  <si>
    <t>Developer of a financial money management platform designed to help families manage their finances together The company's platform includes keeping track of bank accounts by showing sharing controls, shared and personal budgets, split transactions, memos, bill reminders, money coaching, and various other features, enabling families to easily track spending, set budgets, and achieve financial goals together</t>
  </si>
  <si>
    <t>credit &amp; banking, credit and banking, digital banking, family finance, family savings, finance management platform, financial education software, joint account, neobanking platform</t>
  </si>
  <si>
    <t>www.askzeta.com</t>
  </si>
  <si>
    <t>http://www.linkedin.com/company/askzeta</t>
  </si>
  <si>
    <t>2018: 5, 2021: 27, 2022: 27, 2023: 27, 2024: 26</t>
  </si>
  <si>
    <t>The company raised $7.8 million through a combination of Seed Prime-1, and Seed Prime-2 funding in a deal led by Vinod Khosla on August 7, 2024, putting the company's pre-money valuation at $28.2 million. Deciens Capital, Precursor Ventures, and other undisclosed investors also participated in the round.</t>
  </si>
  <si>
    <t>Clay Robbins, Deciens Capital, Elain Szu, Farnoosh Torabi, Goodwater Capital, Graham &amp; Walker, Kishore Ganji, Lauren Berson, Maia Bittner, Michael Vaughan, Plug and Play Tech Center, Precursor Ventures, Rohini Pandhi, Sarah Imbach, TLC Collective, Transparent Collective, Tribe Capital, Vinod Khosla</t>
  </si>
  <si>
    <t>Deciens Capital (www.deciens.com), Goodwater Capital (www.goodwatercap.com), Graham &amp; Walker (www.grahamwalker.com), Michael Vaughan (michaelvaughan.net), Plug and Play Tech Center (www.plugandplaytechcenter.com), Precursor Ventures (precursorvc.com), TLC Collective (tlccollective.space), Transparent Collective (www.transparentcollective.com), Tribe Capital (www.tribecap.co)</t>
  </si>
  <si>
    <t>WilmerHale(Legal Advisor)</t>
  </si>
  <si>
    <t>193442-50P</t>
  </si>
  <si>
    <t>Aditi Shekar</t>
  </si>
  <si>
    <t>aditi@askzeta.com</t>
  </si>
  <si>
    <t>Suite 4718</t>
  </si>
  <si>
    <t>hello@askzeta.com</t>
  </si>
  <si>
    <t>461810-35</t>
  </si>
  <si>
    <t>Zette</t>
  </si>
  <si>
    <t>Off Topic, Inc.</t>
  </si>
  <si>
    <t>Developer of a browser extension designed to access premium online content behind article paywalls. The company's platform bypasses the paywall to newspaper articles while also supporting the publication, enabling users to access news articles at an affordable price.</t>
  </si>
  <si>
    <t>Internet Software*, Publishing</t>
  </si>
  <si>
    <t>chrome extensions, media company, media technology, news content, paywall system, publishing data</t>
  </si>
  <si>
    <t>www.zette.ai</t>
  </si>
  <si>
    <t>http://www.linkedin.com/company/zette</t>
  </si>
  <si>
    <t>2021: 14, 2022: 10</t>
  </si>
  <si>
    <t>The company raised $0.957447 of equity crowdfunding in the form of SAFE notes via Wefunder on June 17, 2024. Harvard Alumni Entrepreneurs also participated in this round.</t>
  </si>
  <si>
    <t>Afore Capital, Exponential Impact, Gaingels, Halogen Ventures, Harvard Alumni Entrepreneurs, Hyphen Capital (San Francisco), Jay Kim, Jeffrey Leerink, MGV Capital Group, The Community Fund</t>
  </si>
  <si>
    <t>Afore Capital (www.afore.vc), Exponential Impact (www.exponentialimpact.com), Gaingels (www.gaingels.com), Halogen Ventures (www.halogenvc.com), Harvard Alumni Entrepreneurs (harvardae.org), Hyphen Capital (San Francisco) (www.hyphencap.com), MGV Capital Group (www.mgvcapital.com), The Community Fund (www.thecommunity.vc)</t>
  </si>
  <si>
    <t>254588-86P</t>
  </si>
  <si>
    <t>Yehong Zhu</t>
  </si>
  <si>
    <t>+1 (617) 453-8225</t>
  </si>
  <si>
    <t>Suite 4254</t>
  </si>
  <si>
    <t>+1 (877) 206-1267</t>
  </si>
  <si>
    <t>contact@zette.com</t>
  </si>
  <si>
    <t>253149-76</t>
  </si>
  <si>
    <t>Zeva</t>
  </si>
  <si>
    <t>Zeva, Inc.</t>
  </si>
  <si>
    <t>Developer of an encryption and identity management platform designed to provide cybersecurity services. The company's platform licenses commercial off-the-shelf products that address the public key enablement needs of highly regulated agencies and holds multiple patents for encryption and decryption technologies, enabling organizations to get tailored tools for identity credentialing and access management, cloud and systems architecture, and custom software development.</t>
  </si>
  <si>
    <t>customer service technology, data protection &amp; encryption, data protection and encryption, data security, encryption algorithm, encryption management, encryption tools, identity management platform, security services, software infrastructure services, technology infrastructure management</t>
  </si>
  <si>
    <t>www.zevainc.com</t>
  </si>
  <si>
    <t>http://www.linkedin.com/company/zeva-incorporated</t>
  </si>
  <si>
    <t>2022: 31, 2023: 24, 2024: 30</t>
  </si>
  <si>
    <t>The company raised $100,000 of venture funding from Keiretsu Forum on June 1, 2022.</t>
  </si>
  <si>
    <t>Keiretsu Forum</t>
  </si>
  <si>
    <t>Keiretsu Forum (www.keiretsuforum.com)</t>
  </si>
  <si>
    <t>219824-92P</t>
  </si>
  <si>
    <t>Issam Andoni</t>
  </si>
  <si>
    <t>Founder, Co-Chief Technology Officer, Chairman &amp; President</t>
  </si>
  <si>
    <t>sam.andoni@zevainc.com</t>
  </si>
  <si>
    <t>+1 (888) 938-2462</t>
  </si>
  <si>
    <t>10300 Eaton Place</t>
  </si>
  <si>
    <t>22030</t>
  </si>
  <si>
    <t>info@zevainc.com</t>
  </si>
  <si>
    <t>435360-88</t>
  </si>
  <si>
    <t>Zingeroo</t>
  </si>
  <si>
    <t>Zingeroo, Inc.</t>
  </si>
  <si>
    <t>Developer of an online trading platform designed to make investing competitive, social, and educational. The company's platform offers to learn about trading options in a social, fun and interactive way, enabling investors to build their portfolios and measure performance against the competition.</t>
  </si>
  <si>
    <t>FinTech, Gaming</t>
  </si>
  <si>
    <t>brokerage, digital advisory, financial software, gaming app, online platform, online trading firm, social trading, trading platform software, wealthtech</t>
  </si>
  <si>
    <t>www.zingeroo.com</t>
  </si>
  <si>
    <t>http://www.linkedin.com/company/zingeroo</t>
  </si>
  <si>
    <t>2020: 8, 2021: 27, 2022: 23, 2023: 11</t>
  </si>
  <si>
    <t>The company raised $8.5 million of Series A2 venture funding from Streamlined Ventures, Predictive Venture Partners and Rackhouse Venture Capital on November 9, 2022, putting the company's pre-money valuation at $70 million. SquareOne Capital and 5 other investors also participated in the round.</t>
  </si>
  <si>
    <t>Anthemis, Ed Baker, Founders First, Gutbrain Ventures, Howard Lindzon, Joint Effects, Paul English, Predictive Venture Partners, Rackhouse Venture Capital, Raiz Capital, Rsquared, Social Leverage, SquareOne Capital, Streamlined Ventures, TBD Angels, Ullas Naik</t>
  </si>
  <si>
    <t>Biobrit</t>
  </si>
  <si>
    <t>Anthemis (www.anthemis.com), Ed Baker (talesofedbaker.com), Founders First (www.foundersfirst.fund), Gutbrain Ventures (www.gutbrainventures.com), Howard Lindzon (www.howardlindzon.com), Joint Effects (www.jointeffects.vc), Paul English (www.paulenglish.com), Predictive Venture Partners (www.predictivevc.com), Rackhouse Venture Capital (www.rackhouse.vc), Raiz Capital (www.raiz.vc), Rsquared (riskandreturn.org), Social Leverage (www.socialleverage.com), SquareOne Capital (squareonecap.com), Streamlined Ventures (www.streamlined.vc), TBD Angels (www.tbdangels.com)</t>
  </si>
  <si>
    <t>Biobrit (biobrit.com)</t>
  </si>
  <si>
    <t>145384-48P</t>
  </si>
  <si>
    <t>Mary Hirtle</t>
  </si>
  <si>
    <t>+1 (617) 752-1848</t>
  </si>
  <si>
    <t>Duxbury, MA</t>
  </si>
  <si>
    <t>289 Saint George Street</t>
  </si>
  <si>
    <t>Duxbury</t>
  </si>
  <si>
    <t>02332</t>
  </si>
  <si>
    <t>+1 (774) 402-0849</t>
  </si>
  <si>
    <t>contact@zingeroo.com</t>
  </si>
  <si>
    <t>510356-98</t>
  </si>
  <si>
    <t>Zinnia (Media and Information Services (B2B))</t>
  </si>
  <si>
    <t>Zinnia</t>
  </si>
  <si>
    <t>Zinnia Software, Inc.</t>
  </si>
  <si>
    <t>Developer of an artificial intelligence-based meeting preparation platform designed to get daily updates on the important details of meetings with people. The company's platform offers the details of every person with whom one is meeting each day including personal, professional, and newsworthy data, enabling users to build trusted relationships and personalize their customer interactions.</t>
  </si>
  <si>
    <t>clients information, data feed, data generation, human connection, meeting platform, meeting tools</t>
  </si>
  <si>
    <t>www.getzinnia.ai</t>
  </si>
  <si>
    <t>http://www.linkedin.com/company/getzinnia</t>
  </si>
  <si>
    <t>2022: 4, 2024: 6</t>
  </si>
  <si>
    <t>The company raised $250,000 of venture funding from CreativeCo Capital, Charlotte Fund, Gray Ventures and Atlanta Ventures on April 10, 2023.</t>
  </si>
  <si>
    <t>Atlanta Ventures, Charlotte Fund, CreativeCo Capital, Gray Ventures</t>
  </si>
  <si>
    <t>Atlanta Ventures (www.atlantaventures.com), Charlotte Fund (www.charlottefund.com), CreativeCo Capital (creative.co), Gray Ventures (www.grayventures.com)</t>
  </si>
  <si>
    <t>278894-44P</t>
  </si>
  <si>
    <t>Lauren Marturano</t>
  </si>
  <si>
    <t>lmarturano@getzinnia.ai</t>
  </si>
  <si>
    <t>+1 (512) 795-5387</t>
  </si>
  <si>
    <t>3423 piedmont Road NorthEast</t>
  </si>
  <si>
    <t>493401-34</t>
  </si>
  <si>
    <t>Zipy</t>
  </si>
  <si>
    <t>Zipy Inc.</t>
  </si>
  <si>
    <t>Embrace, Apteligent, Instana, Catchpoint, Grafana Labs, Rollbar, Honeycomb.io, Datadog, APImetrics, LogRocket, Metabase, Ad-Juster, Backtrace, Logmatic.io, OverOps, Sumo Logic, Airbrake, SignalFx, observIQ, Loggly, LogRhythm, Aeris Communications, eG Innovations, Diffbot, Sentry, Chartio, Keen (IO), Undo, Dynatrace, FullStory</t>
  </si>
  <si>
    <t>Developer of a unified customer experience platform designed to improve user experience problems by combining session replay, product analytics, error monitoring, and fixing all in one. The company's platform provides real-time detection of errors with analysis of the root cause and records the user actions, request responses, console events, errors and exceptions in the user environment to proactively resolve issues, enabling companies to fix critical customer issues much faster to save time, reduce churn, and impact revenue directly.</t>
  </si>
  <si>
    <t>Application Software, Business/Productivity Software*, Internet Software, Media and Information Services (B2B), Other Business Products and Services</t>
  </si>
  <si>
    <t>analytics platform, bug fixing, bugs finder, bugs testing, error monitoring, error monitoring platform, performance monitoring software, product analytics, real time detection, software development</t>
  </si>
  <si>
    <t>www.zipy.ai</t>
  </si>
  <si>
    <t>http://www.linkedin.com/company/zipyai</t>
  </si>
  <si>
    <t>2022: 15, 2024: 13</t>
  </si>
  <si>
    <t>The company raised $2.8 million of seed funding in a deal led by Blume Ventures and Together Fund on April 13, 2022. Alphatron Capital, Better Capital (California), First Cheque, Boldcap, Neeraj Arora, Deepak Diwakar, Nishant Mungali, Dilipkumar Khandelwal, Vaibhav Domkundwar, Jyoti Bansal and Girish Mathrubootam also participated in the round. The funds will be used to strengthen the platform's technology and make bug-solving more proactive, intelligent, and tech stack agnostic.</t>
  </si>
  <si>
    <t>Alphatron Capital, Better Capital (California), Blume Ventures, BoldCap, Deepak Diwakar, Dilipkumar Khandelwal, First Cheque, Girish Mathrubootam, Jyoti Bansal, Neeraj Arora, Nishant Mungali, Together Fund, Vaibhav Domkundwar</t>
  </si>
  <si>
    <t>Alphatron Capital (alphatroncap.com), Better Capital (California) (www.bettercapital.vc), Blume Ventures (www.blume.vc), BoldCap (www.boldcap.com), First Cheque (firstcheque.vc), Together Fund (www.together.fund)</t>
  </si>
  <si>
    <t>294496-39P</t>
  </si>
  <si>
    <t>Vishalini Paliwal</t>
  </si>
  <si>
    <t>vishalini.paliwal@zipy.ai</t>
  </si>
  <si>
    <t>1010, Silliman Street</t>
  </si>
  <si>
    <t>94134</t>
  </si>
  <si>
    <t>hello@zipy.ai</t>
  </si>
  <si>
    <t>264359-80</t>
  </si>
  <si>
    <t>Zoee</t>
  </si>
  <si>
    <t>SoleLife</t>
  </si>
  <si>
    <t>Zoee, Inc.</t>
  </si>
  <si>
    <t>Profi, BetterUp</t>
  </si>
  <si>
    <t>Developer of a coaching software designed to help coaches run their businesses and increase revenue. The company's software provides coaches with a space to connect with each other, share ideas and learn from each other, enabling coaches to access the tools and resources they need to grow their businesses.</t>
  </si>
  <si>
    <t>Business/Productivity Software, Education and Training Services (B2B)*, Educational Software, Media and Information Services (B2B)</t>
  </si>
  <si>
    <t>coaching business tools, coaching software, matching algorithm software, virtual coaching, virtual coaching tool, virtual community</t>
  </si>
  <si>
    <t>www.zoee.com</t>
  </si>
  <si>
    <t>http://www.linkedin.com/company/zoee</t>
  </si>
  <si>
    <t>2019: 2, 2020: 9, 2022: 13, 2023: 14, 2024: 18</t>
  </si>
  <si>
    <t>The company raised $1.54 million of convertible debt financing from Oval Park Capital and other undisclosed investors on April 24, 2022.</t>
  </si>
  <si>
    <t>Aline Soelaeman, Amy Gawlik, Astralabs, Barabara Synder, James Taggart, Jayant Khadilkar, Larry Knigge, Michelle Lee Jenkins, Oval Park Capital, Randy McKay, Techstars</t>
  </si>
  <si>
    <t>Astralabs (www.astralabs.com), Oval Park Capital (www.ovalpark.com), Techstars (www.techstars.com)</t>
  </si>
  <si>
    <t>198700-84P</t>
  </si>
  <si>
    <t>Nichole Lowe</t>
  </si>
  <si>
    <t>nichole@zoee.com</t>
  </si>
  <si>
    <t>+1 (877) 367-9633</t>
  </si>
  <si>
    <t>310 South Harrington Street</t>
  </si>
  <si>
    <t>hello@zoee.com</t>
  </si>
  <si>
    <t>Bridge Loan - $1.54M (Convertible)</t>
  </si>
  <si>
    <t>277678-36</t>
  </si>
  <si>
    <t>Zomentum</t>
  </si>
  <si>
    <t>ChannelForce</t>
  </si>
  <si>
    <t>Pactora Inc.</t>
  </si>
  <si>
    <t>Quoter, Outreach, PandaDoc, SalesLoft, Teamwork, Asana, Netformx, FPX, Smartsheet, ConnectWise, Configure One, Monday.com, Configit, Callidus Software, Yagna, QuoteWerks, RedBooth, Yandiki, ProjectManager, Kaseya</t>
  </si>
  <si>
    <t>Developer of a sales support platform designed to accelerate managed services providers' sales processes. The company's platform offers sales funnel management, workflow automation, analytics, and assessment, enabling channel partners to grow their businesses more smartly.</t>
  </si>
  <si>
    <t>channel sales, crm, customer relationship management, revenue platform, sales management, sales revenue, technology service provider, workflow automation</t>
  </si>
  <si>
    <t>www.zomentum.com</t>
  </si>
  <si>
    <t>http://www.linkedin.com/company/zomentum</t>
  </si>
  <si>
    <t>2018: 5, 2019: 15, 2020: 35, 2021: 80, 2022: 100, 2023: 100, 2024: 110</t>
  </si>
  <si>
    <t>The company raised $13 million of Series A venture funding in a deal led by Accel, Elevation Capital and Greenoaks Capital Partners on February 16, 2021, putting the company's pre-money valuation at $40 million. Eight Roads also participated in the round. The funds will be used to expand the company's presence in the market and broaden its product offerings.</t>
  </si>
  <si>
    <t>Accel, Eight Roads, Elevation Capital (India), Greenoaks Capital Partners, SAIF Partners</t>
  </si>
  <si>
    <t>Accel (www.accel.com), Eight Roads (eightroads.com), Elevation Capital (India) (www.elevationcapital.com), Greenoaks Capital Partners (www.greenoaks.com), SAIF Partners (www.sbaif.com)</t>
  </si>
  <si>
    <t>100321-84P</t>
  </si>
  <si>
    <t>Shruti Ghatge</t>
  </si>
  <si>
    <t>shruti@zomentum.com</t>
  </si>
  <si>
    <t>+1 (415) 903-6721</t>
  </si>
  <si>
    <t>649 Mission Street</t>
  </si>
  <si>
    <t>459827-56</t>
  </si>
  <si>
    <t>Zytara</t>
  </si>
  <si>
    <t>Zytara Inc.</t>
  </si>
  <si>
    <t>Stably, Elitium</t>
  </si>
  <si>
    <t>Operator of a fintech platform intended to merge traditional banking systems with new-age digital assets such as cryptocurrencies and non-fungible tokens (NFTs). The company's platform converts collectibles such as in-game skins, giveaways, and digital art into non-fungible tokens (NFTs) that can be brought, traded, or sold, enabling big brands to create and incorporate non-fungible tokens to accelerate customer engagement in a unique and trendy way.</t>
  </si>
  <si>
    <t>Application Software, Financial Software, Other Financial Services*</t>
  </si>
  <si>
    <t>cryptocurrencies trading, defi assets, digital asset, financial technology firm, nft trading, non-fungible tokens platform</t>
  </si>
  <si>
    <t>www.zytara.com</t>
  </si>
  <si>
    <t>http://www.linkedin.com/company/zytara</t>
  </si>
  <si>
    <t>2021: 22, 2022: 25, 2023: 17</t>
  </si>
  <si>
    <t>The company raised an undisclosed amount of angel funding from David Beckham on March 24, 2022.</t>
  </si>
  <si>
    <t>David Beckham, Dot Capital, GDA Capital, GDA investments</t>
  </si>
  <si>
    <t>Dot Capital (www.dotcapital.com), GDA Capital (www.gda.capital), GDA investments (www.gda.investments)</t>
  </si>
  <si>
    <t>48080-44P</t>
  </si>
  <si>
    <t>Al Burgio</t>
  </si>
  <si>
    <t>aburgio@zytara.com</t>
  </si>
  <si>
    <t>+1 (855) 858-5497</t>
  </si>
  <si>
    <t>7302 Yellowstone Road</t>
  </si>
  <si>
    <t>Cheyenne Way</t>
  </si>
  <si>
    <t>82009</t>
  </si>
  <si>
    <t>+1 (510) 368-0076</t>
  </si>
  <si>
    <t>© PitchBook Data, Inc. 2024</t>
  </si>
  <si>
    <t>Search Link:</t>
  </si>
  <si>
    <t>https://my.pitchbook.com/?pcc=1084036-06</t>
  </si>
  <si>
    <t>Search Criteria:</t>
  </si>
  <si>
    <t xml:space="preserve">Deal Date: From: 01-Jan-2020; Deal Options: Search on a full transaction; Exclude deals without a deal size; Deal Status: Completed; Deal Type: All Round Numbers &gt; Round 1; Native Currency of Deal: US Dollars (USD); Ownership Status: Privately Held (backing); Location: United States; Gender: Female; Position Level: Chief Executive Officer; Founder/founding Partner; Investor Location: United States; Industries: Information Technology; </t>
  </si>
  <si>
    <t>Search Result Columns</t>
  </si>
  <si>
    <t>Downloaded on:</t>
  </si>
  <si>
    <t>Created for:</t>
  </si>
  <si>
    <t>Alejandra Marin, Texas Tech University - Faculty</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</si>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</sst>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2" formatCode="#,###"/>
    <numFmt numFmtId="83" formatCode="#,##0.00;[red](#,##0.00)"/>
    <numFmt numFmtId="84" formatCode="#,##0;[red](#,##0)"/>
    <numFmt numFmtId="85" formatCode="0000"/>
    <numFmt numFmtId="86" formatCode="dd-MMM-yyyy"/>
    <numFmt numFmtId="87" formatCode="#,##0.00;[red]-#,##0.00"/>
    <numFmt numFmtId="88" formatCode="#,##0.00&quot;%&quot;;[red]-#,##0.00&quot;%&quot;"/>
    <numFmt numFmtId="89" formatCode="#,##0;"/>
    <numFmt numFmtId="90" formatCode="#,##0.00x;[red]-#,##0.00x"/>
    <numFmt numFmtId="91" formatCode="#,##0;[red]-#,##0"/>
    <numFmt numFmtId="92" formatCode="dd-mmm-yyyy"/>
  </numFmts>
  <fonts count="23">
    <font>
      <sz val="11"/>
      <color theme="1"/>
      <name val="Calibri"/>
      <family val="2"/>
      <scheme val="minor"/>
    </font>
    <font>
      <b/>
      <sz val="8"/>
      <color rgb="FFFFFFFF"/>
      <name val="Arial"/>
      <family val="2"/>
    </font>
    <font>
      <sz val="8"/>
      <color theme="1"/>
      <name val="Arial"/>
      <family val="2"/>
    </font>
    <font>
      <sz val="8"/>
      <color rgb="FF0015FF"/>
      <name val="Arial"/>
      <family val="2"/>
    </font>
    <font>
      <sz val="8"/>
      <color theme="1"/>
      <name val="Arial"/>
      <family val="2"/>
    </font>
    <font>
      <b/>
      <sz val="8"/>
      <color rgb="FF800000"/>
      <name val="Arial"/>
      <family val="2"/>
    </font>
    <font>
      <u/>
      <sz val="11"/>
      <color rgb="FF0563C1"/>
      <name val="Calibri"/>
    </font>
    <font>
      <b/>
      <sz val="8"/>
      <color rgb="FF0015FF"/>
      <name val="Arial"/>
      <family val="2"/>
    </font>
    <font>
      <b/>
      <sz val="16"/>
      <color theme="1"/>
      <name val="Arial"/>
      <family val="2"/>
    </font>
    <font>
      <sz val="8"/>
      <color theme="1"/>
      <name val="Arial"/>
      <family val="2"/>
    </font>
    <font>
      <sz val="8"/>
      <color theme="1"/>
      <name val="Arial"/>
      <family val="2"/>
    </font>
    <font>
      <sz val="8"/>
      <color theme="1"/>
      <name val="Arial"/>
      <family val="2"/>
    </font>
    <font>
      <sz val="8"/>
      <color rgb="FF0015FF"/>
      <name val="Arial"/>
      <family val="2"/>
    </font>
    <font>
      <sz val="11"/>
      <color theme="1"/>
      <name val="Calibri"/>
      <family val="2"/>
      <scheme val="minor"/>
    </font>
    <font>
      <b/>
      <sz val="14"/>
      <color theme="1"/>
      <name val="Arial"/>
      <family val="2"/>
    </font>
    <font>
      <b/>
      <sz val="14"/>
      <color theme="1"/>
      <name val="Arial"/>
      <family val="2"/>
    </font>
    <font>
      <b/>
      <sz val="14"/>
      <color theme="1"/>
      <name val="Arial"/>
      <family val="2"/>
    </font>
    <font>
      <i/>
      <sz val="10"/>
      <color theme="1"/>
      <name val="Arial"/>
      <family val="2"/>
    </font>
    <font>
      <i/>
      <sz val="10"/>
      <color theme="1"/>
      <name val="Arial"/>
      <family val="2"/>
    </font>
    <font>
      <i/>
      <sz val="10"/>
      <color theme="1"/>
      <name val="Arial"/>
      <family val="2"/>
    </font>
    <font>
      <i/>
      <sz val="10"/>
      <color rgb="FF0015FF"/>
      <name val="Arial"/>
      <family val="2"/>
    </font>
    <font>
      <i/>
      <sz val="10"/>
      <color rgb="FF0015FF"/>
      <name val="Arial"/>
      <family val="2"/>
    </font>
    <font>
      <i/>
      <sz val="10"/>
      <color rgb="FF0015FF"/>
      <name val="Arial"/>
      <family val="2"/>
    </font>
  </fonts>
  <fills count="5">
    <fill>
      <patternFill patternType="none"/>
    </fill>
    <fill>
      <patternFill patternType="gray125"/>
    </fill>
    <fill>
      <patternFill patternType="solid">
        <fgColor rgb="FF4F81BD"/>
        <bgColor rgb="FF4F81BD"/>
      </patternFill>
    </fill>
    <fill>
      <patternFill patternType="solid">
        <fgColor rgb="FFEEF3F8"/>
        <bgColor rgb="FFEEF3F8"/>
      </patternFill>
    </fill>
    <fill>
      <patternFill patternType="solid">
        <fgColor rgb="FFFFFFFF"/>
        <bgColor rgb="FFFFFFFF"/>
      </patternFill>
    </fill>
  </fills>
  <borders count="3">
    <border>
      <left/>
      <right/>
      <top/>
      <bottom/>
      <diagonal/>
    </border>
    <border>
      <left/>
      <right style="thin">
        <color rgb="FFD3D3D3"/>
      </right>
      <top/>
      <bottom/>
      <diagonal/>
    </border>
    <border>
      <left/>
      <right style="dashed">
        <color rgb="FFD3D3D3"/>
      </right>
      <top/>
      <bottom/>
      <diagonal/>
    </border>
  </borders>
  <cellStyleXfs count="18">
    <xf numFmtId="0" fontId="0" fillId="0" borderId="0"/>
    <xf numFmtId="0" fontId="1" fillId="0" borderId="0">
      <alignment horizontal="center" vertical="center" wrapText="1"/>
    </xf>
    <xf numFmtId="0" fontId="2" fillId="0" borderId="0">
      <alignment horizontal="left" vertical="center"/>
    </xf>
    <xf numFmtId="0" fontId="2" fillId="0" borderId="0">
      <alignment horizontal="right" vertical="center"/>
    </xf>
    <xf numFmtId="0" fontId="3" fillId="0" borderId="0">
      <alignment horizontal="left" vertical="center" indent="1"/>
    </xf>
    <xf numFmtId="0" fontId="11" fillId="0" borderId="0"/>
    <xf numFmtId="0" fontId="2" fillId="0" borderId="0">
      <alignment horizontal="right" vertical="center"/>
    </xf>
    <xf numFmtId="0" fontId="6" fillId="0" borderId="0" applyNumberFormat="0" applyFill="0" applyBorder="0" applyAlignment="0" applyProtection="0"/>
    <xf numFmtId="0" fontId="7" fillId="0" borderId="0">
      <alignment horizontal="left" vertical="center"/>
    </xf>
    <xf numFmtId="0" fontId="2" fillId="0" borderId="0">
      <alignment horizontal="right" vertical="top"/>
    </xf>
    <xf numFmtId="0" fontId="5" fillId="0" borderId="0">
      <alignment horizontal="left" vertical="top" wrapText="1"/>
    </xf>
    <xf numFmtId="0" fontId="8" fillId="0" borderId="0">
      <alignment horizontal="left" vertical="center"/>
    </xf>
    <xf numFmtId="0" fontId="11" fillId="0" borderId="0">
      <alignment horizontal="right" vertical="center"/>
    </xf>
    <xf numFmtId="0" fontId="11" fillId="0" borderId="0">
      <alignment horizontal="left" vertical="center"/>
    </xf>
    <xf numFmtId="0" fontId="16" fillId="0" borderId="0"/>
    <xf numFmtId="0" fontId="19" fillId="0" borderId="0"/>
    <xf numFmtId="0" fontId="22" fillId="0" borderId="0"/>
    <xf numFmtId="0" fontId="19" fillId="0" borderId="0">
      <alignment horizontal="right"/>
    </xf>
  </cellStyleXfs>
  <cellXfs count="55">
    <xf numFmtId="0" fontId="0" fillId="0" borderId="0" xfId="0"/>
    <xf numFmtId="92" fontId="11" fillId="0" borderId="0" xfId="13" applyNumberFormat="1">
      <alignment horizontal="left" vertical="center"/>
    </xf>
    <xf numFmtId="0" fontId="1" fillId="2" borderId="0" xfId="1" applyFill="1">
      <alignment horizontal="center" vertical="center" wrapText="1"/>
    </xf>
    <xf numFmtId="0" fontId="12" fillId="3" borderId="2" xfId="4" applyNumberFormat="1" applyFont="1" applyFill="1" applyBorder="1" applyAlignment="1" applyProtection="1">
      <alignment horizontal="left" vertical="center" indent="1"/>
    </xf>
    <xf numFmtId="0" fontId="12" fillId="4" borderId="2" xfId="4" applyNumberFormat="1" applyFont="1" applyFill="1" applyBorder="1" applyAlignment="1" applyProtection="1">
      <alignment horizontal="left" vertical="center" indent="1"/>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0" fillId="0" borderId="0" xfId="0">
      <protection locked="0"/>
    </xf>
    <xf numFmtId="0" fontId="3" fillId="3" borderId="2" xfId="4" applyFill="1" applyBorder="1" applyAlignment="1">
      <alignment horizontal="left" vertical="center" indent="1"/>
    </xf>
    <xf numFmtId="0" fontId="2" fillId="3" borderId="2" xfId="3" applyFill="1" applyBorder="1" applyAlignment="1">
      <alignment horizontal="right" vertical="center" indent="1"/>
    </xf>
    <xf numFmtId="0" fontId="2" fillId="3" borderId="2" xfId="2" applyFill="1" applyBorder="1" applyAlignment="1">
      <alignment horizontal="left" vertical="center" indent="1"/>
    </xf>
    <xf numFmtId="82" fontId="2" fillId="3" borderId="2" xfId="3" applyNumberFormat="1" applyFill="1" applyBorder="1" applyAlignment="1">
      <alignment horizontal="right" vertical="center" indent="1"/>
    </xf>
    <xf numFmtId="88" fontId="2" fillId="3" borderId="2" xfId="3" applyNumberFormat="1" applyFill="1" applyBorder="1" applyAlignment="1">
      <alignment horizontal="right" vertical="center" indent="1"/>
    </xf>
    <xf numFmtId="91" fontId="2" fillId="3" borderId="2" xfId="3" applyNumberFormat="1" applyFill="1" applyBorder="1" applyAlignment="1">
      <alignment horizontal="right" vertical="center" indent="1"/>
    </xf>
    <xf numFmtId="89" fontId="2" fillId="3" borderId="2" xfId="3" applyNumberFormat="1" applyFill="1" applyBorder="1" applyAlignment="1">
      <alignment horizontal="right" vertical="center" indent="1"/>
    </xf>
    <xf numFmtId="86" fontId="2" fillId="3" borderId="2" xfId="3" applyNumberFormat="1" applyFill="1" applyBorder="1" applyAlignment="1">
      <alignment horizontal="right" vertical="center" indent="1"/>
    </xf>
    <xf numFmtId="90" fontId="2" fillId="3" borderId="2" xfId="3" applyNumberFormat="1" applyFill="1" applyBorder="1" applyAlignment="1">
      <alignment horizontal="right" vertical="center" indent="1"/>
    </xf>
    <xf numFmtId="83" fontId="2" fillId="3" borderId="2" xfId="3" applyNumberFormat="1" applyFill="1" applyBorder="1" applyAlignment="1">
      <alignment horizontal="right" vertical="center" indent="1"/>
    </xf>
    <xf numFmtId="87" fontId="2" fillId="3" borderId="2" xfId="3" applyNumberFormat="1" applyFill="1" applyBorder="1" applyAlignment="1">
      <alignment horizontal="right" vertical="center" indent="1"/>
    </xf>
    <xf numFmtId="85" fontId="2" fillId="3" borderId="2" xfId="3" applyNumberFormat="1" applyFill="1" applyBorder="1" applyAlignment="1">
      <alignment horizontal="right" vertical="center" indent="1"/>
    </xf>
    <xf numFmtId="84" fontId="2" fillId="3" borderId="2" xfId="3" applyNumberFormat="1" applyFill="1" applyBorder="1" applyAlignment="1">
      <alignment horizontal="right" vertical="center" indent="1"/>
    </xf>
    <xf numFmtId="0" fontId="3" fillId="4" borderId="2" xfId="4" applyFill="1" applyBorder="1" applyAlignment="1">
      <alignment horizontal="left" vertical="center" indent="1"/>
    </xf>
    <xf numFmtId="0" fontId="2" fillId="4" borderId="2" xfId="3" applyFill="1" applyBorder="1" applyAlignment="1">
      <alignment horizontal="right" vertical="center" indent="1"/>
    </xf>
    <xf numFmtId="0" fontId="2" fillId="4" borderId="2" xfId="2" applyFill="1" applyBorder="1" applyAlignment="1">
      <alignment horizontal="left" vertical="center" indent="1"/>
    </xf>
    <xf numFmtId="82" fontId="2" fillId="4" borderId="2" xfId="3" applyNumberFormat="1" applyFill="1" applyBorder="1" applyAlignment="1">
      <alignment horizontal="right" vertical="center" indent="1"/>
    </xf>
    <xf numFmtId="88" fontId="2" fillId="4" borderId="2" xfId="3" applyNumberFormat="1" applyFill="1" applyBorder="1" applyAlignment="1">
      <alignment horizontal="right" vertical="center" indent="1"/>
    </xf>
    <xf numFmtId="91" fontId="2" fillId="4" borderId="2" xfId="3" applyNumberFormat="1" applyFill="1" applyBorder="1" applyAlignment="1">
      <alignment horizontal="right" vertical="center" indent="1"/>
    </xf>
    <xf numFmtId="89" fontId="2" fillId="4" borderId="2" xfId="3" applyNumberFormat="1" applyFill="1" applyBorder="1" applyAlignment="1">
      <alignment horizontal="right" vertical="center" indent="1"/>
    </xf>
    <xf numFmtId="86" fontId="2" fillId="4" borderId="2" xfId="3" applyNumberFormat="1" applyFill="1" applyBorder="1" applyAlignment="1">
      <alignment horizontal="right" vertical="center" indent="1"/>
    </xf>
    <xf numFmtId="90" fontId="2" fillId="4" borderId="2" xfId="3" applyNumberFormat="1" applyFill="1" applyBorder="1" applyAlignment="1">
      <alignment horizontal="right" vertical="center" indent="1"/>
    </xf>
    <xf numFmtId="83" fontId="2" fillId="4" borderId="2" xfId="3" applyNumberFormat="1" applyFill="1" applyBorder="1" applyAlignment="1">
      <alignment horizontal="right" vertical="center" indent="1"/>
    </xf>
    <xf numFmtId="87" fontId="2" fillId="4" borderId="2" xfId="3" applyNumberFormat="1" applyFill="1" applyBorder="1" applyAlignment="1">
      <alignment horizontal="right" vertical="center" indent="1"/>
    </xf>
    <xf numFmtId="85" fontId="2" fillId="4" borderId="2" xfId="3" applyNumberFormat="1" applyFill="1" applyBorder="1" applyAlignment="1">
      <alignment horizontal="right" vertical="center" indent="1"/>
    </xf>
    <xf numFmtId="84" fontId="2" fillId="4" borderId="2" xfId="3" applyNumberFormat="1" applyFill="1" applyBorder="1" applyAlignment="1">
      <alignment horizontal="right" vertical="center" indent="1"/>
    </xf>
    <xf numFmtId="0" fontId="11" fillId="0" borderId="0" xfId="5"/>
    <xf numFmtId="0" fontId="2" fillId="0" borderId="0" xfId="6">
      <alignment horizontal="right" vertical="center"/>
    </xf>
    <xf numFmtId="0" fontId="0" fillId="0" borderId="0" xfId="0">
      <protection locked="0"/>
    </xf>
    <xf numFmtId="0" fontId="7" fillId="0" borderId="0" xfId="8">
      <alignment horizontal="left" vertical="center"/>
    </xf>
    <xf numFmtId="0" fontId="2" fillId="0" borderId="0" xfId="9">
      <alignment horizontal="right" vertical="top"/>
    </xf>
    <xf numFmtId="0" fontId="5" fillId="0" borderId="0" xfId="10">
      <alignment horizontal="left" vertical="top" wrapText="1"/>
    </xf>
    <xf numFmtId="0" fontId="8" fillId="0" borderId="0" xfId="11">
      <alignment horizontal="left" vertical="center"/>
    </xf>
    <xf numFmtId="0" fontId="11" fillId="0" borderId="0" xfId="12">
      <alignment horizontal="right" vertical="center"/>
    </xf>
    <xf numFmtId="0" fontId="11" fillId="0" borderId="0" xfId="13">
      <alignment horizontal="left" vertical="center"/>
    </xf>
    <xf numFmtId="0" fontId="16" fillId="0" borderId="0" xfId="14"/>
    <xf numFmtId="0" fontId="19" fillId="0" borderId="0" xfId="15"/>
    <xf numFmtId="0" fontId="0" fillId="0" borderId="0" xfId="0">
      <protection locked="0"/>
    </xf>
    <xf numFmtId="0" fontId="22" fillId="0" borderId="0" xfId="16"/>
    <xf numFmtId="0" fontId="19" fillId="0" borderId="0" xfId="17">
      <alignment horizontal="right"/>
    </xf>
  </cellXfs>
  <cellStyles count="18">
    <cellStyle name="Normal" xfId="0" builtinId="0"/>
    <cellStyle name="TableColumnHeaderTitleStyle" xfId="1"/>
    <cellStyle name="leftRowValueCell" xfId="2"/>
    <cellStyle name="rightRowValueCell" xfId="3"/>
    <cellStyle name="hyperLinkRowValueStyle" xfId="4"/>
    <cellStyle name="FooterStyle" xfId="5"/>
    <cellStyle name="EntityNameHeaderTitleStyle" xfId="6"/>
    <cellStyle name="Hyperlink" xfId="7" builtinId="8"/>
    <cellStyle name="SearchLinkHeaderValueStyle" xfId="8"/>
    <cellStyle name="SearchCriteriaHeaderTitleStyle" xfId="9"/>
    <cellStyle name="SearchCriteriaHeaderValueStyle" xfId="10"/>
    <cellStyle name="templatesHeaderTitleStyle" xfId="11"/>
    <cellStyle name="HeaderDetailsTitleArialStyle" xfId="12"/>
    <cellStyle name="HeaderDetailsValueArialStyle" xfId="13"/>
    <cellStyle name="AllDataCopyrightStyle" xfId="14"/>
    <cellStyle name="Arial10ItalicStyle" xfId="15"/>
    <cellStyle name="Arial10ItalicBlueStyle" xfId="16"/>
    <cellStyle name="Arial10ItalicStyleWithRightAlignment" xfId="17"/>
  </cellStyles>
  <dxfs count="0"/>
  <tableStyles count="0" defaultTableStyle="TableStyleMedium2"/>
  <extLst xmlns="http://schemas.openxmlformats.org/spreadsheetml/2006/main">
    <ext xmlns:x14="http://schemas.microsoft.com/office/spreadsheetml/2009/9/main" uri="{EB79DEF2-80B8-43e5-95BD-54CBDDF9020C}">
      <x14:slicerStyles defaultSlicerStyl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xmlns:mc="http://schemas.openxmlformats.org/markup-compatibility/2006" xmlns:a14="http://schemas.microsoft.com/office/drawing/2010/main">
  <xdr:twoCellAnchor xmlns:xdr="http://schemas.openxmlformats.org/drawingml/2006/spreadsheetDrawing">
    <xdr:from>
      <xdr:col>0</xdr:col>
      <xdr:colOff>57150</xdr:colOff>
      <xdr:row>0</xdr:row>
      <xdr:rowOff>47625</xdr:rowOff>
    </xdr:from>
    <xdr:to>
      <xdr:col>1</xdr:col>
      <xdr:colOff>1381125</xdr:colOff>
      <xdr:row>1</xdr:row>
      <xdr:rowOff>155575</xdr:rowOff>
    </xdr:to>
    <xdr:pic xmlns:xdr="http://schemas.openxmlformats.org/drawingml/2006/spreadsheetDrawing">
      <xdr:nvPicPr xmlns:xdr="http://schemas.openxmlformats.org/drawingml/2006/spreadsheetDrawing">
        <xdr:cNvPr xmlns:xdr="http://schemas.openxmlformats.org/drawingml/2006/spreadsheetDrawing" id="2" name="Picture 1"/>
        <xdr:cNvPicPr xmlns:xdr="http://schemas.openxmlformats.org/drawingml/2006/spreadsheetDrawing">
          <a:picLocks xmlns:a="http://schemas.openxmlformats.org/drawingml/2006/main" noChangeAspect="1"/>
          <a:extLst xmlns:a="http://schemas.openxmlformats.org/drawingml/2006/main"/>
        </xdr:cNvPicPr>
      </xdr:nvPicPr>
      <xdr:blipFill xmlns:xdr="http://schemas.openxmlformats.org/drawingml/2006/spreadsheetDrawing">
        <a:blip xmlns:a="http://schemas.openxmlformats.org/drawingml/2006/main" xmlns:r="http://schemas.openxmlformats.org/officeDocument/2006/relationships" r:embed="rId1"/>
        <a:srcRect/>
        <a:stretch xmlns:a="http://schemas.openxmlformats.org/drawingml/2006/main">
          <a:fillRect/>
        </a:stretch>
      </xdr:blipFill>
      <xdr:spPr xmlns:xdr="http://schemas.openxmlformats.org/drawingml/2006/spreadsheetDrawing">
        <a:xfrm xmlns:a="http://schemas.openxmlformats.org/drawingml/2006/main">
          <a:off x="57150" y="47625"/>
          <a:ext cx="2171700" cy="361950"/>
        </a:xfrm>
        <a:prstGeom xmlns:a="http://schemas.openxmlformats.org/drawingml/2006/main" prst="rect"/>
        <a:ln xmlns:a="http://schemas.openxmlformats.org/drawingml/2006/main" w="9525">
          <a:noFill/>
        </a:ln>
        <a:effectLst xmlns:a="http://schemas.openxmlformats.org/drawingml/2006/main"/>
        <a:extLst xmlns:a="http://schemas.openxmlformats.org/drawingml/2006/main"/>
      </xdr:spPr>
    </xdr:pic>
    <xdr:clientData/>
  </xdr:twoCellAnchor>
</xdr:wsDr>
</file>

<file path=xl/theme/theme1.xml><?xml version="1.0" encoding="utf-8"?>
<a:theme xmlns:a="http://schemas.openxmlformats.org/drawingml/2006/main" name="Office Theme">
  <a:themeElements>
    <a:clrScheme name="Office Them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Theme">
      <a:fillStyleLst xmlns:a="http://schemas.openxmlformats.org/drawingml/2006/main">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xmlns:a="http://schemas.openxmlformats.org/drawingml/2006/main">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xmlns:a="http://schemas.openxmlformats.org/drawingml/2006/main">
        <a:effectStyle>
          <a:effectLst/>
        </a:effectStyle>
        <a:effectStyle>
          <a:effectLst/>
        </a:effectStyle>
        <a:effectStyle>
          <a:effectLst>
            <a:outerShdw blurRad="57150" dist="19050" dir="5400000" algn="ctr" rotWithShape="0">
              <a:srgbClr val="000000">
                <a:alpha val="63000"/>
              </a:srgbClr>
            </a:outerShdw>
          </a:effectLst>
        </a:effectStyle>
      </a:effectStyleLst>
      <a:bgFillStyleLst xmlns:a="http://schemas.openxmlformats.org/drawingml/2006/main">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Id="rId1" Type="http://schemas.openxmlformats.org/officeDocument/2006/relationships/hyperlink" Target="https://my.pitchbook.com/?pcc=1084036-06" TargetMode="External"/><Relationship Id="rId2" Type="http://schemas.openxmlformats.org/officeDocument/2006/relationships/drawing" Target="../drawings/drawing1.xml"/></Relationships>
</file>

<file path=xl/worksheets/_rels/sheet2.xml.rels><?xml version="1.0" encoding="UTF-8"?><Relationships xmlns="http://schemas.openxmlformats.org/package/2006/relationships"><Relationship Id="rId1"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S1004"/>
  <sheetViews>
    <sheetView showGridLines="0" workbookViewId="0">
      <selection sqref="A1"/>
    </sheetView>
  </sheetViews>
  <sheetFormatPr defaultRowHeight="15"/>
  <cols>
    <col min="1" max="1" width="12.7109375" customWidth="1"/>
    <col min="2" max="2" width="58.5703125" customWidth="1"/>
    <col min="3" max="3" width="29.5703125" customWidth="1"/>
    <col min="4" max="4" width="31" customWidth="1"/>
    <col min="5" max="6" width="30" customWidth="1"/>
    <col min="7" max="8" width="18.7109375" customWidth="1"/>
    <col min="9" max="9" width="21.7109375" customWidth="1"/>
    <col min="10" max="10" width="15.140625" customWidth="1"/>
    <col min="11" max="11" width="121.28515625" customWidth="1"/>
    <col min="12" max="13" width="31.28515625" customWidth="1"/>
    <col min="14" max="14" width="78.42578125" customWidth="1"/>
    <col min="15" max="15" width="128.42578125" customWidth="1"/>
    <col min="16" max="16" width="29.140625" customWidth="1"/>
    <col min="17" max="17" width="32.5703125" customWidth="1"/>
    <col min="18" max="18" width="29.5703125" customWidth="1"/>
    <col min="19" max="19" width="31.85546875" customWidth="1"/>
    <col min="20" max="20" width="23.28515625" customWidth="1"/>
    <col min="21" max="21" width="22.140625" customWidth="1"/>
    <col min="22" max="22" width="24" customWidth="1"/>
    <col min="23" max="23" width="26.7109375" customWidth="1"/>
    <col min="24" max="24" width="22.42578125" customWidth="1"/>
    <col min="25" max="25" width="115.7109375" customWidth="1"/>
    <col min="26" max="26" width="18.7109375" customWidth="1"/>
    <col min="27" max="27" width="18.42578125" customWidth="1"/>
    <col min="28" max="28" width="17.7109375" customWidth="1"/>
    <col min="29" max="29" width="15.140625" customWidth="1"/>
    <col min="30" max="30" width="20.7109375" customWidth="1"/>
    <col min="31" max="31" width="23" customWidth="1"/>
    <col min="32" max="32" width="25.85546875" customWidth="1"/>
    <col min="33" max="34" width="27.42578125" customWidth="1"/>
    <col min="35" max="35" width="15.85546875" customWidth="1"/>
    <col min="36" max="36" width="28.85546875" customWidth="1"/>
    <col min="37" max="37" width="18.7109375" customWidth="1"/>
    <col min="38" max="38" width="18.42578125" customWidth="1"/>
    <col min="39" max="43" width="15.85546875" customWidth="1"/>
    <col min="44" max="44" width="19.5703125" customWidth="1"/>
    <col min="45" max="45" width="38.28515625" customWidth="1"/>
    <col min="46" max="46" width="39.5703125" customWidth="1"/>
    <col min="47" max="47" width="24.140625" customWidth="1"/>
    <col min="48" max="50" width="29.5703125" customWidth="1"/>
    <col min="51" max="53" width="34.85546875" customWidth="1"/>
    <col min="54" max="55" width="29.5703125" customWidth="1"/>
    <col min="56" max="56" width="27.140625" customWidth="1"/>
    <col min="57" max="57" width="22.7109375" customWidth="1"/>
    <col min="58" max="58" width="27.5703125" customWidth="1"/>
    <col min="59" max="59" width="28" customWidth="1"/>
    <col min="60" max="60" width="28.7109375" customWidth="1"/>
    <col min="61" max="61" width="23.85546875" customWidth="1"/>
    <col min="62" max="63" width="24.42578125" customWidth="1"/>
    <col min="64" max="64" width="16.5703125" customWidth="1"/>
    <col min="65" max="65" width="24.5703125" customWidth="1"/>
    <col min="66" max="66" width="20.42578125" customWidth="1"/>
    <col min="67" max="67" width="23.42578125" customWidth="1"/>
    <col min="68" max="68" width="17.140625" customWidth="1"/>
    <col min="69" max="69" width="15.140625" customWidth="1"/>
    <col min="70" max="70" width="24.7109375" customWidth="1"/>
    <col min="71" max="71" width="23.85546875" customWidth="1"/>
    <col min="72" max="72" width="27.5703125" customWidth="1"/>
    <col min="73" max="73" width="25.85546875" customWidth="1"/>
    <col min="74" max="74" width="25.28515625" customWidth="1"/>
    <col min="75" max="75" width="31.28515625" customWidth="1"/>
    <col min="76" max="76" width="30.140625" customWidth="1"/>
    <col min="77" max="77" width="36.42578125" customWidth="1"/>
    <col min="78" max="78" width="30.42578125" customWidth="1"/>
    <col min="79" max="80" width="32.140625" customWidth="1"/>
    <col min="81" max="81" width="30.7109375" customWidth="1"/>
    <col min="82" max="82" width="32.5703125" customWidth="1"/>
    <col min="83" max="83" width="27.28515625" customWidth="1"/>
    <col min="84" max="84" width="27.5703125" customWidth="1"/>
    <col min="85" max="85" width="25" customWidth="1"/>
    <col min="86" max="86" width="31" customWidth="1"/>
    <col min="87" max="87" width="30" customWidth="1"/>
    <col min="88" max="88" width="36.140625" customWidth="1"/>
    <col min="89" max="89" width="25" customWidth="1"/>
    <col min="90" max="90" width="30.140625" customWidth="1"/>
    <col min="91" max="92" width="31.85546875" customWidth="1"/>
    <col min="93" max="93" width="30.42578125" customWidth="1"/>
    <col min="94" max="95" width="25.85546875" customWidth="1"/>
    <col min="96" max="96" width="32.5703125" customWidth="1"/>
    <col min="97" max="97" width="27.140625" customWidth="1"/>
    <col min="98" max="98" width="36.85546875" customWidth="1"/>
    <col min="99" max="99" width="26.7109375" customWidth="1"/>
    <col min="100" max="100" width="29.5703125" customWidth="1"/>
    <col min="101" max="101" width="36.85546875" customWidth="1"/>
    <col min="102" max="102" width="31.28515625" customWidth="1"/>
    <col min="103" max="104" width="36.85546875" customWidth="1"/>
    <col min="105" max="105" width="25" customWidth="1"/>
    <col min="106" max="106" width="27.5703125" customWidth="1"/>
    <col min="107" max="107" width="30.140625" customWidth="1"/>
    <col min="108" max="108" width="25" customWidth="1"/>
    <col min="109" max="109" width="19.42578125" customWidth="1"/>
    <col min="110" max="110" width="28.85546875" customWidth="1"/>
    <col min="111" max="111" width="26.42578125" customWidth="1"/>
    <col min="112" max="112" width="28.5703125" customWidth="1"/>
    <col min="113" max="113" width="23.7109375" customWidth="1"/>
    <col min="114" max="114" width="33.28515625" customWidth="1"/>
    <col min="115" max="115" width="30" customWidth="1"/>
    <col min="116" max="116" width="39.42578125" customWidth="1"/>
    <col min="117" max="117" width="27.28515625" customWidth="1"/>
    <col min="118" max="118" width="36.85546875" customWidth="1"/>
    <col min="119" max="119" width="19.7109375" customWidth="1"/>
    <col min="120" max="120" width="29" customWidth="1"/>
    <col min="121" max="121" width="26.7109375" customWidth="1"/>
    <col min="122" max="122" width="28.7109375" customWidth="1"/>
    <col min="123" max="123" width="24" customWidth="1"/>
    <col min="124" max="124" width="33.5703125" customWidth="1"/>
    <col min="125" max="125" width="30.140625" customWidth="1"/>
    <col min="126" max="126" width="39.7109375" customWidth="1"/>
    <col min="127" max="127" width="27.42578125" customWidth="1"/>
    <col min="128" max="128" width="37" customWidth="1"/>
    <col min="129" max="131" width="29.5703125" customWidth="1"/>
    <col min="132" max="132" width="32.42578125" customWidth="1"/>
    <col min="133" max="133" width="39.5703125" customWidth="1"/>
    <col min="134" max="134" width="41.5703125" customWidth="1"/>
    <col min="135" max="135" width="32.85546875" customWidth="1"/>
    <col min="136" max="136" width="39.85546875" customWidth="1"/>
    <col min="137" max="137" width="41.85546875" customWidth="1"/>
    <col min="138" max="148" width="29.5703125" customWidth="1"/>
    <col min="149" max="149" width="18.7109375" customWidth="1"/>
  </cols>
  <sheetData>
    <row r="1" ht="20" customHeight="1">
      <c r="D1" s="47" t="s">
        <v>20187</v>
      </c>
    </row>
    <row r="2" ht="18" customHeight="1"/>
    <row r="3">
      <c r="A3" s="42" t="s">
        <v>20183</v>
      </c>
      <c r="B3" s="44" t="s">
        <v>20184</v>
      </c>
    </row>
    <row r="4">
      <c r="A4" s="45" t="s">
        <v>20185</v>
      </c>
      <c r="B4" s="46" t="s">
        <v>20186</v>
      </c>
      <c r="E4" s="48" t="s">
        <v>20188</v>
      </c>
      <c r="F4" s="1">
        <v>45617</v>
      </c>
    </row>
    <row r="5">
      <c r="E5" s="48" t="s">
        <v>20189</v>
      </c>
      <c r="F5" s="49" t="s">
        <v>20190</v>
      </c>
    </row>
    <row r="9" ht="35" customHeight="1">
      <c r="A9" s="2" t="s">
        <v>0</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c r="V9" s="2" t="s">
        <v>21</v>
      </c>
      <c r="W9" s="2" t="s">
        <v>22</v>
      </c>
      <c r="X9" s="2" t="s">
        <v>23</v>
      </c>
      <c r="Y9" s="2" t="s">
        <v>24</v>
      </c>
      <c r="Z9" s="2" t="s">
        <v>25</v>
      </c>
      <c r="AA9" s="2" t="s">
        <v>26</v>
      </c>
      <c r="AB9" s="2" t="s">
        <v>27</v>
      </c>
      <c r="AC9" s="2" t="s">
        <v>28</v>
      </c>
      <c r="AD9" s="2" t="s">
        <v>29</v>
      </c>
      <c r="AE9" s="2" t="s">
        <v>30</v>
      </c>
      <c r="AF9" s="2" t="s">
        <v>31</v>
      </c>
      <c r="AG9" s="2" t="s">
        <v>32</v>
      </c>
      <c r="AH9" s="2" t="s">
        <v>33</v>
      </c>
      <c r="AI9" s="2" t="s">
        <v>34</v>
      </c>
      <c r="AJ9" s="2" t="s">
        <v>35</v>
      </c>
      <c r="AK9" s="2" t="s">
        <v>36</v>
      </c>
      <c r="AL9" s="2" t="s">
        <v>37</v>
      </c>
      <c r="AM9" s="2" t="s">
        <v>38</v>
      </c>
      <c r="AN9" s="2" t="s">
        <v>39</v>
      </c>
      <c r="AO9" s="2" t="s">
        <v>40</v>
      </c>
      <c r="AP9" s="2" t="s">
        <v>41</v>
      </c>
      <c r="AQ9" s="2" t="s">
        <v>42</v>
      </c>
      <c r="AR9" s="2" t="s">
        <v>43</v>
      </c>
      <c r="AS9" s="2" t="s">
        <v>44</v>
      </c>
      <c r="AT9" s="2" t="s">
        <v>45</v>
      </c>
      <c r="AU9" s="2" t="s">
        <v>46</v>
      </c>
      <c r="AV9" s="2" t="s">
        <v>47</v>
      </c>
      <c r="AW9" s="2" t="s">
        <v>48</v>
      </c>
      <c r="AX9" s="2" t="s">
        <v>49</v>
      </c>
      <c r="AY9" s="2" t="s">
        <v>50</v>
      </c>
      <c r="AZ9" s="2" t="s">
        <v>51</v>
      </c>
      <c r="BA9" s="2" t="s">
        <v>52</v>
      </c>
      <c r="BB9" s="2" t="s">
        <v>53</v>
      </c>
      <c r="BC9" s="2" t="s">
        <v>54</v>
      </c>
      <c r="BD9" s="2" t="s">
        <v>55</v>
      </c>
      <c r="BE9" s="2" t="s">
        <v>56</v>
      </c>
      <c r="BF9" s="2" t="s">
        <v>57</v>
      </c>
      <c r="BG9" s="2" t="s">
        <v>58</v>
      </c>
      <c r="BH9" s="2" t="s">
        <v>59</v>
      </c>
      <c r="BI9" s="2" t="s">
        <v>60</v>
      </c>
      <c r="BJ9" s="2" t="s">
        <v>61</v>
      </c>
      <c r="BK9" s="2" t="s">
        <v>62</v>
      </c>
      <c r="BL9" s="2" t="s">
        <v>63</v>
      </c>
      <c r="BM9" s="2" t="s">
        <v>64</v>
      </c>
      <c r="BN9" s="2" t="s">
        <v>65</v>
      </c>
      <c r="BO9" s="2" t="s">
        <v>66</v>
      </c>
      <c r="BP9" s="2" t="s">
        <v>67</v>
      </c>
      <c r="BQ9" s="2" t="s">
        <v>68</v>
      </c>
      <c r="BR9" s="2" t="s">
        <v>69</v>
      </c>
      <c r="BS9" s="2" t="s">
        <v>70</v>
      </c>
      <c r="BT9" s="2" t="s">
        <v>71</v>
      </c>
      <c r="BU9" s="2" t="s">
        <v>72</v>
      </c>
      <c r="BV9" s="2" t="s">
        <v>73</v>
      </c>
      <c r="BW9" s="2" t="s">
        <v>74</v>
      </c>
      <c r="BX9" s="2" t="s">
        <v>75</v>
      </c>
      <c r="BY9" s="2" t="s">
        <v>76</v>
      </c>
      <c r="BZ9" s="2" t="s">
        <v>77</v>
      </c>
      <c r="CA9" s="2" t="s">
        <v>78</v>
      </c>
      <c r="CB9" s="2" t="s">
        <v>79</v>
      </c>
      <c r="CC9" s="2" t="s">
        <v>80</v>
      </c>
      <c r="CD9" s="2" t="s">
        <v>81</v>
      </c>
      <c r="CE9" s="2" t="s">
        <v>82</v>
      </c>
      <c r="CF9" s="2" t="s">
        <v>83</v>
      </c>
      <c r="CG9" s="2" t="s">
        <v>84</v>
      </c>
      <c r="CH9" s="2" t="s">
        <v>85</v>
      </c>
      <c r="CI9" s="2" t="s">
        <v>86</v>
      </c>
      <c r="CJ9" s="2" t="s">
        <v>87</v>
      </c>
      <c r="CK9" s="2" t="s">
        <v>88</v>
      </c>
      <c r="CL9" s="2" t="s">
        <v>89</v>
      </c>
      <c r="CM9" s="2" t="s">
        <v>90</v>
      </c>
      <c r="CN9" s="2" t="s">
        <v>91</v>
      </c>
      <c r="CO9" s="2" t="s">
        <v>92</v>
      </c>
      <c r="CP9" s="2" t="s">
        <v>93</v>
      </c>
      <c r="CQ9" s="2" t="s">
        <v>94</v>
      </c>
      <c r="CR9" s="2" t="s">
        <v>95</v>
      </c>
      <c r="CS9" s="2" t="s">
        <v>96</v>
      </c>
      <c r="CT9" s="2" t="s">
        <v>97</v>
      </c>
      <c r="CU9" s="2" t="s">
        <v>98</v>
      </c>
      <c r="CV9" s="2" t="s">
        <v>99</v>
      </c>
      <c r="CW9" s="2" t="s">
        <v>100</v>
      </c>
      <c r="CX9" s="2" t="s">
        <v>101</v>
      </c>
      <c r="CY9" s="2" t="s">
        <v>102</v>
      </c>
      <c r="CZ9" s="2" t="s">
        <v>103</v>
      </c>
      <c r="DA9" s="2" t="s">
        <v>104</v>
      </c>
      <c r="DB9" s="2" t="s">
        <v>105</v>
      </c>
      <c r="DC9" s="2" t="s">
        <v>106</v>
      </c>
      <c r="DD9" s="2" t="s">
        <v>107</v>
      </c>
      <c r="DE9" s="2" t="s">
        <v>108</v>
      </c>
      <c r="DF9" s="2" t="s">
        <v>109</v>
      </c>
      <c r="DG9" s="2" t="s">
        <v>110</v>
      </c>
      <c r="DH9" s="2" t="s">
        <v>111</v>
      </c>
      <c r="DI9" s="2" t="s">
        <v>112</v>
      </c>
      <c r="DJ9" s="2" t="s">
        <v>113</v>
      </c>
      <c r="DK9" s="2" t="s">
        <v>114</v>
      </c>
      <c r="DL9" s="2" t="s">
        <v>115</v>
      </c>
      <c r="DM9" s="2" t="s">
        <v>116</v>
      </c>
      <c r="DN9" s="2" t="s">
        <v>117</v>
      </c>
      <c r="DO9" s="2" t="s">
        <v>118</v>
      </c>
      <c r="DP9" s="2" t="s">
        <v>119</v>
      </c>
      <c r="DQ9" s="2" t="s">
        <v>120</v>
      </c>
      <c r="DR9" s="2" t="s">
        <v>121</v>
      </c>
      <c r="DS9" s="2" t="s">
        <v>122</v>
      </c>
      <c r="DT9" s="2" t="s">
        <v>123</v>
      </c>
      <c r="DU9" s="2" t="s">
        <v>124</v>
      </c>
      <c r="DV9" s="2" t="s">
        <v>125</v>
      </c>
      <c r="DW9" s="2" t="s">
        <v>126</v>
      </c>
      <c r="DX9" s="2" t="s">
        <v>127</v>
      </c>
      <c r="DY9" s="2" t="s">
        <v>128</v>
      </c>
      <c r="DZ9" s="2" t="s">
        <v>129</v>
      </c>
      <c r="EA9" s="2" t="s">
        <v>130</v>
      </c>
      <c r="EB9" s="2" t="s">
        <v>131</v>
      </c>
      <c r="EC9" s="2" t="s">
        <v>132</v>
      </c>
      <c r="ED9" s="2" t="s">
        <v>133</v>
      </c>
      <c r="EE9" s="2" t="s">
        <v>134</v>
      </c>
      <c r="EF9" s="2" t="s">
        <v>135</v>
      </c>
      <c r="EG9" s="2" t="s">
        <v>136</v>
      </c>
      <c r="EH9" s="2" t="s">
        <v>137</v>
      </c>
      <c r="EI9" s="2" t="s">
        <v>138</v>
      </c>
      <c r="EJ9" s="2" t="s">
        <v>139</v>
      </c>
      <c r="EK9" s="2" t="s">
        <v>140</v>
      </c>
      <c r="EL9" s="2" t="s">
        <v>141</v>
      </c>
      <c r="EM9" s="2" t="s">
        <v>142</v>
      </c>
      <c r="EN9" s="2" t="s">
        <v>143</v>
      </c>
      <c r="EO9" s="2" t="s">
        <v>144</v>
      </c>
      <c r="EP9" s="2" t="s">
        <v>145</v>
      </c>
      <c r="EQ9" s="2" t="s">
        <v>146</v>
      </c>
      <c r="ER9" s="2" t="s">
        <v>147</v>
      </c>
      <c r="ES9" s="2" t="s">
        <v>148</v>
      </c>
    </row>
    <row r="10">
      <c r="A10" s="17" t="s">
        <v>149</v>
      </c>
      <c r="B10" s="17" t="s">
        <v>150</v>
      </c>
      <c r="C10" s="18">
        <v>5167</v>
      </c>
      <c r="D10" s="17" t="s">
        <v>151</v>
      </c>
      <c r="E10" s="17" t="s">
        <v>151</v>
      </c>
      <c r="F10" s="17" t="s">
        <v>152</v>
      </c>
      <c r="G10" s="17" t="s">
        <v>151</v>
      </c>
      <c r="H10" s="17" t="s">
        <v>151</v>
      </c>
      <c r="I10" s="17" t="s">
        <v>153</v>
      </c>
      <c r="J10" s="17" t="s">
        <v>149</v>
      </c>
      <c r="K10" s="17" t="s">
        <v>154</v>
      </c>
      <c r="L10" s="17" t="s">
        <v>155</v>
      </c>
      <c r="M10" s="17" t="s">
        <v>156</v>
      </c>
      <c r="N10" s="17" t="s">
        <v>157</v>
      </c>
      <c r="O10" s="17" t="s">
        <v>158</v>
      </c>
      <c r="P10" s="17" t="s">
        <v>159</v>
      </c>
      <c r="Q10" s="17" t="s">
        <v>160</v>
      </c>
      <c r="R10" s="17" t="s">
        <v>161</v>
      </c>
      <c r="S10" s="17" t="s">
        <v>162</v>
      </c>
      <c r="T10" s="24">
        <v>11100</v>
      </c>
      <c r="U10" s="17" t="s">
        <v>163</v>
      </c>
      <c r="V10" s="17" t="s">
        <v>164</v>
      </c>
      <c r="W10" s="17" t="s">
        <v>165</v>
      </c>
      <c r="X10" s="15" t="s">
        <v>166</v>
      </c>
      <c r="Y10" s="15" t="s">
        <v>167</v>
      </c>
      <c r="Z10" s="27">
        <v>2839</v>
      </c>
      <c r="AA10" s="17" t="s">
        <v>168</v>
      </c>
      <c r="AB10" s="17" t="s">
        <v>151</v>
      </c>
      <c r="AC10" s="17" t="s">
        <v>151</v>
      </c>
      <c r="AD10" s="26">
        <v>2009</v>
      </c>
      <c r="AE10" s="17" t="s">
        <v>151</v>
      </c>
      <c r="AF10" s="22">
        <v>45600</v>
      </c>
      <c r="AG10" s="17" t="s">
        <v>151</v>
      </c>
      <c r="AH10" s="17" t="s">
        <v>169</v>
      </c>
      <c r="AI10" s="25">
        <v>100</v>
      </c>
      <c r="AJ10" s="19" t="s">
        <v>151</v>
      </c>
      <c r="AK10" s="25" t="s">
        <v>151</v>
      </c>
      <c r="AL10" s="25" t="s">
        <v>151</v>
      </c>
      <c r="AM10" s="25" t="s">
        <v>151</v>
      </c>
      <c r="AN10" s="25" t="s">
        <v>151</v>
      </c>
      <c r="AO10" s="25" t="s">
        <v>151</v>
      </c>
      <c r="AP10" s="25" t="s">
        <v>151</v>
      </c>
      <c r="AQ10" s="25" t="s">
        <v>151</v>
      </c>
      <c r="AR10" s="16" t="s">
        <v>170</v>
      </c>
      <c r="AS10" s="17" t="s">
        <v>171</v>
      </c>
      <c r="AT10" s="17" t="s">
        <v>172</v>
      </c>
      <c r="AU10" s="18">
        <v>15</v>
      </c>
      <c r="AV10" s="17" t="s">
        <v>151</v>
      </c>
      <c r="AW10" s="17" t="s">
        <v>151</v>
      </c>
      <c r="AX10" s="17" t="s">
        <v>151</v>
      </c>
      <c r="AY10" s="17" t="s">
        <v>173</v>
      </c>
      <c r="AZ10" s="17" t="s">
        <v>151</v>
      </c>
      <c r="BA10" s="17" t="s">
        <v>151</v>
      </c>
      <c r="BB10" s="17" t="s">
        <v>174</v>
      </c>
      <c r="BC10" s="17" t="s">
        <v>175</v>
      </c>
      <c r="BD10" s="17" t="s">
        <v>176</v>
      </c>
      <c r="BE10" s="17" t="s">
        <v>177</v>
      </c>
      <c r="BF10" s="17" t="s">
        <v>178</v>
      </c>
      <c r="BG10" s="17" t="s">
        <v>179</v>
      </c>
      <c r="BH10" s="17" t="s">
        <v>180</v>
      </c>
      <c r="BI10" s="17" t="s">
        <v>181</v>
      </c>
      <c r="BJ10" s="17" t="s">
        <v>182</v>
      </c>
      <c r="BK10" s="17" t="s">
        <v>151</v>
      </c>
      <c r="BL10" s="17" t="s">
        <v>183</v>
      </c>
      <c r="BM10" s="17" t="s">
        <v>184</v>
      </c>
      <c r="BN10" s="16" t="s">
        <v>185</v>
      </c>
      <c r="BO10" s="17" t="s">
        <v>186</v>
      </c>
      <c r="BP10" s="16" t="s">
        <v>180</v>
      </c>
      <c r="BQ10" s="16" t="s">
        <v>151</v>
      </c>
      <c r="BR10" s="17" t="s">
        <v>151</v>
      </c>
      <c r="BS10" s="17" t="s">
        <v>187</v>
      </c>
      <c r="BT10" s="17" t="s">
        <v>188</v>
      </c>
      <c r="BU10" s="22">
        <v>42717</v>
      </c>
      <c r="BV10" s="24" t="s">
        <v>151</v>
      </c>
      <c r="BW10" s="17" t="s">
        <v>151</v>
      </c>
      <c r="BX10" s="24" t="s">
        <v>151</v>
      </c>
      <c r="BY10" s="17" t="s">
        <v>151</v>
      </c>
      <c r="BZ10" s="17" t="s">
        <v>189</v>
      </c>
      <c r="CA10" s="17" t="s">
        <v>151</v>
      </c>
      <c r="CB10" s="17" t="s">
        <v>151</v>
      </c>
      <c r="CC10" s="17" t="s">
        <v>190</v>
      </c>
      <c r="CD10" s="17" t="s">
        <v>151</v>
      </c>
      <c r="CE10" s="17" t="s">
        <v>191</v>
      </c>
      <c r="CF10" s="22">
        <v>45590</v>
      </c>
      <c r="CG10" s="24">
        <v>5600</v>
      </c>
      <c r="CH10" s="17" t="s">
        <v>192</v>
      </c>
      <c r="CI10" s="24">
        <v>45000</v>
      </c>
      <c r="CJ10" s="17" t="s">
        <v>193</v>
      </c>
      <c r="CK10" s="16">
        <v>1.31</v>
      </c>
      <c r="CL10" s="17" t="s">
        <v>194</v>
      </c>
      <c r="CM10" s="17" t="s">
        <v>195</v>
      </c>
      <c r="CN10" s="17" t="s">
        <v>151</v>
      </c>
      <c r="CO10" s="17" t="s">
        <v>165</v>
      </c>
      <c r="CP10" s="22">
        <v>45590</v>
      </c>
      <c r="CQ10" s="24" t="s">
        <v>151</v>
      </c>
      <c r="CR10" s="17" t="s">
        <v>151</v>
      </c>
      <c r="CS10" s="17" t="s">
        <v>191</v>
      </c>
      <c r="CT10" s="16">
        <v>85</v>
      </c>
      <c r="CU10" s="17" t="s">
        <v>196</v>
      </c>
      <c r="CV10" s="19">
        <v>98</v>
      </c>
      <c r="CW10" s="19">
        <v>2</v>
      </c>
      <c r="CX10" s="17" t="s">
        <v>197</v>
      </c>
      <c r="CY10" s="19">
        <v>70</v>
      </c>
      <c r="CZ10" s="19">
        <v>28</v>
      </c>
      <c r="DA10" s="24">
        <v>45000</v>
      </c>
      <c r="DB10" s="22">
        <v>45590</v>
      </c>
      <c r="DC10" s="17" t="s">
        <v>194</v>
      </c>
      <c r="DD10" s="16">
        <v>1.31</v>
      </c>
      <c r="DE10" s="19">
        <v>1.24</v>
      </c>
      <c r="DF10" s="21">
        <v>97</v>
      </c>
      <c r="DG10" s="19">
        <v>-0.01</v>
      </c>
      <c r="DH10" s="19">
        <v>-0.75</v>
      </c>
      <c r="DI10" s="19">
        <v>0.42</v>
      </c>
      <c r="DJ10" s="21">
        <v>94</v>
      </c>
      <c r="DK10" s="19" t="s">
        <v>151</v>
      </c>
      <c r="DL10" s="21" t="s">
        <v>151</v>
      </c>
      <c r="DM10" s="19">
        <v>0.42</v>
      </c>
      <c r="DN10" s="21">
        <v>95</v>
      </c>
      <c r="DO10" s="23">
        <v>788.39</v>
      </c>
      <c r="DP10" s="21">
        <v>100</v>
      </c>
      <c r="DQ10" s="23">
        <v>20.03</v>
      </c>
      <c r="DR10" s="19">
        <v>2.61</v>
      </c>
      <c r="DS10" s="23">
        <v>492</v>
      </c>
      <c r="DT10" s="21">
        <v>100</v>
      </c>
      <c r="DU10" s="23" t="s">
        <v>151</v>
      </c>
      <c r="DV10" s="21" t="s">
        <v>151</v>
      </c>
      <c r="DW10" s="23">
        <v>492</v>
      </c>
      <c r="DX10" s="21">
        <v>100</v>
      </c>
      <c r="DY10" s="18">
        <v>1</v>
      </c>
      <c r="DZ10" s="22">
        <v>43965</v>
      </c>
      <c r="EA10" s="22" t="s">
        <v>151</v>
      </c>
      <c r="EB10" s="21">
        <v>89707</v>
      </c>
      <c r="EC10" s="20">
        <v>2217</v>
      </c>
      <c r="ED10" s="19">
        <v>2.53</v>
      </c>
      <c r="EE10" s="21">
        <v>9348</v>
      </c>
      <c r="EF10" s="20">
        <v>28</v>
      </c>
      <c r="EG10" s="19">
        <v>0.3</v>
      </c>
      <c r="EH10" s="16" t="s">
        <v>198</v>
      </c>
      <c r="EI10" s="17" t="s">
        <v>151</v>
      </c>
      <c r="EJ10" s="17" t="s">
        <v>151</v>
      </c>
      <c r="EK10" s="18">
        <v>1307</v>
      </c>
      <c r="EL10" s="18">
        <v>3793</v>
      </c>
      <c r="EM10" s="18">
        <v>966</v>
      </c>
      <c r="EN10" s="18">
        <v>5</v>
      </c>
      <c r="EO10" s="18">
        <v>408</v>
      </c>
      <c r="EP10" s="17" t="s">
        <v>199</v>
      </c>
      <c r="EQ10" s="16" t="s">
        <v>151</v>
      </c>
      <c r="ER10" s="16" t="s">
        <v>151</v>
      </c>
      <c r="ES10" s="3">
        <f>HYPERLINK("https://my.pitchbook.com?c=169143-76","View Company Online")</f>
      </c>
    </row>
    <row r="11">
      <c r="A11" s="30" t="s">
        <v>200</v>
      </c>
      <c r="B11" s="30" t="s">
        <v>201</v>
      </c>
      <c r="C11" s="31">
        <v>28</v>
      </c>
      <c r="D11" s="30" t="s">
        <v>151</v>
      </c>
      <c r="E11" s="30" t="s">
        <v>151</v>
      </c>
      <c r="F11" s="30" t="s">
        <v>202</v>
      </c>
      <c r="G11" s="30" t="s">
        <v>151</v>
      </c>
      <c r="H11" s="30" t="s">
        <v>151</v>
      </c>
      <c r="I11" s="30" t="s">
        <v>203</v>
      </c>
      <c r="J11" s="30" t="s">
        <v>200</v>
      </c>
      <c r="K11" s="30" t="s">
        <v>204</v>
      </c>
      <c r="L11" s="30" t="s">
        <v>205</v>
      </c>
      <c r="M11" s="30" t="s">
        <v>206</v>
      </c>
      <c r="N11" s="30" t="s">
        <v>207</v>
      </c>
      <c r="O11" s="30" t="s">
        <v>208</v>
      </c>
      <c r="P11" s="30" t="s">
        <v>209</v>
      </c>
      <c r="Q11" s="30" t="s">
        <v>210</v>
      </c>
      <c r="R11" s="30" t="s">
        <v>211</v>
      </c>
      <c r="S11" s="30" t="s">
        <v>162</v>
      </c>
      <c r="T11" s="37">
        <v>100</v>
      </c>
      <c r="U11" s="30" t="s">
        <v>163</v>
      </c>
      <c r="V11" s="30" t="s">
        <v>164</v>
      </c>
      <c r="W11" s="30" t="s">
        <v>165</v>
      </c>
      <c r="X11" s="28" t="s">
        <v>212</v>
      </c>
      <c r="Y11" s="28" t="s">
        <v>213</v>
      </c>
      <c r="Z11" s="40">
        <v>40</v>
      </c>
      <c r="AA11" s="30" t="s">
        <v>214</v>
      </c>
      <c r="AB11" s="30" t="s">
        <v>151</v>
      </c>
      <c r="AC11" s="30" t="s">
        <v>151</v>
      </c>
      <c r="AD11" s="39">
        <v>2017</v>
      </c>
      <c r="AE11" s="30" t="s">
        <v>151</v>
      </c>
      <c r="AF11" s="35">
        <v>45595</v>
      </c>
      <c r="AG11" s="30" t="s">
        <v>151</v>
      </c>
      <c r="AH11" s="30" t="s">
        <v>151</v>
      </c>
      <c r="AI11" s="38" t="s">
        <v>151</v>
      </c>
      <c r="AJ11" s="32" t="s">
        <v>151</v>
      </c>
      <c r="AK11" s="38" t="s">
        <v>151</v>
      </c>
      <c r="AL11" s="38" t="s">
        <v>151</v>
      </c>
      <c r="AM11" s="38" t="s">
        <v>151</v>
      </c>
      <c r="AN11" s="38" t="s">
        <v>151</v>
      </c>
      <c r="AO11" s="38" t="s">
        <v>151</v>
      </c>
      <c r="AP11" s="38" t="s">
        <v>151</v>
      </c>
      <c r="AQ11" s="38" t="s">
        <v>151</v>
      </c>
      <c r="AR11" s="29" t="s">
        <v>151</v>
      </c>
      <c r="AS11" s="30" t="s">
        <v>215</v>
      </c>
      <c r="AT11" s="30" t="s">
        <v>216</v>
      </c>
      <c r="AU11" s="31">
        <v>2</v>
      </c>
      <c r="AV11" s="30" t="s">
        <v>151</v>
      </c>
      <c r="AW11" s="30" t="s">
        <v>151</v>
      </c>
      <c r="AX11" s="30" t="s">
        <v>151</v>
      </c>
      <c r="AY11" s="30" t="s">
        <v>217</v>
      </c>
      <c r="AZ11" s="30" t="s">
        <v>151</v>
      </c>
      <c r="BA11" s="30" t="s">
        <v>151</v>
      </c>
      <c r="BB11" s="30" t="s">
        <v>218</v>
      </c>
      <c r="BC11" s="30" t="s">
        <v>151</v>
      </c>
      <c r="BD11" s="30" t="s">
        <v>219</v>
      </c>
      <c r="BE11" s="30" t="s">
        <v>220</v>
      </c>
      <c r="BF11" s="30" t="s">
        <v>221</v>
      </c>
      <c r="BG11" s="30" t="s">
        <v>222</v>
      </c>
      <c r="BH11" s="30" t="s">
        <v>223</v>
      </c>
      <c r="BI11" s="30" t="s">
        <v>224</v>
      </c>
      <c r="BJ11" s="30" t="s">
        <v>225</v>
      </c>
      <c r="BK11" s="30" t="s">
        <v>226</v>
      </c>
      <c r="BL11" s="30" t="s">
        <v>227</v>
      </c>
      <c r="BM11" s="30" t="s">
        <v>184</v>
      </c>
      <c r="BN11" s="29" t="s">
        <v>228</v>
      </c>
      <c r="BO11" s="30" t="s">
        <v>186</v>
      </c>
      <c r="BP11" s="29" t="s">
        <v>229</v>
      </c>
      <c r="BQ11" s="29" t="s">
        <v>151</v>
      </c>
      <c r="BR11" s="30" t="s">
        <v>230</v>
      </c>
      <c r="BS11" s="30" t="s">
        <v>187</v>
      </c>
      <c r="BT11" s="30" t="s">
        <v>188</v>
      </c>
      <c r="BU11" s="35">
        <v>43466</v>
      </c>
      <c r="BV11" s="37" t="s">
        <v>151</v>
      </c>
      <c r="BW11" s="30" t="s">
        <v>151</v>
      </c>
      <c r="BX11" s="37" t="s">
        <v>151</v>
      </c>
      <c r="BY11" s="30" t="s">
        <v>151</v>
      </c>
      <c r="BZ11" s="30" t="s">
        <v>189</v>
      </c>
      <c r="CA11" s="30" t="s">
        <v>151</v>
      </c>
      <c r="CB11" s="30" t="s">
        <v>151</v>
      </c>
      <c r="CC11" s="30" t="s">
        <v>190</v>
      </c>
      <c r="CD11" s="30" t="s">
        <v>151</v>
      </c>
      <c r="CE11" s="30" t="s">
        <v>191</v>
      </c>
      <c r="CF11" s="35">
        <v>44433</v>
      </c>
      <c r="CG11" s="37">
        <v>100</v>
      </c>
      <c r="CH11" s="30" t="s">
        <v>193</v>
      </c>
      <c r="CI11" s="37" t="s">
        <v>151</v>
      </c>
      <c r="CJ11" s="30" t="s">
        <v>151</v>
      </c>
      <c r="CK11" s="29" t="s">
        <v>151</v>
      </c>
      <c r="CL11" s="30" t="s">
        <v>231</v>
      </c>
      <c r="CM11" s="30" t="s">
        <v>232</v>
      </c>
      <c r="CN11" s="30" t="s">
        <v>151</v>
      </c>
      <c r="CO11" s="30" t="s">
        <v>165</v>
      </c>
      <c r="CP11" s="35">
        <v>44433</v>
      </c>
      <c r="CQ11" s="37" t="s">
        <v>151</v>
      </c>
      <c r="CR11" s="30" t="s">
        <v>151</v>
      </c>
      <c r="CS11" s="30" t="s">
        <v>191</v>
      </c>
      <c r="CT11" s="29" t="s">
        <v>151</v>
      </c>
      <c r="CU11" s="30" t="s">
        <v>151</v>
      </c>
      <c r="CV11" s="32" t="s">
        <v>151</v>
      </c>
      <c r="CW11" s="32" t="s">
        <v>151</v>
      </c>
      <c r="CX11" s="30" t="s">
        <v>151</v>
      </c>
      <c r="CY11" s="32" t="s">
        <v>151</v>
      </c>
      <c r="CZ11" s="32" t="s">
        <v>151</v>
      </c>
      <c r="DA11" s="37" t="s">
        <v>151</v>
      </c>
      <c r="DB11" s="35" t="s">
        <v>151</v>
      </c>
      <c r="DC11" s="30" t="s">
        <v>151</v>
      </c>
      <c r="DD11" s="29" t="s">
        <v>151</v>
      </c>
      <c r="DE11" s="32">
        <v>-0.26</v>
      </c>
      <c r="DF11" s="34">
        <v>9</v>
      </c>
      <c r="DG11" s="32">
        <v>0</v>
      </c>
      <c r="DH11" s="32">
        <v>0</v>
      </c>
      <c r="DI11" s="32">
        <v>-0.26</v>
      </c>
      <c r="DJ11" s="34">
        <v>8</v>
      </c>
      <c r="DK11" s="32" t="s">
        <v>151</v>
      </c>
      <c r="DL11" s="34" t="s">
        <v>151</v>
      </c>
      <c r="DM11" s="32">
        <v>-0.26</v>
      </c>
      <c r="DN11" s="34">
        <v>8</v>
      </c>
      <c r="DO11" s="36">
        <v>19.74</v>
      </c>
      <c r="DP11" s="34">
        <v>95</v>
      </c>
      <c r="DQ11" s="36">
        <v>0</v>
      </c>
      <c r="DR11" s="32">
        <v>0</v>
      </c>
      <c r="DS11" s="36">
        <v>19.74</v>
      </c>
      <c r="DT11" s="34">
        <v>95</v>
      </c>
      <c r="DU11" s="36" t="s">
        <v>151</v>
      </c>
      <c r="DV11" s="34" t="s">
        <v>151</v>
      </c>
      <c r="DW11" s="36">
        <v>19.74</v>
      </c>
      <c r="DX11" s="34">
        <v>95</v>
      </c>
      <c r="DY11" s="31" t="s">
        <v>151</v>
      </c>
      <c r="DZ11" s="35" t="s">
        <v>151</v>
      </c>
      <c r="EA11" s="35" t="s">
        <v>151</v>
      </c>
      <c r="EB11" s="34" t="s">
        <v>151</v>
      </c>
      <c r="EC11" s="33" t="s">
        <v>151</v>
      </c>
      <c r="ED11" s="32" t="s">
        <v>151</v>
      </c>
      <c r="EE11" s="34">
        <v>375</v>
      </c>
      <c r="EF11" s="33">
        <v>0</v>
      </c>
      <c r="EG11" s="32">
        <v>0</v>
      </c>
      <c r="EH11" s="29" t="s">
        <v>198</v>
      </c>
      <c r="EI11" s="30" t="s">
        <v>151</v>
      </c>
      <c r="EJ11" s="30" t="s">
        <v>151</v>
      </c>
      <c r="EK11" s="31">
        <v>2</v>
      </c>
      <c r="EL11" s="31">
        <v>25</v>
      </c>
      <c r="EM11" s="31">
        <v>2</v>
      </c>
      <c r="EN11" s="31" t="s">
        <v>151</v>
      </c>
      <c r="EO11" s="31">
        <v>1</v>
      </c>
      <c r="EP11" s="30" t="s">
        <v>233</v>
      </c>
      <c r="EQ11" s="29" t="s">
        <v>151</v>
      </c>
      <c r="ER11" s="29" t="s">
        <v>151</v>
      </c>
      <c r="ES11" s="4">
        <f>HYPERLINK("https://my.pitchbook.com?c=431623-81","View Company Online")</f>
      </c>
    </row>
    <row r="12">
      <c r="A12" s="17" t="s">
        <v>234</v>
      </c>
      <c r="B12" s="17" t="s">
        <v>235</v>
      </c>
      <c r="C12" s="18">
        <v>27</v>
      </c>
      <c r="D12" s="17" t="s">
        <v>151</v>
      </c>
      <c r="E12" s="17" t="s">
        <v>151</v>
      </c>
      <c r="F12" s="17" t="s">
        <v>236</v>
      </c>
      <c r="G12" s="17" t="s">
        <v>151</v>
      </c>
      <c r="H12" s="17" t="s">
        <v>151</v>
      </c>
      <c r="I12" s="17" t="s">
        <v>237</v>
      </c>
      <c r="J12" s="17" t="s">
        <v>234</v>
      </c>
      <c r="K12" s="17" t="s">
        <v>238</v>
      </c>
      <c r="L12" s="17" t="s">
        <v>155</v>
      </c>
      <c r="M12" s="17" t="s">
        <v>239</v>
      </c>
      <c r="N12" s="17" t="s">
        <v>240</v>
      </c>
      <c r="O12" s="17" t="s">
        <v>241</v>
      </c>
      <c r="P12" s="17" t="s">
        <v>242</v>
      </c>
      <c r="Q12" s="17" t="s">
        <v>243</v>
      </c>
      <c r="R12" s="17" t="s">
        <v>151</v>
      </c>
      <c r="S12" s="17" t="s">
        <v>162</v>
      </c>
      <c r="T12" s="24">
        <v>1.25</v>
      </c>
      <c r="U12" s="17" t="s">
        <v>163</v>
      </c>
      <c r="V12" s="17" t="s">
        <v>164</v>
      </c>
      <c r="W12" s="17" t="s">
        <v>165</v>
      </c>
      <c r="X12" s="15" t="s">
        <v>244</v>
      </c>
      <c r="Y12" s="15" t="s">
        <v>245</v>
      </c>
      <c r="Z12" s="27">
        <v>2</v>
      </c>
      <c r="AA12" s="17" t="s">
        <v>246</v>
      </c>
      <c r="AB12" s="17" t="s">
        <v>151</v>
      </c>
      <c r="AC12" s="17" t="s">
        <v>151</v>
      </c>
      <c r="AD12" s="26">
        <v>2014</v>
      </c>
      <c r="AE12" s="17" t="s">
        <v>151</v>
      </c>
      <c r="AF12" s="22">
        <v>45491</v>
      </c>
      <c r="AG12" s="17" t="s">
        <v>151</v>
      </c>
      <c r="AH12" s="17" t="s">
        <v>151</v>
      </c>
      <c r="AI12" s="25" t="s">
        <v>151</v>
      </c>
      <c r="AJ12" s="19" t="s">
        <v>151</v>
      </c>
      <c r="AK12" s="25" t="s">
        <v>151</v>
      </c>
      <c r="AL12" s="25" t="s">
        <v>151</v>
      </c>
      <c r="AM12" s="25" t="s">
        <v>151</v>
      </c>
      <c r="AN12" s="25" t="s">
        <v>151</v>
      </c>
      <c r="AO12" s="25" t="s">
        <v>151</v>
      </c>
      <c r="AP12" s="25" t="s">
        <v>151</v>
      </c>
      <c r="AQ12" s="25" t="s">
        <v>151</v>
      </c>
      <c r="AR12" s="16" t="s">
        <v>151</v>
      </c>
      <c r="AS12" s="17" t="s">
        <v>247</v>
      </c>
      <c r="AT12" s="17" t="s">
        <v>248</v>
      </c>
      <c r="AU12" s="18">
        <v>8</v>
      </c>
      <c r="AV12" s="17" t="s">
        <v>151</v>
      </c>
      <c r="AW12" s="17" t="s">
        <v>151</v>
      </c>
      <c r="AX12" s="17" t="s">
        <v>151</v>
      </c>
      <c r="AY12" s="17" t="s">
        <v>249</v>
      </c>
      <c r="AZ12" s="17" t="s">
        <v>151</v>
      </c>
      <c r="BA12" s="17" t="s">
        <v>151</v>
      </c>
      <c r="BB12" s="17" t="s">
        <v>151</v>
      </c>
      <c r="BC12" s="17" t="s">
        <v>151</v>
      </c>
      <c r="BD12" s="17" t="s">
        <v>250</v>
      </c>
      <c r="BE12" s="17" t="s">
        <v>251</v>
      </c>
      <c r="BF12" s="17" t="s">
        <v>252</v>
      </c>
      <c r="BG12" s="17" t="s">
        <v>253</v>
      </c>
      <c r="BH12" s="17" t="s">
        <v>254</v>
      </c>
      <c r="BI12" s="17" t="s">
        <v>255</v>
      </c>
      <c r="BJ12" s="17" t="s">
        <v>256</v>
      </c>
      <c r="BK12" s="17" t="s">
        <v>257</v>
      </c>
      <c r="BL12" s="17" t="s">
        <v>258</v>
      </c>
      <c r="BM12" s="17" t="s">
        <v>259</v>
      </c>
      <c r="BN12" s="16" t="s">
        <v>260</v>
      </c>
      <c r="BO12" s="17" t="s">
        <v>186</v>
      </c>
      <c r="BP12" s="16" t="s">
        <v>261</v>
      </c>
      <c r="BQ12" s="16" t="s">
        <v>151</v>
      </c>
      <c r="BR12" s="17" t="s">
        <v>262</v>
      </c>
      <c r="BS12" s="17" t="s">
        <v>187</v>
      </c>
      <c r="BT12" s="17" t="s">
        <v>188</v>
      </c>
      <c r="BU12" s="22">
        <v>43101</v>
      </c>
      <c r="BV12" s="24" t="s">
        <v>151</v>
      </c>
      <c r="BW12" s="17" t="s">
        <v>151</v>
      </c>
      <c r="BX12" s="24" t="s">
        <v>151</v>
      </c>
      <c r="BY12" s="17" t="s">
        <v>151</v>
      </c>
      <c r="BZ12" s="17" t="s">
        <v>189</v>
      </c>
      <c r="CA12" s="17" t="s">
        <v>151</v>
      </c>
      <c r="CB12" s="17" t="s">
        <v>151</v>
      </c>
      <c r="CC12" s="17" t="s">
        <v>190</v>
      </c>
      <c r="CD12" s="17" t="s">
        <v>151</v>
      </c>
      <c r="CE12" s="17" t="s">
        <v>191</v>
      </c>
      <c r="CF12" s="22">
        <v>44774</v>
      </c>
      <c r="CG12" s="24" t="s">
        <v>151</v>
      </c>
      <c r="CH12" s="17" t="s">
        <v>151</v>
      </c>
      <c r="CI12" s="24" t="s">
        <v>151</v>
      </c>
      <c r="CJ12" s="17" t="s">
        <v>151</v>
      </c>
      <c r="CK12" s="16" t="s">
        <v>151</v>
      </c>
      <c r="CL12" s="17" t="s">
        <v>194</v>
      </c>
      <c r="CM12" s="17" t="s">
        <v>151</v>
      </c>
      <c r="CN12" s="17" t="s">
        <v>151</v>
      </c>
      <c r="CO12" s="17" t="s">
        <v>165</v>
      </c>
      <c r="CP12" s="22">
        <v>44774</v>
      </c>
      <c r="CQ12" s="24" t="s">
        <v>151</v>
      </c>
      <c r="CR12" s="17" t="s">
        <v>151</v>
      </c>
      <c r="CS12" s="17" t="s">
        <v>191</v>
      </c>
      <c r="CT12" s="16">
        <v>3</v>
      </c>
      <c r="CU12" s="17" t="s">
        <v>263</v>
      </c>
      <c r="CV12" s="19">
        <v>2</v>
      </c>
      <c r="CW12" s="19">
        <v>98</v>
      </c>
      <c r="CX12" s="17" t="s">
        <v>263</v>
      </c>
      <c r="CY12" s="19">
        <v>1</v>
      </c>
      <c r="CZ12" s="19">
        <v>1</v>
      </c>
      <c r="DA12" s="24" t="s">
        <v>151</v>
      </c>
      <c r="DB12" s="22" t="s">
        <v>151</v>
      </c>
      <c r="DC12" s="17" t="s">
        <v>151</v>
      </c>
      <c r="DD12" s="16" t="s">
        <v>151</v>
      </c>
      <c r="DE12" s="19">
        <v>0</v>
      </c>
      <c r="DF12" s="21">
        <v>11</v>
      </c>
      <c r="DG12" s="19">
        <v>0</v>
      </c>
      <c r="DH12" s="19">
        <v>0</v>
      </c>
      <c r="DI12" s="19" t="s">
        <v>151</v>
      </c>
      <c r="DJ12" s="21" t="s">
        <v>151</v>
      </c>
      <c r="DK12" s="19" t="s">
        <v>151</v>
      </c>
      <c r="DL12" s="21" t="s">
        <v>151</v>
      </c>
      <c r="DM12" s="19" t="s">
        <v>151</v>
      </c>
      <c r="DN12" s="21" t="s">
        <v>151</v>
      </c>
      <c r="DO12" s="23">
        <v>0.15</v>
      </c>
      <c r="DP12" s="21">
        <v>9</v>
      </c>
      <c r="DQ12" s="23">
        <v>0</v>
      </c>
      <c r="DR12" s="19">
        <v>0</v>
      </c>
      <c r="DS12" s="23" t="s">
        <v>151</v>
      </c>
      <c r="DT12" s="21" t="s">
        <v>151</v>
      </c>
      <c r="DU12" s="23" t="s">
        <v>151</v>
      </c>
      <c r="DV12" s="21" t="s">
        <v>151</v>
      </c>
      <c r="DW12" s="23" t="s">
        <v>151</v>
      </c>
      <c r="DX12" s="21" t="s">
        <v>151</v>
      </c>
      <c r="DY12" s="18" t="s">
        <v>151</v>
      </c>
      <c r="DZ12" s="22" t="s">
        <v>151</v>
      </c>
      <c r="EA12" s="22" t="s">
        <v>151</v>
      </c>
      <c r="EB12" s="21" t="s">
        <v>151</v>
      </c>
      <c r="EC12" s="20" t="s">
        <v>151</v>
      </c>
      <c r="ED12" s="19" t="s">
        <v>151</v>
      </c>
      <c r="EE12" s="21" t="s">
        <v>151</v>
      </c>
      <c r="EF12" s="20" t="s">
        <v>151</v>
      </c>
      <c r="EG12" s="19" t="s">
        <v>151</v>
      </c>
      <c r="EH12" s="16" t="s">
        <v>198</v>
      </c>
      <c r="EI12" s="17" t="s">
        <v>151</v>
      </c>
      <c r="EJ12" s="17" t="s">
        <v>151</v>
      </c>
      <c r="EK12" s="18">
        <v>7</v>
      </c>
      <c r="EL12" s="18">
        <v>22</v>
      </c>
      <c r="EM12" s="18">
        <v>5</v>
      </c>
      <c r="EN12" s="18" t="s">
        <v>151</v>
      </c>
      <c r="EO12" s="18" t="s">
        <v>151</v>
      </c>
      <c r="EP12" s="17" t="s">
        <v>264</v>
      </c>
      <c r="EQ12" s="16" t="s">
        <v>151</v>
      </c>
      <c r="ER12" s="16" t="s">
        <v>151</v>
      </c>
      <c r="ES12" s="3">
        <f>HYPERLINK("https://my.pitchbook.com?c=223055-47","View Company Online")</f>
      </c>
    </row>
    <row r="13">
      <c r="A13" s="30" t="s">
        <v>265</v>
      </c>
      <c r="B13" s="30" t="s">
        <v>266</v>
      </c>
      <c r="C13" s="31">
        <v>21</v>
      </c>
      <c r="D13" s="30" t="s">
        <v>151</v>
      </c>
      <c r="E13" s="30" t="s">
        <v>151</v>
      </c>
      <c r="F13" s="30" t="s">
        <v>267</v>
      </c>
      <c r="G13" s="30" t="s">
        <v>151</v>
      </c>
      <c r="H13" s="30" t="s">
        <v>151</v>
      </c>
      <c r="I13" s="30" t="s">
        <v>151</v>
      </c>
      <c r="J13" s="30" t="s">
        <v>265</v>
      </c>
      <c r="K13" s="30" t="s">
        <v>268</v>
      </c>
      <c r="L13" s="30" t="s">
        <v>205</v>
      </c>
      <c r="M13" s="30" t="s">
        <v>206</v>
      </c>
      <c r="N13" s="30" t="s">
        <v>269</v>
      </c>
      <c r="O13" s="30" t="s">
        <v>270</v>
      </c>
      <c r="P13" s="30" t="s">
        <v>271</v>
      </c>
      <c r="Q13" s="30" t="s">
        <v>272</v>
      </c>
      <c r="R13" s="30" t="s">
        <v>151</v>
      </c>
      <c r="S13" s="30" t="s">
        <v>162</v>
      </c>
      <c r="T13" s="37">
        <v>8</v>
      </c>
      <c r="U13" s="30" t="s">
        <v>163</v>
      </c>
      <c r="V13" s="30" t="s">
        <v>164</v>
      </c>
      <c r="W13" s="30" t="s">
        <v>165</v>
      </c>
      <c r="X13" s="28" t="s">
        <v>273</v>
      </c>
      <c r="Y13" s="28" t="s">
        <v>274</v>
      </c>
      <c r="Z13" s="40">
        <v>26</v>
      </c>
      <c r="AA13" s="30" t="s">
        <v>275</v>
      </c>
      <c r="AB13" s="30" t="s">
        <v>151</v>
      </c>
      <c r="AC13" s="30" t="s">
        <v>151</v>
      </c>
      <c r="AD13" s="39">
        <v>2020</v>
      </c>
      <c r="AE13" s="30" t="s">
        <v>151</v>
      </c>
      <c r="AF13" s="35">
        <v>45477</v>
      </c>
      <c r="AG13" s="30" t="s">
        <v>151</v>
      </c>
      <c r="AH13" s="30" t="s">
        <v>151</v>
      </c>
      <c r="AI13" s="38" t="s">
        <v>151</v>
      </c>
      <c r="AJ13" s="32" t="s">
        <v>151</v>
      </c>
      <c r="AK13" s="38" t="s">
        <v>151</v>
      </c>
      <c r="AL13" s="38" t="s">
        <v>151</v>
      </c>
      <c r="AM13" s="38" t="s">
        <v>151</v>
      </c>
      <c r="AN13" s="38" t="s">
        <v>151</v>
      </c>
      <c r="AO13" s="38" t="s">
        <v>151</v>
      </c>
      <c r="AP13" s="38" t="s">
        <v>151</v>
      </c>
      <c r="AQ13" s="38" t="s">
        <v>151</v>
      </c>
      <c r="AR13" s="29" t="s">
        <v>151</v>
      </c>
      <c r="AS13" s="30" t="s">
        <v>276</v>
      </c>
      <c r="AT13" s="30" t="s">
        <v>277</v>
      </c>
      <c r="AU13" s="31">
        <v>27</v>
      </c>
      <c r="AV13" s="30" t="s">
        <v>151</v>
      </c>
      <c r="AW13" s="30" t="s">
        <v>151</v>
      </c>
      <c r="AX13" s="30" t="s">
        <v>151</v>
      </c>
      <c r="AY13" s="30" t="s">
        <v>278</v>
      </c>
      <c r="AZ13" s="30" t="s">
        <v>151</v>
      </c>
      <c r="BA13" s="30" t="s">
        <v>151</v>
      </c>
      <c r="BB13" s="30" t="s">
        <v>151</v>
      </c>
      <c r="BC13" s="30" t="s">
        <v>279</v>
      </c>
      <c r="BD13" s="30" t="s">
        <v>280</v>
      </c>
      <c r="BE13" s="30" t="s">
        <v>281</v>
      </c>
      <c r="BF13" s="30" t="s">
        <v>282</v>
      </c>
      <c r="BG13" s="30" t="s">
        <v>283</v>
      </c>
      <c r="BH13" s="30" t="s">
        <v>284</v>
      </c>
      <c r="BI13" s="30" t="s">
        <v>285</v>
      </c>
      <c r="BJ13" s="30" t="s">
        <v>286</v>
      </c>
      <c r="BK13" s="30" t="s">
        <v>287</v>
      </c>
      <c r="BL13" s="30" t="s">
        <v>288</v>
      </c>
      <c r="BM13" s="30" t="s">
        <v>289</v>
      </c>
      <c r="BN13" s="29" t="s">
        <v>290</v>
      </c>
      <c r="BO13" s="30" t="s">
        <v>186</v>
      </c>
      <c r="BP13" s="29" t="s">
        <v>291</v>
      </c>
      <c r="BQ13" s="29" t="s">
        <v>151</v>
      </c>
      <c r="BR13" s="30" t="s">
        <v>292</v>
      </c>
      <c r="BS13" s="30" t="s">
        <v>187</v>
      </c>
      <c r="BT13" s="30" t="s">
        <v>188</v>
      </c>
      <c r="BU13" s="35">
        <v>44433</v>
      </c>
      <c r="BV13" s="37">
        <v>3.5</v>
      </c>
      <c r="BW13" s="30" t="s">
        <v>192</v>
      </c>
      <c r="BX13" s="37">
        <v>15.5</v>
      </c>
      <c r="BY13" s="30" t="s">
        <v>192</v>
      </c>
      <c r="BZ13" s="30" t="s">
        <v>293</v>
      </c>
      <c r="CA13" s="30" t="s">
        <v>293</v>
      </c>
      <c r="CB13" s="30" t="s">
        <v>151</v>
      </c>
      <c r="CC13" s="30" t="s">
        <v>165</v>
      </c>
      <c r="CD13" s="30" t="s">
        <v>151</v>
      </c>
      <c r="CE13" s="30" t="s">
        <v>191</v>
      </c>
      <c r="CF13" s="35">
        <v>45365</v>
      </c>
      <c r="CG13" s="37">
        <v>4.5</v>
      </c>
      <c r="CH13" s="30" t="s">
        <v>192</v>
      </c>
      <c r="CI13" s="37">
        <v>24.5</v>
      </c>
      <c r="CJ13" s="30" t="s">
        <v>192</v>
      </c>
      <c r="CK13" s="29">
        <v>1.29</v>
      </c>
      <c r="CL13" s="30" t="s">
        <v>293</v>
      </c>
      <c r="CM13" s="30" t="s">
        <v>293</v>
      </c>
      <c r="CN13" s="30" t="s">
        <v>151</v>
      </c>
      <c r="CO13" s="30" t="s">
        <v>165</v>
      </c>
      <c r="CP13" s="35">
        <v>45365</v>
      </c>
      <c r="CQ13" s="37" t="s">
        <v>151</v>
      </c>
      <c r="CR13" s="30" t="s">
        <v>151</v>
      </c>
      <c r="CS13" s="30" t="s">
        <v>191</v>
      </c>
      <c r="CT13" s="29">
        <v>92</v>
      </c>
      <c r="CU13" s="30" t="s">
        <v>196</v>
      </c>
      <c r="CV13" s="32">
        <v>85</v>
      </c>
      <c r="CW13" s="32">
        <v>15</v>
      </c>
      <c r="CX13" s="30" t="s">
        <v>294</v>
      </c>
      <c r="CY13" s="32">
        <v>1</v>
      </c>
      <c r="CZ13" s="32">
        <v>84</v>
      </c>
      <c r="DA13" s="37">
        <v>24.5</v>
      </c>
      <c r="DB13" s="35">
        <v>45365</v>
      </c>
      <c r="DC13" s="30" t="s">
        <v>293</v>
      </c>
      <c r="DD13" s="29">
        <v>1.29</v>
      </c>
      <c r="DE13" s="32">
        <v>1.89</v>
      </c>
      <c r="DF13" s="34">
        <v>98</v>
      </c>
      <c r="DG13" s="32">
        <v>0.15</v>
      </c>
      <c r="DH13" s="32">
        <v>8.84</v>
      </c>
      <c r="DI13" s="32">
        <v>2.21</v>
      </c>
      <c r="DJ13" s="34">
        <v>98</v>
      </c>
      <c r="DK13" s="32" t="s">
        <v>151</v>
      </c>
      <c r="DL13" s="34" t="s">
        <v>151</v>
      </c>
      <c r="DM13" s="32">
        <v>2.21</v>
      </c>
      <c r="DN13" s="34">
        <v>98</v>
      </c>
      <c r="DO13" s="36">
        <v>4.45</v>
      </c>
      <c r="DP13" s="34">
        <v>81</v>
      </c>
      <c r="DQ13" s="36">
        <v>0</v>
      </c>
      <c r="DR13" s="32">
        <v>0</v>
      </c>
      <c r="DS13" s="36">
        <v>6.89</v>
      </c>
      <c r="DT13" s="34">
        <v>86</v>
      </c>
      <c r="DU13" s="36" t="s">
        <v>151</v>
      </c>
      <c r="DV13" s="34" t="s">
        <v>151</v>
      </c>
      <c r="DW13" s="36">
        <v>6.89</v>
      </c>
      <c r="DX13" s="34">
        <v>86</v>
      </c>
      <c r="DY13" s="31" t="s">
        <v>151</v>
      </c>
      <c r="DZ13" s="35" t="s">
        <v>151</v>
      </c>
      <c r="EA13" s="35" t="s">
        <v>151</v>
      </c>
      <c r="EB13" s="34">
        <v>1038</v>
      </c>
      <c r="EC13" s="33">
        <v>-25</v>
      </c>
      <c r="ED13" s="32">
        <v>-2.35</v>
      </c>
      <c r="EE13" s="34">
        <v>131</v>
      </c>
      <c r="EF13" s="33">
        <v>2</v>
      </c>
      <c r="EG13" s="32">
        <v>1.55</v>
      </c>
      <c r="EH13" s="29" t="s">
        <v>198</v>
      </c>
      <c r="EI13" s="30" t="s">
        <v>151</v>
      </c>
      <c r="EJ13" s="30" t="s">
        <v>151</v>
      </c>
      <c r="EK13" s="31">
        <v>5</v>
      </c>
      <c r="EL13" s="31">
        <v>10</v>
      </c>
      <c r="EM13" s="31">
        <v>11</v>
      </c>
      <c r="EN13" s="31" t="s">
        <v>151</v>
      </c>
      <c r="EO13" s="31" t="s">
        <v>151</v>
      </c>
      <c r="EP13" s="30" t="s">
        <v>295</v>
      </c>
      <c r="EQ13" s="29" t="s">
        <v>151</v>
      </c>
      <c r="ER13" s="29" t="s">
        <v>151</v>
      </c>
      <c r="ES13" s="4">
        <f>HYPERLINK("https://my.pitchbook.com?c=463196-80","View Company Online")</f>
      </c>
    </row>
    <row r="14">
      <c r="A14" s="17" t="s">
        <v>296</v>
      </c>
      <c r="B14" s="17" t="s">
        <v>297</v>
      </c>
      <c r="C14" s="18">
        <v>21</v>
      </c>
      <c r="D14" s="17" t="s">
        <v>151</v>
      </c>
      <c r="E14" s="17" t="s">
        <v>151</v>
      </c>
      <c r="F14" s="17" t="s">
        <v>298</v>
      </c>
      <c r="G14" s="17" t="s">
        <v>151</v>
      </c>
      <c r="H14" s="17" t="s">
        <v>151</v>
      </c>
      <c r="I14" s="17" t="s">
        <v>299</v>
      </c>
      <c r="J14" s="17" t="s">
        <v>296</v>
      </c>
      <c r="K14" s="17" t="s">
        <v>300</v>
      </c>
      <c r="L14" s="17" t="s">
        <v>205</v>
      </c>
      <c r="M14" s="17" t="s">
        <v>301</v>
      </c>
      <c r="N14" s="17" t="s">
        <v>302</v>
      </c>
      <c r="O14" s="17" t="s">
        <v>303</v>
      </c>
      <c r="P14" s="17" t="s">
        <v>304</v>
      </c>
      <c r="Q14" s="17" t="s">
        <v>305</v>
      </c>
      <c r="R14" s="17" t="s">
        <v>151</v>
      </c>
      <c r="S14" s="17" t="s">
        <v>162</v>
      </c>
      <c r="T14" s="24">
        <v>126.85</v>
      </c>
      <c r="U14" s="17" t="s">
        <v>163</v>
      </c>
      <c r="V14" s="17" t="s">
        <v>164</v>
      </c>
      <c r="W14" s="17" t="s">
        <v>165</v>
      </c>
      <c r="X14" s="15" t="s">
        <v>306</v>
      </c>
      <c r="Y14" s="15" t="s">
        <v>307</v>
      </c>
      <c r="Z14" s="27">
        <v>180</v>
      </c>
      <c r="AA14" s="17" t="s">
        <v>308</v>
      </c>
      <c r="AB14" s="17" t="s">
        <v>151</v>
      </c>
      <c r="AC14" s="17" t="s">
        <v>151</v>
      </c>
      <c r="AD14" s="26">
        <v>2019</v>
      </c>
      <c r="AE14" s="17" t="s">
        <v>151</v>
      </c>
      <c r="AF14" s="22">
        <v>45569</v>
      </c>
      <c r="AG14" s="17" t="s">
        <v>151</v>
      </c>
      <c r="AH14" s="17" t="s">
        <v>151</v>
      </c>
      <c r="AI14" s="25" t="s">
        <v>151</v>
      </c>
      <c r="AJ14" s="19" t="s">
        <v>151</v>
      </c>
      <c r="AK14" s="25" t="s">
        <v>151</v>
      </c>
      <c r="AL14" s="25" t="s">
        <v>151</v>
      </c>
      <c r="AM14" s="25" t="s">
        <v>151</v>
      </c>
      <c r="AN14" s="25" t="s">
        <v>151</v>
      </c>
      <c r="AO14" s="25" t="s">
        <v>151</v>
      </c>
      <c r="AP14" s="25" t="s">
        <v>151</v>
      </c>
      <c r="AQ14" s="25" t="s">
        <v>151</v>
      </c>
      <c r="AR14" s="16" t="s">
        <v>151</v>
      </c>
      <c r="AS14" s="17" t="s">
        <v>309</v>
      </c>
      <c r="AT14" s="17" t="s">
        <v>310</v>
      </c>
      <c r="AU14" s="18">
        <v>14</v>
      </c>
      <c r="AV14" s="17" t="s">
        <v>151</v>
      </c>
      <c r="AW14" s="17" t="s">
        <v>151</v>
      </c>
      <c r="AX14" s="17" t="s">
        <v>151</v>
      </c>
      <c r="AY14" s="17" t="s">
        <v>311</v>
      </c>
      <c r="AZ14" s="17" t="s">
        <v>151</v>
      </c>
      <c r="BA14" s="17" t="s">
        <v>151</v>
      </c>
      <c r="BB14" s="17" t="s">
        <v>151</v>
      </c>
      <c r="BC14" s="17" t="s">
        <v>312</v>
      </c>
      <c r="BD14" s="17" t="s">
        <v>313</v>
      </c>
      <c r="BE14" s="17" t="s">
        <v>314</v>
      </c>
      <c r="BF14" s="17" t="s">
        <v>315</v>
      </c>
      <c r="BG14" s="17" t="s">
        <v>316</v>
      </c>
      <c r="BH14" s="17" t="s">
        <v>317</v>
      </c>
      <c r="BI14" s="17" t="s">
        <v>318</v>
      </c>
      <c r="BJ14" s="17" t="s">
        <v>319</v>
      </c>
      <c r="BK14" s="17" t="s">
        <v>320</v>
      </c>
      <c r="BL14" s="17" t="s">
        <v>321</v>
      </c>
      <c r="BM14" s="17" t="s">
        <v>322</v>
      </c>
      <c r="BN14" s="16" t="s">
        <v>323</v>
      </c>
      <c r="BO14" s="17" t="s">
        <v>186</v>
      </c>
      <c r="BP14" s="16" t="s">
        <v>324</v>
      </c>
      <c r="BQ14" s="16" t="s">
        <v>151</v>
      </c>
      <c r="BR14" s="17" t="s">
        <v>151</v>
      </c>
      <c r="BS14" s="17" t="s">
        <v>187</v>
      </c>
      <c r="BT14" s="17" t="s">
        <v>188</v>
      </c>
      <c r="BU14" s="22">
        <v>44235</v>
      </c>
      <c r="BV14" s="24">
        <v>35.5</v>
      </c>
      <c r="BW14" s="17" t="s">
        <v>192</v>
      </c>
      <c r="BX14" s="24">
        <v>71.25</v>
      </c>
      <c r="BY14" s="17" t="s">
        <v>192</v>
      </c>
      <c r="BZ14" s="17" t="s">
        <v>231</v>
      </c>
      <c r="CA14" s="17" t="s">
        <v>232</v>
      </c>
      <c r="CB14" s="17" t="s">
        <v>151</v>
      </c>
      <c r="CC14" s="17" t="s">
        <v>165</v>
      </c>
      <c r="CD14" s="17" t="s">
        <v>325</v>
      </c>
      <c r="CE14" s="17" t="s">
        <v>191</v>
      </c>
      <c r="CF14" s="22">
        <v>45434</v>
      </c>
      <c r="CG14" s="24">
        <v>25</v>
      </c>
      <c r="CH14" s="17" t="s">
        <v>192</v>
      </c>
      <c r="CI14" s="24">
        <v>227.5</v>
      </c>
      <c r="CJ14" s="17" t="s">
        <v>192</v>
      </c>
      <c r="CK14" s="16" t="s">
        <v>151</v>
      </c>
      <c r="CL14" s="17" t="s">
        <v>194</v>
      </c>
      <c r="CM14" s="17" t="s">
        <v>326</v>
      </c>
      <c r="CN14" s="17" t="s">
        <v>151</v>
      </c>
      <c r="CO14" s="17" t="s">
        <v>165</v>
      </c>
      <c r="CP14" s="22">
        <v>45434</v>
      </c>
      <c r="CQ14" s="24" t="s">
        <v>151</v>
      </c>
      <c r="CR14" s="17" t="s">
        <v>151</v>
      </c>
      <c r="CS14" s="17" t="s">
        <v>191</v>
      </c>
      <c r="CT14" s="16">
        <v>89</v>
      </c>
      <c r="CU14" s="17" t="s">
        <v>196</v>
      </c>
      <c r="CV14" s="19">
        <v>90</v>
      </c>
      <c r="CW14" s="19">
        <v>10</v>
      </c>
      <c r="CX14" s="17" t="s">
        <v>197</v>
      </c>
      <c r="CY14" s="19">
        <v>64</v>
      </c>
      <c r="CZ14" s="19">
        <v>26</v>
      </c>
      <c r="DA14" s="24">
        <v>227.5</v>
      </c>
      <c r="DB14" s="22">
        <v>45434</v>
      </c>
      <c r="DC14" s="17" t="s">
        <v>194</v>
      </c>
      <c r="DD14" s="16">
        <v>2.25</v>
      </c>
      <c r="DE14" s="19">
        <v>0.18</v>
      </c>
      <c r="DF14" s="21">
        <v>91</v>
      </c>
      <c r="DG14" s="19">
        <v>0</v>
      </c>
      <c r="DH14" s="19">
        <v>0</v>
      </c>
      <c r="DI14" s="19">
        <v>0.28</v>
      </c>
      <c r="DJ14" s="21">
        <v>94</v>
      </c>
      <c r="DK14" s="19" t="s">
        <v>151</v>
      </c>
      <c r="DL14" s="21" t="s">
        <v>151</v>
      </c>
      <c r="DM14" s="19">
        <v>0.28</v>
      </c>
      <c r="DN14" s="21">
        <v>94</v>
      </c>
      <c r="DO14" s="23">
        <v>11.66</v>
      </c>
      <c r="DP14" s="21">
        <v>91</v>
      </c>
      <c r="DQ14" s="23">
        <v>0</v>
      </c>
      <c r="DR14" s="19">
        <v>0</v>
      </c>
      <c r="DS14" s="23">
        <v>9.47</v>
      </c>
      <c r="DT14" s="21">
        <v>89</v>
      </c>
      <c r="DU14" s="23" t="s">
        <v>151</v>
      </c>
      <c r="DV14" s="21" t="s">
        <v>151</v>
      </c>
      <c r="DW14" s="23">
        <v>9.47</v>
      </c>
      <c r="DX14" s="21">
        <v>89</v>
      </c>
      <c r="DY14" s="18">
        <v>1</v>
      </c>
      <c r="DZ14" s="22">
        <v>44485</v>
      </c>
      <c r="EA14" s="22" t="s">
        <v>151</v>
      </c>
      <c r="EB14" s="21">
        <v>926</v>
      </c>
      <c r="EC14" s="20">
        <v>69</v>
      </c>
      <c r="ED14" s="19">
        <v>8.05</v>
      </c>
      <c r="EE14" s="21">
        <v>180</v>
      </c>
      <c r="EF14" s="20">
        <v>1</v>
      </c>
      <c r="EG14" s="19">
        <v>0.56</v>
      </c>
      <c r="EH14" s="16" t="s">
        <v>198</v>
      </c>
      <c r="EI14" s="17" t="s">
        <v>151</v>
      </c>
      <c r="EJ14" s="17" t="s">
        <v>151</v>
      </c>
      <c r="EK14" s="18">
        <v>8</v>
      </c>
      <c r="EL14" s="18">
        <v>12</v>
      </c>
      <c r="EM14" s="18">
        <v>8</v>
      </c>
      <c r="EN14" s="18" t="s">
        <v>151</v>
      </c>
      <c r="EO14" s="18">
        <v>1</v>
      </c>
      <c r="EP14" s="17" t="s">
        <v>327</v>
      </c>
      <c r="EQ14" s="16" t="s">
        <v>151</v>
      </c>
      <c r="ER14" s="16" t="s">
        <v>151</v>
      </c>
      <c r="ES14" s="3">
        <f>HYPERLINK("https://my.pitchbook.com?c=439861-33","View Company Online")</f>
      </c>
    </row>
    <row r="15">
      <c r="A15" s="30" t="s">
        <v>328</v>
      </c>
      <c r="B15" s="30" t="s">
        <v>329</v>
      </c>
      <c r="C15" s="31">
        <v>20</v>
      </c>
      <c r="D15" s="30" t="s">
        <v>151</v>
      </c>
      <c r="E15" s="30" t="s">
        <v>151</v>
      </c>
      <c r="F15" s="30" t="s">
        <v>330</v>
      </c>
      <c r="G15" s="30" t="s">
        <v>151</v>
      </c>
      <c r="H15" s="30" t="s">
        <v>151</v>
      </c>
      <c r="I15" s="30" t="s">
        <v>151</v>
      </c>
      <c r="J15" s="30" t="s">
        <v>328</v>
      </c>
      <c r="K15" s="30" t="s">
        <v>331</v>
      </c>
      <c r="L15" s="30" t="s">
        <v>205</v>
      </c>
      <c r="M15" s="30" t="s">
        <v>206</v>
      </c>
      <c r="N15" s="30" t="s">
        <v>332</v>
      </c>
      <c r="O15" s="30" t="s">
        <v>333</v>
      </c>
      <c r="P15" s="30" t="s">
        <v>334</v>
      </c>
      <c r="Q15" s="30" t="s">
        <v>335</v>
      </c>
      <c r="R15" s="30" t="s">
        <v>151</v>
      </c>
      <c r="S15" s="30" t="s">
        <v>162</v>
      </c>
      <c r="T15" s="37">
        <v>6.51</v>
      </c>
      <c r="U15" s="30" t="s">
        <v>336</v>
      </c>
      <c r="V15" s="30" t="s">
        <v>164</v>
      </c>
      <c r="W15" s="30" t="s">
        <v>165</v>
      </c>
      <c r="X15" s="28" t="s">
        <v>337</v>
      </c>
      <c r="Y15" s="28" t="s">
        <v>338</v>
      </c>
      <c r="Z15" s="40">
        <v>15</v>
      </c>
      <c r="AA15" s="30" t="s">
        <v>339</v>
      </c>
      <c r="AB15" s="30" t="s">
        <v>151</v>
      </c>
      <c r="AC15" s="30" t="s">
        <v>151</v>
      </c>
      <c r="AD15" s="39">
        <v>2020</v>
      </c>
      <c r="AE15" s="30" t="s">
        <v>151</v>
      </c>
      <c r="AF15" s="35">
        <v>45595</v>
      </c>
      <c r="AG15" s="30" t="s">
        <v>151</v>
      </c>
      <c r="AH15" s="30" t="s">
        <v>151</v>
      </c>
      <c r="AI15" s="38" t="s">
        <v>151</v>
      </c>
      <c r="AJ15" s="32" t="s">
        <v>151</v>
      </c>
      <c r="AK15" s="38" t="s">
        <v>151</v>
      </c>
      <c r="AL15" s="38" t="s">
        <v>151</v>
      </c>
      <c r="AM15" s="38" t="s">
        <v>151</v>
      </c>
      <c r="AN15" s="38" t="s">
        <v>151</v>
      </c>
      <c r="AO15" s="38" t="s">
        <v>151</v>
      </c>
      <c r="AP15" s="38" t="s">
        <v>151</v>
      </c>
      <c r="AQ15" s="38" t="s">
        <v>151</v>
      </c>
      <c r="AR15" s="29" t="s">
        <v>151</v>
      </c>
      <c r="AS15" s="30" t="s">
        <v>340</v>
      </c>
      <c r="AT15" s="30" t="s">
        <v>341</v>
      </c>
      <c r="AU15" s="31">
        <v>2</v>
      </c>
      <c r="AV15" s="30" t="s">
        <v>151</v>
      </c>
      <c r="AW15" s="30" t="s">
        <v>151</v>
      </c>
      <c r="AX15" s="30" t="s">
        <v>151</v>
      </c>
      <c r="AY15" s="30" t="s">
        <v>342</v>
      </c>
      <c r="AZ15" s="30" t="s">
        <v>151</v>
      </c>
      <c r="BA15" s="30" t="s">
        <v>151</v>
      </c>
      <c r="BB15" s="30" t="s">
        <v>151</v>
      </c>
      <c r="BC15" s="30" t="s">
        <v>343</v>
      </c>
      <c r="BD15" s="30" t="s">
        <v>344</v>
      </c>
      <c r="BE15" s="30" t="s">
        <v>345</v>
      </c>
      <c r="BF15" s="30" t="s">
        <v>346</v>
      </c>
      <c r="BG15" s="30" t="s">
        <v>347</v>
      </c>
      <c r="BH15" s="30" t="s">
        <v>348</v>
      </c>
      <c r="BI15" s="30" t="s">
        <v>349</v>
      </c>
      <c r="BJ15" s="30" t="s">
        <v>350</v>
      </c>
      <c r="BK15" s="30" t="s">
        <v>351</v>
      </c>
      <c r="BL15" s="30" t="s">
        <v>352</v>
      </c>
      <c r="BM15" s="30" t="s">
        <v>353</v>
      </c>
      <c r="BN15" s="29" t="s">
        <v>354</v>
      </c>
      <c r="BO15" s="30" t="s">
        <v>186</v>
      </c>
      <c r="BP15" s="29" t="s">
        <v>151</v>
      </c>
      <c r="BQ15" s="29" t="s">
        <v>151</v>
      </c>
      <c r="BR15" s="30" t="s">
        <v>151</v>
      </c>
      <c r="BS15" s="30" t="s">
        <v>187</v>
      </c>
      <c r="BT15" s="30" t="s">
        <v>188</v>
      </c>
      <c r="BU15" s="35">
        <v>45160</v>
      </c>
      <c r="BV15" s="37">
        <v>6.51</v>
      </c>
      <c r="BW15" s="30" t="s">
        <v>192</v>
      </c>
      <c r="BX15" s="37">
        <v>130</v>
      </c>
      <c r="BY15" s="30" t="s">
        <v>192</v>
      </c>
      <c r="BZ15" s="30" t="s">
        <v>293</v>
      </c>
      <c r="CA15" s="30" t="s">
        <v>293</v>
      </c>
      <c r="CB15" s="30" t="s">
        <v>151</v>
      </c>
      <c r="CC15" s="30" t="s">
        <v>165</v>
      </c>
      <c r="CD15" s="30" t="s">
        <v>151</v>
      </c>
      <c r="CE15" s="30" t="s">
        <v>191</v>
      </c>
      <c r="CF15" s="35" t="s">
        <v>151</v>
      </c>
      <c r="CG15" s="37" t="s">
        <v>151</v>
      </c>
      <c r="CH15" s="30" t="s">
        <v>151</v>
      </c>
      <c r="CI15" s="37" t="s">
        <v>151</v>
      </c>
      <c r="CJ15" s="30" t="s">
        <v>151</v>
      </c>
      <c r="CK15" s="29" t="s">
        <v>151</v>
      </c>
      <c r="CL15" s="30" t="s">
        <v>189</v>
      </c>
      <c r="CM15" s="30" t="s">
        <v>151</v>
      </c>
      <c r="CN15" s="30" t="s">
        <v>151</v>
      </c>
      <c r="CO15" s="30" t="s">
        <v>190</v>
      </c>
      <c r="CP15" s="35" t="s">
        <v>151</v>
      </c>
      <c r="CQ15" s="37" t="s">
        <v>151</v>
      </c>
      <c r="CR15" s="30" t="s">
        <v>355</v>
      </c>
      <c r="CS15" s="30" t="s">
        <v>191</v>
      </c>
      <c r="CT15" s="29">
        <v>32</v>
      </c>
      <c r="CU15" s="30" t="s">
        <v>263</v>
      </c>
      <c r="CV15" s="32">
        <v>32</v>
      </c>
      <c r="CW15" s="32">
        <v>68</v>
      </c>
      <c r="CX15" s="30" t="s">
        <v>263</v>
      </c>
      <c r="CY15" s="32">
        <v>1</v>
      </c>
      <c r="CZ15" s="32">
        <v>31</v>
      </c>
      <c r="DA15" s="37">
        <v>130</v>
      </c>
      <c r="DB15" s="35">
        <v>45160</v>
      </c>
      <c r="DC15" s="30" t="s">
        <v>293</v>
      </c>
      <c r="DD15" s="29" t="s">
        <v>151</v>
      </c>
      <c r="DE15" s="32">
        <v>0.89</v>
      </c>
      <c r="DF15" s="34">
        <v>96</v>
      </c>
      <c r="DG15" s="32">
        <v>0</v>
      </c>
      <c r="DH15" s="32">
        <v>0</v>
      </c>
      <c r="DI15" s="32" t="s">
        <v>151</v>
      </c>
      <c r="DJ15" s="34" t="s">
        <v>151</v>
      </c>
      <c r="DK15" s="32" t="s">
        <v>151</v>
      </c>
      <c r="DL15" s="34" t="s">
        <v>151</v>
      </c>
      <c r="DM15" s="32" t="s">
        <v>151</v>
      </c>
      <c r="DN15" s="34" t="s">
        <v>151</v>
      </c>
      <c r="DO15" s="36">
        <v>1.15</v>
      </c>
      <c r="DP15" s="34">
        <v>53</v>
      </c>
      <c r="DQ15" s="36">
        <v>0</v>
      </c>
      <c r="DR15" s="32">
        <v>0</v>
      </c>
      <c r="DS15" s="36" t="s">
        <v>151</v>
      </c>
      <c r="DT15" s="34" t="s">
        <v>151</v>
      </c>
      <c r="DU15" s="36" t="s">
        <v>151</v>
      </c>
      <c r="DV15" s="34" t="s">
        <v>151</v>
      </c>
      <c r="DW15" s="36" t="s">
        <v>151</v>
      </c>
      <c r="DX15" s="34" t="s">
        <v>151</v>
      </c>
      <c r="DY15" s="31" t="s">
        <v>151</v>
      </c>
      <c r="DZ15" s="35" t="s">
        <v>151</v>
      </c>
      <c r="EA15" s="35" t="s">
        <v>151</v>
      </c>
      <c r="EB15" s="34">
        <v>0</v>
      </c>
      <c r="EC15" s="33">
        <v>0</v>
      </c>
      <c r="ED15" s="32">
        <v>0</v>
      </c>
      <c r="EE15" s="34" t="s">
        <v>151</v>
      </c>
      <c r="EF15" s="33" t="s">
        <v>151</v>
      </c>
      <c r="EG15" s="32" t="s">
        <v>151</v>
      </c>
      <c r="EH15" s="29" t="s">
        <v>198</v>
      </c>
      <c r="EI15" s="30" t="s">
        <v>151</v>
      </c>
      <c r="EJ15" s="30" t="s">
        <v>151</v>
      </c>
      <c r="EK15" s="31">
        <v>11</v>
      </c>
      <c r="EL15" s="31">
        <v>6</v>
      </c>
      <c r="EM15" s="31">
        <v>3</v>
      </c>
      <c r="EN15" s="31">
        <v>1</v>
      </c>
      <c r="EO15" s="31">
        <v>11</v>
      </c>
      <c r="EP15" s="30" t="s">
        <v>356</v>
      </c>
      <c r="EQ15" s="29" t="s">
        <v>151</v>
      </c>
      <c r="ER15" s="29" t="s">
        <v>151</v>
      </c>
      <c r="ES15" s="4">
        <f>HYPERLINK("https://my.pitchbook.com?c=484092-37","View Company Online")</f>
      </c>
    </row>
    <row r="16">
      <c r="A16" s="17" t="s">
        <v>357</v>
      </c>
      <c r="B16" s="17" t="s">
        <v>358</v>
      </c>
      <c r="C16" s="18">
        <v>19</v>
      </c>
      <c r="D16" s="17" t="s">
        <v>151</v>
      </c>
      <c r="E16" s="17" t="s">
        <v>151</v>
      </c>
      <c r="F16" s="17" t="s">
        <v>359</v>
      </c>
      <c r="G16" s="17" t="s">
        <v>151</v>
      </c>
      <c r="H16" s="17" t="s">
        <v>151</v>
      </c>
      <c r="I16" s="17" t="s">
        <v>151</v>
      </c>
      <c r="J16" s="17" t="s">
        <v>357</v>
      </c>
      <c r="K16" s="17" t="s">
        <v>360</v>
      </c>
      <c r="L16" s="17" t="s">
        <v>155</v>
      </c>
      <c r="M16" s="17" t="s">
        <v>361</v>
      </c>
      <c r="N16" s="17" t="s">
        <v>362</v>
      </c>
      <c r="O16" s="17" t="s">
        <v>363</v>
      </c>
      <c r="P16" s="17" t="s">
        <v>364</v>
      </c>
      <c r="Q16" s="17" t="s">
        <v>365</v>
      </c>
      <c r="R16" s="17" t="s">
        <v>151</v>
      </c>
      <c r="S16" s="17" t="s">
        <v>162</v>
      </c>
      <c r="T16" s="24">
        <v>8</v>
      </c>
      <c r="U16" s="17" t="s">
        <v>163</v>
      </c>
      <c r="V16" s="17" t="s">
        <v>164</v>
      </c>
      <c r="W16" s="17" t="s">
        <v>165</v>
      </c>
      <c r="X16" s="15" t="s">
        <v>366</v>
      </c>
      <c r="Y16" s="15" t="s">
        <v>367</v>
      </c>
      <c r="Z16" s="27">
        <v>32</v>
      </c>
      <c r="AA16" s="17" t="s">
        <v>368</v>
      </c>
      <c r="AB16" s="17" t="s">
        <v>151</v>
      </c>
      <c r="AC16" s="17" t="s">
        <v>151</v>
      </c>
      <c r="AD16" s="26">
        <v>2020</v>
      </c>
      <c r="AE16" s="17" t="s">
        <v>151</v>
      </c>
      <c r="AF16" s="22">
        <v>45547</v>
      </c>
      <c r="AG16" s="17" t="s">
        <v>151</v>
      </c>
      <c r="AH16" s="17" t="s">
        <v>151</v>
      </c>
      <c r="AI16" s="25" t="s">
        <v>151</v>
      </c>
      <c r="AJ16" s="19" t="s">
        <v>151</v>
      </c>
      <c r="AK16" s="25" t="s">
        <v>151</v>
      </c>
      <c r="AL16" s="25" t="s">
        <v>151</v>
      </c>
      <c r="AM16" s="25" t="s">
        <v>151</v>
      </c>
      <c r="AN16" s="25" t="s">
        <v>151</v>
      </c>
      <c r="AO16" s="25" t="s">
        <v>151</v>
      </c>
      <c r="AP16" s="25" t="s">
        <v>151</v>
      </c>
      <c r="AQ16" s="25" t="s">
        <v>151</v>
      </c>
      <c r="AR16" s="16" t="s">
        <v>151</v>
      </c>
      <c r="AS16" s="17" t="s">
        <v>369</v>
      </c>
      <c r="AT16" s="17" t="s">
        <v>370</v>
      </c>
      <c r="AU16" s="18">
        <v>19</v>
      </c>
      <c r="AV16" s="17" t="s">
        <v>151</v>
      </c>
      <c r="AW16" s="17" t="s">
        <v>371</v>
      </c>
      <c r="AX16" s="17" t="s">
        <v>151</v>
      </c>
      <c r="AY16" s="17" t="s">
        <v>372</v>
      </c>
      <c r="AZ16" s="17" t="s">
        <v>373</v>
      </c>
      <c r="BA16" s="17" t="s">
        <v>151</v>
      </c>
      <c r="BB16" s="17" t="s">
        <v>151</v>
      </c>
      <c r="BC16" s="17" t="s">
        <v>374</v>
      </c>
      <c r="BD16" s="17" t="s">
        <v>375</v>
      </c>
      <c r="BE16" s="17" t="s">
        <v>376</v>
      </c>
      <c r="BF16" s="17" t="s">
        <v>221</v>
      </c>
      <c r="BG16" s="17" t="s">
        <v>377</v>
      </c>
      <c r="BH16" s="17" t="s">
        <v>151</v>
      </c>
      <c r="BI16" s="17" t="s">
        <v>378</v>
      </c>
      <c r="BJ16" s="17" t="s">
        <v>379</v>
      </c>
      <c r="BK16" s="17" t="s">
        <v>380</v>
      </c>
      <c r="BL16" s="17" t="s">
        <v>381</v>
      </c>
      <c r="BM16" s="17" t="s">
        <v>289</v>
      </c>
      <c r="BN16" s="16" t="s">
        <v>382</v>
      </c>
      <c r="BO16" s="17" t="s">
        <v>186</v>
      </c>
      <c r="BP16" s="16" t="s">
        <v>151</v>
      </c>
      <c r="BQ16" s="16" t="s">
        <v>151</v>
      </c>
      <c r="BR16" s="17" t="s">
        <v>383</v>
      </c>
      <c r="BS16" s="17" t="s">
        <v>187</v>
      </c>
      <c r="BT16" s="17" t="s">
        <v>188</v>
      </c>
      <c r="BU16" s="22">
        <v>44075</v>
      </c>
      <c r="BV16" s="24" t="s">
        <v>151</v>
      </c>
      <c r="BW16" s="17" t="s">
        <v>151</v>
      </c>
      <c r="BX16" s="24" t="s">
        <v>151</v>
      </c>
      <c r="BY16" s="17" t="s">
        <v>151</v>
      </c>
      <c r="BZ16" s="17" t="s">
        <v>384</v>
      </c>
      <c r="CA16" s="17" t="s">
        <v>151</v>
      </c>
      <c r="CB16" s="17" t="s">
        <v>151</v>
      </c>
      <c r="CC16" s="17" t="s">
        <v>385</v>
      </c>
      <c r="CD16" s="17" t="s">
        <v>151</v>
      </c>
      <c r="CE16" s="17" t="s">
        <v>191</v>
      </c>
      <c r="CF16" s="22">
        <v>44992</v>
      </c>
      <c r="CG16" s="24" t="s">
        <v>151</v>
      </c>
      <c r="CH16" s="17" t="s">
        <v>151</v>
      </c>
      <c r="CI16" s="24" t="s">
        <v>151</v>
      </c>
      <c r="CJ16" s="17" t="s">
        <v>151</v>
      </c>
      <c r="CK16" s="16" t="s">
        <v>151</v>
      </c>
      <c r="CL16" s="17" t="s">
        <v>231</v>
      </c>
      <c r="CM16" s="17" t="s">
        <v>151</v>
      </c>
      <c r="CN16" s="17" t="s">
        <v>151</v>
      </c>
      <c r="CO16" s="17" t="s">
        <v>385</v>
      </c>
      <c r="CP16" s="22">
        <v>44992</v>
      </c>
      <c r="CQ16" s="24" t="s">
        <v>151</v>
      </c>
      <c r="CR16" s="17" t="s">
        <v>151</v>
      </c>
      <c r="CS16" s="17" t="s">
        <v>191</v>
      </c>
      <c r="CT16" s="16">
        <v>58</v>
      </c>
      <c r="CU16" s="17" t="s">
        <v>196</v>
      </c>
      <c r="CV16" s="19">
        <v>55</v>
      </c>
      <c r="CW16" s="19">
        <v>45</v>
      </c>
      <c r="CX16" s="17" t="s">
        <v>294</v>
      </c>
      <c r="CY16" s="19">
        <v>1</v>
      </c>
      <c r="CZ16" s="19">
        <v>54</v>
      </c>
      <c r="DA16" s="24">
        <v>24.5</v>
      </c>
      <c r="DB16" s="22">
        <v>44662</v>
      </c>
      <c r="DC16" s="17" t="s">
        <v>293</v>
      </c>
      <c r="DD16" s="16">
        <v>1.6</v>
      </c>
      <c r="DE16" s="19">
        <v>-0.19</v>
      </c>
      <c r="DF16" s="21">
        <v>10</v>
      </c>
      <c r="DG16" s="19">
        <v>0</v>
      </c>
      <c r="DH16" s="19">
        <v>0</v>
      </c>
      <c r="DI16" s="19">
        <v>0</v>
      </c>
      <c r="DJ16" s="21">
        <v>10</v>
      </c>
      <c r="DK16" s="19" t="s">
        <v>151</v>
      </c>
      <c r="DL16" s="21" t="s">
        <v>151</v>
      </c>
      <c r="DM16" s="19">
        <v>0</v>
      </c>
      <c r="DN16" s="21">
        <v>10</v>
      </c>
      <c r="DO16" s="23">
        <v>4.05</v>
      </c>
      <c r="DP16" s="21">
        <v>79</v>
      </c>
      <c r="DQ16" s="23">
        <v>0</v>
      </c>
      <c r="DR16" s="19">
        <v>0</v>
      </c>
      <c r="DS16" s="23">
        <v>5.63</v>
      </c>
      <c r="DT16" s="21">
        <v>84</v>
      </c>
      <c r="DU16" s="23" t="s">
        <v>151</v>
      </c>
      <c r="DV16" s="21" t="s">
        <v>151</v>
      </c>
      <c r="DW16" s="23">
        <v>5.63</v>
      </c>
      <c r="DX16" s="21">
        <v>83</v>
      </c>
      <c r="DY16" s="18" t="s">
        <v>151</v>
      </c>
      <c r="DZ16" s="22" t="s">
        <v>151</v>
      </c>
      <c r="EA16" s="22" t="s">
        <v>151</v>
      </c>
      <c r="EB16" s="21">
        <v>2743</v>
      </c>
      <c r="EC16" s="20">
        <v>-38</v>
      </c>
      <c r="ED16" s="19">
        <v>-1.37</v>
      </c>
      <c r="EE16" s="21">
        <v>107</v>
      </c>
      <c r="EF16" s="20">
        <v>0</v>
      </c>
      <c r="EG16" s="19">
        <v>0</v>
      </c>
      <c r="EH16" s="16" t="s">
        <v>198</v>
      </c>
      <c r="EI16" s="17" t="s">
        <v>151</v>
      </c>
      <c r="EJ16" s="17" t="s">
        <v>151</v>
      </c>
      <c r="EK16" s="18">
        <v>6</v>
      </c>
      <c r="EL16" s="18">
        <v>15</v>
      </c>
      <c r="EM16" s="18">
        <v>4</v>
      </c>
      <c r="EN16" s="18" t="s">
        <v>151</v>
      </c>
      <c r="EO16" s="18" t="s">
        <v>151</v>
      </c>
      <c r="EP16" s="17" t="s">
        <v>386</v>
      </c>
      <c r="EQ16" s="16" t="s">
        <v>151</v>
      </c>
      <c r="ER16" s="16" t="s">
        <v>151</v>
      </c>
      <c r="ES16" s="3">
        <f>HYPERLINK("https://my.pitchbook.com?c=495917-83","View Company Online")</f>
      </c>
    </row>
    <row r="17">
      <c r="A17" s="30" t="s">
        <v>387</v>
      </c>
      <c r="B17" s="30" t="s">
        <v>388</v>
      </c>
      <c r="C17" s="31">
        <v>18</v>
      </c>
      <c r="D17" s="30" t="s">
        <v>151</v>
      </c>
      <c r="E17" s="30" t="s">
        <v>151</v>
      </c>
      <c r="F17" s="30" t="s">
        <v>389</v>
      </c>
      <c r="G17" s="30" t="s">
        <v>151</v>
      </c>
      <c r="H17" s="30" t="s">
        <v>151</v>
      </c>
      <c r="I17" s="30" t="s">
        <v>151</v>
      </c>
      <c r="J17" s="30" t="s">
        <v>387</v>
      </c>
      <c r="K17" s="30" t="s">
        <v>390</v>
      </c>
      <c r="L17" s="30" t="s">
        <v>205</v>
      </c>
      <c r="M17" s="30" t="s">
        <v>301</v>
      </c>
      <c r="N17" s="30" t="s">
        <v>391</v>
      </c>
      <c r="O17" s="30" t="s">
        <v>392</v>
      </c>
      <c r="P17" s="30" t="s">
        <v>393</v>
      </c>
      <c r="Q17" s="30" t="s">
        <v>394</v>
      </c>
      <c r="R17" s="30" t="s">
        <v>151</v>
      </c>
      <c r="S17" s="30" t="s">
        <v>162</v>
      </c>
      <c r="T17" s="37">
        <v>22</v>
      </c>
      <c r="U17" s="30" t="s">
        <v>163</v>
      </c>
      <c r="V17" s="30" t="s">
        <v>164</v>
      </c>
      <c r="W17" s="30" t="s">
        <v>165</v>
      </c>
      <c r="X17" s="28" t="s">
        <v>395</v>
      </c>
      <c r="Y17" s="28" t="s">
        <v>396</v>
      </c>
      <c r="Z17" s="40">
        <v>25</v>
      </c>
      <c r="AA17" s="30" t="s">
        <v>397</v>
      </c>
      <c r="AB17" s="30" t="s">
        <v>151</v>
      </c>
      <c r="AC17" s="30" t="s">
        <v>151</v>
      </c>
      <c r="AD17" s="39">
        <v>2020</v>
      </c>
      <c r="AE17" s="30" t="s">
        <v>151</v>
      </c>
      <c r="AF17" s="35">
        <v>45616</v>
      </c>
      <c r="AG17" s="30" t="s">
        <v>151</v>
      </c>
      <c r="AH17" s="30" t="s">
        <v>151</v>
      </c>
      <c r="AI17" s="38" t="s">
        <v>151</v>
      </c>
      <c r="AJ17" s="32" t="s">
        <v>151</v>
      </c>
      <c r="AK17" s="38" t="s">
        <v>151</v>
      </c>
      <c r="AL17" s="38" t="s">
        <v>151</v>
      </c>
      <c r="AM17" s="38" t="s">
        <v>151</v>
      </c>
      <c r="AN17" s="38" t="s">
        <v>151</v>
      </c>
      <c r="AO17" s="38" t="s">
        <v>151</v>
      </c>
      <c r="AP17" s="38" t="s">
        <v>151</v>
      </c>
      <c r="AQ17" s="38" t="s">
        <v>151</v>
      </c>
      <c r="AR17" s="29" t="s">
        <v>151</v>
      </c>
      <c r="AS17" s="30" t="s">
        <v>398</v>
      </c>
      <c r="AT17" s="30" t="s">
        <v>399</v>
      </c>
      <c r="AU17" s="31">
        <v>6</v>
      </c>
      <c r="AV17" s="30" t="s">
        <v>151</v>
      </c>
      <c r="AW17" s="30" t="s">
        <v>151</v>
      </c>
      <c r="AX17" s="30" t="s">
        <v>151</v>
      </c>
      <c r="AY17" s="30" t="s">
        <v>400</v>
      </c>
      <c r="AZ17" s="30" t="s">
        <v>151</v>
      </c>
      <c r="BA17" s="30" t="s">
        <v>151</v>
      </c>
      <c r="BB17" s="30" t="s">
        <v>151</v>
      </c>
      <c r="BC17" s="30" t="s">
        <v>151</v>
      </c>
      <c r="BD17" s="30" t="s">
        <v>401</v>
      </c>
      <c r="BE17" s="30" t="s">
        <v>402</v>
      </c>
      <c r="BF17" s="30" t="s">
        <v>403</v>
      </c>
      <c r="BG17" s="30" t="s">
        <v>404</v>
      </c>
      <c r="BH17" s="30" t="s">
        <v>151</v>
      </c>
      <c r="BI17" s="30" t="s">
        <v>405</v>
      </c>
      <c r="BJ17" s="30" t="s">
        <v>406</v>
      </c>
      <c r="BK17" s="30" t="s">
        <v>151</v>
      </c>
      <c r="BL17" s="30" t="s">
        <v>407</v>
      </c>
      <c r="BM17" s="30" t="s">
        <v>184</v>
      </c>
      <c r="BN17" s="29" t="s">
        <v>408</v>
      </c>
      <c r="BO17" s="30" t="s">
        <v>186</v>
      </c>
      <c r="BP17" s="29" t="s">
        <v>151</v>
      </c>
      <c r="BQ17" s="29" t="s">
        <v>151</v>
      </c>
      <c r="BR17" s="30" t="s">
        <v>151</v>
      </c>
      <c r="BS17" s="30" t="s">
        <v>187</v>
      </c>
      <c r="BT17" s="30" t="s">
        <v>188</v>
      </c>
      <c r="BU17" s="35">
        <v>44435</v>
      </c>
      <c r="BV17" s="37">
        <v>3</v>
      </c>
      <c r="BW17" s="30" t="s">
        <v>192</v>
      </c>
      <c r="BX17" s="37">
        <v>5</v>
      </c>
      <c r="BY17" s="30" t="s">
        <v>192</v>
      </c>
      <c r="BZ17" s="30" t="s">
        <v>293</v>
      </c>
      <c r="CA17" s="30" t="s">
        <v>293</v>
      </c>
      <c r="CB17" s="30" t="s">
        <v>151</v>
      </c>
      <c r="CC17" s="30" t="s">
        <v>165</v>
      </c>
      <c r="CD17" s="30" t="s">
        <v>409</v>
      </c>
      <c r="CE17" s="30" t="s">
        <v>191</v>
      </c>
      <c r="CF17" s="35">
        <v>45344</v>
      </c>
      <c r="CG17" s="37">
        <v>15</v>
      </c>
      <c r="CH17" s="30" t="s">
        <v>192</v>
      </c>
      <c r="CI17" s="37">
        <v>65</v>
      </c>
      <c r="CJ17" s="30" t="s">
        <v>192</v>
      </c>
      <c r="CK17" s="29">
        <v>1.67</v>
      </c>
      <c r="CL17" s="30" t="s">
        <v>231</v>
      </c>
      <c r="CM17" s="30" t="s">
        <v>232</v>
      </c>
      <c r="CN17" s="30" t="s">
        <v>151</v>
      </c>
      <c r="CO17" s="30" t="s">
        <v>165</v>
      </c>
      <c r="CP17" s="35">
        <v>45344</v>
      </c>
      <c r="CQ17" s="37" t="s">
        <v>151</v>
      </c>
      <c r="CR17" s="30" t="s">
        <v>151</v>
      </c>
      <c r="CS17" s="30" t="s">
        <v>191</v>
      </c>
      <c r="CT17" s="29">
        <v>71</v>
      </c>
      <c r="CU17" s="30" t="s">
        <v>196</v>
      </c>
      <c r="CV17" s="32">
        <v>66</v>
      </c>
      <c r="CW17" s="32">
        <v>34</v>
      </c>
      <c r="CX17" s="30" t="s">
        <v>294</v>
      </c>
      <c r="CY17" s="32">
        <v>1</v>
      </c>
      <c r="CZ17" s="32">
        <v>65</v>
      </c>
      <c r="DA17" s="37">
        <v>65</v>
      </c>
      <c r="DB17" s="35">
        <v>45344</v>
      </c>
      <c r="DC17" s="30" t="s">
        <v>231</v>
      </c>
      <c r="DD17" s="29">
        <v>1.67</v>
      </c>
      <c r="DE17" s="32">
        <v>0</v>
      </c>
      <c r="DF17" s="34">
        <v>11</v>
      </c>
      <c r="DG17" s="32">
        <v>0</v>
      </c>
      <c r="DH17" s="32">
        <v>0</v>
      </c>
      <c r="DI17" s="32" t="s">
        <v>151</v>
      </c>
      <c r="DJ17" s="34" t="s">
        <v>151</v>
      </c>
      <c r="DK17" s="32" t="s">
        <v>151</v>
      </c>
      <c r="DL17" s="34" t="s">
        <v>151</v>
      </c>
      <c r="DM17" s="32" t="s">
        <v>151</v>
      </c>
      <c r="DN17" s="34" t="s">
        <v>151</v>
      </c>
      <c r="DO17" s="36">
        <v>1.92</v>
      </c>
      <c r="DP17" s="34">
        <v>65</v>
      </c>
      <c r="DQ17" s="36">
        <v>0</v>
      </c>
      <c r="DR17" s="32">
        <v>0</v>
      </c>
      <c r="DS17" s="36" t="s">
        <v>151</v>
      </c>
      <c r="DT17" s="34" t="s">
        <v>151</v>
      </c>
      <c r="DU17" s="36" t="s">
        <v>151</v>
      </c>
      <c r="DV17" s="34" t="s">
        <v>151</v>
      </c>
      <c r="DW17" s="36" t="s">
        <v>151</v>
      </c>
      <c r="DX17" s="34" t="s">
        <v>151</v>
      </c>
      <c r="DY17" s="31" t="s">
        <v>151</v>
      </c>
      <c r="DZ17" s="35" t="s">
        <v>151</v>
      </c>
      <c r="EA17" s="35" t="s">
        <v>151</v>
      </c>
      <c r="EB17" s="34">
        <v>536</v>
      </c>
      <c r="EC17" s="33">
        <v>92</v>
      </c>
      <c r="ED17" s="32">
        <v>20.72</v>
      </c>
      <c r="EE17" s="34" t="s">
        <v>151</v>
      </c>
      <c r="EF17" s="33" t="s">
        <v>151</v>
      </c>
      <c r="EG17" s="32" t="s">
        <v>151</v>
      </c>
      <c r="EH17" s="29" t="s">
        <v>198</v>
      </c>
      <c r="EI17" s="30" t="s">
        <v>151</v>
      </c>
      <c r="EJ17" s="30" t="s">
        <v>151</v>
      </c>
      <c r="EK17" s="31">
        <v>9</v>
      </c>
      <c r="EL17" s="31">
        <v>6</v>
      </c>
      <c r="EM17" s="31">
        <v>12</v>
      </c>
      <c r="EN17" s="31" t="s">
        <v>151</v>
      </c>
      <c r="EO17" s="31" t="s">
        <v>151</v>
      </c>
      <c r="EP17" s="30" t="s">
        <v>410</v>
      </c>
      <c r="EQ17" s="29" t="s">
        <v>151</v>
      </c>
      <c r="ER17" s="29" t="s">
        <v>151</v>
      </c>
      <c r="ES17" s="4">
        <f>HYPERLINK("https://my.pitchbook.com?c=489291-85","View Company Online")</f>
      </c>
    </row>
    <row r="18">
      <c r="A18" s="17" t="s">
        <v>411</v>
      </c>
      <c r="B18" s="17" t="s">
        <v>412</v>
      </c>
      <c r="C18" s="18">
        <v>17</v>
      </c>
      <c r="D18" s="17" t="s">
        <v>151</v>
      </c>
      <c r="E18" s="17" t="s">
        <v>413</v>
      </c>
      <c r="F18" s="17" t="s">
        <v>414</v>
      </c>
      <c r="G18" s="17" t="s">
        <v>151</v>
      </c>
      <c r="H18" s="17" t="s">
        <v>151</v>
      </c>
      <c r="I18" s="17" t="s">
        <v>415</v>
      </c>
      <c r="J18" s="17" t="s">
        <v>411</v>
      </c>
      <c r="K18" s="17" t="s">
        <v>416</v>
      </c>
      <c r="L18" s="17" t="s">
        <v>205</v>
      </c>
      <c r="M18" s="17" t="s">
        <v>206</v>
      </c>
      <c r="N18" s="17" t="s">
        <v>207</v>
      </c>
      <c r="O18" s="17" t="s">
        <v>417</v>
      </c>
      <c r="P18" s="17" t="s">
        <v>418</v>
      </c>
      <c r="Q18" s="17" t="s">
        <v>419</v>
      </c>
      <c r="R18" s="17" t="s">
        <v>151</v>
      </c>
      <c r="S18" s="17" t="s">
        <v>162</v>
      </c>
      <c r="T18" s="24">
        <v>22</v>
      </c>
      <c r="U18" s="17" t="s">
        <v>163</v>
      </c>
      <c r="V18" s="17" t="s">
        <v>164</v>
      </c>
      <c r="W18" s="17" t="s">
        <v>420</v>
      </c>
      <c r="X18" s="15" t="s">
        <v>421</v>
      </c>
      <c r="Y18" s="15" t="s">
        <v>422</v>
      </c>
      <c r="Z18" s="27">
        <v>23</v>
      </c>
      <c r="AA18" s="17" t="s">
        <v>423</v>
      </c>
      <c r="AB18" s="17" t="s">
        <v>151</v>
      </c>
      <c r="AC18" s="17" t="s">
        <v>151</v>
      </c>
      <c r="AD18" s="26">
        <v>2017</v>
      </c>
      <c r="AE18" s="17" t="s">
        <v>151</v>
      </c>
      <c r="AF18" s="22">
        <v>45558</v>
      </c>
      <c r="AG18" s="17" t="s">
        <v>151</v>
      </c>
      <c r="AH18" s="17" t="s">
        <v>151</v>
      </c>
      <c r="AI18" s="25" t="s">
        <v>151</v>
      </c>
      <c r="AJ18" s="19" t="s">
        <v>151</v>
      </c>
      <c r="AK18" s="25" t="s">
        <v>151</v>
      </c>
      <c r="AL18" s="25" t="s">
        <v>151</v>
      </c>
      <c r="AM18" s="25" t="s">
        <v>151</v>
      </c>
      <c r="AN18" s="25" t="s">
        <v>151</v>
      </c>
      <c r="AO18" s="25" t="s">
        <v>151</v>
      </c>
      <c r="AP18" s="25" t="s">
        <v>151</v>
      </c>
      <c r="AQ18" s="25" t="s">
        <v>151</v>
      </c>
      <c r="AR18" s="16" t="s">
        <v>151</v>
      </c>
      <c r="AS18" s="17" t="s">
        <v>424</v>
      </c>
      <c r="AT18" s="17" t="s">
        <v>425</v>
      </c>
      <c r="AU18" s="18">
        <v>4</v>
      </c>
      <c r="AV18" s="17" t="s">
        <v>151</v>
      </c>
      <c r="AW18" s="17" t="s">
        <v>151</v>
      </c>
      <c r="AX18" s="17" t="s">
        <v>151</v>
      </c>
      <c r="AY18" s="17" t="s">
        <v>426</v>
      </c>
      <c r="AZ18" s="17" t="s">
        <v>151</v>
      </c>
      <c r="BA18" s="17" t="s">
        <v>151</v>
      </c>
      <c r="BB18" s="17" t="s">
        <v>151</v>
      </c>
      <c r="BC18" s="17" t="s">
        <v>427</v>
      </c>
      <c r="BD18" s="17" t="s">
        <v>428</v>
      </c>
      <c r="BE18" s="17" t="s">
        <v>429</v>
      </c>
      <c r="BF18" s="17" t="s">
        <v>430</v>
      </c>
      <c r="BG18" s="17" t="s">
        <v>431</v>
      </c>
      <c r="BH18" s="17" t="s">
        <v>432</v>
      </c>
      <c r="BI18" s="17" t="s">
        <v>433</v>
      </c>
      <c r="BJ18" s="17" t="s">
        <v>434</v>
      </c>
      <c r="BK18" s="17" t="s">
        <v>435</v>
      </c>
      <c r="BL18" s="17" t="s">
        <v>436</v>
      </c>
      <c r="BM18" s="17" t="s">
        <v>184</v>
      </c>
      <c r="BN18" s="16" t="s">
        <v>437</v>
      </c>
      <c r="BO18" s="17" t="s">
        <v>186</v>
      </c>
      <c r="BP18" s="16" t="s">
        <v>432</v>
      </c>
      <c r="BQ18" s="16" t="s">
        <v>151</v>
      </c>
      <c r="BR18" s="17" t="s">
        <v>151</v>
      </c>
      <c r="BS18" s="17" t="s">
        <v>187</v>
      </c>
      <c r="BT18" s="17" t="s">
        <v>188</v>
      </c>
      <c r="BU18" s="22">
        <v>43936</v>
      </c>
      <c r="BV18" s="24" t="s">
        <v>151</v>
      </c>
      <c r="BW18" s="17" t="s">
        <v>151</v>
      </c>
      <c r="BX18" s="24" t="s">
        <v>151</v>
      </c>
      <c r="BY18" s="17" t="s">
        <v>151</v>
      </c>
      <c r="BZ18" s="17" t="s">
        <v>438</v>
      </c>
      <c r="CA18" s="17" t="s">
        <v>151</v>
      </c>
      <c r="CB18" s="17" t="s">
        <v>151</v>
      </c>
      <c r="CC18" s="17" t="s">
        <v>439</v>
      </c>
      <c r="CD18" s="17" t="s">
        <v>440</v>
      </c>
      <c r="CE18" s="17" t="s">
        <v>191</v>
      </c>
      <c r="CF18" s="22">
        <v>45413</v>
      </c>
      <c r="CG18" s="24" t="s">
        <v>151</v>
      </c>
      <c r="CH18" s="17" t="s">
        <v>151</v>
      </c>
      <c r="CI18" s="24" t="s">
        <v>151</v>
      </c>
      <c r="CJ18" s="17" t="s">
        <v>151</v>
      </c>
      <c r="CK18" s="16" t="s">
        <v>151</v>
      </c>
      <c r="CL18" s="17" t="s">
        <v>189</v>
      </c>
      <c r="CM18" s="17" t="s">
        <v>151</v>
      </c>
      <c r="CN18" s="17" t="s">
        <v>151</v>
      </c>
      <c r="CO18" s="17" t="s">
        <v>190</v>
      </c>
      <c r="CP18" s="22">
        <v>45413</v>
      </c>
      <c r="CQ18" s="24" t="s">
        <v>151</v>
      </c>
      <c r="CR18" s="17" t="s">
        <v>151</v>
      </c>
      <c r="CS18" s="17" t="s">
        <v>191</v>
      </c>
      <c r="CT18" s="16" t="s">
        <v>151</v>
      </c>
      <c r="CU18" s="17" t="s">
        <v>151</v>
      </c>
      <c r="CV18" s="19" t="s">
        <v>151</v>
      </c>
      <c r="CW18" s="19" t="s">
        <v>151</v>
      </c>
      <c r="CX18" s="17" t="s">
        <v>151</v>
      </c>
      <c r="CY18" s="19" t="s">
        <v>151</v>
      </c>
      <c r="CZ18" s="19" t="s">
        <v>151</v>
      </c>
      <c r="DA18" s="24">
        <v>62</v>
      </c>
      <c r="DB18" s="22">
        <v>44167</v>
      </c>
      <c r="DC18" s="17" t="s">
        <v>231</v>
      </c>
      <c r="DD18" s="16" t="s">
        <v>151</v>
      </c>
      <c r="DE18" s="19">
        <v>0.47</v>
      </c>
      <c r="DF18" s="21">
        <v>94</v>
      </c>
      <c r="DG18" s="19">
        <v>0</v>
      </c>
      <c r="DH18" s="19">
        <v>0</v>
      </c>
      <c r="DI18" s="19">
        <v>0.37</v>
      </c>
      <c r="DJ18" s="21">
        <v>94</v>
      </c>
      <c r="DK18" s="19" t="s">
        <v>151</v>
      </c>
      <c r="DL18" s="21" t="s">
        <v>151</v>
      </c>
      <c r="DM18" s="19">
        <v>0.37</v>
      </c>
      <c r="DN18" s="21">
        <v>94</v>
      </c>
      <c r="DO18" s="23">
        <v>14.62</v>
      </c>
      <c r="DP18" s="21">
        <v>93</v>
      </c>
      <c r="DQ18" s="23">
        <v>0</v>
      </c>
      <c r="DR18" s="19">
        <v>0</v>
      </c>
      <c r="DS18" s="23">
        <v>27.47</v>
      </c>
      <c r="DT18" s="21">
        <v>96</v>
      </c>
      <c r="DU18" s="23" t="s">
        <v>151</v>
      </c>
      <c r="DV18" s="21" t="s">
        <v>151</v>
      </c>
      <c r="DW18" s="23">
        <v>27.47</v>
      </c>
      <c r="DX18" s="21">
        <v>96</v>
      </c>
      <c r="DY18" s="18" t="s">
        <v>151</v>
      </c>
      <c r="DZ18" s="22" t="s">
        <v>151</v>
      </c>
      <c r="EA18" s="22" t="s">
        <v>151</v>
      </c>
      <c r="EB18" s="21">
        <v>80375</v>
      </c>
      <c r="EC18" s="20">
        <v>-1226</v>
      </c>
      <c r="ED18" s="19">
        <v>-1.5</v>
      </c>
      <c r="EE18" s="21">
        <v>522</v>
      </c>
      <c r="EF18" s="20">
        <v>0</v>
      </c>
      <c r="EG18" s="19">
        <v>0</v>
      </c>
      <c r="EH18" s="16" t="s">
        <v>198</v>
      </c>
      <c r="EI18" s="17" t="s">
        <v>151</v>
      </c>
      <c r="EJ18" s="17" t="s">
        <v>151</v>
      </c>
      <c r="EK18" s="18">
        <v>10</v>
      </c>
      <c r="EL18" s="18">
        <v>13</v>
      </c>
      <c r="EM18" s="18" t="s">
        <v>151</v>
      </c>
      <c r="EN18" s="18" t="s">
        <v>151</v>
      </c>
      <c r="EO18" s="18">
        <v>4</v>
      </c>
      <c r="EP18" s="17" t="s">
        <v>441</v>
      </c>
      <c r="EQ18" s="16" t="s">
        <v>151</v>
      </c>
      <c r="ER18" s="16" t="s">
        <v>151</v>
      </c>
      <c r="ES18" s="3">
        <f>HYPERLINK("https://my.pitchbook.com?c=439066-45","View Company Online")</f>
      </c>
    </row>
    <row r="19">
      <c r="A19" s="30" t="s">
        <v>442</v>
      </c>
      <c r="B19" s="30" t="s">
        <v>443</v>
      </c>
      <c r="C19" s="31">
        <v>15</v>
      </c>
      <c r="D19" s="30" t="s">
        <v>151</v>
      </c>
      <c r="E19" s="30" t="s">
        <v>444</v>
      </c>
      <c r="F19" s="30" t="s">
        <v>445</v>
      </c>
      <c r="G19" s="30" t="s">
        <v>151</v>
      </c>
      <c r="H19" s="30" t="s">
        <v>151</v>
      </c>
      <c r="I19" s="30" t="s">
        <v>446</v>
      </c>
      <c r="J19" s="30" t="s">
        <v>442</v>
      </c>
      <c r="K19" s="30" t="s">
        <v>447</v>
      </c>
      <c r="L19" s="30" t="s">
        <v>205</v>
      </c>
      <c r="M19" s="30" t="s">
        <v>448</v>
      </c>
      <c r="N19" s="30" t="s">
        <v>449</v>
      </c>
      <c r="O19" s="30" t="s">
        <v>450</v>
      </c>
      <c r="P19" s="30" t="s">
        <v>451</v>
      </c>
      <c r="Q19" s="30" t="s">
        <v>452</v>
      </c>
      <c r="R19" s="30" t="s">
        <v>151</v>
      </c>
      <c r="S19" s="30" t="s">
        <v>162</v>
      </c>
      <c r="T19" s="37">
        <v>172.2</v>
      </c>
      <c r="U19" s="30" t="s">
        <v>163</v>
      </c>
      <c r="V19" s="30" t="s">
        <v>164</v>
      </c>
      <c r="W19" s="30" t="s">
        <v>165</v>
      </c>
      <c r="X19" s="28" t="s">
        <v>453</v>
      </c>
      <c r="Y19" s="28" t="s">
        <v>454</v>
      </c>
      <c r="Z19" s="40">
        <v>80</v>
      </c>
      <c r="AA19" s="30" t="s">
        <v>455</v>
      </c>
      <c r="AB19" s="30" t="s">
        <v>151</v>
      </c>
      <c r="AC19" s="30" t="s">
        <v>151</v>
      </c>
      <c r="AD19" s="39">
        <v>2020</v>
      </c>
      <c r="AE19" s="30" t="s">
        <v>151</v>
      </c>
      <c r="AF19" s="35">
        <v>45510</v>
      </c>
      <c r="AG19" s="30" t="s">
        <v>151</v>
      </c>
      <c r="AH19" s="30" t="s">
        <v>151</v>
      </c>
      <c r="AI19" s="38">
        <v>13</v>
      </c>
      <c r="AJ19" s="32">
        <v>-13.33</v>
      </c>
      <c r="AK19" s="38" t="s">
        <v>151</v>
      </c>
      <c r="AL19" s="38" t="s">
        <v>151</v>
      </c>
      <c r="AM19" s="38" t="s">
        <v>151</v>
      </c>
      <c r="AN19" s="38" t="s">
        <v>151</v>
      </c>
      <c r="AO19" s="38" t="s">
        <v>151</v>
      </c>
      <c r="AP19" s="38" t="s">
        <v>151</v>
      </c>
      <c r="AQ19" s="38" t="s">
        <v>151</v>
      </c>
      <c r="AR19" s="29" t="s">
        <v>456</v>
      </c>
      <c r="AS19" s="30" t="s">
        <v>457</v>
      </c>
      <c r="AT19" s="30" t="s">
        <v>458</v>
      </c>
      <c r="AU19" s="31">
        <v>16</v>
      </c>
      <c r="AV19" s="30" t="s">
        <v>151</v>
      </c>
      <c r="AW19" s="30" t="s">
        <v>459</v>
      </c>
      <c r="AX19" s="30" t="s">
        <v>151</v>
      </c>
      <c r="AY19" s="30" t="s">
        <v>460</v>
      </c>
      <c r="AZ19" s="30" t="s">
        <v>461</v>
      </c>
      <c r="BA19" s="30" t="s">
        <v>151</v>
      </c>
      <c r="BB19" s="30" t="s">
        <v>151</v>
      </c>
      <c r="BC19" s="30" t="s">
        <v>462</v>
      </c>
      <c r="BD19" s="30" t="s">
        <v>463</v>
      </c>
      <c r="BE19" s="30" t="s">
        <v>464</v>
      </c>
      <c r="BF19" s="30" t="s">
        <v>465</v>
      </c>
      <c r="BG19" s="30" t="s">
        <v>466</v>
      </c>
      <c r="BH19" s="30" t="s">
        <v>151</v>
      </c>
      <c r="BI19" s="30" t="s">
        <v>467</v>
      </c>
      <c r="BJ19" s="30" t="s">
        <v>468</v>
      </c>
      <c r="BK19" s="30" t="s">
        <v>320</v>
      </c>
      <c r="BL19" s="30" t="s">
        <v>469</v>
      </c>
      <c r="BM19" s="30" t="s">
        <v>470</v>
      </c>
      <c r="BN19" s="29" t="s">
        <v>471</v>
      </c>
      <c r="BO19" s="30" t="s">
        <v>186</v>
      </c>
      <c r="BP19" s="29" t="s">
        <v>151</v>
      </c>
      <c r="BQ19" s="29" t="s">
        <v>151</v>
      </c>
      <c r="BR19" s="30" t="s">
        <v>151</v>
      </c>
      <c r="BS19" s="30" t="s">
        <v>187</v>
      </c>
      <c r="BT19" s="30" t="s">
        <v>188</v>
      </c>
      <c r="BU19" s="35">
        <v>43983</v>
      </c>
      <c r="BV19" s="37">
        <v>1.7</v>
      </c>
      <c r="BW19" s="30" t="s">
        <v>192</v>
      </c>
      <c r="BX19" s="37" t="s">
        <v>151</v>
      </c>
      <c r="BY19" s="30" t="s">
        <v>151</v>
      </c>
      <c r="BZ19" s="30" t="s">
        <v>231</v>
      </c>
      <c r="CA19" s="30" t="s">
        <v>472</v>
      </c>
      <c r="CB19" s="30" t="s">
        <v>151</v>
      </c>
      <c r="CC19" s="30" t="s">
        <v>165</v>
      </c>
      <c r="CD19" s="30" t="s">
        <v>151</v>
      </c>
      <c r="CE19" s="30" t="s">
        <v>191</v>
      </c>
      <c r="CF19" s="35">
        <v>44691</v>
      </c>
      <c r="CG19" s="37">
        <v>104.5</v>
      </c>
      <c r="CH19" s="30" t="s">
        <v>192</v>
      </c>
      <c r="CI19" s="37">
        <v>504.5</v>
      </c>
      <c r="CJ19" s="30" t="s">
        <v>192</v>
      </c>
      <c r="CK19" s="29">
        <v>1.45</v>
      </c>
      <c r="CL19" s="30" t="s">
        <v>194</v>
      </c>
      <c r="CM19" s="30" t="s">
        <v>195</v>
      </c>
      <c r="CN19" s="30" t="s">
        <v>151</v>
      </c>
      <c r="CO19" s="30" t="s">
        <v>165</v>
      </c>
      <c r="CP19" s="35">
        <v>44691</v>
      </c>
      <c r="CQ19" s="37" t="s">
        <v>151</v>
      </c>
      <c r="CR19" s="30" t="s">
        <v>151</v>
      </c>
      <c r="CS19" s="30" t="s">
        <v>191</v>
      </c>
      <c r="CT19" s="29">
        <v>81</v>
      </c>
      <c r="CU19" s="30" t="s">
        <v>196</v>
      </c>
      <c r="CV19" s="32">
        <v>97</v>
      </c>
      <c r="CW19" s="32">
        <v>3</v>
      </c>
      <c r="CX19" s="30" t="s">
        <v>294</v>
      </c>
      <c r="CY19" s="32">
        <v>33</v>
      </c>
      <c r="CZ19" s="32">
        <v>64</v>
      </c>
      <c r="DA19" s="37">
        <v>504.5</v>
      </c>
      <c r="DB19" s="35">
        <v>44691</v>
      </c>
      <c r="DC19" s="30" t="s">
        <v>194</v>
      </c>
      <c r="DD19" s="29">
        <v>1.45</v>
      </c>
      <c r="DE19" s="32">
        <v>-0.96</v>
      </c>
      <c r="DF19" s="34">
        <v>4</v>
      </c>
      <c r="DG19" s="32">
        <v>0</v>
      </c>
      <c r="DH19" s="32">
        <v>0</v>
      </c>
      <c r="DI19" s="32">
        <v>-2.07</v>
      </c>
      <c r="DJ19" s="34">
        <v>2</v>
      </c>
      <c r="DK19" s="32" t="s">
        <v>151</v>
      </c>
      <c r="DL19" s="34" t="s">
        <v>151</v>
      </c>
      <c r="DM19" s="32">
        <v>-2.07</v>
      </c>
      <c r="DN19" s="34">
        <v>2</v>
      </c>
      <c r="DO19" s="36">
        <v>23.52</v>
      </c>
      <c r="DP19" s="34">
        <v>96</v>
      </c>
      <c r="DQ19" s="36">
        <v>0</v>
      </c>
      <c r="DR19" s="32">
        <v>0</v>
      </c>
      <c r="DS19" s="36">
        <v>40.89</v>
      </c>
      <c r="DT19" s="34">
        <v>98</v>
      </c>
      <c r="DU19" s="36" t="s">
        <v>151</v>
      </c>
      <c r="DV19" s="34" t="s">
        <v>151</v>
      </c>
      <c r="DW19" s="36">
        <v>40.89</v>
      </c>
      <c r="DX19" s="34">
        <v>98</v>
      </c>
      <c r="DY19" s="31" t="s">
        <v>151</v>
      </c>
      <c r="DZ19" s="35" t="s">
        <v>151</v>
      </c>
      <c r="EA19" s="35" t="s">
        <v>151</v>
      </c>
      <c r="EB19" s="34">
        <v>710</v>
      </c>
      <c r="EC19" s="33">
        <v>12</v>
      </c>
      <c r="ED19" s="32">
        <v>1.72</v>
      </c>
      <c r="EE19" s="34">
        <v>777</v>
      </c>
      <c r="EF19" s="33">
        <v>-6</v>
      </c>
      <c r="EG19" s="32">
        <v>-0.77</v>
      </c>
      <c r="EH19" s="29" t="s">
        <v>198</v>
      </c>
      <c r="EI19" s="30" t="s">
        <v>151</v>
      </c>
      <c r="EJ19" s="30" t="s">
        <v>151</v>
      </c>
      <c r="EK19" s="31">
        <v>8</v>
      </c>
      <c r="EL19" s="31">
        <v>10</v>
      </c>
      <c r="EM19" s="31">
        <v>1</v>
      </c>
      <c r="EN19" s="31">
        <v>3</v>
      </c>
      <c r="EO19" s="31">
        <v>4</v>
      </c>
      <c r="EP19" s="30" t="s">
        <v>473</v>
      </c>
      <c r="EQ19" s="29" t="s">
        <v>151</v>
      </c>
      <c r="ER19" s="29" t="s">
        <v>151</v>
      </c>
      <c r="ES19" s="4">
        <f>HYPERLINK("https://my.pitchbook.com?c=439109-02","View Company Online")</f>
      </c>
    </row>
    <row r="20">
      <c r="A20" s="17" t="s">
        <v>474</v>
      </c>
      <c r="B20" s="17" t="s">
        <v>475</v>
      </c>
      <c r="C20" s="18">
        <v>14</v>
      </c>
      <c r="D20" s="17" t="s">
        <v>151</v>
      </c>
      <c r="E20" s="17" t="s">
        <v>151</v>
      </c>
      <c r="F20" s="17" t="s">
        <v>476</v>
      </c>
      <c r="G20" s="17" t="s">
        <v>151</v>
      </c>
      <c r="H20" s="17" t="s">
        <v>151</v>
      </c>
      <c r="I20" s="17" t="s">
        <v>151</v>
      </c>
      <c r="J20" s="17" t="s">
        <v>474</v>
      </c>
      <c r="K20" s="17" t="s">
        <v>477</v>
      </c>
      <c r="L20" s="17" t="s">
        <v>205</v>
      </c>
      <c r="M20" s="17" t="s">
        <v>448</v>
      </c>
      <c r="N20" s="17" t="s">
        <v>478</v>
      </c>
      <c r="O20" s="17" t="s">
        <v>479</v>
      </c>
      <c r="P20" s="17" t="s">
        <v>480</v>
      </c>
      <c r="Q20" s="17" t="s">
        <v>481</v>
      </c>
      <c r="R20" s="17" t="s">
        <v>482</v>
      </c>
      <c r="S20" s="17" t="s">
        <v>162</v>
      </c>
      <c r="T20" s="24">
        <v>7.73</v>
      </c>
      <c r="U20" s="17" t="s">
        <v>163</v>
      </c>
      <c r="V20" s="17" t="s">
        <v>164</v>
      </c>
      <c r="W20" s="17" t="s">
        <v>165</v>
      </c>
      <c r="X20" s="15" t="s">
        <v>483</v>
      </c>
      <c r="Y20" s="15" t="s">
        <v>484</v>
      </c>
      <c r="Z20" s="27">
        <v>15</v>
      </c>
      <c r="AA20" s="17" t="s">
        <v>485</v>
      </c>
      <c r="AB20" s="17" t="s">
        <v>151</v>
      </c>
      <c r="AC20" s="17" t="s">
        <v>151</v>
      </c>
      <c r="AD20" s="26">
        <v>2015</v>
      </c>
      <c r="AE20" s="17" t="s">
        <v>151</v>
      </c>
      <c r="AF20" s="22">
        <v>45616</v>
      </c>
      <c r="AG20" s="17" t="s">
        <v>151</v>
      </c>
      <c r="AH20" s="17" t="s">
        <v>151</v>
      </c>
      <c r="AI20" s="25" t="s">
        <v>151</v>
      </c>
      <c r="AJ20" s="19" t="s">
        <v>151</v>
      </c>
      <c r="AK20" s="25" t="s">
        <v>151</v>
      </c>
      <c r="AL20" s="25" t="s">
        <v>151</v>
      </c>
      <c r="AM20" s="25" t="s">
        <v>151</v>
      </c>
      <c r="AN20" s="25" t="s">
        <v>151</v>
      </c>
      <c r="AO20" s="25" t="s">
        <v>151</v>
      </c>
      <c r="AP20" s="25" t="s">
        <v>151</v>
      </c>
      <c r="AQ20" s="25" t="s">
        <v>151</v>
      </c>
      <c r="AR20" s="16" t="s">
        <v>151</v>
      </c>
      <c r="AS20" s="17" t="s">
        <v>486</v>
      </c>
      <c r="AT20" s="17" t="s">
        <v>487</v>
      </c>
      <c r="AU20" s="18">
        <v>20</v>
      </c>
      <c r="AV20" s="17" t="s">
        <v>151</v>
      </c>
      <c r="AW20" s="17" t="s">
        <v>151</v>
      </c>
      <c r="AX20" s="17" t="s">
        <v>151</v>
      </c>
      <c r="AY20" s="17" t="s">
        <v>488</v>
      </c>
      <c r="AZ20" s="17" t="s">
        <v>151</v>
      </c>
      <c r="BA20" s="17" t="s">
        <v>151</v>
      </c>
      <c r="BB20" s="17" t="s">
        <v>489</v>
      </c>
      <c r="BC20" s="17" t="s">
        <v>490</v>
      </c>
      <c r="BD20" s="17" t="s">
        <v>491</v>
      </c>
      <c r="BE20" s="17" t="s">
        <v>492</v>
      </c>
      <c r="BF20" s="17" t="s">
        <v>493</v>
      </c>
      <c r="BG20" s="17" t="s">
        <v>494</v>
      </c>
      <c r="BH20" s="17" t="s">
        <v>495</v>
      </c>
      <c r="BI20" s="17" t="s">
        <v>496</v>
      </c>
      <c r="BJ20" s="17" t="s">
        <v>497</v>
      </c>
      <c r="BK20" s="17" t="s">
        <v>151</v>
      </c>
      <c r="BL20" s="17" t="s">
        <v>498</v>
      </c>
      <c r="BM20" s="17" t="s">
        <v>184</v>
      </c>
      <c r="BN20" s="16" t="s">
        <v>499</v>
      </c>
      <c r="BO20" s="17" t="s">
        <v>186</v>
      </c>
      <c r="BP20" s="16" t="s">
        <v>495</v>
      </c>
      <c r="BQ20" s="16" t="s">
        <v>151</v>
      </c>
      <c r="BR20" s="17" t="s">
        <v>500</v>
      </c>
      <c r="BS20" s="17" t="s">
        <v>187</v>
      </c>
      <c r="BT20" s="17" t="s">
        <v>188</v>
      </c>
      <c r="BU20" s="22">
        <v>43466</v>
      </c>
      <c r="BV20" s="24">
        <v>0.1</v>
      </c>
      <c r="BW20" s="17" t="s">
        <v>192</v>
      </c>
      <c r="BX20" s="24" t="s">
        <v>151</v>
      </c>
      <c r="BY20" s="17" t="s">
        <v>151</v>
      </c>
      <c r="BZ20" s="17" t="s">
        <v>501</v>
      </c>
      <c r="CA20" s="17" t="s">
        <v>151</v>
      </c>
      <c r="CB20" s="17" t="s">
        <v>151</v>
      </c>
      <c r="CC20" s="17" t="s">
        <v>190</v>
      </c>
      <c r="CD20" s="17" t="s">
        <v>151</v>
      </c>
      <c r="CE20" s="17" t="s">
        <v>191</v>
      </c>
      <c r="CF20" s="22">
        <v>45545</v>
      </c>
      <c r="CG20" s="24" t="s">
        <v>151</v>
      </c>
      <c r="CH20" s="17" t="s">
        <v>151</v>
      </c>
      <c r="CI20" s="24" t="s">
        <v>151</v>
      </c>
      <c r="CJ20" s="17" t="s">
        <v>151</v>
      </c>
      <c r="CK20" s="16" t="s">
        <v>151</v>
      </c>
      <c r="CL20" s="17" t="s">
        <v>194</v>
      </c>
      <c r="CM20" s="17" t="s">
        <v>151</v>
      </c>
      <c r="CN20" s="17" t="s">
        <v>151</v>
      </c>
      <c r="CO20" s="17" t="s">
        <v>165</v>
      </c>
      <c r="CP20" s="22">
        <v>45545</v>
      </c>
      <c r="CQ20" s="24" t="s">
        <v>151</v>
      </c>
      <c r="CR20" s="17" t="s">
        <v>151</v>
      </c>
      <c r="CS20" s="17" t="s">
        <v>191</v>
      </c>
      <c r="CT20" s="16">
        <v>97</v>
      </c>
      <c r="CU20" s="17" t="s">
        <v>196</v>
      </c>
      <c r="CV20" s="19">
        <v>91</v>
      </c>
      <c r="CW20" s="19">
        <v>9</v>
      </c>
      <c r="CX20" s="17" t="s">
        <v>294</v>
      </c>
      <c r="CY20" s="19">
        <v>2</v>
      </c>
      <c r="CZ20" s="19">
        <v>89</v>
      </c>
      <c r="DA20" s="24">
        <v>19.5</v>
      </c>
      <c r="DB20" s="22">
        <v>45061</v>
      </c>
      <c r="DC20" s="17" t="s">
        <v>194</v>
      </c>
      <c r="DD20" s="16" t="s">
        <v>151</v>
      </c>
      <c r="DE20" s="19">
        <v>-0.17</v>
      </c>
      <c r="DF20" s="21">
        <v>10</v>
      </c>
      <c r="DG20" s="19">
        <v>0</v>
      </c>
      <c r="DH20" s="19">
        <v>0</v>
      </c>
      <c r="DI20" s="19">
        <v>0.21</v>
      </c>
      <c r="DJ20" s="21">
        <v>93</v>
      </c>
      <c r="DK20" s="19" t="s">
        <v>151</v>
      </c>
      <c r="DL20" s="21" t="s">
        <v>151</v>
      </c>
      <c r="DM20" s="19">
        <v>0.21</v>
      </c>
      <c r="DN20" s="21">
        <v>93</v>
      </c>
      <c r="DO20" s="23">
        <v>2.53</v>
      </c>
      <c r="DP20" s="21">
        <v>71</v>
      </c>
      <c r="DQ20" s="23">
        <v>0</v>
      </c>
      <c r="DR20" s="19">
        <v>0</v>
      </c>
      <c r="DS20" s="23">
        <v>6.21</v>
      </c>
      <c r="DT20" s="21">
        <v>85</v>
      </c>
      <c r="DU20" s="23" t="s">
        <v>151</v>
      </c>
      <c r="DV20" s="21" t="s">
        <v>151</v>
      </c>
      <c r="DW20" s="23">
        <v>6.21</v>
      </c>
      <c r="DX20" s="21">
        <v>84</v>
      </c>
      <c r="DY20" s="18" t="s">
        <v>151</v>
      </c>
      <c r="DZ20" s="22" t="s">
        <v>151</v>
      </c>
      <c r="EA20" s="22" t="s">
        <v>151</v>
      </c>
      <c r="EB20" s="21" t="s">
        <v>151</v>
      </c>
      <c r="EC20" s="20" t="s">
        <v>151</v>
      </c>
      <c r="ED20" s="19" t="s">
        <v>151</v>
      </c>
      <c r="EE20" s="21">
        <v>118</v>
      </c>
      <c r="EF20" s="20">
        <v>0</v>
      </c>
      <c r="EG20" s="19">
        <v>0</v>
      </c>
      <c r="EH20" s="16" t="s">
        <v>198</v>
      </c>
      <c r="EI20" s="17" t="s">
        <v>151</v>
      </c>
      <c r="EJ20" s="17" t="s">
        <v>151</v>
      </c>
      <c r="EK20" s="18">
        <v>3</v>
      </c>
      <c r="EL20" s="18">
        <v>10</v>
      </c>
      <c r="EM20" s="18">
        <v>4</v>
      </c>
      <c r="EN20" s="18" t="s">
        <v>151</v>
      </c>
      <c r="EO20" s="18" t="s">
        <v>151</v>
      </c>
      <c r="EP20" s="17" t="s">
        <v>502</v>
      </c>
      <c r="EQ20" s="16" t="s">
        <v>151</v>
      </c>
      <c r="ER20" s="16" t="s">
        <v>151</v>
      </c>
      <c r="ES20" s="3">
        <f>HYPERLINK("https://my.pitchbook.com?c=338547-07","View Company Online")</f>
      </c>
    </row>
    <row r="21">
      <c r="A21" s="30" t="s">
        <v>503</v>
      </c>
      <c r="B21" s="30" t="s">
        <v>504</v>
      </c>
      <c r="C21" s="31">
        <v>14</v>
      </c>
      <c r="D21" s="30" t="s">
        <v>151</v>
      </c>
      <c r="E21" s="30" t="s">
        <v>151</v>
      </c>
      <c r="F21" s="30" t="s">
        <v>505</v>
      </c>
      <c r="G21" s="30" t="s">
        <v>151</v>
      </c>
      <c r="H21" s="30" t="s">
        <v>151</v>
      </c>
      <c r="I21" s="30" t="s">
        <v>506</v>
      </c>
      <c r="J21" s="30" t="s">
        <v>503</v>
      </c>
      <c r="K21" s="30" t="s">
        <v>507</v>
      </c>
      <c r="L21" s="30" t="s">
        <v>205</v>
      </c>
      <c r="M21" s="30" t="s">
        <v>206</v>
      </c>
      <c r="N21" s="30" t="s">
        <v>269</v>
      </c>
      <c r="O21" s="30" t="s">
        <v>508</v>
      </c>
      <c r="P21" s="30" t="s">
        <v>151</v>
      </c>
      <c r="Q21" s="30" t="s">
        <v>509</v>
      </c>
      <c r="R21" s="30" t="s">
        <v>151</v>
      </c>
      <c r="S21" s="30" t="s">
        <v>162</v>
      </c>
      <c r="T21" s="37">
        <v>8.3</v>
      </c>
      <c r="U21" s="30" t="s">
        <v>163</v>
      </c>
      <c r="V21" s="30" t="s">
        <v>164</v>
      </c>
      <c r="W21" s="30" t="s">
        <v>420</v>
      </c>
      <c r="X21" s="28" t="s">
        <v>510</v>
      </c>
      <c r="Y21" s="28" t="s">
        <v>511</v>
      </c>
      <c r="Z21" s="40">
        <v>38</v>
      </c>
      <c r="AA21" s="30" t="s">
        <v>512</v>
      </c>
      <c r="AB21" s="30" t="s">
        <v>151</v>
      </c>
      <c r="AC21" s="30" t="s">
        <v>151</v>
      </c>
      <c r="AD21" s="39">
        <v>2017</v>
      </c>
      <c r="AE21" s="30" t="s">
        <v>151</v>
      </c>
      <c r="AF21" s="35">
        <v>45499</v>
      </c>
      <c r="AG21" s="30" t="s">
        <v>151</v>
      </c>
      <c r="AH21" s="30" t="s">
        <v>151</v>
      </c>
      <c r="AI21" s="38" t="s">
        <v>151</v>
      </c>
      <c r="AJ21" s="32" t="s">
        <v>151</v>
      </c>
      <c r="AK21" s="38" t="s">
        <v>151</v>
      </c>
      <c r="AL21" s="38" t="s">
        <v>151</v>
      </c>
      <c r="AM21" s="38" t="s">
        <v>151</v>
      </c>
      <c r="AN21" s="38" t="s">
        <v>151</v>
      </c>
      <c r="AO21" s="38" t="s">
        <v>151</v>
      </c>
      <c r="AP21" s="38" t="s">
        <v>151</v>
      </c>
      <c r="AQ21" s="38" t="s">
        <v>151</v>
      </c>
      <c r="AR21" s="29" t="s">
        <v>151</v>
      </c>
      <c r="AS21" s="30" t="s">
        <v>513</v>
      </c>
      <c r="AT21" s="30" t="s">
        <v>514</v>
      </c>
      <c r="AU21" s="31">
        <v>1</v>
      </c>
      <c r="AV21" s="30" t="s">
        <v>151</v>
      </c>
      <c r="AW21" s="30" t="s">
        <v>151</v>
      </c>
      <c r="AX21" s="30" t="s">
        <v>151</v>
      </c>
      <c r="AY21" s="30" t="s">
        <v>515</v>
      </c>
      <c r="AZ21" s="30" t="s">
        <v>151</v>
      </c>
      <c r="BA21" s="30" t="s">
        <v>151</v>
      </c>
      <c r="BB21" s="30" t="s">
        <v>151</v>
      </c>
      <c r="BC21" s="30" t="s">
        <v>516</v>
      </c>
      <c r="BD21" s="30" t="s">
        <v>517</v>
      </c>
      <c r="BE21" s="30" t="s">
        <v>518</v>
      </c>
      <c r="BF21" s="30" t="s">
        <v>282</v>
      </c>
      <c r="BG21" s="30" t="s">
        <v>519</v>
      </c>
      <c r="BH21" s="30" t="s">
        <v>520</v>
      </c>
      <c r="BI21" s="30" t="s">
        <v>521</v>
      </c>
      <c r="BJ21" s="30" t="s">
        <v>522</v>
      </c>
      <c r="BK21" s="30" t="s">
        <v>523</v>
      </c>
      <c r="BL21" s="30" t="s">
        <v>524</v>
      </c>
      <c r="BM21" s="30" t="s">
        <v>525</v>
      </c>
      <c r="BN21" s="29" t="s">
        <v>526</v>
      </c>
      <c r="BO21" s="30" t="s">
        <v>186</v>
      </c>
      <c r="BP21" s="29" t="s">
        <v>520</v>
      </c>
      <c r="BQ21" s="29" t="s">
        <v>151</v>
      </c>
      <c r="BR21" s="30" t="s">
        <v>151</v>
      </c>
      <c r="BS21" s="30" t="s">
        <v>187</v>
      </c>
      <c r="BT21" s="30" t="s">
        <v>188</v>
      </c>
      <c r="BU21" s="35">
        <v>45288</v>
      </c>
      <c r="BV21" s="37">
        <v>6.8</v>
      </c>
      <c r="BW21" s="30" t="s">
        <v>192</v>
      </c>
      <c r="BX21" s="37">
        <v>30</v>
      </c>
      <c r="BY21" s="30" t="s">
        <v>192</v>
      </c>
      <c r="BZ21" s="30" t="s">
        <v>231</v>
      </c>
      <c r="CA21" s="30" t="s">
        <v>232</v>
      </c>
      <c r="CB21" s="30" t="s">
        <v>151</v>
      </c>
      <c r="CC21" s="30" t="s">
        <v>165</v>
      </c>
      <c r="CD21" s="30" t="s">
        <v>151</v>
      </c>
      <c r="CE21" s="30" t="s">
        <v>191</v>
      </c>
      <c r="CF21" s="35" t="s">
        <v>151</v>
      </c>
      <c r="CG21" s="37">
        <v>1.5</v>
      </c>
      <c r="CH21" s="30" t="s">
        <v>192</v>
      </c>
      <c r="CI21" s="37" t="s">
        <v>151</v>
      </c>
      <c r="CJ21" s="30" t="s">
        <v>151</v>
      </c>
      <c r="CK21" s="29" t="s">
        <v>151</v>
      </c>
      <c r="CL21" s="30" t="s">
        <v>527</v>
      </c>
      <c r="CM21" s="30" t="s">
        <v>151</v>
      </c>
      <c r="CN21" s="30" t="s">
        <v>151</v>
      </c>
      <c r="CO21" s="30" t="s">
        <v>439</v>
      </c>
      <c r="CP21" s="35" t="s">
        <v>151</v>
      </c>
      <c r="CQ21" s="37">
        <v>1.5</v>
      </c>
      <c r="CR21" s="30" t="s">
        <v>528</v>
      </c>
      <c r="CS21" s="30" t="s">
        <v>191</v>
      </c>
      <c r="CT21" s="29" t="s">
        <v>151</v>
      </c>
      <c r="CU21" s="30" t="s">
        <v>151</v>
      </c>
      <c r="CV21" s="32" t="s">
        <v>151</v>
      </c>
      <c r="CW21" s="32" t="s">
        <v>151</v>
      </c>
      <c r="CX21" s="30" t="s">
        <v>151</v>
      </c>
      <c r="CY21" s="32" t="s">
        <v>151</v>
      </c>
      <c r="CZ21" s="32" t="s">
        <v>151</v>
      </c>
      <c r="DA21" s="37">
        <v>30</v>
      </c>
      <c r="DB21" s="35">
        <v>45288</v>
      </c>
      <c r="DC21" s="30" t="s">
        <v>231</v>
      </c>
      <c r="DD21" s="29" t="s">
        <v>151</v>
      </c>
      <c r="DE21" s="32">
        <v>0</v>
      </c>
      <c r="DF21" s="34">
        <v>11</v>
      </c>
      <c r="DG21" s="32">
        <v>0</v>
      </c>
      <c r="DH21" s="32">
        <v>0</v>
      </c>
      <c r="DI21" s="32">
        <v>0</v>
      </c>
      <c r="DJ21" s="34">
        <v>10</v>
      </c>
      <c r="DK21" s="32" t="s">
        <v>151</v>
      </c>
      <c r="DL21" s="34" t="s">
        <v>151</v>
      </c>
      <c r="DM21" s="32">
        <v>0</v>
      </c>
      <c r="DN21" s="34">
        <v>10</v>
      </c>
      <c r="DO21" s="36">
        <v>4.8</v>
      </c>
      <c r="DP21" s="34">
        <v>82</v>
      </c>
      <c r="DQ21" s="36">
        <v>0</v>
      </c>
      <c r="DR21" s="32">
        <v>0</v>
      </c>
      <c r="DS21" s="36">
        <v>6.68</v>
      </c>
      <c r="DT21" s="34">
        <v>86</v>
      </c>
      <c r="DU21" s="36" t="s">
        <v>151</v>
      </c>
      <c r="DV21" s="34" t="s">
        <v>151</v>
      </c>
      <c r="DW21" s="36">
        <v>6.68</v>
      </c>
      <c r="DX21" s="34">
        <v>85</v>
      </c>
      <c r="DY21" s="31">
        <v>2</v>
      </c>
      <c r="DZ21" s="35">
        <v>44704</v>
      </c>
      <c r="EA21" s="35" t="s">
        <v>151</v>
      </c>
      <c r="EB21" s="34">
        <v>756</v>
      </c>
      <c r="EC21" s="33">
        <v>-22</v>
      </c>
      <c r="ED21" s="32">
        <v>-2.83</v>
      </c>
      <c r="EE21" s="34">
        <v>127</v>
      </c>
      <c r="EF21" s="33">
        <v>0</v>
      </c>
      <c r="EG21" s="32">
        <v>0</v>
      </c>
      <c r="EH21" s="29" t="s">
        <v>198</v>
      </c>
      <c r="EI21" s="30" t="s">
        <v>151</v>
      </c>
      <c r="EJ21" s="30" t="s">
        <v>151</v>
      </c>
      <c r="EK21" s="31">
        <v>1</v>
      </c>
      <c r="EL21" s="31">
        <v>10</v>
      </c>
      <c r="EM21" s="31">
        <v>3</v>
      </c>
      <c r="EN21" s="31" t="s">
        <v>151</v>
      </c>
      <c r="EO21" s="31">
        <v>1</v>
      </c>
      <c r="EP21" s="30" t="s">
        <v>529</v>
      </c>
      <c r="EQ21" s="29" t="s">
        <v>151</v>
      </c>
      <c r="ER21" s="29" t="s">
        <v>151</v>
      </c>
      <c r="ES21" s="4">
        <f>HYPERLINK("https://my.pitchbook.com?c=489718-81","View Company Online")</f>
      </c>
    </row>
    <row r="22">
      <c r="A22" s="17" t="s">
        <v>530</v>
      </c>
      <c r="B22" s="17" t="s">
        <v>531</v>
      </c>
      <c r="C22" s="18">
        <v>13</v>
      </c>
      <c r="D22" s="17" t="s">
        <v>151</v>
      </c>
      <c r="E22" s="17" t="s">
        <v>151</v>
      </c>
      <c r="F22" s="17" t="s">
        <v>532</v>
      </c>
      <c r="G22" s="17" t="s">
        <v>151</v>
      </c>
      <c r="H22" s="17" t="s">
        <v>151</v>
      </c>
      <c r="I22" s="17" t="s">
        <v>533</v>
      </c>
      <c r="J22" s="17" t="s">
        <v>530</v>
      </c>
      <c r="K22" s="17" t="s">
        <v>534</v>
      </c>
      <c r="L22" s="17" t="s">
        <v>205</v>
      </c>
      <c r="M22" s="17" t="s">
        <v>206</v>
      </c>
      <c r="N22" s="17" t="s">
        <v>269</v>
      </c>
      <c r="O22" s="17" t="s">
        <v>535</v>
      </c>
      <c r="P22" s="17" t="s">
        <v>536</v>
      </c>
      <c r="Q22" s="17" t="s">
        <v>537</v>
      </c>
      <c r="R22" s="17" t="s">
        <v>151</v>
      </c>
      <c r="S22" s="17" t="s">
        <v>162</v>
      </c>
      <c r="T22" s="24">
        <v>3.56</v>
      </c>
      <c r="U22" s="17" t="s">
        <v>163</v>
      </c>
      <c r="V22" s="17" t="s">
        <v>164</v>
      </c>
      <c r="W22" s="17" t="s">
        <v>165</v>
      </c>
      <c r="X22" s="15" t="s">
        <v>538</v>
      </c>
      <c r="Y22" s="15" t="s">
        <v>539</v>
      </c>
      <c r="Z22" s="27">
        <v>13</v>
      </c>
      <c r="AA22" s="17" t="s">
        <v>540</v>
      </c>
      <c r="AB22" s="17" t="s">
        <v>151</v>
      </c>
      <c r="AC22" s="17" t="s">
        <v>151</v>
      </c>
      <c r="AD22" s="26">
        <v>2015</v>
      </c>
      <c r="AE22" s="17" t="s">
        <v>151</v>
      </c>
      <c r="AF22" s="22">
        <v>45595</v>
      </c>
      <c r="AG22" s="17" t="s">
        <v>151</v>
      </c>
      <c r="AH22" s="17" t="s">
        <v>151</v>
      </c>
      <c r="AI22" s="25" t="s">
        <v>151</v>
      </c>
      <c r="AJ22" s="19" t="s">
        <v>151</v>
      </c>
      <c r="AK22" s="25" t="s">
        <v>151</v>
      </c>
      <c r="AL22" s="25" t="s">
        <v>151</v>
      </c>
      <c r="AM22" s="25" t="s">
        <v>151</v>
      </c>
      <c r="AN22" s="25" t="s">
        <v>151</v>
      </c>
      <c r="AO22" s="25" t="s">
        <v>151</v>
      </c>
      <c r="AP22" s="25" t="s">
        <v>151</v>
      </c>
      <c r="AQ22" s="25" t="s">
        <v>151</v>
      </c>
      <c r="AR22" s="16" t="s">
        <v>151</v>
      </c>
      <c r="AS22" s="17" t="s">
        <v>541</v>
      </c>
      <c r="AT22" s="17" t="s">
        <v>542</v>
      </c>
      <c r="AU22" s="18">
        <v>15</v>
      </c>
      <c r="AV22" s="17" t="s">
        <v>151</v>
      </c>
      <c r="AW22" s="17" t="s">
        <v>151</v>
      </c>
      <c r="AX22" s="17" t="s">
        <v>151</v>
      </c>
      <c r="AY22" s="17" t="s">
        <v>543</v>
      </c>
      <c r="AZ22" s="17" t="s">
        <v>151</v>
      </c>
      <c r="BA22" s="17" t="s">
        <v>151</v>
      </c>
      <c r="BB22" s="17" t="s">
        <v>151</v>
      </c>
      <c r="BC22" s="17" t="s">
        <v>151</v>
      </c>
      <c r="BD22" s="17" t="s">
        <v>544</v>
      </c>
      <c r="BE22" s="17" t="s">
        <v>545</v>
      </c>
      <c r="BF22" s="17" t="s">
        <v>546</v>
      </c>
      <c r="BG22" s="17" t="s">
        <v>547</v>
      </c>
      <c r="BH22" s="17" t="s">
        <v>548</v>
      </c>
      <c r="BI22" s="17" t="s">
        <v>549</v>
      </c>
      <c r="BJ22" s="17" t="s">
        <v>550</v>
      </c>
      <c r="BK22" s="17" t="s">
        <v>551</v>
      </c>
      <c r="BL22" s="17" t="s">
        <v>552</v>
      </c>
      <c r="BM22" s="17" t="s">
        <v>322</v>
      </c>
      <c r="BN22" s="16" t="s">
        <v>553</v>
      </c>
      <c r="BO22" s="17" t="s">
        <v>186</v>
      </c>
      <c r="BP22" s="16" t="s">
        <v>554</v>
      </c>
      <c r="BQ22" s="16" t="s">
        <v>151</v>
      </c>
      <c r="BR22" s="17" t="s">
        <v>555</v>
      </c>
      <c r="BS22" s="17" t="s">
        <v>187</v>
      </c>
      <c r="BT22" s="17" t="s">
        <v>188</v>
      </c>
      <c r="BU22" s="22">
        <v>42657</v>
      </c>
      <c r="BV22" s="24">
        <v>0.05</v>
      </c>
      <c r="BW22" s="17" t="s">
        <v>192</v>
      </c>
      <c r="BX22" s="24" t="s">
        <v>151</v>
      </c>
      <c r="BY22" s="17" t="s">
        <v>151</v>
      </c>
      <c r="BZ22" s="17" t="s">
        <v>189</v>
      </c>
      <c r="CA22" s="17" t="s">
        <v>151</v>
      </c>
      <c r="CB22" s="17" t="s">
        <v>151</v>
      </c>
      <c r="CC22" s="17" t="s">
        <v>190</v>
      </c>
      <c r="CD22" s="17" t="s">
        <v>151</v>
      </c>
      <c r="CE22" s="17" t="s">
        <v>191</v>
      </c>
      <c r="CF22" s="22">
        <v>45113</v>
      </c>
      <c r="CG22" s="24">
        <v>0.45</v>
      </c>
      <c r="CH22" s="17" t="s">
        <v>192</v>
      </c>
      <c r="CI22" s="24" t="s">
        <v>151</v>
      </c>
      <c r="CJ22" s="17" t="s">
        <v>151</v>
      </c>
      <c r="CK22" s="16" t="s">
        <v>151</v>
      </c>
      <c r="CL22" s="17" t="s">
        <v>194</v>
      </c>
      <c r="CM22" s="17" t="s">
        <v>151</v>
      </c>
      <c r="CN22" s="17" t="s">
        <v>151</v>
      </c>
      <c r="CO22" s="17" t="s">
        <v>165</v>
      </c>
      <c r="CP22" s="22">
        <v>45113</v>
      </c>
      <c r="CQ22" s="24" t="s">
        <v>151</v>
      </c>
      <c r="CR22" s="17" t="s">
        <v>355</v>
      </c>
      <c r="CS22" s="17" t="s">
        <v>191</v>
      </c>
      <c r="CT22" s="16">
        <v>14</v>
      </c>
      <c r="CU22" s="17" t="s">
        <v>263</v>
      </c>
      <c r="CV22" s="19">
        <v>23</v>
      </c>
      <c r="CW22" s="19">
        <v>77</v>
      </c>
      <c r="CX22" s="17" t="s">
        <v>263</v>
      </c>
      <c r="CY22" s="19">
        <v>1</v>
      </c>
      <c r="CZ22" s="19">
        <v>22</v>
      </c>
      <c r="DA22" s="24">
        <v>1</v>
      </c>
      <c r="DB22" s="22">
        <v>44636</v>
      </c>
      <c r="DC22" s="17" t="s">
        <v>189</v>
      </c>
      <c r="DD22" s="16" t="s">
        <v>151</v>
      </c>
      <c r="DE22" s="19">
        <v>-0.45</v>
      </c>
      <c r="DF22" s="21">
        <v>7</v>
      </c>
      <c r="DG22" s="19">
        <v>0</v>
      </c>
      <c r="DH22" s="19">
        <v>0</v>
      </c>
      <c r="DI22" s="19" t="s">
        <v>151</v>
      </c>
      <c r="DJ22" s="21" t="s">
        <v>151</v>
      </c>
      <c r="DK22" s="19" t="s">
        <v>151</v>
      </c>
      <c r="DL22" s="21" t="s">
        <v>151</v>
      </c>
      <c r="DM22" s="19" t="s">
        <v>151</v>
      </c>
      <c r="DN22" s="21" t="s">
        <v>151</v>
      </c>
      <c r="DO22" s="23">
        <v>0.62</v>
      </c>
      <c r="DP22" s="21">
        <v>38</v>
      </c>
      <c r="DQ22" s="23">
        <v>0</v>
      </c>
      <c r="DR22" s="19">
        <v>0</v>
      </c>
      <c r="DS22" s="23" t="s">
        <v>151</v>
      </c>
      <c r="DT22" s="21" t="s">
        <v>151</v>
      </c>
      <c r="DU22" s="23" t="s">
        <v>151</v>
      </c>
      <c r="DV22" s="21" t="s">
        <v>151</v>
      </c>
      <c r="DW22" s="23" t="s">
        <v>151</v>
      </c>
      <c r="DX22" s="21" t="s">
        <v>151</v>
      </c>
      <c r="DY22" s="18" t="s">
        <v>151</v>
      </c>
      <c r="DZ22" s="22" t="s">
        <v>151</v>
      </c>
      <c r="EA22" s="22" t="s">
        <v>151</v>
      </c>
      <c r="EB22" s="21" t="s">
        <v>151</v>
      </c>
      <c r="EC22" s="20" t="s">
        <v>151</v>
      </c>
      <c r="ED22" s="19" t="s">
        <v>151</v>
      </c>
      <c r="EE22" s="21" t="s">
        <v>151</v>
      </c>
      <c r="EF22" s="20" t="s">
        <v>151</v>
      </c>
      <c r="EG22" s="19" t="s">
        <v>151</v>
      </c>
      <c r="EH22" s="16" t="s">
        <v>198</v>
      </c>
      <c r="EI22" s="17" t="s">
        <v>151</v>
      </c>
      <c r="EJ22" s="17" t="s">
        <v>151</v>
      </c>
      <c r="EK22" s="18">
        <v>5</v>
      </c>
      <c r="EL22" s="18">
        <v>13</v>
      </c>
      <c r="EM22" s="18" t="s">
        <v>151</v>
      </c>
      <c r="EN22" s="18" t="s">
        <v>151</v>
      </c>
      <c r="EO22" s="18" t="s">
        <v>151</v>
      </c>
      <c r="EP22" s="17" t="s">
        <v>556</v>
      </c>
      <c r="EQ22" s="16" t="s">
        <v>151</v>
      </c>
      <c r="ER22" s="16" t="s">
        <v>151</v>
      </c>
      <c r="ES22" s="3">
        <f>HYPERLINK("https://my.pitchbook.com?c=169106-77","View Company Online")</f>
      </c>
    </row>
    <row r="23">
      <c r="A23" s="30" t="s">
        <v>557</v>
      </c>
      <c r="B23" s="30" t="s">
        <v>558</v>
      </c>
      <c r="C23" s="31">
        <v>13</v>
      </c>
      <c r="D23" s="30" t="s">
        <v>151</v>
      </c>
      <c r="E23" s="30" t="s">
        <v>559</v>
      </c>
      <c r="F23" s="30" t="s">
        <v>560</v>
      </c>
      <c r="G23" s="30" t="s">
        <v>151</v>
      </c>
      <c r="H23" s="30" t="s">
        <v>151</v>
      </c>
      <c r="I23" s="30" t="s">
        <v>561</v>
      </c>
      <c r="J23" s="30" t="s">
        <v>557</v>
      </c>
      <c r="K23" s="30" t="s">
        <v>562</v>
      </c>
      <c r="L23" s="30" t="s">
        <v>205</v>
      </c>
      <c r="M23" s="30" t="s">
        <v>206</v>
      </c>
      <c r="N23" s="30" t="s">
        <v>269</v>
      </c>
      <c r="O23" s="30" t="s">
        <v>563</v>
      </c>
      <c r="P23" s="30" t="s">
        <v>564</v>
      </c>
      <c r="Q23" s="30" t="s">
        <v>565</v>
      </c>
      <c r="R23" s="30" t="s">
        <v>151</v>
      </c>
      <c r="S23" s="30" t="s">
        <v>162</v>
      </c>
      <c r="T23" s="37">
        <v>29.47</v>
      </c>
      <c r="U23" s="30" t="s">
        <v>163</v>
      </c>
      <c r="V23" s="30" t="s">
        <v>164</v>
      </c>
      <c r="W23" s="30" t="s">
        <v>165</v>
      </c>
      <c r="X23" s="28" t="s">
        <v>566</v>
      </c>
      <c r="Y23" s="28" t="s">
        <v>567</v>
      </c>
      <c r="Z23" s="40">
        <v>28</v>
      </c>
      <c r="AA23" s="30" t="s">
        <v>568</v>
      </c>
      <c r="AB23" s="30" t="s">
        <v>151</v>
      </c>
      <c r="AC23" s="30" t="s">
        <v>151</v>
      </c>
      <c r="AD23" s="39">
        <v>2018</v>
      </c>
      <c r="AE23" s="30" t="s">
        <v>151</v>
      </c>
      <c r="AF23" s="35">
        <v>45575</v>
      </c>
      <c r="AG23" s="30" t="s">
        <v>151</v>
      </c>
      <c r="AH23" s="30" t="s">
        <v>151</v>
      </c>
      <c r="AI23" s="38" t="s">
        <v>151</v>
      </c>
      <c r="AJ23" s="32" t="s">
        <v>151</v>
      </c>
      <c r="AK23" s="38" t="s">
        <v>151</v>
      </c>
      <c r="AL23" s="38" t="s">
        <v>151</v>
      </c>
      <c r="AM23" s="38" t="s">
        <v>151</v>
      </c>
      <c r="AN23" s="38" t="s">
        <v>151</v>
      </c>
      <c r="AO23" s="38" t="s">
        <v>151</v>
      </c>
      <c r="AP23" s="38" t="s">
        <v>151</v>
      </c>
      <c r="AQ23" s="38" t="s">
        <v>151</v>
      </c>
      <c r="AR23" s="29" t="s">
        <v>151</v>
      </c>
      <c r="AS23" s="30" t="s">
        <v>569</v>
      </c>
      <c r="AT23" s="30" t="s">
        <v>570</v>
      </c>
      <c r="AU23" s="31">
        <v>9</v>
      </c>
      <c r="AV23" s="30" t="s">
        <v>151</v>
      </c>
      <c r="AW23" s="30" t="s">
        <v>151</v>
      </c>
      <c r="AX23" s="30" t="s">
        <v>151</v>
      </c>
      <c r="AY23" s="30" t="s">
        <v>571</v>
      </c>
      <c r="AZ23" s="30" t="s">
        <v>151</v>
      </c>
      <c r="BA23" s="30" t="s">
        <v>151</v>
      </c>
      <c r="BB23" s="30" t="s">
        <v>572</v>
      </c>
      <c r="BC23" s="30" t="s">
        <v>573</v>
      </c>
      <c r="BD23" s="30" t="s">
        <v>574</v>
      </c>
      <c r="BE23" s="30" t="s">
        <v>575</v>
      </c>
      <c r="BF23" s="30" t="s">
        <v>493</v>
      </c>
      <c r="BG23" s="30" t="s">
        <v>576</v>
      </c>
      <c r="BH23" s="30" t="s">
        <v>577</v>
      </c>
      <c r="BI23" s="30" t="s">
        <v>578</v>
      </c>
      <c r="BJ23" s="30" t="s">
        <v>579</v>
      </c>
      <c r="BK23" s="30" t="s">
        <v>580</v>
      </c>
      <c r="BL23" s="30" t="s">
        <v>581</v>
      </c>
      <c r="BM23" s="30" t="s">
        <v>582</v>
      </c>
      <c r="BN23" s="29" t="s">
        <v>583</v>
      </c>
      <c r="BO23" s="30" t="s">
        <v>186</v>
      </c>
      <c r="BP23" s="29" t="s">
        <v>577</v>
      </c>
      <c r="BQ23" s="29" t="s">
        <v>151</v>
      </c>
      <c r="BR23" s="30" t="s">
        <v>584</v>
      </c>
      <c r="BS23" s="30" t="s">
        <v>187</v>
      </c>
      <c r="BT23" s="30" t="s">
        <v>188</v>
      </c>
      <c r="BU23" s="35">
        <v>44027</v>
      </c>
      <c r="BV23" s="37">
        <v>8.22</v>
      </c>
      <c r="BW23" s="30" t="s">
        <v>192</v>
      </c>
      <c r="BX23" s="37">
        <v>13.72</v>
      </c>
      <c r="BY23" s="30" t="s">
        <v>192</v>
      </c>
      <c r="BZ23" s="30" t="s">
        <v>293</v>
      </c>
      <c r="CA23" s="30" t="s">
        <v>293</v>
      </c>
      <c r="CB23" s="30" t="s">
        <v>151</v>
      </c>
      <c r="CC23" s="30" t="s">
        <v>585</v>
      </c>
      <c r="CD23" s="30" t="s">
        <v>151</v>
      </c>
      <c r="CE23" s="30" t="s">
        <v>191</v>
      </c>
      <c r="CF23" s="35">
        <v>45014</v>
      </c>
      <c r="CG23" s="37">
        <v>6.25</v>
      </c>
      <c r="CH23" s="30" t="s">
        <v>192</v>
      </c>
      <c r="CI23" s="37">
        <v>20.25</v>
      </c>
      <c r="CJ23" s="30" t="s">
        <v>192</v>
      </c>
      <c r="CK23" s="29">
        <v>0.28</v>
      </c>
      <c r="CL23" s="30" t="s">
        <v>194</v>
      </c>
      <c r="CM23" s="30" t="s">
        <v>472</v>
      </c>
      <c r="CN23" s="30" t="s">
        <v>151</v>
      </c>
      <c r="CO23" s="30" t="s">
        <v>165</v>
      </c>
      <c r="CP23" s="35">
        <v>45014</v>
      </c>
      <c r="CQ23" s="37" t="s">
        <v>151</v>
      </c>
      <c r="CR23" s="30" t="s">
        <v>151</v>
      </c>
      <c r="CS23" s="30" t="s">
        <v>191</v>
      </c>
      <c r="CT23" s="29">
        <v>97</v>
      </c>
      <c r="CU23" s="30" t="s">
        <v>196</v>
      </c>
      <c r="CV23" s="32">
        <v>92</v>
      </c>
      <c r="CW23" s="32">
        <v>8</v>
      </c>
      <c r="CX23" s="30" t="s">
        <v>294</v>
      </c>
      <c r="CY23" s="32">
        <v>2</v>
      </c>
      <c r="CZ23" s="32">
        <v>90</v>
      </c>
      <c r="DA23" s="37">
        <v>20.25</v>
      </c>
      <c r="DB23" s="35">
        <v>45014</v>
      </c>
      <c r="DC23" s="30" t="s">
        <v>194</v>
      </c>
      <c r="DD23" s="29">
        <v>0.28</v>
      </c>
      <c r="DE23" s="32">
        <v>-0.09</v>
      </c>
      <c r="DF23" s="34">
        <v>11</v>
      </c>
      <c r="DG23" s="32">
        <v>0</v>
      </c>
      <c r="DH23" s="32">
        <v>0</v>
      </c>
      <c r="DI23" s="32">
        <v>-0.27</v>
      </c>
      <c r="DJ23" s="34">
        <v>8</v>
      </c>
      <c r="DK23" s="32" t="s">
        <v>151</v>
      </c>
      <c r="DL23" s="34" t="s">
        <v>151</v>
      </c>
      <c r="DM23" s="32">
        <v>-0.27</v>
      </c>
      <c r="DN23" s="34">
        <v>8</v>
      </c>
      <c r="DO23" s="36">
        <v>3.41</v>
      </c>
      <c r="DP23" s="34">
        <v>77</v>
      </c>
      <c r="DQ23" s="36">
        <v>0</v>
      </c>
      <c r="DR23" s="32">
        <v>0</v>
      </c>
      <c r="DS23" s="36">
        <v>7.11</v>
      </c>
      <c r="DT23" s="34">
        <v>86</v>
      </c>
      <c r="DU23" s="36" t="s">
        <v>151</v>
      </c>
      <c r="DV23" s="34" t="s">
        <v>151</v>
      </c>
      <c r="DW23" s="36">
        <v>7.11</v>
      </c>
      <c r="DX23" s="34">
        <v>86</v>
      </c>
      <c r="DY23" s="31" t="s">
        <v>151</v>
      </c>
      <c r="DZ23" s="35" t="s">
        <v>151</v>
      </c>
      <c r="EA23" s="35" t="s">
        <v>151</v>
      </c>
      <c r="EB23" s="34">
        <v>762</v>
      </c>
      <c r="EC23" s="33">
        <v>-13</v>
      </c>
      <c r="ED23" s="32">
        <v>-1.68</v>
      </c>
      <c r="EE23" s="34">
        <v>135</v>
      </c>
      <c r="EF23" s="33">
        <v>0</v>
      </c>
      <c r="EG23" s="32">
        <v>0</v>
      </c>
      <c r="EH23" s="29" t="s">
        <v>198</v>
      </c>
      <c r="EI23" s="30" t="s">
        <v>151</v>
      </c>
      <c r="EJ23" s="30" t="s">
        <v>151</v>
      </c>
      <c r="EK23" s="31">
        <v>3</v>
      </c>
      <c r="EL23" s="31">
        <v>8</v>
      </c>
      <c r="EM23" s="31">
        <v>4</v>
      </c>
      <c r="EN23" s="31" t="s">
        <v>151</v>
      </c>
      <c r="EO23" s="31">
        <v>1</v>
      </c>
      <c r="EP23" s="30" t="s">
        <v>586</v>
      </c>
      <c r="EQ23" s="29" t="s">
        <v>151</v>
      </c>
      <c r="ER23" s="29" t="s">
        <v>151</v>
      </c>
      <c r="ES23" s="4">
        <f>HYPERLINK("https://my.pitchbook.com?c=279823-78","View Company Online")</f>
      </c>
    </row>
    <row r="24">
      <c r="A24" s="17" t="s">
        <v>587</v>
      </c>
      <c r="B24" s="17" t="s">
        <v>588</v>
      </c>
      <c r="C24" s="18">
        <v>13</v>
      </c>
      <c r="D24" s="17" t="s">
        <v>151</v>
      </c>
      <c r="E24" s="17" t="s">
        <v>151</v>
      </c>
      <c r="F24" s="17" t="s">
        <v>589</v>
      </c>
      <c r="G24" s="17" t="s">
        <v>151</v>
      </c>
      <c r="H24" s="17" t="s">
        <v>151</v>
      </c>
      <c r="I24" s="17" t="s">
        <v>590</v>
      </c>
      <c r="J24" s="17" t="s">
        <v>587</v>
      </c>
      <c r="K24" s="17" t="s">
        <v>591</v>
      </c>
      <c r="L24" s="17" t="s">
        <v>205</v>
      </c>
      <c r="M24" s="17" t="s">
        <v>206</v>
      </c>
      <c r="N24" s="17" t="s">
        <v>269</v>
      </c>
      <c r="O24" s="17" t="s">
        <v>592</v>
      </c>
      <c r="P24" s="17" t="s">
        <v>593</v>
      </c>
      <c r="Q24" s="17" t="s">
        <v>594</v>
      </c>
      <c r="R24" s="17" t="s">
        <v>151</v>
      </c>
      <c r="S24" s="17" t="s">
        <v>162</v>
      </c>
      <c r="T24" s="24">
        <v>17.22</v>
      </c>
      <c r="U24" s="17" t="s">
        <v>163</v>
      </c>
      <c r="V24" s="17" t="s">
        <v>164</v>
      </c>
      <c r="W24" s="17" t="s">
        <v>420</v>
      </c>
      <c r="X24" s="15" t="s">
        <v>595</v>
      </c>
      <c r="Y24" s="15" t="s">
        <v>596</v>
      </c>
      <c r="Z24" s="27">
        <v>31</v>
      </c>
      <c r="AA24" s="17" t="s">
        <v>597</v>
      </c>
      <c r="AB24" s="17" t="s">
        <v>151</v>
      </c>
      <c r="AC24" s="17" t="s">
        <v>151</v>
      </c>
      <c r="AD24" s="26">
        <v>2017</v>
      </c>
      <c r="AE24" s="17" t="s">
        <v>151</v>
      </c>
      <c r="AF24" s="22">
        <v>45595</v>
      </c>
      <c r="AG24" s="17" t="s">
        <v>151</v>
      </c>
      <c r="AH24" s="17" t="s">
        <v>151</v>
      </c>
      <c r="AI24" s="25" t="s">
        <v>151</v>
      </c>
      <c r="AJ24" s="19" t="s">
        <v>151</v>
      </c>
      <c r="AK24" s="25" t="s">
        <v>151</v>
      </c>
      <c r="AL24" s="25" t="s">
        <v>151</v>
      </c>
      <c r="AM24" s="25" t="s">
        <v>151</v>
      </c>
      <c r="AN24" s="25" t="s">
        <v>151</v>
      </c>
      <c r="AO24" s="25" t="s">
        <v>151</v>
      </c>
      <c r="AP24" s="25" t="s">
        <v>151</v>
      </c>
      <c r="AQ24" s="25" t="s">
        <v>151</v>
      </c>
      <c r="AR24" s="16" t="s">
        <v>151</v>
      </c>
      <c r="AS24" s="17" t="s">
        <v>598</v>
      </c>
      <c r="AT24" s="17" t="s">
        <v>599</v>
      </c>
      <c r="AU24" s="18">
        <v>23</v>
      </c>
      <c r="AV24" s="17" t="s">
        <v>151</v>
      </c>
      <c r="AW24" s="17" t="s">
        <v>151</v>
      </c>
      <c r="AX24" s="17" t="s">
        <v>151</v>
      </c>
      <c r="AY24" s="17" t="s">
        <v>600</v>
      </c>
      <c r="AZ24" s="17" t="s">
        <v>151</v>
      </c>
      <c r="BA24" s="17" t="s">
        <v>151</v>
      </c>
      <c r="BB24" s="17" t="s">
        <v>151</v>
      </c>
      <c r="BC24" s="17" t="s">
        <v>601</v>
      </c>
      <c r="BD24" s="17" t="s">
        <v>602</v>
      </c>
      <c r="BE24" s="17" t="s">
        <v>603</v>
      </c>
      <c r="BF24" s="17" t="s">
        <v>546</v>
      </c>
      <c r="BG24" s="17" t="s">
        <v>604</v>
      </c>
      <c r="BH24" s="17" t="s">
        <v>605</v>
      </c>
      <c r="BI24" s="17" t="s">
        <v>285</v>
      </c>
      <c r="BJ24" s="17" t="s">
        <v>606</v>
      </c>
      <c r="BK24" s="17" t="s">
        <v>607</v>
      </c>
      <c r="BL24" s="17" t="s">
        <v>288</v>
      </c>
      <c r="BM24" s="17" t="s">
        <v>289</v>
      </c>
      <c r="BN24" s="16" t="s">
        <v>608</v>
      </c>
      <c r="BO24" s="17" t="s">
        <v>186</v>
      </c>
      <c r="BP24" s="16" t="s">
        <v>605</v>
      </c>
      <c r="BQ24" s="16" t="s">
        <v>151</v>
      </c>
      <c r="BR24" s="17" t="s">
        <v>609</v>
      </c>
      <c r="BS24" s="17" t="s">
        <v>187</v>
      </c>
      <c r="BT24" s="17" t="s">
        <v>188</v>
      </c>
      <c r="BU24" s="22">
        <v>43101</v>
      </c>
      <c r="BV24" s="24" t="s">
        <v>151</v>
      </c>
      <c r="BW24" s="17" t="s">
        <v>151</v>
      </c>
      <c r="BX24" s="24" t="s">
        <v>151</v>
      </c>
      <c r="BY24" s="17" t="s">
        <v>151</v>
      </c>
      <c r="BZ24" s="17" t="s">
        <v>189</v>
      </c>
      <c r="CA24" s="17" t="s">
        <v>151</v>
      </c>
      <c r="CB24" s="17" t="s">
        <v>151</v>
      </c>
      <c r="CC24" s="17" t="s">
        <v>190</v>
      </c>
      <c r="CD24" s="17" t="s">
        <v>151</v>
      </c>
      <c r="CE24" s="17" t="s">
        <v>191</v>
      </c>
      <c r="CF24" s="22">
        <v>45545</v>
      </c>
      <c r="CG24" s="24">
        <v>5.6</v>
      </c>
      <c r="CH24" s="17" t="s">
        <v>192</v>
      </c>
      <c r="CI24" s="24" t="s">
        <v>151</v>
      </c>
      <c r="CJ24" s="17" t="s">
        <v>151</v>
      </c>
      <c r="CK24" s="16" t="s">
        <v>151</v>
      </c>
      <c r="CL24" s="17" t="s">
        <v>527</v>
      </c>
      <c r="CM24" s="17" t="s">
        <v>151</v>
      </c>
      <c r="CN24" s="17" t="s">
        <v>151</v>
      </c>
      <c r="CO24" s="17" t="s">
        <v>439</v>
      </c>
      <c r="CP24" s="22">
        <v>45545</v>
      </c>
      <c r="CQ24" s="24">
        <v>5.6</v>
      </c>
      <c r="CR24" s="17" t="s">
        <v>610</v>
      </c>
      <c r="CS24" s="17" t="s">
        <v>191</v>
      </c>
      <c r="CT24" s="16">
        <v>93</v>
      </c>
      <c r="CU24" s="17" t="s">
        <v>196</v>
      </c>
      <c r="CV24" s="19">
        <v>84</v>
      </c>
      <c r="CW24" s="19">
        <v>16</v>
      </c>
      <c r="CX24" s="17" t="s">
        <v>294</v>
      </c>
      <c r="CY24" s="19">
        <v>4</v>
      </c>
      <c r="CZ24" s="19">
        <v>80</v>
      </c>
      <c r="DA24" s="24">
        <v>33</v>
      </c>
      <c r="DB24" s="22">
        <v>44719</v>
      </c>
      <c r="DC24" s="17" t="s">
        <v>194</v>
      </c>
      <c r="DD24" s="16" t="s">
        <v>151</v>
      </c>
      <c r="DE24" s="19" t="s">
        <v>151</v>
      </c>
      <c r="DF24" s="21" t="s">
        <v>151</v>
      </c>
      <c r="DG24" s="19" t="s">
        <v>151</v>
      </c>
      <c r="DH24" s="19" t="s">
        <v>151</v>
      </c>
      <c r="DI24" s="19" t="s">
        <v>151</v>
      </c>
      <c r="DJ24" s="21" t="s">
        <v>151</v>
      </c>
      <c r="DK24" s="19" t="s">
        <v>151</v>
      </c>
      <c r="DL24" s="21" t="s">
        <v>151</v>
      </c>
      <c r="DM24" s="19" t="s">
        <v>151</v>
      </c>
      <c r="DN24" s="21" t="s">
        <v>151</v>
      </c>
      <c r="DO24" s="23" t="s">
        <v>151</v>
      </c>
      <c r="DP24" s="21" t="s">
        <v>151</v>
      </c>
      <c r="DQ24" s="23" t="s">
        <v>151</v>
      </c>
      <c r="DR24" s="19" t="s">
        <v>151</v>
      </c>
      <c r="DS24" s="23" t="s">
        <v>151</v>
      </c>
      <c r="DT24" s="21" t="s">
        <v>151</v>
      </c>
      <c r="DU24" s="23" t="s">
        <v>151</v>
      </c>
      <c r="DV24" s="21" t="s">
        <v>151</v>
      </c>
      <c r="DW24" s="23" t="s">
        <v>151</v>
      </c>
      <c r="DX24" s="21" t="s">
        <v>151</v>
      </c>
      <c r="DY24" s="18" t="s">
        <v>151</v>
      </c>
      <c r="DZ24" s="22" t="s">
        <v>151</v>
      </c>
      <c r="EA24" s="22" t="s">
        <v>151</v>
      </c>
      <c r="EB24" s="21" t="s">
        <v>151</v>
      </c>
      <c r="EC24" s="20" t="s">
        <v>151</v>
      </c>
      <c r="ED24" s="19" t="s">
        <v>151</v>
      </c>
      <c r="EE24" s="21" t="s">
        <v>151</v>
      </c>
      <c r="EF24" s="20" t="s">
        <v>151</v>
      </c>
      <c r="EG24" s="19" t="s">
        <v>151</v>
      </c>
      <c r="EH24" s="16" t="s">
        <v>198</v>
      </c>
      <c r="EI24" s="17" t="s">
        <v>151</v>
      </c>
      <c r="EJ24" s="17" t="s">
        <v>151</v>
      </c>
      <c r="EK24" s="18">
        <v>1</v>
      </c>
      <c r="EL24" s="18">
        <v>11</v>
      </c>
      <c r="EM24" s="18">
        <v>2</v>
      </c>
      <c r="EN24" s="18" t="s">
        <v>151</v>
      </c>
      <c r="EO24" s="18" t="s">
        <v>151</v>
      </c>
      <c r="EP24" s="17" t="s">
        <v>611</v>
      </c>
      <c r="EQ24" s="16" t="s">
        <v>151</v>
      </c>
      <c r="ER24" s="16" t="s">
        <v>151</v>
      </c>
      <c r="ES24" s="3">
        <f>HYPERLINK("https://my.pitchbook.com?c=228583-00","View Company Online")</f>
      </c>
    </row>
    <row r="25">
      <c r="A25" s="30" t="s">
        <v>612</v>
      </c>
      <c r="B25" s="30" t="s">
        <v>613</v>
      </c>
      <c r="C25" s="31">
        <v>12</v>
      </c>
      <c r="D25" s="30" t="s">
        <v>151</v>
      </c>
      <c r="E25" s="30" t="s">
        <v>151</v>
      </c>
      <c r="F25" s="30" t="s">
        <v>614</v>
      </c>
      <c r="G25" s="30" t="s">
        <v>151</v>
      </c>
      <c r="H25" s="30" t="s">
        <v>151</v>
      </c>
      <c r="I25" s="30" t="s">
        <v>151</v>
      </c>
      <c r="J25" s="30" t="s">
        <v>612</v>
      </c>
      <c r="K25" s="30" t="s">
        <v>615</v>
      </c>
      <c r="L25" s="30" t="s">
        <v>616</v>
      </c>
      <c r="M25" s="30" t="s">
        <v>617</v>
      </c>
      <c r="N25" s="30" t="s">
        <v>618</v>
      </c>
      <c r="O25" s="30" t="s">
        <v>619</v>
      </c>
      <c r="P25" s="30" t="s">
        <v>620</v>
      </c>
      <c r="Q25" s="30" t="s">
        <v>621</v>
      </c>
      <c r="R25" s="30" t="s">
        <v>622</v>
      </c>
      <c r="S25" s="30" t="s">
        <v>162</v>
      </c>
      <c r="T25" s="37">
        <v>117.5</v>
      </c>
      <c r="U25" s="30" t="s">
        <v>163</v>
      </c>
      <c r="V25" s="30" t="s">
        <v>164</v>
      </c>
      <c r="W25" s="30" t="s">
        <v>165</v>
      </c>
      <c r="X25" s="28" t="s">
        <v>623</v>
      </c>
      <c r="Y25" s="28" t="s">
        <v>624</v>
      </c>
      <c r="Z25" s="40">
        <v>71</v>
      </c>
      <c r="AA25" s="30" t="s">
        <v>625</v>
      </c>
      <c r="AB25" s="30" t="s">
        <v>151</v>
      </c>
      <c r="AC25" s="30" t="s">
        <v>151</v>
      </c>
      <c r="AD25" s="39">
        <v>2020</v>
      </c>
      <c r="AE25" s="30" t="s">
        <v>151</v>
      </c>
      <c r="AF25" s="35">
        <v>45574</v>
      </c>
      <c r="AG25" s="30" t="s">
        <v>151</v>
      </c>
      <c r="AH25" s="30" t="s">
        <v>151</v>
      </c>
      <c r="AI25" s="38" t="s">
        <v>151</v>
      </c>
      <c r="AJ25" s="32" t="s">
        <v>151</v>
      </c>
      <c r="AK25" s="38" t="s">
        <v>151</v>
      </c>
      <c r="AL25" s="38" t="s">
        <v>151</v>
      </c>
      <c r="AM25" s="38" t="s">
        <v>151</v>
      </c>
      <c r="AN25" s="38" t="s">
        <v>151</v>
      </c>
      <c r="AO25" s="38" t="s">
        <v>151</v>
      </c>
      <c r="AP25" s="38" t="s">
        <v>151</v>
      </c>
      <c r="AQ25" s="38" t="s">
        <v>151</v>
      </c>
      <c r="AR25" s="29" t="s">
        <v>151</v>
      </c>
      <c r="AS25" s="30" t="s">
        <v>626</v>
      </c>
      <c r="AT25" s="30" t="s">
        <v>627</v>
      </c>
      <c r="AU25" s="31">
        <v>25</v>
      </c>
      <c r="AV25" s="30" t="s">
        <v>151</v>
      </c>
      <c r="AW25" s="30" t="s">
        <v>151</v>
      </c>
      <c r="AX25" s="30" t="s">
        <v>151</v>
      </c>
      <c r="AY25" s="30" t="s">
        <v>628</v>
      </c>
      <c r="AZ25" s="30" t="s">
        <v>151</v>
      </c>
      <c r="BA25" s="30" t="s">
        <v>151</v>
      </c>
      <c r="BB25" s="30" t="s">
        <v>151</v>
      </c>
      <c r="BC25" s="30" t="s">
        <v>151</v>
      </c>
      <c r="BD25" s="30" t="s">
        <v>629</v>
      </c>
      <c r="BE25" s="30" t="s">
        <v>630</v>
      </c>
      <c r="BF25" s="30" t="s">
        <v>221</v>
      </c>
      <c r="BG25" s="30" t="s">
        <v>631</v>
      </c>
      <c r="BH25" s="30" t="s">
        <v>632</v>
      </c>
      <c r="BI25" s="30" t="s">
        <v>633</v>
      </c>
      <c r="BJ25" s="30" t="s">
        <v>634</v>
      </c>
      <c r="BK25" s="30" t="s">
        <v>151</v>
      </c>
      <c r="BL25" s="30" t="s">
        <v>635</v>
      </c>
      <c r="BM25" s="30" t="s">
        <v>636</v>
      </c>
      <c r="BN25" s="29" t="s">
        <v>637</v>
      </c>
      <c r="BO25" s="30" t="s">
        <v>186</v>
      </c>
      <c r="BP25" s="29" t="s">
        <v>638</v>
      </c>
      <c r="BQ25" s="29" t="s">
        <v>151</v>
      </c>
      <c r="BR25" s="30" t="s">
        <v>639</v>
      </c>
      <c r="BS25" s="30" t="s">
        <v>187</v>
      </c>
      <c r="BT25" s="30" t="s">
        <v>188</v>
      </c>
      <c r="BU25" s="35" t="s">
        <v>151</v>
      </c>
      <c r="BV25" s="37" t="s">
        <v>151</v>
      </c>
      <c r="BW25" s="30" t="s">
        <v>151</v>
      </c>
      <c r="BX25" s="37" t="s">
        <v>151</v>
      </c>
      <c r="BY25" s="30" t="s">
        <v>151</v>
      </c>
      <c r="BZ25" s="30" t="s">
        <v>189</v>
      </c>
      <c r="CA25" s="30" t="s">
        <v>151</v>
      </c>
      <c r="CB25" s="30" t="s">
        <v>151</v>
      </c>
      <c r="CC25" s="30" t="s">
        <v>190</v>
      </c>
      <c r="CD25" s="30" t="s">
        <v>151</v>
      </c>
      <c r="CE25" s="30" t="s">
        <v>191</v>
      </c>
      <c r="CF25" s="35">
        <v>45078</v>
      </c>
      <c r="CG25" s="37">
        <v>61</v>
      </c>
      <c r="CH25" s="30" t="s">
        <v>193</v>
      </c>
      <c r="CI25" s="37">
        <v>560</v>
      </c>
      <c r="CJ25" s="30" t="s">
        <v>193</v>
      </c>
      <c r="CK25" s="29">
        <v>2.08</v>
      </c>
      <c r="CL25" s="30" t="s">
        <v>231</v>
      </c>
      <c r="CM25" s="30" t="s">
        <v>326</v>
      </c>
      <c r="CN25" s="30" t="s">
        <v>151</v>
      </c>
      <c r="CO25" s="30" t="s">
        <v>165</v>
      </c>
      <c r="CP25" s="35">
        <v>45078</v>
      </c>
      <c r="CQ25" s="37" t="s">
        <v>151</v>
      </c>
      <c r="CR25" s="30" t="s">
        <v>151</v>
      </c>
      <c r="CS25" s="30" t="s">
        <v>191</v>
      </c>
      <c r="CT25" s="29">
        <v>32</v>
      </c>
      <c r="CU25" s="30" t="s">
        <v>263</v>
      </c>
      <c r="CV25" s="32">
        <v>42</v>
      </c>
      <c r="CW25" s="32">
        <v>58</v>
      </c>
      <c r="CX25" s="30" t="s">
        <v>263</v>
      </c>
      <c r="CY25" s="32">
        <v>25</v>
      </c>
      <c r="CZ25" s="32">
        <v>17</v>
      </c>
      <c r="DA25" s="37">
        <v>560</v>
      </c>
      <c r="DB25" s="35">
        <v>45078</v>
      </c>
      <c r="DC25" s="30" t="s">
        <v>231</v>
      </c>
      <c r="DD25" s="29">
        <v>2.08</v>
      </c>
      <c r="DE25" s="32">
        <v>1.92</v>
      </c>
      <c r="DF25" s="34">
        <v>98</v>
      </c>
      <c r="DG25" s="32">
        <v>0</v>
      </c>
      <c r="DH25" s="32">
        <v>0</v>
      </c>
      <c r="DI25" s="32" t="s">
        <v>151</v>
      </c>
      <c r="DJ25" s="34" t="s">
        <v>151</v>
      </c>
      <c r="DK25" s="32" t="s">
        <v>151</v>
      </c>
      <c r="DL25" s="34" t="s">
        <v>151</v>
      </c>
      <c r="DM25" s="32" t="s">
        <v>151</v>
      </c>
      <c r="DN25" s="34" t="s">
        <v>151</v>
      </c>
      <c r="DO25" s="36">
        <v>5.46</v>
      </c>
      <c r="DP25" s="34">
        <v>83</v>
      </c>
      <c r="DQ25" s="36">
        <v>0</v>
      </c>
      <c r="DR25" s="32">
        <v>0</v>
      </c>
      <c r="DS25" s="36" t="s">
        <v>151</v>
      </c>
      <c r="DT25" s="34" t="s">
        <v>151</v>
      </c>
      <c r="DU25" s="36" t="s">
        <v>151</v>
      </c>
      <c r="DV25" s="34" t="s">
        <v>151</v>
      </c>
      <c r="DW25" s="36" t="s">
        <v>151</v>
      </c>
      <c r="DX25" s="34" t="s">
        <v>151</v>
      </c>
      <c r="DY25" s="31">
        <v>8</v>
      </c>
      <c r="DZ25" s="35">
        <v>45246</v>
      </c>
      <c r="EA25" s="35" t="s">
        <v>151</v>
      </c>
      <c r="EB25" s="34">
        <v>1488</v>
      </c>
      <c r="EC25" s="33">
        <v>-81</v>
      </c>
      <c r="ED25" s="32">
        <v>-5.16</v>
      </c>
      <c r="EE25" s="34" t="s">
        <v>151</v>
      </c>
      <c r="EF25" s="33" t="s">
        <v>151</v>
      </c>
      <c r="EG25" s="32" t="s">
        <v>151</v>
      </c>
      <c r="EH25" s="29" t="s">
        <v>198</v>
      </c>
      <c r="EI25" s="30" t="s">
        <v>151</v>
      </c>
      <c r="EJ25" s="30" t="s">
        <v>151</v>
      </c>
      <c r="EK25" s="31">
        <v>5</v>
      </c>
      <c r="EL25" s="31">
        <v>6</v>
      </c>
      <c r="EM25" s="31">
        <v>5</v>
      </c>
      <c r="EN25" s="31" t="s">
        <v>151</v>
      </c>
      <c r="EO25" s="31">
        <v>1</v>
      </c>
      <c r="EP25" s="30" t="s">
        <v>640</v>
      </c>
      <c r="EQ25" s="29" t="s">
        <v>151</v>
      </c>
      <c r="ER25" s="29" t="s">
        <v>151</v>
      </c>
      <c r="ES25" s="4">
        <f>HYPERLINK("https://my.pitchbook.com?c=460016-92","View Company Online")</f>
      </c>
    </row>
    <row r="26">
      <c r="A26" s="17" t="s">
        <v>641</v>
      </c>
      <c r="B26" s="17" t="s">
        <v>642</v>
      </c>
      <c r="C26" s="18">
        <v>11</v>
      </c>
      <c r="D26" s="17" t="s">
        <v>151</v>
      </c>
      <c r="E26" s="17" t="s">
        <v>151</v>
      </c>
      <c r="F26" s="17" t="s">
        <v>643</v>
      </c>
      <c r="G26" s="17" t="s">
        <v>151</v>
      </c>
      <c r="H26" s="17" t="s">
        <v>151</v>
      </c>
      <c r="I26" s="17" t="s">
        <v>151</v>
      </c>
      <c r="J26" s="17" t="s">
        <v>641</v>
      </c>
      <c r="K26" s="17" t="s">
        <v>644</v>
      </c>
      <c r="L26" s="17" t="s">
        <v>205</v>
      </c>
      <c r="M26" s="17" t="s">
        <v>448</v>
      </c>
      <c r="N26" s="17" t="s">
        <v>478</v>
      </c>
      <c r="O26" s="17" t="s">
        <v>645</v>
      </c>
      <c r="P26" s="17" t="s">
        <v>304</v>
      </c>
      <c r="Q26" s="17" t="s">
        <v>646</v>
      </c>
      <c r="R26" s="17" t="s">
        <v>647</v>
      </c>
      <c r="S26" s="17" t="s">
        <v>162</v>
      </c>
      <c r="T26" s="24">
        <v>14.1</v>
      </c>
      <c r="U26" s="17" t="s">
        <v>163</v>
      </c>
      <c r="V26" s="17" t="s">
        <v>164</v>
      </c>
      <c r="W26" s="17" t="s">
        <v>165</v>
      </c>
      <c r="X26" s="15" t="s">
        <v>648</v>
      </c>
      <c r="Y26" s="15" t="s">
        <v>649</v>
      </c>
      <c r="Z26" s="27">
        <v>24</v>
      </c>
      <c r="AA26" s="17" t="s">
        <v>650</v>
      </c>
      <c r="AB26" s="17" t="s">
        <v>151</v>
      </c>
      <c r="AC26" s="17" t="s">
        <v>151</v>
      </c>
      <c r="AD26" s="26">
        <v>2018</v>
      </c>
      <c r="AE26" s="17" t="s">
        <v>151</v>
      </c>
      <c r="AF26" s="22">
        <v>45602</v>
      </c>
      <c r="AG26" s="17" t="s">
        <v>151</v>
      </c>
      <c r="AH26" s="17" t="s">
        <v>151</v>
      </c>
      <c r="AI26" s="25" t="s">
        <v>151</v>
      </c>
      <c r="AJ26" s="19" t="s">
        <v>151</v>
      </c>
      <c r="AK26" s="25" t="s">
        <v>151</v>
      </c>
      <c r="AL26" s="25" t="s">
        <v>151</v>
      </c>
      <c r="AM26" s="25" t="s">
        <v>151</v>
      </c>
      <c r="AN26" s="25" t="s">
        <v>151</v>
      </c>
      <c r="AO26" s="25" t="s">
        <v>151</v>
      </c>
      <c r="AP26" s="25" t="s">
        <v>151</v>
      </c>
      <c r="AQ26" s="25" t="s">
        <v>151</v>
      </c>
      <c r="AR26" s="16" t="s">
        <v>151</v>
      </c>
      <c r="AS26" s="17" t="s">
        <v>651</v>
      </c>
      <c r="AT26" s="17" t="s">
        <v>652</v>
      </c>
      <c r="AU26" s="18">
        <v>8</v>
      </c>
      <c r="AV26" s="17" t="s">
        <v>151</v>
      </c>
      <c r="AW26" s="17" t="s">
        <v>151</v>
      </c>
      <c r="AX26" s="17" t="s">
        <v>151</v>
      </c>
      <c r="AY26" s="17" t="s">
        <v>653</v>
      </c>
      <c r="AZ26" s="17" t="s">
        <v>151</v>
      </c>
      <c r="BA26" s="17" t="s">
        <v>151</v>
      </c>
      <c r="BB26" s="17" t="s">
        <v>151</v>
      </c>
      <c r="BC26" s="17" t="s">
        <v>151</v>
      </c>
      <c r="BD26" s="17" t="s">
        <v>654</v>
      </c>
      <c r="BE26" s="17" t="s">
        <v>655</v>
      </c>
      <c r="BF26" s="17" t="s">
        <v>221</v>
      </c>
      <c r="BG26" s="17" t="s">
        <v>656</v>
      </c>
      <c r="BH26" s="17" t="s">
        <v>151</v>
      </c>
      <c r="BI26" s="17" t="s">
        <v>224</v>
      </c>
      <c r="BJ26" s="17" t="s">
        <v>657</v>
      </c>
      <c r="BK26" s="17" t="s">
        <v>658</v>
      </c>
      <c r="BL26" s="17" t="s">
        <v>227</v>
      </c>
      <c r="BM26" s="17" t="s">
        <v>184</v>
      </c>
      <c r="BN26" s="16" t="s">
        <v>659</v>
      </c>
      <c r="BO26" s="17" t="s">
        <v>186</v>
      </c>
      <c r="BP26" s="16" t="s">
        <v>151</v>
      </c>
      <c r="BQ26" s="16" t="s">
        <v>151</v>
      </c>
      <c r="BR26" s="17" t="s">
        <v>151</v>
      </c>
      <c r="BS26" s="17" t="s">
        <v>187</v>
      </c>
      <c r="BT26" s="17" t="s">
        <v>188</v>
      </c>
      <c r="BU26" s="22">
        <v>43101</v>
      </c>
      <c r="BV26" s="24" t="s">
        <v>151</v>
      </c>
      <c r="BW26" s="17" t="s">
        <v>151</v>
      </c>
      <c r="BX26" s="24" t="s">
        <v>151</v>
      </c>
      <c r="BY26" s="17" t="s">
        <v>151</v>
      </c>
      <c r="BZ26" s="17" t="s">
        <v>660</v>
      </c>
      <c r="CA26" s="17" t="s">
        <v>151</v>
      </c>
      <c r="CB26" s="17" t="s">
        <v>151</v>
      </c>
      <c r="CC26" s="17" t="s">
        <v>385</v>
      </c>
      <c r="CD26" s="17" t="s">
        <v>151</v>
      </c>
      <c r="CE26" s="17" t="s">
        <v>191</v>
      </c>
      <c r="CF26" s="22">
        <v>44972</v>
      </c>
      <c r="CG26" s="24">
        <v>11</v>
      </c>
      <c r="CH26" s="17" t="s">
        <v>192</v>
      </c>
      <c r="CI26" s="24">
        <v>40.5</v>
      </c>
      <c r="CJ26" s="17" t="s">
        <v>192</v>
      </c>
      <c r="CK26" s="16">
        <v>1.95</v>
      </c>
      <c r="CL26" s="17" t="s">
        <v>293</v>
      </c>
      <c r="CM26" s="17" t="s">
        <v>661</v>
      </c>
      <c r="CN26" s="17" t="s">
        <v>151</v>
      </c>
      <c r="CO26" s="17" t="s">
        <v>165</v>
      </c>
      <c r="CP26" s="22">
        <v>44972</v>
      </c>
      <c r="CQ26" s="24" t="s">
        <v>151</v>
      </c>
      <c r="CR26" s="17" t="s">
        <v>151</v>
      </c>
      <c r="CS26" s="17" t="s">
        <v>191</v>
      </c>
      <c r="CT26" s="16">
        <v>77</v>
      </c>
      <c r="CU26" s="17" t="s">
        <v>196</v>
      </c>
      <c r="CV26" s="19">
        <v>71</v>
      </c>
      <c r="CW26" s="19">
        <v>29</v>
      </c>
      <c r="CX26" s="17" t="s">
        <v>294</v>
      </c>
      <c r="CY26" s="19">
        <v>1</v>
      </c>
      <c r="CZ26" s="19">
        <v>70</v>
      </c>
      <c r="DA26" s="24">
        <v>40.5</v>
      </c>
      <c r="DB26" s="22">
        <v>44972</v>
      </c>
      <c r="DC26" s="17" t="s">
        <v>293</v>
      </c>
      <c r="DD26" s="16">
        <v>1.95</v>
      </c>
      <c r="DE26" s="19" t="s">
        <v>151</v>
      </c>
      <c r="DF26" s="21" t="s">
        <v>151</v>
      </c>
      <c r="DG26" s="19" t="s">
        <v>151</v>
      </c>
      <c r="DH26" s="19" t="s">
        <v>151</v>
      </c>
      <c r="DI26" s="19" t="s">
        <v>151</v>
      </c>
      <c r="DJ26" s="21" t="s">
        <v>151</v>
      </c>
      <c r="DK26" s="19" t="s">
        <v>151</v>
      </c>
      <c r="DL26" s="21" t="s">
        <v>151</v>
      </c>
      <c r="DM26" s="19" t="s">
        <v>151</v>
      </c>
      <c r="DN26" s="21" t="s">
        <v>151</v>
      </c>
      <c r="DO26" s="23" t="s">
        <v>151</v>
      </c>
      <c r="DP26" s="21" t="s">
        <v>151</v>
      </c>
      <c r="DQ26" s="23" t="s">
        <v>151</v>
      </c>
      <c r="DR26" s="19" t="s">
        <v>151</v>
      </c>
      <c r="DS26" s="23" t="s">
        <v>151</v>
      </c>
      <c r="DT26" s="21" t="s">
        <v>151</v>
      </c>
      <c r="DU26" s="23" t="s">
        <v>151</v>
      </c>
      <c r="DV26" s="21" t="s">
        <v>151</v>
      </c>
      <c r="DW26" s="23" t="s">
        <v>151</v>
      </c>
      <c r="DX26" s="21" t="s">
        <v>151</v>
      </c>
      <c r="DY26" s="18" t="s">
        <v>151</v>
      </c>
      <c r="DZ26" s="22" t="s">
        <v>151</v>
      </c>
      <c r="EA26" s="22" t="s">
        <v>151</v>
      </c>
      <c r="EB26" s="21" t="s">
        <v>151</v>
      </c>
      <c r="EC26" s="20" t="s">
        <v>151</v>
      </c>
      <c r="ED26" s="19" t="s">
        <v>151</v>
      </c>
      <c r="EE26" s="21" t="s">
        <v>151</v>
      </c>
      <c r="EF26" s="20" t="s">
        <v>151</v>
      </c>
      <c r="EG26" s="19" t="s">
        <v>151</v>
      </c>
      <c r="EH26" s="16" t="s">
        <v>198</v>
      </c>
      <c r="EI26" s="17" t="s">
        <v>151</v>
      </c>
      <c r="EJ26" s="17" t="s">
        <v>151</v>
      </c>
      <c r="EK26" s="18">
        <v>3</v>
      </c>
      <c r="EL26" s="18">
        <v>3</v>
      </c>
      <c r="EM26" s="18">
        <v>8</v>
      </c>
      <c r="EN26" s="18" t="s">
        <v>151</v>
      </c>
      <c r="EO26" s="18" t="s">
        <v>151</v>
      </c>
      <c r="EP26" s="17" t="s">
        <v>662</v>
      </c>
      <c r="EQ26" s="16" t="s">
        <v>151</v>
      </c>
      <c r="ER26" s="16" t="s">
        <v>151</v>
      </c>
      <c r="ES26" s="3">
        <f>HYPERLINK("https://my.pitchbook.com?c=228530-98","View Company Online")</f>
      </c>
    </row>
    <row r="27">
      <c r="A27" s="30" t="s">
        <v>663</v>
      </c>
      <c r="B27" s="30" t="s">
        <v>664</v>
      </c>
      <c r="C27" s="31">
        <v>10</v>
      </c>
      <c r="D27" s="30" t="s">
        <v>665</v>
      </c>
      <c r="E27" s="30" t="s">
        <v>666</v>
      </c>
      <c r="F27" s="30" t="s">
        <v>667</v>
      </c>
      <c r="G27" s="30" t="s">
        <v>151</v>
      </c>
      <c r="H27" s="30" t="s">
        <v>151</v>
      </c>
      <c r="I27" s="30" t="s">
        <v>668</v>
      </c>
      <c r="J27" s="30" t="s">
        <v>663</v>
      </c>
      <c r="K27" s="30" t="s">
        <v>669</v>
      </c>
      <c r="L27" s="30" t="s">
        <v>155</v>
      </c>
      <c r="M27" s="30" t="s">
        <v>239</v>
      </c>
      <c r="N27" s="30" t="s">
        <v>670</v>
      </c>
      <c r="O27" s="30" t="s">
        <v>671</v>
      </c>
      <c r="P27" s="30" t="s">
        <v>672</v>
      </c>
      <c r="Q27" s="30" t="s">
        <v>673</v>
      </c>
      <c r="R27" s="30" t="s">
        <v>151</v>
      </c>
      <c r="S27" s="30" t="s">
        <v>162</v>
      </c>
      <c r="T27" s="37">
        <v>2</v>
      </c>
      <c r="U27" s="30" t="s">
        <v>163</v>
      </c>
      <c r="V27" s="30" t="s">
        <v>164</v>
      </c>
      <c r="W27" s="30" t="s">
        <v>165</v>
      </c>
      <c r="X27" s="28" t="s">
        <v>674</v>
      </c>
      <c r="Y27" s="28" t="s">
        <v>675</v>
      </c>
      <c r="Z27" s="40">
        <v>8</v>
      </c>
      <c r="AA27" s="30" t="s">
        <v>676</v>
      </c>
      <c r="AB27" s="30" t="s">
        <v>151</v>
      </c>
      <c r="AC27" s="30" t="s">
        <v>151</v>
      </c>
      <c r="AD27" s="39">
        <v>2020</v>
      </c>
      <c r="AE27" s="30" t="s">
        <v>151</v>
      </c>
      <c r="AF27" s="35">
        <v>45595</v>
      </c>
      <c r="AG27" s="30" t="s">
        <v>151</v>
      </c>
      <c r="AH27" s="30" t="s">
        <v>151</v>
      </c>
      <c r="AI27" s="38" t="s">
        <v>151</v>
      </c>
      <c r="AJ27" s="32" t="s">
        <v>151</v>
      </c>
      <c r="AK27" s="38" t="s">
        <v>151</v>
      </c>
      <c r="AL27" s="38" t="s">
        <v>151</v>
      </c>
      <c r="AM27" s="38" t="s">
        <v>151</v>
      </c>
      <c r="AN27" s="38" t="s">
        <v>151</v>
      </c>
      <c r="AO27" s="38" t="s">
        <v>151</v>
      </c>
      <c r="AP27" s="38" t="s">
        <v>151</v>
      </c>
      <c r="AQ27" s="38" t="s">
        <v>151</v>
      </c>
      <c r="AR27" s="29" t="s">
        <v>151</v>
      </c>
      <c r="AS27" s="30" t="s">
        <v>677</v>
      </c>
      <c r="AT27" s="30" t="s">
        <v>678</v>
      </c>
      <c r="AU27" s="31">
        <v>6</v>
      </c>
      <c r="AV27" s="30" t="s">
        <v>151</v>
      </c>
      <c r="AW27" s="30" t="s">
        <v>151</v>
      </c>
      <c r="AX27" s="30" t="s">
        <v>151</v>
      </c>
      <c r="AY27" s="30" t="s">
        <v>679</v>
      </c>
      <c r="AZ27" s="30" t="s">
        <v>151</v>
      </c>
      <c r="BA27" s="30" t="s">
        <v>151</v>
      </c>
      <c r="BB27" s="30" t="s">
        <v>680</v>
      </c>
      <c r="BC27" s="30" t="s">
        <v>151</v>
      </c>
      <c r="BD27" s="30" t="s">
        <v>681</v>
      </c>
      <c r="BE27" s="30" t="s">
        <v>682</v>
      </c>
      <c r="BF27" s="30" t="s">
        <v>221</v>
      </c>
      <c r="BG27" s="30" t="s">
        <v>683</v>
      </c>
      <c r="BH27" s="30" t="s">
        <v>684</v>
      </c>
      <c r="BI27" s="30" t="s">
        <v>285</v>
      </c>
      <c r="BJ27" s="30" t="s">
        <v>685</v>
      </c>
      <c r="BK27" s="30" t="s">
        <v>686</v>
      </c>
      <c r="BL27" s="30" t="s">
        <v>288</v>
      </c>
      <c r="BM27" s="30" t="s">
        <v>289</v>
      </c>
      <c r="BN27" s="29" t="s">
        <v>608</v>
      </c>
      <c r="BO27" s="30" t="s">
        <v>186</v>
      </c>
      <c r="BP27" s="29" t="s">
        <v>684</v>
      </c>
      <c r="BQ27" s="29" t="s">
        <v>151</v>
      </c>
      <c r="BR27" s="30" t="s">
        <v>687</v>
      </c>
      <c r="BS27" s="30" t="s">
        <v>187</v>
      </c>
      <c r="BT27" s="30" t="s">
        <v>188</v>
      </c>
      <c r="BU27" s="35">
        <v>44484</v>
      </c>
      <c r="BV27" s="37">
        <v>2</v>
      </c>
      <c r="BW27" s="30" t="s">
        <v>192</v>
      </c>
      <c r="BX27" s="37">
        <v>20</v>
      </c>
      <c r="BY27" s="30" t="s">
        <v>192</v>
      </c>
      <c r="BZ27" s="30" t="s">
        <v>293</v>
      </c>
      <c r="CA27" s="30" t="s">
        <v>293</v>
      </c>
      <c r="CB27" s="30" t="s">
        <v>151</v>
      </c>
      <c r="CC27" s="30" t="s">
        <v>165</v>
      </c>
      <c r="CD27" s="30" t="s">
        <v>151</v>
      </c>
      <c r="CE27" s="30" t="s">
        <v>191</v>
      </c>
      <c r="CF27" s="35">
        <v>45108</v>
      </c>
      <c r="CG27" s="37" t="s">
        <v>151</v>
      </c>
      <c r="CH27" s="30" t="s">
        <v>151</v>
      </c>
      <c r="CI27" s="37" t="s">
        <v>151</v>
      </c>
      <c r="CJ27" s="30" t="s">
        <v>151</v>
      </c>
      <c r="CK27" s="29" t="s">
        <v>151</v>
      </c>
      <c r="CL27" s="30" t="s">
        <v>231</v>
      </c>
      <c r="CM27" s="30" t="s">
        <v>151</v>
      </c>
      <c r="CN27" s="30" t="s">
        <v>151</v>
      </c>
      <c r="CO27" s="30" t="s">
        <v>165</v>
      </c>
      <c r="CP27" s="35">
        <v>45108</v>
      </c>
      <c r="CQ27" s="37" t="s">
        <v>151</v>
      </c>
      <c r="CR27" s="30" t="s">
        <v>151</v>
      </c>
      <c r="CS27" s="30" t="s">
        <v>191</v>
      </c>
      <c r="CT27" s="29">
        <v>34</v>
      </c>
      <c r="CU27" s="30" t="s">
        <v>263</v>
      </c>
      <c r="CV27" s="32">
        <v>34</v>
      </c>
      <c r="CW27" s="32">
        <v>66</v>
      </c>
      <c r="CX27" s="30" t="s">
        <v>263</v>
      </c>
      <c r="CY27" s="32">
        <v>2</v>
      </c>
      <c r="CZ27" s="32">
        <v>32</v>
      </c>
      <c r="DA27" s="37">
        <v>20</v>
      </c>
      <c r="DB27" s="35">
        <v>44484</v>
      </c>
      <c r="DC27" s="30" t="s">
        <v>293</v>
      </c>
      <c r="DD27" s="29" t="s">
        <v>151</v>
      </c>
      <c r="DE27" s="32">
        <v>1.79</v>
      </c>
      <c r="DF27" s="34">
        <v>98</v>
      </c>
      <c r="DG27" s="32">
        <v>0</v>
      </c>
      <c r="DH27" s="32">
        <v>0</v>
      </c>
      <c r="DI27" s="32" t="s">
        <v>151</v>
      </c>
      <c r="DJ27" s="34" t="s">
        <v>151</v>
      </c>
      <c r="DK27" s="32" t="s">
        <v>151</v>
      </c>
      <c r="DL27" s="34" t="s">
        <v>151</v>
      </c>
      <c r="DM27" s="32" t="s">
        <v>151</v>
      </c>
      <c r="DN27" s="34" t="s">
        <v>151</v>
      </c>
      <c r="DO27" s="36">
        <v>0.62</v>
      </c>
      <c r="DP27" s="34">
        <v>38</v>
      </c>
      <c r="DQ27" s="36">
        <v>0</v>
      </c>
      <c r="DR27" s="32">
        <v>0</v>
      </c>
      <c r="DS27" s="36" t="s">
        <v>151</v>
      </c>
      <c r="DT27" s="34" t="s">
        <v>151</v>
      </c>
      <c r="DU27" s="36" t="s">
        <v>151</v>
      </c>
      <c r="DV27" s="34" t="s">
        <v>151</v>
      </c>
      <c r="DW27" s="36" t="s">
        <v>151</v>
      </c>
      <c r="DX27" s="34" t="s">
        <v>151</v>
      </c>
      <c r="DY27" s="31" t="s">
        <v>151</v>
      </c>
      <c r="DZ27" s="35" t="s">
        <v>151</v>
      </c>
      <c r="EA27" s="35" t="s">
        <v>151</v>
      </c>
      <c r="EB27" s="34">
        <v>256</v>
      </c>
      <c r="EC27" s="33">
        <v>-14</v>
      </c>
      <c r="ED27" s="32">
        <v>-5.19</v>
      </c>
      <c r="EE27" s="34" t="s">
        <v>151</v>
      </c>
      <c r="EF27" s="33" t="s">
        <v>151</v>
      </c>
      <c r="EG27" s="32" t="s">
        <v>151</v>
      </c>
      <c r="EH27" s="29" t="s">
        <v>198</v>
      </c>
      <c r="EI27" s="30" t="s">
        <v>151</v>
      </c>
      <c r="EJ27" s="30" t="s">
        <v>151</v>
      </c>
      <c r="EK27" s="31">
        <v>4</v>
      </c>
      <c r="EL27" s="31">
        <v>8</v>
      </c>
      <c r="EM27" s="31">
        <v>2</v>
      </c>
      <c r="EN27" s="31" t="s">
        <v>151</v>
      </c>
      <c r="EO27" s="31" t="s">
        <v>151</v>
      </c>
      <c r="EP27" s="30" t="s">
        <v>688</v>
      </c>
      <c r="EQ27" s="29" t="s">
        <v>151</v>
      </c>
      <c r="ER27" s="29" t="s">
        <v>151</v>
      </c>
      <c r="ES27" s="4">
        <f>HYPERLINK("https://my.pitchbook.com?c=493999-21","View Company Online")</f>
      </c>
    </row>
    <row r="28">
      <c r="A28" s="17" t="s">
        <v>689</v>
      </c>
      <c r="B28" s="17" t="s">
        <v>690</v>
      </c>
      <c r="C28" s="18">
        <v>10</v>
      </c>
      <c r="D28" s="17" t="s">
        <v>691</v>
      </c>
      <c r="E28" s="17" t="s">
        <v>151</v>
      </c>
      <c r="F28" s="17" t="s">
        <v>692</v>
      </c>
      <c r="G28" s="17" t="s">
        <v>151</v>
      </c>
      <c r="H28" s="17" t="s">
        <v>151</v>
      </c>
      <c r="I28" s="17" t="s">
        <v>151</v>
      </c>
      <c r="J28" s="17" t="s">
        <v>689</v>
      </c>
      <c r="K28" s="17" t="s">
        <v>693</v>
      </c>
      <c r="L28" s="17" t="s">
        <v>205</v>
      </c>
      <c r="M28" s="17" t="s">
        <v>206</v>
      </c>
      <c r="N28" s="17" t="s">
        <v>694</v>
      </c>
      <c r="O28" s="17" t="s">
        <v>695</v>
      </c>
      <c r="P28" s="17" t="s">
        <v>696</v>
      </c>
      <c r="Q28" s="17" t="s">
        <v>697</v>
      </c>
      <c r="R28" s="17" t="s">
        <v>151</v>
      </c>
      <c r="S28" s="17" t="s">
        <v>162</v>
      </c>
      <c r="T28" s="24">
        <v>19.96</v>
      </c>
      <c r="U28" s="17" t="s">
        <v>163</v>
      </c>
      <c r="V28" s="17" t="s">
        <v>164</v>
      </c>
      <c r="W28" s="17" t="s">
        <v>165</v>
      </c>
      <c r="X28" s="15" t="s">
        <v>698</v>
      </c>
      <c r="Y28" s="15" t="s">
        <v>699</v>
      </c>
      <c r="Z28" s="27">
        <v>80</v>
      </c>
      <c r="AA28" s="17" t="s">
        <v>700</v>
      </c>
      <c r="AB28" s="17" t="s">
        <v>151</v>
      </c>
      <c r="AC28" s="17" t="s">
        <v>151</v>
      </c>
      <c r="AD28" s="26">
        <v>2018</v>
      </c>
      <c r="AE28" s="17" t="s">
        <v>151</v>
      </c>
      <c r="AF28" s="22">
        <v>45596</v>
      </c>
      <c r="AG28" s="17" t="s">
        <v>151</v>
      </c>
      <c r="AH28" s="17" t="s">
        <v>151</v>
      </c>
      <c r="AI28" s="25" t="s">
        <v>151</v>
      </c>
      <c r="AJ28" s="19" t="s">
        <v>151</v>
      </c>
      <c r="AK28" s="25" t="s">
        <v>151</v>
      </c>
      <c r="AL28" s="25" t="s">
        <v>151</v>
      </c>
      <c r="AM28" s="25" t="s">
        <v>151</v>
      </c>
      <c r="AN28" s="25" t="s">
        <v>151</v>
      </c>
      <c r="AO28" s="25" t="s">
        <v>151</v>
      </c>
      <c r="AP28" s="25" t="s">
        <v>151</v>
      </c>
      <c r="AQ28" s="25" t="s">
        <v>151</v>
      </c>
      <c r="AR28" s="16" t="s">
        <v>151</v>
      </c>
      <c r="AS28" s="17" t="s">
        <v>701</v>
      </c>
      <c r="AT28" s="17" t="s">
        <v>702</v>
      </c>
      <c r="AU28" s="18">
        <v>12</v>
      </c>
      <c r="AV28" s="17" t="s">
        <v>151</v>
      </c>
      <c r="AW28" s="17" t="s">
        <v>151</v>
      </c>
      <c r="AX28" s="17" t="s">
        <v>151</v>
      </c>
      <c r="AY28" s="17" t="s">
        <v>703</v>
      </c>
      <c r="AZ28" s="17" t="s">
        <v>151</v>
      </c>
      <c r="BA28" s="17" t="s">
        <v>151</v>
      </c>
      <c r="BB28" s="17" t="s">
        <v>151</v>
      </c>
      <c r="BC28" s="17" t="s">
        <v>151</v>
      </c>
      <c r="BD28" s="17" t="s">
        <v>704</v>
      </c>
      <c r="BE28" s="17" t="s">
        <v>705</v>
      </c>
      <c r="BF28" s="17" t="s">
        <v>221</v>
      </c>
      <c r="BG28" s="17" t="s">
        <v>151</v>
      </c>
      <c r="BH28" s="17" t="s">
        <v>706</v>
      </c>
      <c r="BI28" s="17" t="s">
        <v>707</v>
      </c>
      <c r="BJ28" s="17" t="s">
        <v>708</v>
      </c>
      <c r="BK28" s="17" t="s">
        <v>151</v>
      </c>
      <c r="BL28" s="17" t="s">
        <v>709</v>
      </c>
      <c r="BM28" s="17" t="s">
        <v>184</v>
      </c>
      <c r="BN28" s="16" t="s">
        <v>710</v>
      </c>
      <c r="BO28" s="17" t="s">
        <v>186</v>
      </c>
      <c r="BP28" s="16" t="s">
        <v>711</v>
      </c>
      <c r="BQ28" s="16" t="s">
        <v>151</v>
      </c>
      <c r="BR28" s="17" t="s">
        <v>712</v>
      </c>
      <c r="BS28" s="17" t="s">
        <v>187</v>
      </c>
      <c r="BT28" s="17" t="s">
        <v>188</v>
      </c>
      <c r="BU28" s="22">
        <v>43966</v>
      </c>
      <c r="BV28" s="24">
        <v>19.96</v>
      </c>
      <c r="BW28" s="17" t="s">
        <v>192</v>
      </c>
      <c r="BX28" s="24">
        <v>59.96</v>
      </c>
      <c r="BY28" s="17" t="s">
        <v>192</v>
      </c>
      <c r="BZ28" s="17" t="s">
        <v>293</v>
      </c>
      <c r="CA28" s="17" t="s">
        <v>293</v>
      </c>
      <c r="CB28" s="17" t="s">
        <v>151</v>
      </c>
      <c r="CC28" s="17" t="s">
        <v>165</v>
      </c>
      <c r="CD28" s="17" t="s">
        <v>151</v>
      </c>
      <c r="CE28" s="17" t="s">
        <v>191</v>
      </c>
      <c r="CF28" s="22" t="s">
        <v>151</v>
      </c>
      <c r="CG28" s="24" t="s">
        <v>151</v>
      </c>
      <c r="CH28" s="17" t="s">
        <v>151</v>
      </c>
      <c r="CI28" s="24" t="s">
        <v>151</v>
      </c>
      <c r="CJ28" s="17" t="s">
        <v>151</v>
      </c>
      <c r="CK28" s="16" t="s">
        <v>151</v>
      </c>
      <c r="CL28" s="17" t="s">
        <v>189</v>
      </c>
      <c r="CM28" s="17" t="s">
        <v>151</v>
      </c>
      <c r="CN28" s="17" t="s">
        <v>151</v>
      </c>
      <c r="CO28" s="17" t="s">
        <v>190</v>
      </c>
      <c r="CP28" s="22" t="s">
        <v>151</v>
      </c>
      <c r="CQ28" s="24" t="s">
        <v>151</v>
      </c>
      <c r="CR28" s="17" t="s">
        <v>151</v>
      </c>
      <c r="CS28" s="17" t="s">
        <v>191</v>
      </c>
      <c r="CT28" s="16" t="s">
        <v>151</v>
      </c>
      <c r="CU28" s="17" t="s">
        <v>151</v>
      </c>
      <c r="CV28" s="19" t="s">
        <v>151</v>
      </c>
      <c r="CW28" s="19" t="s">
        <v>151</v>
      </c>
      <c r="CX28" s="17" t="s">
        <v>151</v>
      </c>
      <c r="CY28" s="19" t="s">
        <v>151</v>
      </c>
      <c r="CZ28" s="19" t="s">
        <v>151</v>
      </c>
      <c r="DA28" s="24">
        <v>59.96</v>
      </c>
      <c r="DB28" s="22">
        <v>43966</v>
      </c>
      <c r="DC28" s="17" t="s">
        <v>293</v>
      </c>
      <c r="DD28" s="16" t="s">
        <v>151</v>
      </c>
      <c r="DE28" s="19">
        <v>-3.86</v>
      </c>
      <c r="DF28" s="21">
        <v>1</v>
      </c>
      <c r="DG28" s="19">
        <v>-0.01</v>
      </c>
      <c r="DH28" s="19">
        <v>-0.2</v>
      </c>
      <c r="DI28" s="19">
        <v>-7.89</v>
      </c>
      <c r="DJ28" s="21">
        <v>1</v>
      </c>
      <c r="DK28" s="19">
        <v>-7.89</v>
      </c>
      <c r="DL28" s="21">
        <v>1</v>
      </c>
      <c r="DM28" s="19" t="s">
        <v>151</v>
      </c>
      <c r="DN28" s="21" t="s">
        <v>151</v>
      </c>
      <c r="DO28" s="23">
        <v>20.88</v>
      </c>
      <c r="DP28" s="21">
        <v>95</v>
      </c>
      <c r="DQ28" s="23">
        <v>0.02</v>
      </c>
      <c r="DR28" s="19">
        <v>0.08</v>
      </c>
      <c r="DS28" s="23">
        <v>12.17</v>
      </c>
      <c r="DT28" s="21">
        <v>92</v>
      </c>
      <c r="DU28" s="23">
        <v>12.17</v>
      </c>
      <c r="DV28" s="21">
        <v>88</v>
      </c>
      <c r="DW28" s="23" t="s">
        <v>151</v>
      </c>
      <c r="DX28" s="21" t="s">
        <v>151</v>
      </c>
      <c r="DY28" s="18" t="s">
        <v>151</v>
      </c>
      <c r="DZ28" s="22" t="s">
        <v>151</v>
      </c>
      <c r="EA28" s="22" t="s">
        <v>151</v>
      </c>
      <c r="EB28" s="21">
        <v>2693</v>
      </c>
      <c r="EC28" s="20">
        <v>-558</v>
      </c>
      <c r="ED28" s="19">
        <v>-17.16</v>
      </c>
      <c r="EE28" s="21" t="s">
        <v>151</v>
      </c>
      <c r="EF28" s="20" t="s">
        <v>151</v>
      </c>
      <c r="EG28" s="19" t="s">
        <v>151</v>
      </c>
      <c r="EH28" s="16" t="s">
        <v>198</v>
      </c>
      <c r="EI28" s="17" t="s">
        <v>151</v>
      </c>
      <c r="EJ28" s="17" t="s">
        <v>151</v>
      </c>
      <c r="EK28" s="18">
        <v>2</v>
      </c>
      <c r="EL28" s="18">
        <v>4</v>
      </c>
      <c r="EM28" s="18" t="s">
        <v>151</v>
      </c>
      <c r="EN28" s="18" t="s">
        <v>151</v>
      </c>
      <c r="EO28" s="18">
        <v>6</v>
      </c>
      <c r="EP28" s="17" t="s">
        <v>713</v>
      </c>
      <c r="EQ28" s="16" t="s">
        <v>151</v>
      </c>
      <c r="ER28" s="16" t="s">
        <v>151</v>
      </c>
      <c r="ES28" s="3">
        <f>HYPERLINK("https://my.pitchbook.com?c=433891-63","View Company Online")</f>
      </c>
    </row>
    <row r="29">
      <c r="A29" s="30" t="s">
        <v>714</v>
      </c>
      <c r="B29" s="30" t="s">
        <v>715</v>
      </c>
      <c r="C29" s="31">
        <v>9</v>
      </c>
      <c r="D29" s="30" t="s">
        <v>716</v>
      </c>
      <c r="E29" s="30" t="s">
        <v>151</v>
      </c>
      <c r="F29" s="30" t="s">
        <v>717</v>
      </c>
      <c r="G29" s="30" t="s">
        <v>151</v>
      </c>
      <c r="H29" s="30" t="s">
        <v>151</v>
      </c>
      <c r="I29" s="30" t="s">
        <v>718</v>
      </c>
      <c r="J29" s="30" t="s">
        <v>714</v>
      </c>
      <c r="K29" s="30" t="s">
        <v>719</v>
      </c>
      <c r="L29" s="30" t="s">
        <v>205</v>
      </c>
      <c r="M29" s="30" t="s">
        <v>206</v>
      </c>
      <c r="N29" s="30" t="s">
        <v>269</v>
      </c>
      <c r="O29" s="30" t="s">
        <v>720</v>
      </c>
      <c r="P29" s="30" t="s">
        <v>721</v>
      </c>
      <c r="Q29" s="30" t="s">
        <v>722</v>
      </c>
      <c r="R29" s="30" t="s">
        <v>151</v>
      </c>
      <c r="S29" s="30" t="s">
        <v>162</v>
      </c>
      <c r="T29" s="37">
        <v>12.39</v>
      </c>
      <c r="U29" s="30" t="s">
        <v>163</v>
      </c>
      <c r="V29" s="30" t="s">
        <v>164</v>
      </c>
      <c r="W29" s="30" t="s">
        <v>165</v>
      </c>
      <c r="X29" s="28" t="s">
        <v>723</v>
      </c>
      <c r="Y29" s="28" t="s">
        <v>724</v>
      </c>
      <c r="Z29" s="40">
        <v>34</v>
      </c>
      <c r="AA29" s="30" t="s">
        <v>725</v>
      </c>
      <c r="AB29" s="30" t="s">
        <v>151</v>
      </c>
      <c r="AC29" s="30" t="s">
        <v>151</v>
      </c>
      <c r="AD29" s="39">
        <v>2014</v>
      </c>
      <c r="AE29" s="30" t="s">
        <v>151</v>
      </c>
      <c r="AF29" s="35">
        <v>45390</v>
      </c>
      <c r="AG29" s="30" t="s">
        <v>151</v>
      </c>
      <c r="AH29" s="30" t="s">
        <v>151</v>
      </c>
      <c r="AI29" s="38" t="s">
        <v>151</v>
      </c>
      <c r="AJ29" s="32" t="s">
        <v>151</v>
      </c>
      <c r="AK29" s="38" t="s">
        <v>151</v>
      </c>
      <c r="AL29" s="38" t="s">
        <v>151</v>
      </c>
      <c r="AM29" s="38" t="s">
        <v>151</v>
      </c>
      <c r="AN29" s="38" t="s">
        <v>151</v>
      </c>
      <c r="AO29" s="38" t="s">
        <v>151</v>
      </c>
      <c r="AP29" s="38" t="s">
        <v>151</v>
      </c>
      <c r="AQ29" s="38" t="s">
        <v>151</v>
      </c>
      <c r="AR29" s="29" t="s">
        <v>151</v>
      </c>
      <c r="AS29" s="30" t="s">
        <v>726</v>
      </c>
      <c r="AT29" s="30" t="s">
        <v>727</v>
      </c>
      <c r="AU29" s="31">
        <v>10</v>
      </c>
      <c r="AV29" s="30" t="s">
        <v>151</v>
      </c>
      <c r="AW29" s="30" t="s">
        <v>151</v>
      </c>
      <c r="AX29" s="30" t="s">
        <v>151</v>
      </c>
      <c r="AY29" s="30" t="s">
        <v>728</v>
      </c>
      <c r="AZ29" s="30" t="s">
        <v>151</v>
      </c>
      <c r="BA29" s="30" t="s">
        <v>151</v>
      </c>
      <c r="BB29" s="30" t="s">
        <v>151</v>
      </c>
      <c r="BC29" s="30" t="s">
        <v>151</v>
      </c>
      <c r="BD29" s="30" t="s">
        <v>729</v>
      </c>
      <c r="BE29" s="30" t="s">
        <v>730</v>
      </c>
      <c r="BF29" s="30" t="s">
        <v>731</v>
      </c>
      <c r="BG29" s="30" t="s">
        <v>732</v>
      </c>
      <c r="BH29" s="30" t="s">
        <v>733</v>
      </c>
      <c r="BI29" s="30" t="s">
        <v>734</v>
      </c>
      <c r="BJ29" s="30" t="s">
        <v>735</v>
      </c>
      <c r="BK29" s="30" t="s">
        <v>736</v>
      </c>
      <c r="BL29" s="30" t="s">
        <v>737</v>
      </c>
      <c r="BM29" s="30" t="s">
        <v>184</v>
      </c>
      <c r="BN29" s="29" t="s">
        <v>738</v>
      </c>
      <c r="BO29" s="30" t="s">
        <v>186</v>
      </c>
      <c r="BP29" s="29" t="s">
        <v>739</v>
      </c>
      <c r="BQ29" s="29" t="s">
        <v>151</v>
      </c>
      <c r="BR29" s="30" t="s">
        <v>740</v>
      </c>
      <c r="BS29" s="30" t="s">
        <v>187</v>
      </c>
      <c r="BT29" s="30" t="s">
        <v>188</v>
      </c>
      <c r="BU29" s="35">
        <v>41640</v>
      </c>
      <c r="BV29" s="37">
        <v>0.01</v>
      </c>
      <c r="BW29" s="30" t="s">
        <v>192</v>
      </c>
      <c r="BX29" s="37" t="s">
        <v>151</v>
      </c>
      <c r="BY29" s="30" t="s">
        <v>151</v>
      </c>
      <c r="BZ29" s="30" t="s">
        <v>189</v>
      </c>
      <c r="CA29" s="30" t="s">
        <v>151</v>
      </c>
      <c r="CB29" s="30" t="s">
        <v>151</v>
      </c>
      <c r="CC29" s="30" t="s">
        <v>190</v>
      </c>
      <c r="CD29" s="30" t="s">
        <v>151</v>
      </c>
      <c r="CE29" s="30" t="s">
        <v>191</v>
      </c>
      <c r="CF29" s="35">
        <v>45363</v>
      </c>
      <c r="CG29" s="37">
        <v>12.38</v>
      </c>
      <c r="CH29" s="30" t="s">
        <v>192</v>
      </c>
      <c r="CI29" s="37">
        <v>115.23</v>
      </c>
      <c r="CJ29" s="30" t="s">
        <v>192</v>
      </c>
      <c r="CK29" s="29" t="s">
        <v>151</v>
      </c>
      <c r="CL29" s="30" t="s">
        <v>293</v>
      </c>
      <c r="CM29" s="30" t="s">
        <v>293</v>
      </c>
      <c r="CN29" s="30" t="s">
        <v>151</v>
      </c>
      <c r="CO29" s="30" t="s">
        <v>165</v>
      </c>
      <c r="CP29" s="35">
        <v>45363</v>
      </c>
      <c r="CQ29" s="37" t="s">
        <v>151</v>
      </c>
      <c r="CR29" s="30" t="s">
        <v>151</v>
      </c>
      <c r="CS29" s="30" t="s">
        <v>191</v>
      </c>
      <c r="CT29" s="29" t="s">
        <v>151</v>
      </c>
      <c r="CU29" s="30" t="s">
        <v>151</v>
      </c>
      <c r="CV29" s="32" t="s">
        <v>151</v>
      </c>
      <c r="CW29" s="32" t="s">
        <v>151</v>
      </c>
      <c r="CX29" s="30" t="s">
        <v>151</v>
      </c>
      <c r="CY29" s="32" t="s">
        <v>151</v>
      </c>
      <c r="CZ29" s="32" t="s">
        <v>151</v>
      </c>
      <c r="DA29" s="37">
        <v>115.23</v>
      </c>
      <c r="DB29" s="35">
        <v>45363</v>
      </c>
      <c r="DC29" s="30" t="s">
        <v>293</v>
      </c>
      <c r="DD29" s="29" t="s">
        <v>151</v>
      </c>
      <c r="DE29" s="32">
        <v>-0.62</v>
      </c>
      <c r="DF29" s="34">
        <v>6</v>
      </c>
      <c r="DG29" s="32">
        <v>0</v>
      </c>
      <c r="DH29" s="32">
        <v>0</v>
      </c>
      <c r="DI29" s="32">
        <v>-1.24</v>
      </c>
      <c r="DJ29" s="34">
        <v>3</v>
      </c>
      <c r="DK29" s="32" t="s">
        <v>151</v>
      </c>
      <c r="DL29" s="34" t="s">
        <v>151</v>
      </c>
      <c r="DM29" s="32">
        <v>-1.24</v>
      </c>
      <c r="DN29" s="34">
        <v>3</v>
      </c>
      <c r="DO29" s="36">
        <v>5.57</v>
      </c>
      <c r="DP29" s="34">
        <v>84</v>
      </c>
      <c r="DQ29" s="36">
        <v>0</v>
      </c>
      <c r="DR29" s="32">
        <v>0</v>
      </c>
      <c r="DS29" s="36">
        <v>8.53</v>
      </c>
      <c r="DT29" s="34">
        <v>88</v>
      </c>
      <c r="DU29" s="36" t="s">
        <v>151</v>
      </c>
      <c r="DV29" s="34" t="s">
        <v>151</v>
      </c>
      <c r="DW29" s="36">
        <v>8.53</v>
      </c>
      <c r="DX29" s="34">
        <v>88</v>
      </c>
      <c r="DY29" s="31" t="s">
        <v>151</v>
      </c>
      <c r="DZ29" s="35" t="s">
        <v>151</v>
      </c>
      <c r="EA29" s="35" t="s">
        <v>151</v>
      </c>
      <c r="EB29" s="34" t="s">
        <v>151</v>
      </c>
      <c r="EC29" s="33" t="s">
        <v>151</v>
      </c>
      <c r="ED29" s="32" t="s">
        <v>151</v>
      </c>
      <c r="EE29" s="34">
        <v>162</v>
      </c>
      <c r="EF29" s="33">
        <v>-2</v>
      </c>
      <c r="EG29" s="32">
        <v>-1.22</v>
      </c>
      <c r="EH29" s="29" t="s">
        <v>198</v>
      </c>
      <c r="EI29" s="30" t="s">
        <v>151</v>
      </c>
      <c r="EJ29" s="30" t="s">
        <v>151</v>
      </c>
      <c r="EK29" s="31">
        <v>1</v>
      </c>
      <c r="EL29" s="31">
        <v>5</v>
      </c>
      <c r="EM29" s="31">
        <v>2</v>
      </c>
      <c r="EN29" s="31" t="s">
        <v>151</v>
      </c>
      <c r="EO29" s="31">
        <v>2</v>
      </c>
      <c r="EP29" s="30" t="s">
        <v>741</v>
      </c>
      <c r="EQ29" s="29" t="s">
        <v>151</v>
      </c>
      <c r="ER29" s="29" t="s">
        <v>151</v>
      </c>
      <c r="ES29" s="4">
        <f>HYPERLINK("https://my.pitchbook.com?c=148658-59","View Company Online")</f>
      </c>
    </row>
    <row r="30">
      <c r="A30" s="17" t="s">
        <v>742</v>
      </c>
      <c r="B30" s="17" t="s">
        <v>743</v>
      </c>
      <c r="C30" s="18">
        <v>9</v>
      </c>
      <c r="D30" s="17" t="s">
        <v>151</v>
      </c>
      <c r="E30" s="17" t="s">
        <v>151</v>
      </c>
      <c r="F30" s="17" t="s">
        <v>744</v>
      </c>
      <c r="G30" s="17" t="s">
        <v>151</v>
      </c>
      <c r="H30" s="17" t="s">
        <v>151</v>
      </c>
      <c r="I30" s="17" t="s">
        <v>745</v>
      </c>
      <c r="J30" s="17" t="s">
        <v>742</v>
      </c>
      <c r="K30" s="17" t="s">
        <v>746</v>
      </c>
      <c r="L30" s="17" t="s">
        <v>205</v>
      </c>
      <c r="M30" s="17" t="s">
        <v>206</v>
      </c>
      <c r="N30" s="17" t="s">
        <v>269</v>
      </c>
      <c r="O30" s="17" t="s">
        <v>747</v>
      </c>
      <c r="P30" s="17" t="s">
        <v>748</v>
      </c>
      <c r="Q30" s="17" t="s">
        <v>749</v>
      </c>
      <c r="R30" s="17" t="s">
        <v>750</v>
      </c>
      <c r="S30" s="17" t="s">
        <v>162</v>
      </c>
      <c r="T30" s="24">
        <v>50.2</v>
      </c>
      <c r="U30" s="17" t="s">
        <v>163</v>
      </c>
      <c r="V30" s="17" t="s">
        <v>164</v>
      </c>
      <c r="W30" s="17" t="s">
        <v>165</v>
      </c>
      <c r="X30" s="15" t="s">
        <v>751</v>
      </c>
      <c r="Y30" s="15" t="s">
        <v>752</v>
      </c>
      <c r="Z30" s="27">
        <v>92</v>
      </c>
      <c r="AA30" s="17" t="s">
        <v>753</v>
      </c>
      <c r="AB30" s="17" t="s">
        <v>151</v>
      </c>
      <c r="AC30" s="17" t="s">
        <v>151</v>
      </c>
      <c r="AD30" s="26">
        <v>2018</v>
      </c>
      <c r="AE30" s="17" t="s">
        <v>151</v>
      </c>
      <c r="AF30" s="22">
        <v>45603</v>
      </c>
      <c r="AG30" s="17" t="s">
        <v>151</v>
      </c>
      <c r="AH30" s="17" t="s">
        <v>151</v>
      </c>
      <c r="AI30" s="25" t="s">
        <v>151</v>
      </c>
      <c r="AJ30" s="19" t="s">
        <v>151</v>
      </c>
      <c r="AK30" s="25" t="s">
        <v>151</v>
      </c>
      <c r="AL30" s="25" t="s">
        <v>151</v>
      </c>
      <c r="AM30" s="25" t="s">
        <v>151</v>
      </c>
      <c r="AN30" s="25" t="s">
        <v>151</v>
      </c>
      <c r="AO30" s="25" t="s">
        <v>151</v>
      </c>
      <c r="AP30" s="25" t="s">
        <v>151</v>
      </c>
      <c r="AQ30" s="25" t="s">
        <v>151</v>
      </c>
      <c r="AR30" s="16" t="s">
        <v>151</v>
      </c>
      <c r="AS30" s="17" t="s">
        <v>754</v>
      </c>
      <c r="AT30" s="17" t="s">
        <v>755</v>
      </c>
      <c r="AU30" s="18">
        <v>27</v>
      </c>
      <c r="AV30" s="17" t="s">
        <v>151</v>
      </c>
      <c r="AW30" s="17" t="s">
        <v>756</v>
      </c>
      <c r="AX30" s="17" t="s">
        <v>151</v>
      </c>
      <c r="AY30" s="17" t="s">
        <v>757</v>
      </c>
      <c r="AZ30" s="17" t="s">
        <v>758</v>
      </c>
      <c r="BA30" s="17" t="s">
        <v>151</v>
      </c>
      <c r="BB30" s="17" t="s">
        <v>151</v>
      </c>
      <c r="BC30" s="17" t="s">
        <v>343</v>
      </c>
      <c r="BD30" s="17" t="s">
        <v>759</v>
      </c>
      <c r="BE30" s="17" t="s">
        <v>760</v>
      </c>
      <c r="BF30" s="17" t="s">
        <v>761</v>
      </c>
      <c r="BG30" s="17" t="s">
        <v>762</v>
      </c>
      <c r="BH30" s="17" t="s">
        <v>763</v>
      </c>
      <c r="BI30" s="17" t="s">
        <v>764</v>
      </c>
      <c r="BJ30" s="17" t="s">
        <v>765</v>
      </c>
      <c r="BK30" s="17" t="s">
        <v>766</v>
      </c>
      <c r="BL30" s="17" t="s">
        <v>767</v>
      </c>
      <c r="BM30" s="17" t="s">
        <v>184</v>
      </c>
      <c r="BN30" s="16" t="s">
        <v>768</v>
      </c>
      <c r="BO30" s="17" t="s">
        <v>186</v>
      </c>
      <c r="BP30" s="16" t="s">
        <v>763</v>
      </c>
      <c r="BQ30" s="16" t="s">
        <v>151</v>
      </c>
      <c r="BR30" s="17" t="s">
        <v>769</v>
      </c>
      <c r="BS30" s="17" t="s">
        <v>187</v>
      </c>
      <c r="BT30" s="17" t="s">
        <v>188</v>
      </c>
      <c r="BU30" s="22" t="s">
        <v>151</v>
      </c>
      <c r="BV30" s="24" t="s">
        <v>151</v>
      </c>
      <c r="BW30" s="17" t="s">
        <v>151</v>
      </c>
      <c r="BX30" s="24" t="s">
        <v>151</v>
      </c>
      <c r="BY30" s="17" t="s">
        <v>151</v>
      </c>
      <c r="BZ30" s="17" t="s">
        <v>189</v>
      </c>
      <c r="CA30" s="17" t="s">
        <v>151</v>
      </c>
      <c r="CB30" s="17" t="s">
        <v>151</v>
      </c>
      <c r="CC30" s="17" t="s">
        <v>190</v>
      </c>
      <c r="CD30" s="17" t="s">
        <v>151</v>
      </c>
      <c r="CE30" s="17" t="s">
        <v>191</v>
      </c>
      <c r="CF30" s="22">
        <v>44880</v>
      </c>
      <c r="CG30" s="24">
        <v>35</v>
      </c>
      <c r="CH30" s="17" t="s">
        <v>192</v>
      </c>
      <c r="CI30" s="24">
        <v>235</v>
      </c>
      <c r="CJ30" s="17" t="s">
        <v>192</v>
      </c>
      <c r="CK30" s="16">
        <v>3.08</v>
      </c>
      <c r="CL30" s="17" t="s">
        <v>231</v>
      </c>
      <c r="CM30" s="17" t="s">
        <v>326</v>
      </c>
      <c r="CN30" s="17" t="s">
        <v>151</v>
      </c>
      <c r="CO30" s="17" t="s">
        <v>165</v>
      </c>
      <c r="CP30" s="22">
        <v>44880</v>
      </c>
      <c r="CQ30" s="24" t="s">
        <v>151</v>
      </c>
      <c r="CR30" s="17" t="s">
        <v>151</v>
      </c>
      <c r="CS30" s="17" t="s">
        <v>191</v>
      </c>
      <c r="CT30" s="16">
        <v>81</v>
      </c>
      <c r="CU30" s="17" t="s">
        <v>196</v>
      </c>
      <c r="CV30" s="19">
        <v>90</v>
      </c>
      <c r="CW30" s="19">
        <v>10</v>
      </c>
      <c r="CX30" s="17" t="s">
        <v>294</v>
      </c>
      <c r="CY30" s="19">
        <v>2</v>
      </c>
      <c r="CZ30" s="19">
        <v>88</v>
      </c>
      <c r="DA30" s="24">
        <v>235</v>
      </c>
      <c r="DB30" s="22">
        <v>44880</v>
      </c>
      <c r="DC30" s="17" t="s">
        <v>231</v>
      </c>
      <c r="DD30" s="16">
        <v>3.08</v>
      </c>
      <c r="DE30" s="19">
        <v>1.3</v>
      </c>
      <c r="DF30" s="21">
        <v>97</v>
      </c>
      <c r="DG30" s="19">
        <v>0</v>
      </c>
      <c r="DH30" s="19">
        <v>0</v>
      </c>
      <c r="DI30" s="19">
        <v>2.47</v>
      </c>
      <c r="DJ30" s="21">
        <v>99</v>
      </c>
      <c r="DK30" s="19" t="s">
        <v>151</v>
      </c>
      <c r="DL30" s="21" t="s">
        <v>151</v>
      </c>
      <c r="DM30" s="19">
        <v>2.47</v>
      </c>
      <c r="DN30" s="21">
        <v>99</v>
      </c>
      <c r="DO30" s="23">
        <v>12.54</v>
      </c>
      <c r="DP30" s="21">
        <v>92</v>
      </c>
      <c r="DQ30" s="23">
        <v>0</v>
      </c>
      <c r="DR30" s="19">
        <v>0</v>
      </c>
      <c r="DS30" s="23">
        <v>17.84</v>
      </c>
      <c r="DT30" s="21">
        <v>94</v>
      </c>
      <c r="DU30" s="23" t="s">
        <v>151</v>
      </c>
      <c r="DV30" s="21" t="s">
        <v>151</v>
      </c>
      <c r="DW30" s="23">
        <v>17.84</v>
      </c>
      <c r="DX30" s="21">
        <v>94</v>
      </c>
      <c r="DY30" s="18" t="s">
        <v>151</v>
      </c>
      <c r="DZ30" s="22" t="s">
        <v>151</v>
      </c>
      <c r="EA30" s="22" t="s">
        <v>151</v>
      </c>
      <c r="EB30" s="21">
        <v>3653</v>
      </c>
      <c r="EC30" s="20">
        <v>-813</v>
      </c>
      <c r="ED30" s="19">
        <v>-18.2</v>
      </c>
      <c r="EE30" s="21">
        <v>339</v>
      </c>
      <c r="EF30" s="20">
        <v>4</v>
      </c>
      <c r="EG30" s="19">
        <v>1.19</v>
      </c>
      <c r="EH30" s="16" t="s">
        <v>198</v>
      </c>
      <c r="EI30" s="17" t="s">
        <v>151</v>
      </c>
      <c r="EJ30" s="17" t="s">
        <v>151</v>
      </c>
      <c r="EK30" s="18">
        <v>2</v>
      </c>
      <c r="EL30" s="18">
        <v>6</v>
      </c>
      <c r="EM30" s="18">
        <v>3</v>
      </c>
      <c r="EN30" s="18" t="s">
        <v>151</v>
      </c>
      <c r="EO30" s="18" t="s">
        <v>151</v>
      </c>
      <c r="EP30" s="17" t="s">
        <v>770</v>
      </c>
      <c r="EQ30" s="16" t="s">
        <v>151</v>
      </c>
      <c r="ER30" s="16" t="s">
        <v>151</v>
      </c>
      <c r="ES30" s="3">
        <f>HYPERLINK("https://my.pitchbook.com?c=277194-97","View Company Online")</f>
      </c>
    </row>
    <row r="31">
      <c r="A31" s="30" t="s">
        <v>771</v>
      </c>
      <c r="B31" s="30" t="s">
        <v>772</v>
      </c>
      <c r="C31" s="31">
        <v>8</v>
      </c>
      <c r="D31" s="30" t="s">
        <v>151</v>
      </c>
      <c r="E31" s="30" t="s">
        <v>151</v>
      </c>
      <c r="F31" s="30" t="s">
        <v>773</v>
      </c>
      <c r="G31" s="30" t="s">
        <v>151</v>
      </c>
      <c r="H31" s="30" t="s">
        <v>151</v>
      </c>
      <c r="I31" s="30" t="s">
        <v>774</v>
      </c>
      <c r="J31" s="30" t="s">
        <v>771</v>
      </c>
      <c r="K31" s="30" t="s">
        <v>775</v>
      </c>
      <c r="L31" s="30" t="s">
        <v>205</v>
      </c>
      <c r="M31" s="30" t="s">
        <v>206</v>
      </c>
      <c r="N31" s="30" t="s">
        <v>776</v>
      </c>
      <c r="O31" s="30" t="s">
        <v>777</v>
      </c>
      <c r="P31" s="30" t="s">
        <v>778</v>
      </c>
      <c r="Q31" s="30" t="s">
        <v>779</v>
      </c>
      <c r="R31" s="30" t="s">
        <v>780</v>
      </c>
      <c r="S31" s="30" t="s">
        <v>162</v>
      </c>
      <c r="T31" s="37">
        <v>4.7</v>
      </c>
      <c r="U31" s="30" t="s">
        <v>163</v>
      </c>
      <c r="V31" s="30" t="s">
        <v>164</v>
      </c>
      <c r="W31" s="30" t="s">
        <v>165</v>
      </c>
      <c r="X31" s="28" t="s">
        <v>781</v>
      </c>
      <c r="Y31" s="28" t="s">
        <v>782</v>
      </c>
      <c r="Z31" s="40">
        <v>14</v>
      </c>
      <c r="AA31" s="30" t="s">
        <v>783</v>
      </c>
      <c r="AB31" s="30" t="s">
        <v>151</v>
      </c>
      <c r="AC31" s="30" t="s">
        <v>151</v>
      </c>
      <c r="AD31" s="39">
        <v>2020</v>
      </c>
      <c r="AE31" s="30" t="s">
        <v>151</v>
      </c>
      <c r="AF31" s="35">
        <v>45596</v>
      </c>
      <c r="AG31" s="30" t="s">
        <v>151</v>
      </c>
      <c r="AH31" s="30" t="s">
        <v>151</v>
      </c>
      <c r="AI31" s="38" t="s">
        <v>151</v>
      </c>
      <c r="AJ31" s="32" t="s">
        <v>151</v>
      </c>
      <c r="AK31" s="38" t="s">
        <v>151</v>
      </c>
      <c r="AL31" s="38" t="s">
        <v>151</v>
      </c>
      <c r="AM31" s="38" t="s">
        <v>151</v>
      </c>
      <c r="AN31" s="38" t="s">
        <v>151</v>
      </c>
      <c r="AO31" s="38" t="s">
        <v>151</v>
      </c>
      <c r="AP31" s="38" t="s">
        <v>151</v>
      </c>
      <c r="AQ31" s="38" t="s">
        <v>151</v>
      </c>
      <c r="AR31" s="29" t="s">
        <v>151</v>
      </c>
      <c r="AS31" s="30" t="s">
        <v>784</v>
      </c>
      <c r="AT31" s="30" t="s">
        <v>785</v>
      </c>
      <c r="AU31" s="31">
        <v>29</v>
      </c>
      <c r="AV31" s="30" t="s">
        <v>151</v>
      </c>
      <c r="AW31" s="30" t="s">
        <v>151</v>
      </c>
      <c r="AX31" s="30" t="s">
        <v>151</v>
      </c>
      <c r="AY31" s="30" t="s">
        <v>786</v>
      </c>
      <c r="AZ31" s="30" t="s">
        <v>151</v>
      </c>
      <c r="BA31" s="30" t="s">
        <v>151</v>
      </c>
      <c r="BB31" s="30" t="s">
        <v>151</v>
      </c>
      <c r="BC31" s="30" t="s">
        <v>151</v>
      </c>
      <c r="BD31" s="30" t="s">
        <v>787</v>
      </c>
      <c r="BE31" s="30" t="s">
        <v>788</v>
      </c>
      <c r="BF31" s="30" t="s">
        <v>789</v>
      </c>
      <c r="BG31" s="30" t="s">
        <v>790</v>
      </c>
      <c r="BH31" s="30" t="s">
        <v>791</v>
      </c>
      <c r="BI31" s="30" t="s">
        <v>764</v>
      </c>
      <c r="BJ31" s="30" t="s">
        <v>792</v>
      </c>
      <c r="BK31" s="30" t="s">
        <v>793</v>
      </c>
      <c r="BL31" s="30" t="s">
        <v>767</v>
      </c>
      <c r="BM31" s="30" t="s">
        <v>184</v>
      </c>
      <c r="BN31" s="29" t="s">
        <v>794</v>
      </c>
      <c r="BO31" s="30" t="s">
        <v>186</v>
      </c>
      <c r="BP31" s="29" t="s">
        <v>791</v>
      </c>
      <c r="BQ31" s="29" t="s">
        <v>151</v>
      </c>
      <c r="BR31" s="30" t="s">
        <v>795</v>
      </c>
      <c r="BS31" s="30" t="s">
        <v>187</v>
      </c>
      <c r="BT31" s="30" t="s">
        <v>188</v>
      </c>
      <c r="BU31" s="35">
        <v>44439</v>
      </c>
      <c r="BV31" s="37">
        <v>2</v>
      </c>
      <c r="BW31" s="30" t="s">
        <v>192</v>
      </c>
      <c r="BX31" s="37" t="s">
        <v>151</v>
      </c>
      <c r="BY31" s="30" t="s">
        <v>151</v>
      </c>
      <c r="BZ31" s="30" t="s">
        <v>293</v>
      </c>
      <c r="CA31" s="30" t="s">
        <v>293</v>
      </c>
      <c r="CB31" s="30" t="s">
        <v>151</v>
      </c>
      <c r="CC31" s="30" t="s">
        <v>165</v>
      </c>
      <c r="CD31" s="30" t="s">
        <v>151</v>
      </c>
      <c r="CE31" s="30" t="s">
        <v>191</v>
      </c>
      <c r="CF31" s="35">
        <v>45536</v>
      </c>
      <c r="CG31" s="37" t="s">
        <v>151</v>
      </c>
      <c r="CH31" s="30" t="s">
        <v>151</v>
      </c>
      <c r="CI31" s="37" t="s">
        <v>151</v>
      </c>
      <c r="CJ31" s="30" t="s">
        <v>151</v>
      </c>
      <c r="CK31" s="29" t="s">
        <v>151</v>
      </c>
      <c r="CL31" s="30" t="s">
        <v>189</v>
      </c>
      <c r="CM31" s="30" t="s">
        <v>151</v>
      </c>
      <c r="CN31" s="30" t="s">
        <v>151</v>
      </c>
      <c r="CO31" s="30" t="s">
        <v>190</v>
      </c>
      <c r="CP31" s="35">
        <v>45536</v>
      </c>
      <c r="CQ31" s="37" t="s">
        <v>151</v>
      </c>
      <c r="CR31" s="30" t="s">
        <v>151</v>
      </c>
      <c r="CS31" s="30" t="s">
        <v>191</v>
      </c>
      <c r="CT31" s="29">
        <v>93</v>
      </c>
      <c r="CU31" s="30" t="s">
        <v>196</v>
      </c>
      <c r="CV31" s="32">
        <v>86</v>
      </c>
      <c r="CW31" s="32">
        <v>14</v>
      </c>
      <c r="CX31" s="30" t="s">
        <v>294</v>
      </c>
      <c r="CY31" s="32">
        <v>1</v>
      </c>
      <c r="CZ31" s="32">
        <v>85</v>
      </c>
      <c r="DA31" s="37" t="s">
        <v>151</v>
      </c>
      <c r="DB31" s="35" t="s">
        <v>151</v>
      </c>
      <c r="DC31" s="30" t="s">
        <v>151</v>
      </c>
      <c r="DD31" s="29" t="s">
        <v>151</v>
      </c>
      <c r="DE31" s="32">
        <v>0.3</v>
      </c>
      <c r="DF31" s="34">
        <v>92</v>
      </c>
      <c r="DG31" s="32">
        <v>0</v>
      </c>
      <c r="DH31" s="32">
        <v>-0.08</v>
      </c>
      <c r="DI31" s="32">
        <v>-0.36</v>
      </c>
      <c r="DJ31" s="34">
        <v>8</v>
      </c>
      <c r="DK31" s="32">
        <v>-0.95</v>
      </c>
      <c r="DL31" s="34">
        <v>9</v>
      </c>
      <c r="DM31" s="32">
        <v>0.23</v>
      </c>
      <c r="DN31" s="34">
        <v>94</v>
      </c>
      <c r="DO31" s="36">
        <v>12.65</v>
      </c>
      <c r="DP31" s="34">
        <v>92</v>
      </c>
      <c r="DQ31" s="36">
        <v>0</v>
      </c>
      <c r="DR31" s="32">
        <v>0</v>
      </c>
      <c r="DS31" s="36">
        <v>24.22</v>
      </c>
      <c r="DT31" s="34">
        <v>96</v>
      </c>
      <c r="DU31" s="36">
        <v>22.02</v>
      </c>
      <c r="DV31" s="34">
        <v>91</v>
      </c>
      <c r="DW31" s="36">
        <v>26.42</v>
      </c>
      <c r="DX31" s="34">
        <v>96</v>
      </c>
      <c r="DY31" s="31" t="s">
        <v>151</v>
      </c>
      <c r="DZ31" s="35" t="s">
        <v>151</v>
      </c>
      <c r="EA31" s="35" t="s">
        <v>151</v>
      </c>
      <c r="EB31" s="34">
        <v>4603</v>
      </c>
      <c r="EC31" s="33">
        <v>-202</v>
      </c>
      <c r="ED31" s="32">
        <v>-4.2</v>
      </c>
      <c r="EE31" s="34">
        <v>502</v>
      </c>
      <c r="EF31" s="33">
        <v>2</v>
      </c>
      <c r="EG31" s="32">
        <v>0.4</v>
      </c>
      <c r="EH31" s="29" t="s">
        <v>198</v>
      </c>
      <c r="EI31" s="30" t="s">
        <v>151</v>
      </c>
      <c r="EJ31" s="30" t="s">
        <v>151</v>
      </c>
      <c r="EK31" s="31">
        <v>2</v>
      </c>
      <c r="EL31" s="31">
        <v>8</v>
      </c>
      <c r="EM31" s="31" t="s">
        <v>151</v>
      </c>
      <c r="EN31" s="31" t="s">
        <v>151</v>
      </c>
      <c r="EO31" s="31" t="s">
        <v>151</v>
      </c>
      <c r="EP31" s="30" t="s">
        <v>796</v>
      </c>
      <c r="EQ31" s="29" t="s">
        <v>151</v>
      </c>
      <c r="ER31" s="29" t="s">
        <v>151</v>
      </c>
      <c r="ES31" s="4">
        <f>HYPERLINK("https://my.pitchbook.com?c=471911-32","View Company Online")</f>
      </c>
    </row>
    <row r="32">
      <c r="A32" s="17" t="s">
        <v>797</v>
      </c>
      <c r="B32" s="17" t="s">
        <v>798</v>
      </c>
      <c r="C32" s="18">
        <v>7</v>
      </c>
      <c r="D32" s="17" t="s">
        <v>151</v>
      </c>
      <c r="E32" s="17" t="s">
        <v>799</v>
      </c>
      <c r="F32" s="17" t="s">
        <v>800</v>
      </c>
      <c r="G32" s="17" t="s">
        <v>151</v>
      </c>
      <c r="H32" s="17" t="s">
        <v>151</v>
      </c>
      <c r="I32" s="17" t="s">
        <v>801</v>
      </c>
      <c r="J32" s="17" t="s">
        <v>797</v>
      </c>
      <c r="K32" s="17" t="s">
        <v>802</v>
      </c>
      <c r="L32" s="17" t="s">
        <v>205</v>
      </c>
      <c r="M32" s="17" t="s">
        <v>206</v>
      </c>
      <c r="N32" s="17" t="s">
        <v>269</v>
      </c>
      <c r="O32" s="17" t="s">
        <v>563</v>
      </c>
      <c r="P32" s="17" t="s">
        <v>803</v>
      </c>
      <c r="Q32" s="17" t="s">
        <v>804</v>
      </c>
      <c r="R32" s="17" t="s">
        <v>805</v>
      </c>
      <c r="S32" s="17" t="s">
        <v>162</v>
      </c>
      <c r="T32" s="24">
        <v>30.38</v>
      </c>
      <c r="U32" s="17" t="s">
        <v>163</v>
      </c>
      <c r="V32" s="17" t="s">
        <v>164</v>
      </c>
      <c r="W32" s="17" t="s">
        <v>806</v>
      </c>
      <c r="X32" s="15" t="s">
        <v>807</v>
      </c>
      <c r="Y32" s="15" t="s">
        <v>808</v>
      </c>
      <c r="Z32" s="27">
        <v>34</v>
      </c>
      <c r="AA32" s="17" t="s">
        <v>809</v>
      </c>
      <c r="AB32" s="17" t="s">
        <v>151</v>
      </c>
      <c r="AC32" s="17" t="s">
        <v>151</v>
      </c>
      <c r="AD32" s="26">
        <v>2016</v>
      </c>
      <c r="AE32" s="17" t="s">
        <v>151</v>
      </c>
      <c r="AF32" s="22">
        <v>45531</v>
      </c>
      <c r="AG32" s="17" t="s">
        <v>151</v>
      </c>
      <c r="AH32" s="17" t="s">
        <v>151</v>
      </c>
      <c r="AI32" s="25">
        <v>8</v>
      </c>
      <c r="AJ32" s="19">
        <v>81.82</v>
      </c>
      <c r="AK32" s="25" t="s">
        <v>151</v>
      </c>
      <c r="AL32" s="25" t="s">
        <v>151</v>
      </c>
      <c r="AM32" s="25" t="s">
        <v>151</v>
      </c>
      <c r="AN32" s="25" t="s">
        <v>151</v>
      </c>
      <c r="AO32" s="25" t="s">
        <v>151</v>
      </c>
      <c r="AP32" s="25" t="s">
        <v>151</v>
      </c>
      <c r="AQ32" s="25" t="s">
        <v>151</v>
      </c>
      <c r="AR32" s="16" t="s">
        <v>810</v>
      </c>
      <c r="AS32" s="17" t="s">
        <v>811</v>
      </c>
      <c r="AT32" s="17" t="s">
        <v>812</v>
      </c>
      <c r="AU32" s="18">
        <v>6</v>
      </c>
      <c r="AV32" s="17" t="s">
        <v>151</v>
      </c>
      <c r="AW32" s="17" t="s">
        <v>151</v>
      </c>
      <c r="AX32" s="17" t="s">
        <v>151</v>
      </c>
      <c r="AY32" s="17" t="s">
        <v>813</v>
      </c>
      <c r="AZ32" s="17" t="s">
        <v>151</v>
      </c>
      <c r="BA32" s="17" t="s">
        <v>151</v>
      </c>
      <c r="BB32" s="17" t="s">
        <v>814</v>
      </c>
      <c r="BC32" s="17" t="s">
        <v>151</v>
      </c>
      <c r="BD32" s="17" t="s">
        <v>815</v>
      </c>
      <c r="BE32" s="17" t="s">
        <v>816</v>
      </c>
      <c r="BF32" s="17" t="s">
        <v>493</v>
      </c>
      <c r="BG32" s="17" t="s">
        <v>817</v>
      </c>
      <c r="BH32" s="17" t="s">
        <v>818</v>
      </c>
      <c r="BI32" s="17" t="s">
        <v>819</v>
      </c>
      <c r="BJ32" s="17" t="s">
        <v>820</v>
      </c>
      <c r="BK32" s="17" t="s">
        <v>821</v>
      </c>
      <c r="BL32" s="17" t="s">
        <v>822</v>
      </c>
      <c r="BM32" s="17" t="s">
        <v>823</v>
      </c>
      <c r="BN32" s="16" t="s">
        <v>824</v>
      </c>
      <c r="BO32" s="17" t="s">
        <v>186</v>
      </c>
      <c r="BP32" s="16" t="s">
        <v>825</v>
      </c>
      <c r="BQ32" s="16" t="s">
        <v>151</v>
      </c>
      <c r="BR32" s="17" t="s">
        <v>826</v>
      </c>
      <c r="BS32" s="17" t="s">
        <v>187</v>
      </c>
      <c r="BT32" s="17" t="s">
        <v>188</v>
      </c>
      <c r="BU32" s="22">
        <v>43314</v>
      </c>
      <c r="BV32" s="24">
        <v>4.38</v>
      </c>
      <c r="BW32" s="17" t="s">
        <v>192</v>
      </c>
      <c r="BX32" s="24">
        <v>12</v>
      </c>
      <c r="BY32" s="17" t="s">
        <v>192</v>
      </c>
      <c r="BZ32" s="17" t="s">
        <v>385</v>
      </c>
      <c r="CA32" s="17" t="s">
        <v>385</v>
      </c>
      <c r="CB32" s="17" t="s">
        <v>151</v>
      </c>
      <c r="CC32" s="17" t="s">
        <v>385</v>
      </c>
      <c r="CD32" s="17" t="s">
        <v>151</v>
      </c>
      <c r="CE32" s="17" t="s">
        <v>191</v>
      </c>
      <c r="CF32" s="22">
        <v>44810</v>
      </c>
      <c r="CG32" s="24">
        <v>20</v>
      </c>
      <c r="CH32" s="17" t="s">
        <v>192</v>
      </c>
      <c r="CI32" s="24" t="s">
        <v>151</v>
      </c>
      <c r="CJ32" s="17" t="s">
        <v>151</v>
      </c>
      <c r="CK32" s="16" t="s">
        <v>151</v>
      </c>
      <c r="CL32" s="17" t="s">
        <v>194</v>
      </c>
      <c r="CM32" s="17" t="s">
        <v>151</v>
      </c>
      <c r="CN32" s="17" t="s">
        <v>151</v>
      </c>
      <c r="CO32" s="17" t="s">
        <v>165</v>
      </c>
      <c r="CP32" s="22">
        <v>44810</v>
      </c>
      <c r="CQ32" s="24">
        <v>20</v>
      </c>
      <c r="CR32" s="17" t="s">
        <v>827</v>
      </c>
      <c r="CS32" s="17" t="s">
        <v>191</v>
      </c>
      <c r="CT32" s="16">
        <v>64</v>
      </c>
      <c r="CU32" s="17" t="s">
        <v>196</v>
      </c>
      <c r="CV32" s="19">
        <v>75</v>
      </c>
      <c r="CW32" s="19">
        <v>25</v>
      </c>
      <c r="CX32" s="17" t="s">
        <v>294</v>
      </c>
      <c r="CY32" s="19">
        <v>5</v>
      </c>
      <c r="CZ32" s="19">
        <v>70</v>
      </c>
      <c r="DA32" s="24">
        <v>23</v>
      </c>
      <c r="DB32" s="22">
        <v>44347</v>
      </c>
      <c r="DC32" s="17" t="s">
        <v>194</v>
      </c>
      <c r="DD32" s="16" t="s">
        <v>151</v>
      </c>
      <c r="DE32" s="19">
        <v>0</v>
      </c>
      <c r="DF32" s="21">
        <v>11</v>
      </c>
      <c r="DG32" s="19">
        <v>0</v>
      </c>
      <c r="DH32" s="19">
        <v>0</v>
      </c>
      <c r="DI32" s="19">
        <v>0</v>
      </c>
      <c r="DJ32" s="21">
        <v>10</v>
      </c>
      <c r="DK32" s="19" t="s">
        <v>151</v>
      </c>
      <c r="DL32" s="21" t="s">
        <v>151</v>
      </c>
      <c r="DM32" s="19">
        <v>0</v>
      </c>
      <c r="DN32" s="21">
        <v>10</v>
      </c>
      <c r="DO32" s="23">
        <v>1.16</v>
      </c>
      <c r="DP32" s="21">
        <v>53</v>
      </c>
      <c r="DQ32" s="23">
        <v>0</v>
      </c>
      <c r="DR32" s="19">
        <v>0</v>
      </c>
      <c r="DS32" s="23">
        <v>1.16</v>
      </c>
      <c r="DT32" s="21">
        <v>53</v>
      </c>
      <c r="DU32" s="23" t="s">
        <v>151</v>
      </c>
      <c r="DV32" s="21" t="s">
        <v>151</v>
      </c>
      <c r="DW32" s="23">
        <v>1.16</v>
      </c>
      <c r="DX32" s="21">
        <v>53</v>
      </c>
      <c r="DY32" s="18" t="s">
        <v>151</v>
      </c>
      <c r="DZ32" s="22" t="s">
        <v>151</v>
      </c>
      <c r="EA32" s="22" t="s">
        <v>151</v>
      </c>
      <c r="EB32" s="21">
        <v>0</v>
      </c>
      <c r="EC32" s="20">
        <v>0</v>
      </c>
      <c r="ED32" s="19">
        <v>0</v>
      </c>
      <c r="EE32" s="21">
        <v>22</v>
      </c>
      <c r="EF32" s="20">
        <v>0</v>
      </c>
      <c r="EG32" s="19">
        <v>0</v>
      </c>
      <c r="EH32" s="16" t="s">
        <v>198</v>
      </c>
      <c r="EI32" s="17" t="s">
        <v>151</v>
      </c>
      <c r="EJ32" s="17" t="s">
        <v>151</v>
      </c>
      <c r="EK32" s="18">
        <v>2</v>
      </c>
      <c r="EL32" s="18">
        <v>6</v>
      </c>
      <c r="EM32" s="18" t="s">
        <v>151</v>
      </c>
      <c r="EN32" s="18" t="s">
        <v>151</v>
      </c>
      <c r="EO32" s="18">
        <v>1</v>
      </c>
      <c r="EP32" s="17" t="s">
        <v>828</v>
      </c>
      <c r="EQ32" s="16" t="s">
        <v>151</v>
      </c>
      <c r="ER32" s="16" t="s">
        <v>151</v>
      </c>
      <c r="ES32" s="3">
        <f>HYPERLINK("https://my.pitchbook.com?c=231896-08","View Company Online")</f>
      </c>
    </row>
    <row r="33">
      <c r="A33" s="30" t="s">
        <v>829</v>
      </c>
      <c r="B33" s="30" t="s">
        <v>830</v>
      </c>
      <c r="C33" s="31">
        <v>7</v>
      </c>
      <c r="D33" s="30" t="s">
        <v>151</v>
      </c>
      <c r="E33" s="30" t="s">
        <v>151</v>
      </c>
      <c r="F33" s="30" t="s">
        <v>831</v>
      </c>
      <c r="G33" s="30" t="s">
        <v>151</v>
      </c>
      <c r="H33" s="30" t="s">
        <v>151</v>
      </c>
      <c r="I33" s="30" t="s">
        <v>832</v>
      </c>
      <c r="J33" s="30" t="s">
        <v>829</v>
      </c>
      <c r="K33" s="30" t="s">
        <v>833</v>
      </c>
      <c r="L33" s="30" t="s">
        <v>616</v>
      </c>
      <c r="M33" s="30" t="s">
        <v>834</v>
      </c>
      <c r="N33" s="30" t="s">
        <v>835</v>
      </c>
      <c r="O33" s="30" t="s">
        <v>836</v>
      </c>
      <c r="P33" s="30" t="s">
        <v>696</v>
      </c>
      <c r="Q33" s="30" t="s">
        <v>837</v>
      </c>
      <c r="R33" s="30" t="s">
        <v>151</v>
      </c>
      <c r="S33" s="30" t="s">
        <v>162</v>
      </c>
      <c r="T33" s="37">
        <v>7.63</v>
      </c>
      <c r="U33" s="30" t="s">
        <v>163</v>
      </c>
      <c r="V33" s="30" t="s">
        <v>164</v>
      </c>
      <c r="W33" s="30" t="s">
        <v>165</v>
      </c>
      <c r="X33" s="28" t="s">
        <v>838</v>
      </c>
      <c r="Y33" s="28" t="s">
        <v>839</v>
      </c>
      <c r="Z33" s="40">
        <v>45</v>
      </c>
      <c r="AA33" s="30" t="s">
        <v>840</v>
      </c>
      <c r="AB33" s="30" t="s">
        <v>151</v>
      </c>
      <c r="AC33" s="30" t="s">
        <v>151</v>
      </c>
      <c r="AD33" s="39">
        <v>2018</v>
      </c>
      <c r="AE33" s="30" t="s">
        <v>151</v>
      </c>
      <c r="AF33" s="35">
        <v>45573</v>
      </c>
      <c r="AG33" s="30" t="s">
        <v>151</v>
      </c>
      <c r="AH33" s="30" t="s">
        <v>151</v>
      </c>
      <c r="AI33" s="38">
        <v>0.26</v>
      </c>
      <c r="AJ33" s="32">
        <v>-7.55</v>
      </c>
      <c r="AK33" s="38" t="s">
        <v>151</v>
      </c>
      <c r="AL33" s="38">
        <v>-3.36</v>
      </c>
      <c r="AM33" s="38" t="s">
        <v>151</v>
      </c>
      <c r="AN33" s="38" t="s">
        <v>151</v>
      </c>
      <c r="AO33" s="38" t="s">
        <v>151</v>
      </c>
      <c r="AP33" s="38" t="s">
        <v>151</v>
      </c>
      <c r="AQ33" s="38" t="s">
        <v>151</v>
      </c>
      <c r="AR33" s="29" t="s">
        <v>841</v>
      </c>
      <c r="AS33" s="30" t="s">
        <v>842</v>
      </c>
      <c r="AT33" s="30" t="s">
        <v>843</v>
      </c>
      <c r="AU33" s="31">
        <v>11</v>
      </c>
      <c r="AV33" s="30" t="s">
        <v>151</v>
      </c>
      <c r="AW33" s="30" t="s">
        <v>151</v>
      </c>
      <c r="AX33" s="30" t="s">
        <v>151</v>
      </c>
      <c r="AY33" s="30" t="s">
        <v>844</v>
      </c>
      <c r="AZ33" s="30" t="s">
        <v>151</v>
      </c>
      <c r="BA33" s="30" t="s">
        <v>151</v>
      </c>
      <c r="BB33" s="30" t="s">
        <v>151</v>
      </c>
      <c r="BC33" s="30" t="s">
        <v>845</v>
      </c>
      <c r="BD33" s="30" t="s">
        <v>846</v>
      </c>
      <c r="BE33" s="30" t="s">
        <v>847</v>
      </c>
      <c r="BF33" s="30" t="s">
        <v>848</v>
      </c>
      <c r="BG33" s="30" t="s">
        <v>849</v>
      </c>
      <c r="BH33" s="30" t="s">
        <v>850</v>
      </c>
      <c r="BI33" s="30" t="s">
        <v>851</v>
      </c>
      <c r="BJ33" s="30" t="s">
        <v>852</v>
      </c>
      <c r="BK33" s="30" t="s">
        <v>853</v>
      </c>
      <c r="BL33" s="30" t="s">
        <v>854</v>
      </c>
      <c r="BM33" s="30" t="s">
        <v>855</v>
      </c>
      <c r="BN33" s="29" t="s">
        <v>856</v>
      </c>
      <c r="BO33" s="30" t="s">
        <v>186</v>
      </c>
      <c r="BP33" s="29" t="s">
        <v>850</v>
      </c>
      <c r="BQ33" s="29" t="s">
        <v>151</v>
      </c>
      <c r="BR33" s="30" t="s">
        <v>857</v>
      </c>
      <c r="BS33" s="30" t="s">
        <v>187</v>
      </c>
      <c r="BT33" s="30" t="s">
        <v>188</v>
      </c>
      <c r="BU33" s="35">
        <v>43344</v>
      </c>
      <c r="BV33" s="37">
        <v>0.03</v>
      </c>
      <c r="BW33" s="30" t="s">
        <v>192</v>
      </c>
      <c r="BX33" s="37" t="s">
        <v>151</v>
      </c>
      <c r="BY33" s="30" t="s">
        <v>151</v>
      </c>
      <c r="BZ33" s="30" t="s">
        <v>858</v>
      </c>
      <c r="CA33" s="30" t="s">
        <v>151</v>
      </c>
      <c r="CB33" s="30" t="s">
        <v>151</v>
      </c>
      <c r="CC33" s="30" t="s">
        <v>585</v>
      </c>
      <c r="CD33" s="30" t="s">
        <v>151</v>
      </c>
      <c r="CE33" s="30" t="s">
        <v>191</v>
      </c>
      <c r="CF33" s="35">
        <v>45035</v>
      </c>
      <c r="CG33" s="37">
        <v>4.3</v>
      </c>
      <c r="CH33" s="30" t="s">
        <v>192</v>
      </c>
      <c r="CI33" s="37">
        <v>13.56</v>
      </c>
      <c r="CJ33" s="30" t="s">
        <v>192</v>
      </c>
      <c r="CK33" s="29" t="s">
        <v>151</v>
      </c>
      <c r="CL33" s="30" t="s">
        <v>194</v>
      </c>
      <c r="CM33" s="30" t="s">
        <v>232</v>
      </c>
      <c r="CN33" s="30" t="s">
        <v>151</v>
      </c>
      <c r="CO33" s="30" t="s">
        <v>165</v>
      </c>
      <c r="CP33" s="35">
        <v>45035</v>
      </c>
      <c r="CQ33" s="37" t="s">
        <v>151</v>
      </c>
      <c r="CR33" s="30" t="s">
        <v>151</v>
      </c>
      <c r="CS33" s="30" t="s">
        <v>859</v>
      </c>
      <c r="CT33" s="29">
        <v>60</v>
      </c>
      <c r="CU33" s="30" t="s">
        <v>196</v>
      </c>
      <c r="CV33" s="32">
        <v>56</v>
      </c>
      <c r="CW33" s="32">
        <v>44</v>
      </c>
      <c r="CX33" s="30" t="s">
        <v>294</v>
      </c>
      <c r="CY33" s="32">
        <v>1</v>
      </c>
      <c r="CZ33" s="32">
        <v>55</v>
      </c>
      <c r="DA33" s="37">
        <v>13.56</v>
      </c>
      <c r="DB33" s="35">
        <v>45035</v>
      </c>
      <c r="DC33" s="30" t="s">
        <v>194</v>
      </c>
      <c r="DD33" s="29" t="s">
        <v>151</v>
      </c>
      <c r="DE33" s="32">
        <v>0.78</v>
      </c>
      <c r="DF33" s="34">
        <v>95</v>
      </c>
      <c r="DG33" s="32">
        <v>0</v>
      </c>
      <c r="DH33" s="32">
        <v>0</v>
      </c>
      <c r="DI33" s="32">
        <v>1.83</v>
      </c>
      <c r="DJ33" s="34">
        <v>98</v>
      </c>
      <c r="DK33" s="32">
        <v>3.73</v>
      </c>
      <c r="DL33" s="34">
        <v>97</v>
      </c>
      <c r="DM33" s="32">
        <v>-0.08</v>
      </c>
      <c r="DN33" s="34">
        <v>10</v>
      </c>
      <c r="DO33" s="36">
        <v>229.05</v>
      </c>
      <c r="DP33" s="34">
        <v>100</v>
      </c>
      <c r="DQ33" s="36">
        <v>0</v>
      </c>
      <c r="DR33" s="32">
        <v>0</v>
      </c>
      <c r="DS33" s="36">
        <v>454.64</v>
      </c>
      <c r="DT33" s="34">
        <v>100</v>
      </c>
      <c r="DU33" s="36">
        <v>726.86</v>
      </c>
      <c r="DV33" s="34">
        <v>100</v>
      </c>
      <c r="DW33" s="36">
        <v>182.42</v>
      </c>
      <c r="DX33" s="34">
        <v>100</v>
      </c>
      <c r="DY33" s="31">
        <v>1</v>
      </c>
      <c r="DZ33" s="35">
        <v>44495</v>
      </c>
      <c r="EA33" s="35" t="s">
        <v>151</v>
      </c>
      <c r="EB33" s="34">
        <v>149734</v>
      </c>
      <c r="EC33" s="33">
        <v>-1835</v>
      </c>
      <c r="ED33" s="32">
        <v>-1.21</v>
      </c>
      <c r="EE33" s="34">
        <v>3466</v>
      </c>
      <c r="EF33" s="33">
        <v>-11</v>
      </c>
      <c r="EG33" s="32">
        <v>-0.32</v>
      </c>
      <c r="EH33" s="29" t="s">
        <v>198</v>
      </c>
      <c r="EI33" s="30" t="s">
        <v>151</v>
      </c>
      <c r="EJ33" s="30" t="s">
        <v>151</v>
      </c>
      <c r="EK33" s="31">
        <v>2</v>
      </c>
      <c r="EL33" s="31" t="s">
        <v>151</v>
      </c>
      <c r="EM33" s="31">
        <v>2</v>
      </c>
      <c r="EN33" s="31" t="s">
        <v>151</v>
      </c>
      <c r="EO33" s="31">
        <v>5</v>
      </c>
      <c r="EP33" s="30" t="s">
        <v>295</v>
      </c>
      <c r="EQ33" s="29" t="s">
        <v>151</v>
      </c>
      <c r="ER33" s="29" t="s">
        <v>151</v>
      </c>
      <c r="ES33" s="4">
        <f>HYPERLINK("https://my.pitchbook.com?c=438208-66","View Company Online")</f>
      </c>
    </row>
    <row r="34">
      <c r="A34" s="17" t="s">
        <v>860</v>
      </c>
      <c r="B34" s="17" t="s">
        <v>861</v>
      </c>
      <c r="C34" s="18">
        <v>7</v>
      </c>
      <c r="D34" s="17" t="s">
        <v>151</v>
      </c>
      <c r="E34" s="17" t="s">
        <v>151</v>
      </c>
      <c r="F34" s="17" t="s">
        <v>862</v>
      </c>
      <c r="G34" s="17" t="s">
        <v>151</v>
      </c>
      <c r="H34" s="17" t="s">
        <v>151</v>
      </c>
      <c r="I34" s="17" t="s">
        <v>863</v>
      </c>
      <c r="J34" s="17" t="s">
        <v>860</v>
      </c>
      <c r="K34" s="17" t="s">
        <v>864</v>
      </c>
      <c r="L34" s="17" t="s">
        <v>205</v>
      </c>
      <c r="M34" s="17" t="s">
        <v>206</v>
      </c>
      <c r="N34" s="17" t="s">
        <v>269</v>
      </c>
      <c r="O34" s="17" t="s">
        <v>865</v>
      </c>
      <c r="P34" s="17" t="s">
        <v>866</v>
      </c>
      <c r="Q34" s="17" t="s">
        <v>867</v>
      </c>
      <c r="R34" s="17" t="s">
        <v>151</v>
      </c>
      <c r="S34" s="17" t="s">
        <v>162</v>
      </c>
      <c r="T34" s="24">
        <v>9.08</v>
      </c>
      <c r="U34" s="17" t="s">
        <v>163</v>
      </c>
      <c r="V34" s="17" t="s">
        <v>164</v>
      </c>
      <c r="W34" s="17" t="s">
        <v>165</v>
      </c>
      <c r="X34" s="15" t="s">
        <v>868</v>
      </c>
      <c r="Y34" s="15" t="s">
        <v>869</v>
      </c>
      <c r="Z34" s="27">
        <v>20</v>
      </c>
      <c r="AA34" s="17" t="s">
        <v>870</v>
      </c>
      <c r="AB34" s="17" t="s">
        <v>151</v>
      </c>
      <c r="AC34" s="17" t="s">
        <v>151</v>
      </c>
      <c r="AD34" s="26">
        <v>2017</v>
      </c>
      <c r="AE34" s="17" t="s">
        <v>151</v>
      </c>
      <c r="AF34" s="22">
        <v>45574</v>
      </c>
      <c r="AG34" s="17" t="s">
        <v>151</v>
      </c>
      <c r="AH34" s="17" t="s">
        <v>151</v>
      </c>
      <c r="AI34" s="25" t="s">
        <v>151</v>
      </c>
      <c r="AJ34" s="19" t="s">
        <v>151</v>
      </c>
      <c r="AK34" s="25" t="s">
        <v>151</v>
      </c>
      <c r="AL34" s="25" t="s">
        <v>151</v>
      </c>
      <c r="AM34" s="25" t="s">
        <v>151</v>
      </c>
      <c r="AN34" s="25" t="s">
        <v>151</v>
      </c>
      <c r="AO34" s="25" t="s">
        <v>151</v>
      </c>
      <c r="AP34" s="25" t="s">
        <v>151</v>
      </c>
      <c r="AQ34" s="25" t="s">
        <v>151</v>
      </c>
      <c r="AR34" s="16" t="s">
        <v>151</v>
      </c>
      <c r="AS34" s="17" t="s">
        <v>871</v>
      </c>
      <c r="AT34" s="17" t="s">
        <v>872</v>
      </c>
      <c r="AU34" s="18">
        <v>7</v>
      </c>
      <c r="AV34" s="17" t="s">
        <v>151</v>
      </c>
      <c r="AW34" s="17" t="s">
        <v>151</v>
      </c>
      <c r="AX34" s="17" t="s">
        <v>151</v>
      </c>
      <c r="AY34" s="17" t="s">
        <v>873</v>
      </c>
      <c r="AZ34" s="17" t="s">
        <v>151</v>
      </c>
      <c r="BA34" s="17" t="s">
        <v>151</v>
      </c>
      <c r="BB34" s="17" t="s">
        <v>151</v>
      </c>
      <c r="BC34" s="17" t="s">
        <v>874</v>
      </c>
      <c r="BD34" s="17" t="s">
        <v>875</v>
      </c>
      <c r="BE34" s="17" t="s">
        <v>876</v>
      </c>
      <c r="BF34" s="17" t="s">
        <v>493</v>
      </c>
      <c r="BG34" s="17" t="s">
        <v>877</v>
      </c>
      <c r="BH34" s="17" t="s">
        <v>878</v>
      </c>
      <c r="BI34" s="17" t="s">
        <v>879</v>
      </c>
      <c r="BJ34" s="17" t="s">
        <v>880</v>
      </c>
      <c r="BK34" s="17" t="s">
        <v>881</v>
      </c>
      <c r="BL34" s="17" t="s">
        <v>882</v>
      </c>
      <c r="BM34" s="17" t="s">
        <v>184</v>
      </c>
      <c r="BN34" s="16" t="s">
        <v>883</v>
      </c>
      <c r="BO34" s="17" t="s">
        <v>186</v>
      </c>
      <c r="BP34" s="16" t="s">
        <v>878</v>
      </c>
      <c r="BQ34" s="16" t="s">
        <v>151</v>
      </c>
      <c r="BR34" s="17" t="s">
        <v>884</v>
      </c>
      <c r="BS34" s="17" t="s">
        <v>187</v>
      </c>
      <c r="BT34" s="17" t="s">
        <v>188</v>
      </c>
      <c r="BU34" s="22">
        <v>42996</v>
      </c>
      <c r="BV34" s="24">
        <v>0.01</v>
      </c>
      <c r="BW34" s="17" t="s">
        <v>192</v>
      </c>
      <c r="BX34" s="24" t="s">
        <v>151</v>
      </c>
      <c r="BY34" s="17" t="s">
        <v>151</v>
      </c>
      <c r="BZ34" s="17" t="s">
        <v>189</v>
      </c>
      <c r="CA34" s="17" t="s">
        <v>151</v>
      </c>
      <c r="CB34" s="17" t="s">
        <v>151</v>
      </c>
      <c r="CC34" s="17" t="s">
        <v>190</v>
      </c>
      <c r="CD34" s="17" t="s">
        <v>151</v>
      </c>
      <c r="CE34" s="17" t="s">
        <v>191</v>
      </c>
      <c r="CF34" s="22">
        <v>45125</v>
      </c>
      <c r="CG34" s="24" t="s">
        <v>151</v>
      </c>
      <c r="CH34" s="17" t="s">
        <v>151</v>
      </c>
      <c r="CI34" s="24" t="s">
        <v>151</v>
      </c>
      <c r="CJ34" s="17" t="s">
        <v>151</v>
      </c>
      <c r="CK34" s="16" t="s">
        <v>151</v>
      </c>
      <c r="CL34" s="17" t="s">
        <v>194</v>
      </c>
      <c r="CM34" s="17" t="s">
        <v>151</v>
      </c>
      <c r="CN34" s="17" t="s">
        <v>151</v>
      </c>
      <c r="CO34" s="17" t="s">
        <v>165</v>
      </c>
      <c r="CP34" s="22">
        <v>45125</v>
      </c>
      <c r="CQ34" s="24" t="s">
        <v>151</v>
      </c>
      <c r="CR34" s="17" t="s">
        <v>151</v>
      </c>
      <c r="CS34" s="17" t="s">
        <v>191</v>
      </c>
      <c r="CT34" s="16">
        <v>39</v>
      </c>
      <c r="CU34" s="17" t="s">
        <v>263</v>
      </c>
      <c r="CV34" s="19">
        <v>39</v>
      </c>
      <c r="CW34" s="19">
        <v>61</v>
      </c>
      <c r="CX34" s="17" t="s">
        <v>263</v>
      </c>
      <c r="CY34" s="19">
        <v>1</v>
      </c>
      <c r="CZ34" s="19">
        <v>38</v>
      </c>
      <c r="DA34" s="24">
        <v>19.8</v>
      </c>
      <c r="DB34" s="22">
        <v>44771</v>
      </c>
      <c r="DC34" s="17" t="s">
        <v>293</v>
      </c>
      <c r="DD34" s="16">
        <v>1.1</v>
      </c>
      <c r="DE34" s="19">
        <v>-1.39</v>
      </c>
      <c r="DF34" s="21">
        <v>3</v>
      </c>
      <c r="DG34" s="19">
        <v>0</v>
      </c>
      <c r="DH34" s="19">
        <v>0</v>
      </c>
      <c r="DI34" s="19">
        <v>-2.78</v>
      </c>
      <c r="DJ34" s="21">
        <v>1</v>
      </c>
      <c r="DK34" s="19" t="s">
        <v>151</v>
      </c>
      <c r="DL34" s="21" t="s">
        <v>151</v>
      </c>
      <c r="DM34" s="19">
        <v>-2.78</v>
      </c>
      <c r="DN34" s="21">
        <v>1</v>
      </c>
      <c r="DO34" s="23">
        <v>3.45</v>
      </c>
      <c r="DP34" s="21">
        <v>77</v>
      </c>
      <c r="DQ34" s="23">
        <v>0</v>
      </c>
      <c r="DR34" s="19">
        <v>0</v>
      </c>
      <c r="DS34" s="23">
        <v>5.37</v>
      </c>
      <c r="DT34" s="21">
        <v>83</v>
      </c>
      <c r="DU34" s="23" t="s">
        <v>151</v>
      </c>
      <c r="DV34" s="21" t="s">
        <v>151</v>
      </c>
      <c r="DW34" s="23">
        <v>5.37</v>
      </c>
      <c r="DX34" s="21">
        <v>83</v>
      </c>
      <c r="DY34" s="18" t="s">
        <v>151</v>
      </c>
      <c r="DZ34" s="22" t="s">
        <v>151</v>
      </c>
      <c r="EA34" s="22" t="s">
        <v>151</v>
      </c>
      <c r="EB34" s="21" t="s">
        <v>151</v>
      </c>
      <c r="EC34" s="20" t="s">
        <v>151</v>
      </c>
      <c r="ED34" s="19" t="s">
        <v>151</v>
      </c>
      <c r="EE34" s="21">
        <v>102</v>
      </c>
      <c r="EF34" s="20">
        <v>0</v>
      </c>
      <c r="EG34" s="19">
        <v>0</v>
      </c>
      <c r="EH34" s="16" t="s">
        <v>198</v>
      </c>
      <c r="EI34" s="17" t="s">
        <v>151</v>
      </c>
      <c r="EJ34" s="17" t="s">
        <v>151</v>
      </c>
      <c r="EK34" s="18">
        <v>1</v>
      </c>
      <c r="EL34" s="18">
        <v>6</v>
      </c>
      <c r="EM34" s="18">
        <v>1</v>
      </c>
      <c r="EN34" s="18" t="s">
        <v>151</v>
      </c>
      <c r="EO34" s="18" t="s">
        <v>151</v>
      </c>
      <c r="EP34" s="17" t="s">
        <v>327</v>
      </c>
      <c r="EQ34" s="16" t="s">
        <v>151</v>
      </c>
      <c r="ER34" s="16" t="s">
        <v>151</v>
      </c>
      <c r="ES34" s="3">
        <f>HYPERLINK("https://my.pitchbook.com?c=225558-37","View Company Online")</f>
      </c>
    </row>
    <row r="35">
      <c r="A35" s="30" t="s">
        <v>885</v>
      </c>
      <c r="B35" s="30" t="s">
        <v>886</v>
      </c>
      <c r="C35" s="31">
        <v>7</v>
      </c>
      <c r="D35" s="30" t="s">
        <v>151</v>
      </c>
      <c r="E35" s="30" t="s">
        <v>887</v>
      </c>
      <c r="F35" s="30" t="s">
        <v>888</v>
      </c>
      <c r="G35" s="30" t="s">
        <v>151</v>
      </c>
      <c r="H35" s="30" t="s">
        <v>151</v>
      </c>
      <c r="I35" s="30" t="s">
        <v>889</v>
      </c>
      <c r="J35" s="30" t="s">
        <v>885</v>
      </c>
      <c r="K35" s="30" t="s">
        <v>890</v>
      </c>
      <c r="L35" s="30" t="s">
        <v>205</v>
      </c>
      <c r="M35" s="30" t="s">
        <v>206</v>
      </c>
      <c r="N35" s="30" t="s">
        <v>269</v>
      </c>
      <c r="O35" s="30" t="s">
        <v>891</v>
      </c>
      <c r="P35" s="30" t="s">
        <v>892</v>
      </c>
      <c r="Q35" s="30" t="s">
        <v>893</v>
      </c>
      <c r="R35" s="30" t="s">
        <v>151</v>
      </c>
      <c r="S35" s="30" t="s">
        <v>162</v>
      </c>
      <c r="T35" s="37">
        <v>15.82</v>
      </c>
      <c r="U35" s="30" t="s">
        <v>163</v>
      </c>
      <c r="V35" s="30" t="s">
        <v>164</v>
      </c>
      <c r="W35" s="30" t="s">
        <v>165</v>
      </c>
      <c r="X35" s="28" t="s">
        <v>894</v>
      </c>
      <c r="Y35" s="28" t="s">
        <v>895</v>
      </c>
      <c r="Z35" s="40">
        <v>23</v>
      </c>
      <c r="AA35" s="30" t="s">
        <v>896</v>
      </c>
      <c r="AB35" s="30" t="s">
        <v>151</v>
      </c>
      <c r="AC35" s="30" t="s">
        <v>151</v>
      </c>
      <c r="AD35" s="39">
        <v>2017</v>
      </c>
      <c r="AE35" s="30" t="s">
        <v>151</v>
      </c>
      <c r="AF35" s="35">
        <v>45505</v>
      </c>
      <c r="AG35" s="30" t="s">
        <v>151</v>
      </c>
      <c r="AH35" s="30" t="s">
        <v>151</v>
      </c>
      <c r="AI35" s="38" t="s">
        <v>151</v>
      </c>
      <c r="AJ35" s="32" t="s">
        <v>151</v>
      </c>
      <c r="AK35" s="38" t="s">
        <v>151</v>
      </c>
      <c r="AL35" s="38" t="s">
        <v>151</v>
      </c>
      <c r="AM35" s="38" t="s">
        <v>151</v>
      </c>
      <c r="AN35" s="38" t="s">
        <v>151</v>
      </c>
      <c r="AO35" s="38" t="s">
        <v>151</v>
      </c>
      <c r="AP35" s="38" t="s">
        <v>151</v>
      </c>
      <c r="AQ35" s="38" t="s">
        <v>151</v>
      </c>
      <c r="AR35" s="29" t="s">
        <v>151</v>
      </c>
      <c r="AS35" s="30" t="s">
        <v>897</v>
      </c>
      <c r="AT35" s="30" t="s">
        <v>898</v>
      </c>
      <c r="AU35" s="31">
        <v>6</v>
      </c>
      <c r="AV35" s="30" t="s">
        <v>151</v>
      </c>
      <c r="AW35" s="30" t="s">
        <v>899</v>
      </c>
      <c r="AX35" s="30" t="s">
        <v>151</v>
      </c>
      <c r="AY35" s="30" t="s">
        <v>900</v>
      </c>
      <c r="AZ35" s="30" t="s">
        <v>901</v>
      </c>
      <c r="BA35" s="30" t="s">
        <v>151</v>
      </c>
      <c r="BB35" s="30" t="s">
        <v>151</v>
      </c>
      <c r="BC35" s="30" t="s">
        <v>601</v>
      </c>
      <c r="BD35" s="30" t="s">
        <v>902</v>
      </c>
      <c r="BE35" s="30" t="s">
        <v>903</v>
      </c>
      <c r="BF35" s="30" t="s">
        <v>493</v>
      </c>
      <c r="BG35" s="30" t="s">
        <v>904</v>
      </c>
      <c r="BH35" s="30" t="s">
        <v>905</v>
      </c>
      <c r="BI35" s="30" t="s">
        <v>906</v>
      </c>
      <c r="BJ35" s="30" t="s">
        <v>907</v>
      </c>
      <c r="BK35" s="30" t="s">
        <v>908</v>
      </c>
      <c r="BL35" s="30" t="s">
        <v>259</v>
      </c>
      <c r="BM35" s="30" t="s">
        <v>259</v>
      </c>
      <c r="BN35" s="29" t="s">
        <v>909</v>
      </c>
      <c r="BO35" s="30" t="s">
        <v>186</v>
      </c>
      <c r="BP35" s="29" t="s">
        <v>905</v>
      </c>
      <c r="BQ35" s="29" t="s">
        <v>151</v>
      </c>
      <c r="BR35" s="30" t="s">
        <v>910</v>
      </c>
      <c r="BS35" s="30" t="s">
        <v>187</v>
      </c>
      <c r="BT35" s="30" t="s">
        <v>188</v>
      </c>
      <c r="BU35" s="35">
        <v>44855</v>
      </c>
      <c r="BV35" s="37">
        <v>15.82</v>
      </c>
      <c r="BW35" s="30" t="s">
        <v>192</v>
      </c>
      <c r="BX35" s="37">
        <v>42.82</v>
      </c>
      <c r="BY35" s="30" t="s">
        <v>192</v>
      </c>
      <c r="BZ35" s="30" t="s">
        <v>231</v>
      </c>
      <c r="CA35" s="30" t="s">
        <v>232</v>
      </c>
      <c r="CB35" s="30" t="s">
        <v>151</v>
      </c>
      <c r="CC35" s="30" t="s">
        <v>165</v>
      </c>
      <c r="CD35" s="30" t="s">
        <v>151</v>
      </c>
      <c r="CE35" s="30" t="s">
        <v>191</v>
      </c>
      <c r="CF35" s="35" t="s">
        <v>151</v>
      </c>
      <c r="CG35" s="37" t="s">
        <v>151</v>
      </c>
      <c r="CH35" s="30" t="s">
        <v>151</v>
      </c>
      <c r="CI35" s="37" t="s">
        <v>151</v>
      </c>
      <c r="CJ35" s="30" t="s">
        <v>151</v>
      </c>
      <c r="CK35" s="29" t="s">
        <v>151</v>
      </c>
      <c r="CL35" s="30" t="s">
        <v>911</v>
      </c>
      <c r="CM35" s="30" t="s">
        <v>151</v>
      </c>
      <c r="CN35" s="30" t="s">
        <v>151</v>
      </c>
      <c r="CO35" s="30" t="s">
        <v>165</v>
      </c>
      <c r="CP35" s="35" t="s">
        <v>151</v>
      </c>
      <c r="CQ35" s="37" t="s">
        <v>151</v>
      </c>
      <c r="CR35" s="30" t="s">
        <v>151</v>
      </c>
      <c r="CS35" s="30" t="s">
        <v>191</v>
      </c>
      <c r="CT35" s="29" t="s">
        <v>151</v>
      </c>
      <c r="CU35" s="30" t="s">
        <v>151</v>
      </c>
      <c r="CV35" s="32" t="s">
        <v>151</v>
      </c>
      <c r="CW35" s="32" t="s">
        <v>151</v>
      </c>
      <c r="CX35" s="30" t="s">
        <v>151</v>
      </c>
      <c r="CY35" s="32" t="s">
        <v>151</v>
      </c>
      <c r="CZ35" s="32" t="s">
        <v>151</v>
      </c>
      <c r="DA35" s="37">
        <v>42.82</v>
      </c>
      <c r="DB35" s="35">
        <v>44855</v>
      </c>
      <c r="DC35" s="30" t="s">
        <v>231</v>
      </c>
      <c r="DD35" s="29" t="s">
        <v>151</v>
      </c>
      <c r="DE35" s="32">
        <v>-0.52</v>
      </c>
      <c r="DF35" s="34">
        <v>7</v>
      </c>
      <c r="DG35" s="32">
        <v>0</v>
      </c>
      <c r="DH35" s="32">
        <v>0</v>
      </c>
      <c r="DI35" s="32" t="s">
        <v>151</v>
      </c>
      <c r="DJ35" s="34" t="s">
        <v>151</v>
      </c>
      <c r="DK35" s="32" t="s">
        <v>151</v>
      </c>
      <c r="DL35" s="34" t="s">
        <v>151</v>
      </c>
      <c r="DM35" s="32" t="s">
        <v>151</v>
      </c>
      <c r="DN35" s="34" t="s">
        <v>151</v>
      </c>
      <c r="DO35" s="36">
        <v>1.77</v>
      </c>
      <c r="DP35" s="34">
        <v>63</v>
      </c>
      <c r="DQ35" s="36">
        <v>0</v>
      </c>
      <c r="DR35" s="32">
        <v>0</v>
      </c>
      <c r="DS35" s="36" t="s">
        <v>151</v>
      </c>
      <c r="DT35" s="34" t="s">
        <v>151</v>
      </c>
      <c r="DU35" s="36" t="s">
        <v>151</v>
      </c>
      <c r="DV35" s="34" t="s">
        <v>151</v>
      </c>
      <c r="DW35" s="36" t="s">
        <v>151</v>
      </c>
      <c r="DX35" s="34" t="s">
        <v>151</v>
      </c>
      <c r="DY35" s="31" t="s">
        <v>151</v>
      </c>
      <c r="DZ35" s="35" t="s">
        <v>151</v>
      </c>
      <c r="EA35" s="35" t="s">
        <v>151</v>
      </c>
      <c r="EB35" s="34" t="s">
        <v>151</v>
      </c>
      <c r="EC35" s="33" t="s">
        <v>151</v>
      </c>
      <c r="ED35" s="32" t="s">
        <v>151</v>
      </c>
      <c r="EE35" s="34" t="s">
        <v>151</v>
      </c>
      <c r="EF35" s="33" t="s">
        <v>151</v>
      </c>
      <c r="EG35" s="32" t="s">
        <v>151</v>
      </c>
      <c r="EH35" s="29" t="s">
        <v>198</v>
      </c>
      <c r="EI35" s="30" t="s">
        <v>151</v>
      </c>
      <c r="EJ35" s="30" t="s">
        <v>151</v>
      </c>
      <c r="EK35" s="31">
        <v>3</v>
      </c>
      <c r="EL35" s="31">
        <v>6</v>
      </c>
      <c r="EM35" s="31">
        <v>1</v>
      </c>
      <c r="EN35" s="31" t="s">
        <v>151</v>
      </c>
      <c r="EO35" s="31" t="s">
        <v>151</v>
      </c>
      <c r="EP35" s="30" t="s">
        <v>741</v>
      </c>
      <c r="EQ35" s="29" t="s">
        <v>151</v>
      </c>
      <c r="ER35" s="29" t="s">
        <v>151</v>
      </c>
      <c r="ES35" s="4">
        <f>HYPERLINK("https://my.pitchbook.com?c=231070-51","View Company Online")</f>
      </c>
    </row>
    <row r="36">
      <c r="A36" s="17" t="s">
        <v>912</v>
      </c>
      <c r="B36" s="17" t="s">
        <v>913</v>
      </c>
      <c r="C36" s="18">
        <v>7</v>
      </c>
      <c r="D36" s="17" t="s">
        <v>151</v>
      </c>
      <c r="E36" s="17" t="s">
        <v>151</v>
      </c>
      <c r="F36" s="17" t="s">
        <v>914</v>
      </c>
      <c r="G36" s="17" t="s">
        <v>151</v>
      </c>
      <c r="H36" s="17" t="s">
        <v>151</v>
      </c>
      <c r="I36" s="17" t="s">
        <v>915</v>
      </c>
      <c r="J36" s="17" t="s">
        <v>912</v>
      </c>
      <c r="K36" s="17" t="s">
        <v>916</v>
      </c>
      <c r="L36" s="17" t="s">
        <v>205</v>
      </c>
      <c r="M36" s="17" t="s">
        <v>206</v>
      </c>
      <c r="N36" s="17" t="s">
        <v>917</v>
      </c>
      <c r="O36" s="17" t="s">
        <v>918</v>
      </c>
      <c r="P36" s="17" t="s">
        <v>919</v>
      </c>
      <c r="Q36" s="17" t="s">
        <v>920</v>
      </c>
      <c r="R36" s="17" t="s">
        <v>151</v>
      </c>
      <c r="S36" s="17" t="s">
        <v>162</v>
      </c>
      <c r="T36" s="24">
        <v>34</v>
      </c>
      <c r="U36" s="17" t="s">
        <v>163</v>
      </c>
      <c r="V36" s="17" t="s">
        <v>164</v>
      </c>
      <c r="W36" s="17" t="s">
        <v>165</v>
      </c>
      <c r="X36" s="15" t="s">
        <v>921</v>
      </c>
      <c r="Y36" s="15" t="s">
        <v>922</v>
      </c>
      <c r="Z36" s="27">
        <v>49</v>
      </c>
      <c r="AA36" s="17" t="s">
        <v>923</v>
      </c>
      <c r="AB36" s="17" t="s">
        <v>151</v>
      </c>
      <c r="AC36" s="17" t="s">
        <v>151</v>
      </c>
      <c r="AD36" s="26">
        <v>2020</v>
      </c>
      <c r="AE36" s="17" t="s">
        <v>151</v>
      </c>
      <c r="AF36" s="22">
        <v>45590</v>
      </c>
      <c r="AG36" s="17" t="s">
        <v>151</v>
      </c>
      <c r="AH36" s="17" t="s">
        <v>151</v>
      </c>
      <c r="AI36" s="25" t="s">
        <v>151</v>
      </c>
      <c r="AJ36" s="19" t="s">
        <v>151</v>
      </c>
      <c r="AK36" s="25" t="s">
        <v>151</v>
      </c>
      <c r="AL36" s="25" t="s">
        <v>151</v>
      </c>
      <c r="AM36" s="25" t="s">
        <v>151</v>
      </c>
      <c r="AN36" s="25" t="s">
        <v>151</v>
      </c>
      <c r="AO36" s="25" t="s">
        <v>151</v>
      </c>
      <c r="AP36" s="25" t="s">
        <v>151</v>
      </c>
      <c r="AQ36" s="25" t="s">
        <v>151</v>
      </c>
      <c r="AR36" s="16" t="s">
        <v>151</v>
      </c>
      <c r="AS36" s="17" t="s">
        <v>924</v>
      </c>
      <c r="AT36" s="17" t="s">
        <v>925</v>
      </c>
      <c r="AU36" s="18">
        <v>49</v>
      </c>
      <c r="AV36" s="17" t="s">
        <v>151</v>
      </c>
      <c r="AW36" s="17" t="s">
        <v>926</v>
      </c>
      <c r="AX36" s="17" t="s">
        <v>151</v>
      </c>
      <c r="AY36" s="17" t="s">
        <v>927</v>
      </c>
      <c r="AZ36" s="17" t="s">
        <v>928</v>
      </c>
      <c r="BA36" s="17" t="s">
        <v>151</v>
      </c>
      <c r="BB36" s="17" t="s">
        <v>151</v>
      </c>
      <c r="BC36" s="17" t="s">
        <v>490</v>
      </c>
      <c r="BD36" s="17" t="s">
        <v>929</v>
      </c>
      <c r="BE36" s="17" t="s">
        <v>930</v>
      </c>
      <c r="BF36" s="17" t="s">
        <v>931</v>
      </c>
      <c r="BG36" s="17" t="s">
        <v>932</v>
      </c>
      <c r="BH36" s="17" t="s">
        <v>933</v>
      </c>
      <c r="BI36" s="17" t="s">
        <v>934</v>
      </c>
      <c r="BJ36" s="17" t="s">
        <v>935</v>
      </c>
      <c r="BK36" s="17" t="s">
        <v>936</v>
      </c>
      <c r="BL36" s="17" t="s">
        <v>937</v>
      </c>
      <c r="BM36" s="17" t="s">
        <v>184</v>
      </c>
      <c r="BN36" s="16" t="s">
        <v>938</v>
      </c>
      <c r="BO36" s="17" t="s">
        <v>186</v>
      </c>
      <c r="BP36" s="16" t="s">
        <v>933</v>
      </c>
      <c r="BQ36" s="16" t="s">
        <v>151</v>
      </c>
      <c r="BR36" s="17" t="s">
        <v>939</v>
      </c>
      <c r="BS36" s="17" t="s">
        <v>187</v>
      </c>
      <c r="BT36" s="17" t="s">
        <v>188</v>
      </c>
      <c r="BU36" s="22">
        <v>44075</v>
      </c>
      <c r="BV36" s="24">
        <v>6</v>
      </c>
      <c r="BW36" s="17" t="s">
        <v>192</v>
      </c>
      <c r="BX36" s="24" t="s">
        <v>151</v>
      </c>
      <c r="BY36" s="17" t="s">
        <v>151</v>
      </c>
      <c r="BZ36" s="17" t="s">
        <v>293</v>
      </c>
      <c r="CA36" s="17" t="s">
        <v>293</v>
      </c>
      <c r="CB36" s="17" t="s">
        <v>151</v>
      </c>
      <c r="CC36" s="17" t="s">
        <v>165</v>
      </c>
      <c r="CD36" s="17" t="s">
        <v>151</v>
      </c>
      <c r="CE36" s="17" t="s">
        <v>191</v>
      </c>
      <c r="CF36" s="22" t="s">
        <v>151</v>
      </c>
      <c r="CG36" s="24" t="s">
        <v>151</v>
      </c>
      <c r="CH36" s="17" t="s">
        <v>151</v>
      </c>
      <c r="CI36" s="24" t="s">
        <v>151</v>
      </c>
      <c r="CJ36" s="17" t="s">
        <v>151</v>
      </c>
      <c r="CK36" s="16" t="s">
        <v>151</v>
      </c>
      <c r="CL36" s="17" t="s">
        <v>911</v>
      </c>
      <c r="CM36" s="17" t="s">
        <v>151</v>
      </c>
      <c r="CN36" s="17" t="s">
        <v>151</v>
      </c>
      <c r="CO36" s="17" t="s">
        <v>165</v>
      </c>
      <c r="CP36" s="22" t="s">
        <v>151</v>
      </c>
      <c r="CQ36" s="24" t="s">
        <v>151</v>
      </c>
      <c r="CR36" s="17" t="s">
        <v>151</v>
      </c>
      <c r="CS36" s="17" t="s">
        <v>191</v>
      </c>
      <c r="CT36" s="16">
        <v>73</v>
      </c>
      <c r="CU36" s="17" t="s">
        <v>196</v>
      </c>
      <c r="CV36" s="19">
        <v>66</v>
      </c>
      <c r="CW36" s="19">
        <v>34</v>
      </c>
      <c r="CX36" s="17" t="s">
        <v>294</v>
      </c>
      <c r="CY36" s="19">
        <v>5</v>
      </c>
      <c r="CZ36" s="19">
        <v>61</v>
      </c>
      <c r="DA36" s="24">
        <v>300</v>
      </c>
      <c r="DB36" s="22">
        <v>44894</v>
      </c>
      <c r="DC36" s="17" t="s">
        <v>231</v>
      </c>
      <c r="DD36" s="16" t="s">
        <v>151</v>
      </c>
      <c r="DE36" s="19">
        <v>0.25</v>
      </c>
      <c r="DF36" s="21">
        <v>92</v>
      </c>
      <c r="DG36" s="19">
        <v>-0.06</v>
      </c>
      <c r="DH36" s="19">
        <v>-20.02</v>
      </c>
      <c r="DI36" s="19">
        <v>0.38</v>
      </c>
      <c r="DJ36" s="21">
        <v>94</v>
      </c>
      <c r="DK36" s="19" t="s">
        <v>151</v>
      </c>
      <c r="DL36" s="21" t="s">
        <v>151</v>
      </c>
      <c r="DM36" s="19">
        <v>0.38</v>
      </c>
      <c r="DN36" s="21">
        <v>94</v>
      </c>
      <c r="DO36" s="23">
        <v>14.23</v>
      </c>
      <c r="DP36" s="21">
        <v>93</v>
      </c>
      <c r="DQ36" s="23">
        <v>0</v>
      </c>
      <c r="DR36" s="19">
        <v>0</v>
      </c>
      <c r="DS36" s="23">
        <v>24.95</v>
      </c>
      <c r="DT36" s="21">
        <v>96</v>
      </c>
      <c r="DU36" s="23" t="s">
        <v>151</v>
      </c>
      <c r="DV36" s="21" t="s">
        <v>151</v>
      </c>
      <c r="DW36" s="23">
        <v>24.95</v>
      </c>
      <c r="DX36" s="21">
        <v>96</v>
      </c>
      <c r="DY36" s="18" t="s">
        <v>151</v>
      </c>
      <c r="DZ36" s="22" t="s">
        <v>151</v>
      </c>
      <c r="EA36" s="22" t="s">
        <v>151</v>
      </c>
      <c r="EB36" s="21">
        <v>2771</v>
      </c>
      <c r="EC36" s="20">
        <v>-81</v>
      </c>
      <c r="ED36" s="19">
        <v>-2.84</v>
      </c>
      <c r="EE36" s="21">
        <v>474</v>
      </c>
      <c r="EF36" s="20">
        <v>1</v>
      </c>
      <c r="EG36" s="19">
        <v>0.21</v>
      </c>
      <c r="EH36" s="16" t="s">
        <v>198</v>
      </c>
      <c r="EI36" s="17" t="s">
        <v>151</v>
      </c>
      <c r="EJ36" s="17" t="s">
        <v>151</v>
      </c>
      <c r="EK36" s="18">
        <v>2</v>
      </c>
      <c r="EL36" s="18">
        <v>6</v>
      </c>
      <c r="EM36" s="18" t="s">
        <v>151</v>
      </c>
      <c r="EN36" s="18" t="s">
        <v>151</v>
      </c>
      <c r="EO36" s="18">
        <v>1</v>
      </c>
      <c r="EP36" s="17" t="s">
        <v>940</v>
      </c>
      <c r="EQ36" s="16" t="s">
        <v>151</v>
      </c>
      <c r="ER36" s="16" t="s">
        <v>151</v>
      </c>
      <c r="ES36" s="3">
        <f>HYPERLINK("https://my.pitchbook.com?c=439482-61","View Company Online")</f>
      </c>
    </row>
    <row r="37">
      <c r="A37" s="30" t="s">
        <v>941</v>
      </c>
      <c r="B37" s="30" t="s">
        <v>942</v>
      </c>
      <c r="C37" s="31">
        <v>7</v>
      </c>
      <c r="D37" s="30" t="s">
        <v>151</v>
      </c>
      <c r="E37" s="30" t="s">
        <v>151</v>
      </c>
      <c r="F37" s="30" t="s">
        <v>943</v>
      </c>
      <c r="G37" s="30" t="s">
        <v>151</v>
      </c>
      <c r="H37" s="30" t="s">
        <v>151</v>
      </c>
      <c r="I37" s="30" t="s">
        <v>944</v>
      </c>
      <c r="J37" s="30" t="s">
        <v>941</v>
      </c>
      <c r="K37" s="30" t="s">
        <v>945</v>
      </c>
      <c r="L37" s="30" t="s">
        <v>205</v>
      </c>
      <c r="M37" s="30" t="s">
        <v>448</v>
      </c>
      <c r="N37" s="30" t="s">
        <v>478</v>
      </c>
      <c r="O37" s="30" t="s">
        <v>946</v>
      </c>
      <c r="P37" s="30" t="s">
        <v>947</v>
      </c>
      <c r="Q37" s="30" t="s">
        <v>948</v>
      </c>
      <c r="R37" s="30" t="s">
        <v>151</v>
      </c>
      <c r="S37" s="30" t="s">
        <v>162</v>
      </c>
      <c r="T37" s="37">
        <v>2.61</v>
      </c>
      <c r="U37" s="30" t="s">
        <v>163</v>
      </c>
      <c r="V37" s="30" t="s">
        <v>164</v>
      </c>
      <c r="W37" s="30" t="s">
        <v>165</v>
      </c>
      <c r="X37" s="28" t="s">
        <v>949</v>
      </c>
      <c r="Y37" s="28" t="s">
        <v>950</v>
      </c>
      <c r="Z37" s="40">
        <v>24</v>
      </c>
      <c r="AA37" s="30" t="s">
        <v>951</v>
      </c>
      <c r="AB37" s="30" t="s">
        <v>151</v>
      </c>
      <c r="AC37" s="30" t="s">
        <v>151</v>
      </c>
      <c r="AD37" s="39">
        <v>2013</v>
      </c>
      <c r="AE37" s="30" t="s">
        <v>151</v>
      </c>
      <c r="AF37" s="35">
        <v>45544</v>
      </c>
      <c r="AG37" s="30" t="s">
        <v>151</v>
      </c>
      <c r="AH37" s="30" t="s">
        <v>151</v>
      </c>
      <c r="AI37" s="38" t="s">
        <v>151</v>
      </c>
      <c r="AJ37" s="32" t="s">
        <v>151</v>
      </c>
      <c r="AK37" s="38" t="s">
        <v>151</v>
      </c>
      <c r="AL37" s="38" t="s">
        <v>151</v>
      </c>
      <c r="AM37" s="38" t="s">
        <v>151</v>
      </c>
      <c r="AN37" s="38" t="s">
        <v>151</v>
      </c>
      <c r="AO37" s="38" t="s">
        <v>151</v>
      </c>
      <c r="AP37" s="38" t="s">
        <v>151</v>
      </c>
      <c r="AQ37" s="38" t="s">
        <v>151</v>
      </c>
      <c r="AR37" s="29" t="s">
        <v>151</v>
      </c>
      <c r="AS37" s="30" t="s">
        <v>952</v>
      </c>
      <c r="AT37" s="30" t="s">
        <v>953</v>
      </c>
      <c r="AU37" s="31">
        <v>6</v>
      </c>
      <c r="AV37" s="30" t="s">
        <v>151</v>
      </c>
      <c r="AW37" s="30" t="s">
        <v>954</v>
      </c>
      <c r="AX37" s="30" t="s">
        <v>151</v>
      </c>
      <c r="AY37" s="30" t="s">
        <v>955</v>
      </c>
      <c r="AZ37" s="30" t="s">
        <v>956</v>
      </c>
      <c r="BA37" s="30" t="s">
        <v>151</v>
      </c>
      <c r="BB37" s="30" t="s">
        <v>151</v>
      </c>
      <c r="BC37" s="30" t="s">
        <v>151</v>
      </c>
      <c r="BD37" s="30" t="s">
        <v>957</v>
      </c>
      <c r="BE37" s="30" t="s">
        <v>958</v>
      </c>
      <c r="BF37" s="30" t="s">
        <v>731</v>
      </c>
      <c r="BG37" s="30" t="s">
        <v>959</v>
      </c>
      <c r="BH37" s="30" t="s">
        <v>960</v>
      </c>
      <c r="BI37" s="30" t="s">
        <v>578</v>
      </c>
      <c r="BJ37" s="30" t="s">
        <v>961</v>
      </c>
      <c r="BK37" s="30" t="s">
        <v>962</v>
      </c>
      <c r="BL37" s="30" t="s">
        <v>581</v>
      </c>
      <c r="BM37" s="30" t="s">
        <v>582</v>
      </c>
      <c r="BN37" s="29" t="s">
        <v>963</v>
      </c>
      <c r="BO37" s="30" t="s">
        <v>186</v>
      </c>
      <c r="BP37" s="29" t="s">
        <v>960</v>
      </c>
      <c r="BQ37" s="29" t="s">
        <v>151</v>
      </c>
      <c r="BR37" s="30" t="s">
        <v>964</v>
      </c>
      <c r="BS37" s="30" t="s">
        <v>187</v>
      </c>
      <c r="BT37" s="30" t="s">
        <v>188</v>
      </c>
      <c r="BU37" s="35">
        <v>42395</v>
      </c>
      <c r="BV37" s="37" t="s">
        <v>151</v>
      </c>
      <c r="BW37" s="30" t="s">
        <v>151</v>
      </c>
      <c r="BX37" s="37" t="s">
        <v>151</v>
      </c>
      <c r="BY37" s="30" t="s">
        <v>151</v>
      </c>
      <c r="BZ37" s="30" t="s">
        <v>189</v>
      </c>
      <c r="CA37" s="30" t="s">
        <v>151</v>
      </c>
      <c r="CB37" s="30" t="s">
        <v>151</v>
      </c>
      <c r="CC37" s="30" t="s">
        <v>190</v>
      </c>
      <c r="CD37" s="30" t="s">
        <v>151</v>
      </c>
      <c r="CE37" s="30" t="s">
        <v>191</v>
      </c>
      <c r="CF37" s="35" t="s">
        <v>151</v>
      </c>
      <c r="CG37" s="37" t="s">
        <v>151</v>
      </c>
      <c r="CH37" s="30" t="s">
        <v>151</v>
      </c>
      <c r="CI37" s="37" t="s">
        <v>151</v>
      </c>
      <c r="CJ37" s="30" t="s">
        <v>151</v>
      </c>
      <c r="CK37" s="29" t="s">
        <v>151</v>
      </c>
      <c r="CL37" s="30" t="s">
        <v>911</v>
      </c>
      <c r="CM37" s="30" t="s">
        <v>151</v>
      </c>
      <c r="CN37" s="30" t="s">
        <v>151</v>
      </c>
      <c r="CO37" s="30" t="s">
        <v>165</v>
      </c>
      <c r="CP37" s="35" t="s">
        <v>151</v>
      </c>
      <c r="CQ37" s="37" t="s">
        <v>151</v>
      </c>
      <c r="CR37" s="30" t="s">
        <v>151</v>
      </c>
      <c r="CS37" s="30" t="s">
        <v>191</v>
      </c>
      <c r="CT37" s="29" t="s">
        <v>151</v>
      </c>
      <c r="CU37" s="30" t="s">
        <v>151</v>
      </c>
      <c r="CV37" s="32" t="s">
        <v>151</v>
      </c>
      <c r="CW37" s="32" t="s">
        <v>151</v>
      </c>
      <c r="CX37" s="30" t="s">
        <v>151</v>
      </c>
      <c r="CY37" s="32" t="s">
        <v>151</v>
      </c>
      <c r="CZ37" s="32" t="s">
        <v>151</v>
      </c>
      <c r="DA37" s="37" t="s">
        <v>151</v>
      </c>
      <c r="DB37" s="35" t="s">
        <v>151</v>
      </c>
      <c r="DC37" s="30" t="s">
        <v>151</v>
      </c>
      <c r="DD37" s="29" t="s">
        <v>151</v>
      </c>
      <c r="DE37" s="32">
        <v>0.65</v>
      </c>
      <c r="DF37" s="34">
        <v>95</v>
      </c>
      <c r="DG37" s="32">
        <v>0</v>
      </c>
      <c r="DH37" s="32">
        <v>0</v>
      </c>
      <c r="DI37" s="32">
        <v>0.24</v>
      </c>
      <c r="DJ37" s="34">
        <v>93</v>
      </c>
      <c r="DK37" s="32">
        <v>0</v>
      </c>
      <c r="DL37" s="34">
        <v>11</v>
      </c>
      <c r="DM37" s="32">
        <v>0.49</v>
      </c>
      <c r="DN37" s="34">
        <v>95</v>
      </c>
      <c r="DO37" s="36">
        <v>1.99</v>
      </c>
      <c r="DP37" s="34">
        <v>66</v>
      </c>
      <c r="DQ37" s="36">
        <v>0</v>
      </c>
      <c r="DR37" s="32">
        <v>0</v>
      </c>
      <c r="DS37" s="36">
        <v>3.92</v>
      </c>
      <c r="DT37" s="34">
        <v>79</v>
      </c>
      <c r="DU37" s="36">
        <v>0.89</v>
      </c>
      <c r="DV37" s="34">
        <v>48</v>
      </c>
      <c r="DW37" s="36">
        <v>6.95</v>
      </c>
      <c r="DX37" s="34">
        <v>86</v>
      </c>
      <c r="DY37" s="31" t="s">
        <v>151</v>
      </c>
      <c r="DZ37" s="35" t="s">
        <v>151</v>
      </c>
      <c r="EA37" s="35" t="s">
        <v>151</v>
      </c>
      <c r="EB37" s="34">
        <v>184</v>
      </c>
      <c r="EC37" s="33">
        <v>-19</v>
      </c>
      <c r="ED37" s="32">
        <v>-9.36</v>
      </c>
      <c r="EE37" s="34">
        <v>132</v>
      </c>
      <c r="EF37" s="33">
        <v>1</v>
      </c>
      <c r="EG37" s="32">
        <v>0.76</v>
      </c>
      <c r="EH37" s="29" t="s">
        <v>198</v>
      </c>
      <c r="EI37" s="30" t="s">
        <v>151</v>
      </c>
      <c r="EJ37" s="30" t="s">
        <v>151</v>
      </c>
      <c r="EK37" s="31">
        <v>3</v>
      </c>
      <c r="EL37" s="31">
        <v>6</v>
      </c>
      <c r="EM37" s="31" t="s">
        <v>151</v>
      </c>
      <c r="EN37" s="31" t="s">
        <v>151</v>
      </c>
      <c r="EO37" s="31">
        <v>1</v>
      </c>
      <c r="EP37" s="30" t="s">
        <v>965</v>
      </c>
      <c r="EQ37" s="29" t="s">
        <v>151</v>
      </c>
      <c r="ER37" s="29" t="s">
        <v>151</v>
      </c>
      <c r="ES37" s="4">
        <f>HYPERLINK("https://my.pitchbook.com?c=120322-00","View Company Online")</f>
      </c>
    </row>
    <row r="38">
      <c r="A38" s="17" t="s">
        <v>966</v>
      </c>
      <c r="B38" s="17" t="s">
        <v>967</v>
      </c>
      <c r="C38" s="18">
        <v>6</v>
      </c>
      <c r="D38" s="17" t="s">
        <v>151</v>
      </c>
      <c r="E38" s="17" t="s">
        <v>151</v>
      </c>
      <c r="F38" s="17" t="s">
        <v>968</v>
      </c>
      <c r="G38" s="17" t="s">
        <v>151</v>
      </c>
      <c r="H38" s="17" t="s">
        <v>151</v>
      </c>
      <c r="I38" s="17" t="s">
        <v>151</v>
      </c>
      <c r="J38" s="17" t="s">
        <v>966</v>
      </c>
      <c r="K38" s="17" t="s">
        <v>969</v>
      </c>
      <c r="L38" s="17" t="s">
        <v>616</v>
      </c>
      <c r="M38" s="17" t="s">
        <v>970</v>
      </c>
      <c r="N38" s="17" t="s">
        <v>971</v>
      </c>
      <c r="O38" s="17" t="s">
        <v>972</v>
      </c>
      <c r="P38" s="17" t="s">
        <v>973</v>
      </c>
      <c r="Q38" s="17" t="s">
        <v>974</v>
      </c>
      <c r="R38" s="17" t="s">
        <v>151</v>
      </c>
      <c r="S38" s="17" t="s">
        <v>162</v>
      </c>
      <c r="T38" s="24">
        <v>7.63</v>
      </c>
      <c r="U38" s="17" t="s">
        <v>163</v>
      </c>
      <c r="V38" s="17" t="s">
        <v>164</v>
      </c>
      <c r="W38" s="17" t="s">
        <v>165</v>
      </c>
      <c r="X38" s="15" t="s">
        <v>975</v>
      </c>
      <c r="Y38" s="15" t="s">
        <v>976</v>
      </c>
      <c r="Z38" s="27">
        <v>29</v>
      </c>
      <c r="AA38" s="17" t="s">
        <v>977</v>
      </c>
      <c r="AB38" s="17" t="s">
        <v>151</v>
      </c>
      <c r="AC38" s="17" t="s">
        <v>151</v>
      </c>
      <c r="AD38" s="26">
        <v>2004</v>
      </c>
      <c r="AE38" s="17" t="s">
        <v>151</v>
      </c>
      <c r="AF38" s="22">
        <v>45510</v>
      </c>
      <c r="AG38" s="17" t="s">
        <v>151</v>
      </c>
      <c r="AH38" s="17" t="s">
        <v>151</v>
      </c>
      <c r="AI38" s="25" t="s">
        <v>151</v>
      </c>
      <c r="AJ38" s="19" t="s">
        <v>151</v>
      </c>
      <c r="AK38" s="25" t="s">
        <v>151</v>
      </c>
      <c r="AL38" s="25" t="s">
        <v>151</v>
      </c>
      <c r="AM38" s="25" t="s">
        <v>151</v>
      </c>
      <c r="AN38" s="25" t="s">
        <v>151</v>
      </c>
      <c r="AO38" s="25" t="s">
        <v>151</v>
      </c>
      <c r="AP38" s="25" t="s">
        <v>151</v>
      </c>
      <c r="AQ38" s="25" t="s">
        <v>151</v>
      </c>
      <c r="AR38" s="16" t="s">
        <v>151</v>
      </c>
      <c r="AS38" s="17" t="s">
        <v>978</v>
      </c>
      <c r="AT38" s="17" t="s">
        <v>979</v>
      </c>
      <c r="AU38" s="18">
        <v>3</v>
      </c>
      <c r="AV38" s="17" t="s">
        <v>151</v>
      </c>
      <c r="AW38" s="17" t="s">
        <v>151</v>
      </c>
      <c r="AX38" s="17" t="s">
        <v>151</v>
      </c>
      <c r="AY38" s="17" t="s">
        <v>980</v>
      </c>
      <c r="AZ38" s="17" t="s">
        <v>151</v>
      </c>
      <c r="BA38" s="17" t="s">
        <v>151</v>
      </c>
      <c r="BB38" s="17" t="s">
        <v>151</v>
      </c>
      <c r="BC38" s="17" t="s">
        <v>981</v>
      </c>
      <c r="BD38" s="17" t="s">
        <v>982</v>
      </c>
      <c r="BE38" s="17" t="s">
        <v>983</v>
      </c>
      <c r="BF38" s="17" t="s">
        <v>493</v>
      </c>
      <c r="BG38" s="17" t="s">
        <v>984</v>
      </c>
      <c r="BH38" s="17" t="s">
        <v>985</v>
      </c>
      <c r="BI38" s="17" t="s">
        <v>986</v>
      </c>
      <c r="BJ38" s="17" t="s">
        <v>987</v>
      </c>
      <c r="BK38" s="17" t="s">
        <v>988</v>
      </c>
      <c r="BL38" s="17" t="s">
        <v>989</v>
      </c>
      <c r="BM38" s="17" t="s">
        <v>184</v>
      </c>
      <c r="BN38" s="16" t="s">
        <v>990</v>
      </c>
      <c r="BO38" s="17" t="s">
        <v>186</v>
      </c>
      <c r="BP38" s="16" t="s">
        <v>985</v>
      </c>
      <c r="BQ38" s="16" t="s">
        <v>991</v>
      </c>
      <c r="BR38" s="17" t="s">
        <v>992</v>
      </c>
      <c r="BS38" s="17" t="s">
        <v>187</v>
      </c>
      <c r="BT38" s="17" t="s">
        <v>188</v>
      </c>
      <c r="BU38" s="22">
        <v>41358</v>
      </c>
      <c r="BV38" s="24">
        <v>0.02</v>
      </c>
      <c r="BW38" s="17" t="s">
        <v>192</v>
      </c>
      <c r="BX38" s="24" t="s">
        <v>151</v>
      </c>
      <c r="BY38" s="17" t="s">
        <v>151</v>
      </c>
      <c r="BZ38" s="17" t="s">
        <v>189</v>
      </c>
      <c r="CA38" s="17" t="s">
        <v>151</v>
      </c>
      <c r="CB38" s="17" t="s">
        <v>151</v>
      </c>
      <c r="CC38" s="17" t="s">
        <v>190</v>
      </c>
      <c r="CD38" s="17" t="s">
        <v>151</v>
      </c>
      <c r="CE38" s="17" t="s">
        <v>191</v>
      </c>
      <c r="CF38" s="22">
        <v>44375</v>
      </c>
      <c r="CG38" s="24">
        <v>5</v>
      </c>
      <c r="CH38" s="17" t="s">
        <v>192</v>
      </c>
      <c r="CI38" s="24">
        <v>30.15</v>
      </c>
      <c r="CJ38" s="17" t="s">
        <v>192</v>
      </c>
      <c r="CK38" s="16">
        <v>2.37</v>
      </c>
      <c r="CL38" s="17" t="s">
        <v>194</v>
      </c>
      <c r="CM38" s="17" t="s">
        <v>232</v>
      </c>
      <c r="CN38" s="17" t="s">
        <v>151</v>
      </c>
      <c r="CO38" s="17" t="s">
        <v>165</v>
      </c>
      <c r="CP38" s="22">
        <v>44375</v>
      </c>
      <c r="CQ38" s="24" t="s">
        <v>151</v>
      </c>
      <c r="CR38" s="17" t="s">
        <v>151</v>
      </c>
      <c r="CS38" s="17" t="s">
        <v>191</v>
      </c>
      <c r="CT38" s="16">
        <v>10</v>
      </c>
      <c r="CU38" s="17" t="s">
        <v>263</v>
      </c>
      <c r="CV38" s="19">
        <v>11</v>
      </c>
      <c r="CW38" s="19">
        <v>89</v>
      </c>
      <c r="CX38" s="17" t="s">
        <v>263</v>
      </c>
      <c r="CY38" s="19">
        <v>1</v>
      </c>
      <c r="CZ38" s="19">
        <v>10</v>
      </c>
      <c r="DA38" s="24">
        <v>30.15</v>
      </c>
      <c r="DB38" s="22">
        <v>44375</v>
      </c>
      <c r="DC38" s="17" t="s">
        <v>194</v>
      </c>
      <c r="DD38" s="16">
        <v>2.37</v>
      </c>
      <c r="DE38" s="19">
        <v>0</v>
      </c>
      <c r="DF38" s="21">
        <v>11</v>
      </c>
      <c r="DG38" s="19">
        <v>0</v>
      </c>
      <c r="DH38" s="19">
        <v>0</v>
      </c>
      <c r="DI38" s="19" t="s">
        <v>151</v>
      </c>
      <c r="DJ38" s="21" t="s">
        <v>151</v>
      </c>
      <c r="DK38" s="19" t="s">
        <v>151</v>
      </c>
      <c r="DL38" s="21" t="s">
        <v>151</v>
      </c>
      <c r="DM38" s="19" t="s">
        <v>151</v>
      </c>
      <c r="DN38" s="21" t="s">
        <v>151</v>
      </c>
      <c r="DO38" s="23">
        <v>2.23</v>
      </c>
      <c r="DP38" s="21">
        <v>69</v>
      </c>
      <c r="DQ38" s="23">
        <v>0</v>
      </c>
      <c r="DR38" s="19">
        <v>0</v>
      </c>
      <c r="DS38" s="23" t="s">
        <v>151</v>
      </c>
      <c r="DT38" s="21" t="s">
        <v>151</v>
      </c>
      <c r="DU38" s="23" t="s">
        <v>151</v>
      </c>
      <c r="DV38" s="21" t="s">
        <v>151</v>
      </c>
      <c r="DW38" s="23" t="s">
        <v>151</v>
      </c>
      <c r="DX38" s="21" t="s">
        <v>151</v>
      </c>
      <c r="DY38" s="18" t="s">
        <v>151</v>
      </c>
      <c r="DZ38" s="22" t="s">
        <v>151</v>
      </c>
      <c r="EA38" s="22" t="s">
        <v>151</v>
      </c>
      <c r="EB38" s="21" t="s">
        <v>151</v>
      </c>
      <c r="EC38" s="20" t="s">
        <v>151</v>
      </c>
      <c r="ED38" s="19" t="s">
        <v>151</v>
      </c>
      <c r="EE38" s="21" t="s">
        <v>151</v>
      </c>
      <c r="EF38" s="20" t="s">
        <v>151</v>
      </c>
      <c r="EG38" s="19" t="s">
        <v>151</v>
      </c>
      <c r="EH38" s="16" t="s">
        <v>198</v>
      </c>
      <c r="EI38" s="17" t="s">
        <v>151</v>
      </c>
      <c r="EJ38" s="17" t="s">
        <v>151</v>
      </c>
      <c r="EK38" s="18">
        <v>3</v>
      </c>
      <c r="EL38" s="18">
        <v>4</v>
      </c>
      <c r="EM38" s="18">
        <v>1</v>
      </c>
      <c r="EN38" s="18" t="s">
        <v>151</v>
      </c>
      <c r="EO38" s="18">
        <v>1</v>
      </c>
      <c r="EP38" s="17" t="s">
        <v>993</v>
      </c>
      <c r="EQ38" s="16" t="s">
        <v>151</v>
      </c>
      <c r="ER38" s="16" t="s">
        <v>151</v>
      </c>
      <c r="ES38" s="3">
        <f>HYPERLINK("https://my.pitchbook.com?c=81741-07","View Company Online")</f>
      </c>
    </row>
    <row r="39">
      <c r="A39" s="30" t="s">
        <v>994</v>
      </c>
      <c r="B39" s="30" t="s">
        <v>995</v>
      </c>
      <c r="C39" s="31">
        <v>6</v>
      </c>
      <c r="D39" s="30" t="s">
        <v>151</v>
      </c>
      <c r="E39" s="30" t="s">
        <v>151</v>
      </c>
      <c r="F39" s="30" t="s">
        <v>996</v>
      </c>
      <c r="G39" s="30" t="s">
        <v>151</v>
      </c>
      <c r="H39" s="30" t="s">
        <v>151</v>
      </c>
      <c r="I39" s="30" t="s">
        <v>151</v>
      </c>
      <c r="J39" s="30" t="s">
        <v>994</v>
      </c>
      <c r="K39" s="30" t="s">
        <v>997</v>
      </c>
      <c r="L39" s="30" t="s">
        <v>205</v>
      </c>
      <c r="M39" s="30" t="s">
        <v>206</v>
      </c>
      <c r="N39" s="30" t="s">
        <v>998</v>
      </c>
      <c r="O39" s="30" t="s">
        <v>999</v>
      </c>
      <c r="P39" s="30" t="s">
        <v>1000</v>
      </c>
      <c r="Q39" s="30" t="s">
        <v>1001</v>
      </c>
      <c r="R39" s="30" t="s">
        <v>151</v>
      </c>
      <c r="S39" s="30" t="s">
        <v>162</v>
      </c>
      <c r="T39" s="37">
        <v>1</v>
      </c>
      <c r="U39" s="30" t="s">
        <v>163</v>
      </c>
      <c r="V39" s="30" t="s">
        <v>164</v>
      </c>
      <c r="W39" s="30" t="s">
        <v>165</v>
      </c>
      <c r="X39" s="28" t="s">
        <v>1002</v>
      </c>
      <c r="Y39" s="28" t="s">
        <v>1003</v>
      </c>
      <c r="Z39" s="40">
        <v>15</v>
      </c>
      <c r="AA39" s="30" t="s">
        <v>1004</v>
      </c>
      <c r="AB39" s="30" t="s">
        <v>151</v>
      </c>
      <c r="AC39" s="30" t="s">
        <v>151</v>
      </c>
      <c r="AD39" s="39">
        <v>2019</v>
      </c>
      <c r="AE39" s="30" t="s">
        <v>151</v>
      </c>
      <c r="AF39" s="35">
        <v>45470</v>
      </c>
      <c r="AG39" s="30" t="s">
        <v>151</v>
      </c>
      <c r="AH39" s="30" t="s">
        <v>151</v>
      </c>
      <c r="AI39" s="38" t="s">
        <v>151</v>
      </c>
      <c r="AJ39" s="32" t="s">
        <v>151</v>
      </c>
      <c r="AK39" s="38" t="s">
        <v>151</v>
      </c>
      <c r="AL39" s="38" t="s">
        <v>151</v>
      </c>
      <c r="AM39" s="38" t="s">
        <v>151</v>
      </c>
      <c r="AN39" s="38" t="s">
        <v>151</v>
      </c>
      <c r="AO39" s="38" t="s">
        <v>151</v>
      </c>
      <c r="AP39" s="38" t="s">
        <v>151</v>
      </c>
      <c r="AQ39" s="38" t="s">
        <v>151</v>
      </c>
      <c r="AR39" s="29" t="s">
        <v>151</v>
      </c>
      <c r="AS39" s="30" t="s">
        <v>1005</v>
      </c>
      <c r="AT39" s="30" t="s">
        <v>1006</v>
      </c>
      <c r="AU39" s="31">
        <v>14</v>
      </c>
      <c r="AV39" s="30" t="s">
        <v>151</v>
      </c>
      <c r="AW39" s="30" t="s">
        <v>151</v>
      </c>
      <c r="AX39" s="30" t="s">
        <v>151</v>
      </c>
      <c r="AY39" s="30" t="s">
        <v>1007</v>
      </c>
      <c r="AZ39" s="30" t="s">
        <v>151</v>
      </c>
      <c r="BA39" s="30" t="s">
        <v>151</v>
      </c>
      <c r="BB39" s="30" t="s">
        <v>151</v>
      </c>
      <c r="BC39" s="30" t="s">
        <v>151</v>
      </c>
      <c r="BD39" s="30" t="s">
        <v>1008</v>
      </c>
      <c r="BE39" s="30" t="s">
        <v>1009</v>
      </c>
      <c r="BF39" s="30" t="s">
        <v>403</v>
      </c>
      <c r="BG39" s="30" t="s">
        <v>1010</v>
      </c>
      <c r="BH39" s="30" t="s">
        <v>1011</v>
      </c>
      <c r="BI39" s="30" t="s">
        <v>1012</v>
      </c>
      <c r="BJ39" s="30" t="s">
        <v>1013</v>
      </c>
      <c r="BK39" s="30" t="s">
        <v>1014</v>
      </c>
      <c r="BL39" s="30" t="s">
        <v>1015</v>
      </c>
      <c r="BM39" s="30" t="s">
        <v>184</v>
      </c>
      <c r="BN39" s="29" t="s">
        <v>1016</v>
      </c>
      <c r="BO39" s="30" t="s">
        <v>186</v>
      </c>
      <c r="BP39" s="29" t="s">
        <v>1011</v>
      </c>
      <c r="BQ39" s="29" t="s">
        <v>151</v>
      </c>
      <c r="BR39" s="30" t="s">
        <v>1017</v>
      </c>
      <c r="BS39" s="30" t="s">
        <v>187</v>
      </c>
      <c r="BT39" s="30" t="s">
        <v>188</v>
      </c>
      <c r="BU39" s="35">
        <v>44105</v>
      </c>
      <c r="BV39" s="37">
        <v>1</v>
      </c>
      <c r="BW39" s="30" t="s">
        <v>192</v>
      </c>
      <c r="BX39" s="37" t="s">
        <v>151</v>
      </c>
      <c r="BY39" s="30" t="s">
        <v>151</v>
      </c>
      <c r="BZ39" s="30" t="s">
        <v>293</v>
      </c>
      <c r="CA39" s="30" t="s">
        <v>293</v>
      </c>
      <c r="CB39" s="30" t="s">
        <v>151</v>
      </c>
      <c r="CC39" s="30" t="s">
        <v>165</v>
      </c>
      <c r="CD39" s="30" t="s">
        <v>151</v>
      </c>
      <c r="CE39" s="30" t="s">
        <v>191</v>
      </c>
      <c r="CF39" s="35">
        <v>45108</v>
      </c>
      <c r="CG39" s="37" t="s">
        <v>151</v>
      </c>
      <c r="CH39" s="30" t="s">
        <v>151</v>
      </c>
      <c r="CI39" s="37" t="s">
        <v>151</v>
      </c>
      <c r="CJ39" s="30" t="s">
        <v>151</v>
      </c>
      <c r="CK39" s="29" t="s">
        <v>151</v>
      </c>
      <c r="CL39" s="30" t="s">
        <v>231</v>
      </c>
      <c r="CM39" s="30" t="s">
        <v>151</v>
      </c>
      <c r="CN39" s="30" t="s">
        <v>151</v>
      </c>
      <c r="CO39" s="30" t="s">
        <v>165</v>
      </c>
      <c r="CP39" s="35">
        <v>45108</v>
      </c>
      <c r="CQ39" s="37" t="s">
        <v>151</v>
      </c>
      <c r="CR39" s="30" t="s">
        <v>151</v>
      </c>
      <c r="CS39" s="30" t="s">
        <v>191</v>
      </c>
      <c r="CT39" s="29">
        <v>26</v>
      </c>
      <c r="CU39" s="30" t="s">
        <v>263</v>
      </c>
      <c r="CV39" s="32">
        <v>27</v>
      </c>
      <c r="CW39" s="32">
        <v>73</v>
      </c>
      <c r="CX39" s="30" t="s">
        <v>263</v>
      </c>
      <c r="CY39" s="32">
        <v>1</v>
      </c>
      <c r="CZ39" s="32">
        <v>26</v>
      </c>
      <c r="DA39" s="37" t="s">
        <v>151</v>
      </c>
      <c r="DB39" s="35" t="s">
        <v>151</v>
      </c>
      <c r="DC39" s="30" t="s">
        <v>151</v>
      </c>
      <c r="DD39" s="29" t="s">
        <v>151</v>
      </c>
      <c r="DE39" s="32">
        <v>3.68</v>
      </c>
      <c r="DF39" s="34">
        <v>100</v>
      </c>
      <c r="DG39" s="32">
        <v>0</v>
      </c>
      <c r="DH39" s="32">
        <v>0</v>
      </c>
      <c r="DI39" s="32">
        <v>3.68</v>
      </c>
      <c r="DJ39" s="34">
        <v>100</v>
      </c>
      <c r="DK39" s="32" t="s">
        <v>151</v>
      </c>
      <c r="DL39" s="34" t="s">
        <v>151</v>
      </c>
      <c r="DM39" s="32">
        <v>3.68</v>
      </c>
      <c r="DN39" s="34">
        <v>100</v>
      </c>
      <c r="DO39" s="36">
        <v>8.63</v>
      </c>
      <c r="DP39" s="34">
        <v>89</v>
      </c>
      <c r="DQ39" s="36">
        <v>0</v>
      </c>
      <c r="DR39" s="32">
        <v>0</v>
      </c>
      <c r="DS39" s="36">
        <v>8.63</v>
      </c>
      <c r="DT39" s="34">
        <v>89</v>
      </c>
      <c r="DU39" s="36" t="s">
        <v>151</v>
      </c>
      <c r="DV39" s="34" t="s">
        <v>151</v>
      </c>
      <c r="DW39" s="36">
        <v>8.63</v>
      </c>
      <c r="DX39" s="34">
        <v>88</v>
      </c>
      <c r="DY39" s="31" t="s">
        <v>151</v>
      </c>
      <c r="DZ39" s="35" t="s">
        <v>151</v>
      </c>
      <c r="EA39" s="35" t="s">
        <v>151</v>
      </c>
      <c r="EB39" s="34">
        <v>809</v>
      </c>
      <c r="EC39" s="33">
        <v>29</v>
      </c>
      <c r="ED39" s="32">
        <v>3.72</v>
      </c>
      <c r="EE39" s="34">
        <v>164</v>
      </c>
      <c r="EF39" s="33">
        <v>2</v>
      </c>
      <c r="EG39" s="32">
        <v>1.23</v>
      </c>
      <c r="EH39" s="29" t="s">
        <v>198</v>
      </c>
      <c r="EI39" s="30" t="s">
        <v>151</v>
      </c>
      <c r="EJ39" s="30" t="s">
        <v>151</v>
      </c>
      <c r="EK39" s="31">
        <v>3</v>
      </c>
      <c r="EL39" s="31" t="s">
        <v>151</v>
      </c>
      <c r="EM39" s="31">
        <v>2</v>
      </c>
      <c r="EN39" s="31" t="s">
        <v>151</v>
      </c>
      <c r="EO39" s="31">
        <v>4</v>
      </c>
      <c r="EP39" s="30" t="s">
        <v>1018</v>
      </c>
      <c r="EQ39" s="29" t="s">
        <v>151</v>
      </c>
      <c r="ER39" s="29" t="s">
        <v>151</v>
      </c>
      <c r="ES39" s="4">
        <f>HYPERLINK("https://my.pitchbook.com?c=343362-07","View Company Online")</f>
      </c>
    </row>
    <row r="40">
      <c r="A40" s="17" t="s">
        <v>1019</v>
      </c>
      <c r="B40" s="17" t="s">
        <v>1020</v>
      </c>
      <c r="C40" s="18">
        <v>6</v>
      </c>
      <c r="D40" s="17" t="s">
        <v>151</v>
      </c>
      <c r="E40" s="17" t="s">
        <v>151</v>
      </c>
      <c r="F40" s="17" t="s">
        <v>1021</v>
      </c>
      <c r="G40" s="17" t="s">
        <v>151</v>
      </c>
      <c r="H40" s="17" t="s">
        <v>151</v>
      </c>
      <c r="I40" s="17" t="s">
        <v>151</v>
      </c>
      <c r="J40" s="17" t="s">
        <v>1019</v>
      </c>
      <c r="K40" s="17" t="s">
        <v>1022</v>
      </c>
      <c r="L40" s="17" t="s">
        <v>1023</v>
      </c>
      <c r="M40" s="17" t="s">
        <v>1024</v>
      </c>
      <c r="N40" s="17" t="s">
        <v>1025</v>
      </c>
      <c r="O40" s="17" t="s">
        <v>1026</v>
      </c>
      <c r="P40" s="17" t="s">
        <v>1027</v>
      </c>
      <c r="Q40" s="17" t="s">
        <v>1028</v>
      </c>
      <c r="R40" s="17" t="s">
        <v>1029</v>
      </c>
      <c r="S40" s="17" t="s">
        <v>162</v>
      </c>
      <c r="T40" s="24">
        <v>14.5</v>
      </c>
      <c r="U40" s="17" t="s">
        <v>163</v>
      </c>
      <c r="V40" s="17" t="s">
        <v>164</v>
      </c>
      <c r="W40" s="17" t="s">
        <v>165</v>
      </c>
      <c r="X40" s="15" t="s">
        <v>1030</v>
      </c>
      <c r="Y40" s="15" t="s">
        <v>1031</v>
      </c>
      <c r="Z40" s="27">
        <v>18</v>
      </c>
      <c r="AA40" s="17" t="s">
        <v>1032</v>
      </c>
      <c r="AB40" s="17" t="s">
        <v>151</v>
      </c>
      <c r="AC40" s="17" t="s">
        <v>151</v>
      </c>
      <c r="AD40" s="26">
        <v>2022</v>
      </c>
      <c r="AE40" s="17" t="s">
        <v>151</v>
      </c>
      <c r="AF40" s="22">
        <v>45596</v>
      </c>
      <c r="AG40" s="17" t="s">
        <v>151</v>
      </c>
      <c r="AH40" s="17" t="s">
        <v>151</v>
      </c>
      <c r="AI40" s="25" t="s">
        <v>151</v>
      </c>
      <c r="AJ40" s="19" t="s">
        <v>151</v>
      </c>
      <c r="AK40" s="25" t="s">
        <v>151</v>
      </c>
      <c r="AL40" s="25" t="s">
        <v>151</v>
      </c>
      <c r="AM40" s="25" t="s">
        <v>151</v>
      </c>
      <c r="AN40" s="25" t="s">
        <v>151</v>
      </c>
      <c r="AO40" s="25" t="s">
        <v>151</v>
      </c>
      <c r="AP40" s="25" t="s">
        <v>151</v>
      </c>
      <c r="AQ40" s="25" t="s">
        <v>151</v>
      </c>
      <c r="AR40" s="16" t="s">
        <v>151</v>
      </c>
      <c r="AS40" s="17" t="s">
        <v>1033</v>
      </c>
      <c r="AT40" s="17" t="s">
        <v>1034</v>
      </c>
      <c r="AU40" s="18">
        <v>13</v>
      </c>
      <c r="AV40" s="17" t="s">
        <v>151</v>
      </c>
      <c r="AW40" s="17" t="s">
        <v>151</v>
      </c>
      <c r="AX40" s="17" t="s">
        <v>151</v>
      </c>
      <c r="AY40" s="17" t="s">
        <v>1035</v>
      </c>
      <c r="AZ40" s="17" t="s">
        <v>151</v>
      </c>
      <c r="BA40" s="17" t="s">
        <v>151</v>
      </c>
      <c r="BB40" s="17" t="s">
        <v>151</v>
      </c>
      <c r="BC40" s="17" t="s">
        <v>151</v>
      </c>
      <c r="BD40" s="17" t="s">
        <v>1036</v>
      </c>
      <c r="BE40" s="17" t="s">
        <v>1037</v>
      </c>
      <c r="BF40" s="17" t="s">
        <v>546</v>
      </c>
      <c r="BG40" s="17" t="s">
        <v>1038</v>
      </c>
      <c r="BH40" s="17" t="s">
        <v>1039</v>
      </c>
      <c r="BI40" s="17" t="s">
        <v>1040</v>
      </c>
      <c r="BJ40" s="17" t="s">
        <v>1041</v>
      </c>
      <c r="BK40" s="17" t="s">
        <v>151</v>
      </c>
      <c r="BL40" s="17" t="s">
        <v>1042</v>
      </c>
      <c r="BM40" s="17" t="s">
        <v>1043</v>
      </c>
      <c r="BN40" s="16" t="s">
        <v>1044</v>
      </c>
      <c r="BO40" s="17" t="s">
        <v>186</v>
      </c>
      <c r="BP40" s="16" t="s">
        <v>1045</v>
      </c>
      <c r="BQ40" s="16" t="s">
        <v>151</v>
      </c>
      <c r="BR40" s="17" t="s">
        <v>1046</v>
      </c>
      <c r="BS40" s="17" t="s">
        <v>187</v>
      </c>
      <c r="BT40" s="17" t="s">
        <v>188</v>
      </c>
      <c r="BU40" s="22">
        <v>44783</v>
      </c>
      <c r="BV40" s="24">
        <v>6</v>
      </c>
      <c r="BW40" s="17" t="s">
        <v>192</v>
      </c>
      <c r="BX40" s="24">
        <v>15.35</v>
      </c>
      <c r="BY40" s="17" t="s">
        <v>193</v>
      </c>
      <c r="BZ40" s="17" t="s">
        <v>293</v>
      </c>
      <c r="CA40" s="17" t="s">
        <v>293</v>
      </c>
      <c r="CB40" s="17" t="s">
        <v>151</v>
      </c>
      <c r="CC40" s="17" t="s">
        <v>165</v>
      </c>
      <c r="CD40" s="17" t="s">
        <v>151</v>
      </c>
      <c r="CE40" s="17" t="s">
        <v>191</v>
      </c>
      <c r="CF40" s="22">
        <v>45491</v>
      </c>
      <c r="CG40" s="24" t="s">
        <v>151</v>
      </c>
      <c r="CH40" s="17" t="s">
        <v>151</v>
      </c>
      <c r="CI40" s="24" t="s">
        <v>151</v>
      </c>
      <c r="CJ40" s="17" t="s">
        <v>151</v>
      </c>
      <c r="CK40" s="16" t="s">
        <v>151</v>
      </c>
      <c r="CL40" s="17" t="s">
        <v>189</v>
      </c>
      <c r="CM40" s="17" t="s">
        <v>151</v>
      </c>
      <c r="CN40" s="17" t="s">
        <v>151</v>
      </c>
      <c r="CO40" s="17" t="s">
        <v>190</v>
      </c>
      <c r="CP40" s="22">
        <v>45491</v>
      </c>
      <c r="CQ40" s="24" t="s">
        <v>151</v>
      </c>
      <c r="CR40" s="17" t="s">
        <v>151</v>
      </c>
      <c r="CS40" s="17" t="s">
        <v>191</v>
      </c>
      <c r="CT40" s="16">
        <v>82</v>
      </c>
      <c r="CU40" s="17" t="s">
        <v>196</v>
      </c>
      <c r="CV40" s="19">
        <v>74</v>
      </c>
      <c r="CW40" s="19">
        <v>26</v>
      </c>
      <c r="CX40" s="17" t="s">
        <v>294</v>
      </c>
      <c r="CY40" s="19">
        <v>1</v>
      </c>
      <c r="CZ40" s="19">
        <v>73</v>
      </c>
      <c r="DA40" s="24">
        <v>15.35</v>
      </c>
      <c r="DB40" s="22">
        <v>44783</v>
      </c>
      <c r="DC40" s="17" t="s">
        <v>293</v>
      </c>
      <c r="DD40" s="16" t="s">
        <v>151</v>
      </c>
      <c r="DE40" s="19">
        <v>0</v>
      </c>
      <c r="DF40" s="21">
        <v>11</v>
      </c>
      <c r="DG40" s="19">
        <v>0</v>
      </c>
      <c r="DH40" s="19">
        <v>0</v>
      </c>
      <c r="DI40" s="19">
        <v>0</v>
      </c>
      <c r="DJ40" s="21">
        <v>10</v>
      </c>
      <c r="DK40" s="19" t="s">
        <v>151</v>
      </c>
      <c r="DL40" s="21" t="s">
        <v>151</v>
      </c>
      <c r="DM40" s="19">
        <v>0</v>
      </c>
      <c r="DN40" s="21">
        <v>10</v>
      </c>
      <c r="DO40" s="23">
        <v>2.82</v>
      </c>
      <c r="DP40" s="21">
        <v>73</v>
      </c>
      <c r="DQ40" s="23">
        <v>0</v>
      </c>
      <c r="DR40" s="19">
        <v>0</v>
      </c>
      <c r="DS40" s="23">
        <v>4.26</v>
      </c>
      <c r="DT40" s="21">
        <v>80</v>
      </c>
      <c r="DU40" s="23" t="s">
        <v>151</v>
      </c>
      <c r="DV40" s="21" t="s">
        <v>151</v>
      </c>
      <c r="DW40" s="23">
        <v>4.26</v>
      </c>
      <c r="DX40" s="21">
        <v>80</v>
      </c>
      <c r="DY40" s="18">
        <v>1</v>
      </c>
      <c r="DZ40" s="22">
        <v>45040</v>
      </c>
      <c r="EA40" s="22" t="s">
        <v>151</v>
      </c>
      <c r="EB40" s="21">
        <v>955</v>
      </c>
      <c r="EC40" s="20">
        <v>-82</v>
      </c>
      <c r="ED40" s="19">
        <v>-7.91</v>
      </c>
      <c r="EE40" s="21">
        <v>81</v>
      </c>
      <c r="EF40" s="20">
        <v>0</v>
      </c>
      <c r="EG40" s="19">
        <v>0</v>
      </c>
      <c r="EH40" s="16" t="s">
        <v>198</v>
      </c>
      <c r="EI40" s="17" t="s">
        <v>151</v>
      </c>
      <c r="EJ40" s="17" t="s">
        <v>151</v>
      </c>
      <c r="EK40" s="18">
        <v>3</v>
      </c>
      <c r="EL40" s="18">
        <v>1</v>
      </c>
      <c r="EM40" s="18">
        <v>5</v>
      </c>
      <c r="EN40" s="18" t="s">
        <v>151</v>
      </c>
      <c r="EO40" s="18" t="s">
        <v>151</v>
      </c>
      <c r="EP40" s="17" t="s">
        <v>1047</v>
      </c>
      <c r="EQ40" s="16" t="s">
        <v>151</v>
      </c>
      <c r="ER40" s="16" t="s">
        <v>151</v>
      </c>
      <c r="ES40" s="3">
        <f>HYPERLINK("https://my.pitchbook.com?c=503083-72","View Company Online")</f>
      </c>
    </row>
    <row r="41">
      <c r="A41" s="30" t="s">
        <v>1048</v>
      </c>
      <c r="B41" s="30" t="s">
        <v>1049</v>
      </c>
      <c r="C41" s="31">
        <v>6</v>
      </c>
      <c r="D41" s="30" t="s">
        <v>151</v>
      </c>
      <c r="E41" s="30" t="s">
        <v>1050</v>
      </c>
      <c r="F41" s="30" t="s">
        <v>1051</v>
      </c>
      <c r="G41" s="30" t="s">
        <v>151</v>
      </c>
      <c r="H41" s="30" t="s">
        <v>151</v>
      </c>
      <c r="I41" s="30" t="s">
        <v>151</v>
      </c>
      <c r="J41" s="30" t="s">
        <v>1048</v>
      </c>
      <c r="K41" s="30" t="s">
        <v>1052</v>
      </c>
      <c r="L41" s="30" t="s">
        <v>205</v>
      </c>
      <c r="M41" s="30" t="s">
        <v>206</v>
      </c>
      <c r="N41" s="30" t="s">
        <v>207</v>
      </c>
      <c r="O41" s="30" t="s">
        <v>1053</v>
      </c>
      <c r="P41" s="30" t="s">
        <v>1054</v>
      </c>
      <c r="Q41" s="30" t="s">
        <v>1055</v>
      </c>
      <c r="R41" s="30" t="s">
        <v>151</v>
      </c>
      <c r="S41" s="30" t="s">
        <v>162</v>
      </c>
      <c r="T41" s="37">
        <v>4.93</v>
      </c>
      <c r="U41" s="30" t="s">
        <v>163</v>
      </c>
      <c r="V41" s="30" t="s">
        <v>164</v>
      </c>
      <c r="W41" s="30" t="s">
        <v>165</v>
      </c>
      <c r="X41" s="28" t="s">
        <v>1056</v>
      </c>
      <c r="Y41" s="28" t="s">
        <v>1057</v>
      </c>
      <c r="Z41" s="40">
        <v>17</v>
      </c>
      <c r="AA41" s="30" t="s">
        <v>1058</v>
      </c>
      <c r="AB41" s="30" t="s">
        <v>151</v>
      </c>
      <c r="AC41" s="30" t="s">
        <v>151</v>
      </c>
      <c r="AD41" s="39">
        <v>2016</v>
      </c>
      <c r="AE41" s="30" t="s">
        <v>151</v>
      </c>
      <c r="AF41" s="35">
        <v>45510</v>
      </c>
      <c r="AG41" s="30" t="s">
        <v>151</v>
      </c>
      <c r="AH41" s="30" t="s">
        <v>151</v>
      </c>
      <c r="AI41" s="38" t="s">
        <v>151</v>
      </c>
      <c r="AJ41" s="32" t="s">
        <v>151</v>
      </c>
      <c r="AK41" s="38" t="s">
        <v>151</v>
      </c>
      <c r="AL41" s="38" t="s">
        <v>151</v>
      </c>
      <c r="AM41" s="38" t="s">
        <v>151</v>
      </c>
      <c r="AN41" s="38" t="s">
        <v>151</v>
      </c>
      <c r="AO41" s="38" t="s">
        <v>151</v>
      </c>
      <c r="AP41" s="38" t="s">
        <v>151</v>
      </c>
      <c r="AQ41" s="38" t="s">
        <v>151</v>
      </c>
      <c r="AR41" s="29" t="s">
        <v>151</v>
      </c>
      <c r="AS41" s="30" t="s">
        <v>1059</v>
      </c>
      <c r="AT41" s="30" t="s">
        <v>1060</v>
      </c>
      <c r="AU41" s="31">
        <v>14</v>
      </c>
      <c r="AV41" s="30" t="s">
        <v>151</v>
      </c>
      <c r="AW41" s="30" t="s">
        <v>151</v>
      </c>
      <c r="AX41" s="30" t="s">
        <v>151</v>
      </c>
      <c r="AY41" s="30" t="s">
        <v>1061</v>
      </c>
      <c r="AZ41" s="30" t="s">
        <v>151</v>
      </c>
      <c r="BA41" s="30" t="s">
        <v>151</v>
      </c>
      <c r="BB41" s="30" t="s">
        <v>1062</v>
      </c>
      <c r="BC41" s="30" t="s">
        <v>1063</v>
      </c>
      <c r="BD41" s="30" t="s">
        <v>1064</v>
      </c>
      <c r="BE41" s="30" t="s">
        <v>1065</v>
      </c>
      <c r="BF41" s="30" t="s">
        <v>430</v>
      </c>
      <c r="BG41" s="30" t="s">
        <v>1066</v>
      </c>
      <c r="BH41" s="30" t="s">
        <v>1067</v>
      </c>
      <c r="BI41" s="30" t="s">
        <v>1068</v>
      </c>
      <c r="BJ41" s="30" t="s">
        <v>1069</v>
      </c>
      <c r="BK41" s="30" t="s">
        <v>1070</v>
      </c>
      <c r="BL41" s="30" t="s">
        <v>1071</v>
      </c>
      <c r="BM41" s="30" t="s">
        <v>1072</v>
      </c>
      <c r="BN41" s="29" t="s">
        <v>1073</v>
      </c>
      <c r="BO41" s="30" t="s">
        <v>186</v>
      </c>
      <c r="BP41" s="29" t="s">
        <v>1074</v>
      </c>
      <c r="BQ41" s="29" t="s">
        <v>151</v>
      </c>
      <c r="BR41" s="30" t="s">
        <v>151</v>
      </c>
      <c r="BS41" s="30" t="s">
        <v>187</v>
      </c>
      <c r="BT41" s="30" t="s">
        <v>188</v>
      </c>
      <c r="BU41" s="35" t="s">
        <v>151</v>
      </c>
      <c r="BV41" s="37" t="s">
        <v>151</v>
      </c>
      <c r="BW41" s="30" t="s">
        <v>151</v>
      </c>
      <c r="BX41" s="37" t="s">
        <v>151</v>
      </c>
      <c r="BY41" s="30" t="s">
        <v>151</v>
      </c>
      <c r="BZ41" s="30" t="s">
        <v>1075</v>
      </c>
      <c r="CA41" s="30" t="s">
        <v>1075</v>
      </c>
      <c r="CB41" s="30" t="s">
        <v>151</v>
      </c>
      <c r="CC41" s="30" t="s">
        <v>585</v>
      </c>
      <c r="CD41" s="30" t="s">
        <v>151</v>
      </c>
      <c r="CE41" s="30" t="s">
        <v>191</v>
      </c>
      <c r="CF41" s="35">
        <v>45463</v>
      </c>
      <c r="CG41" s="37">
        <v>1</v>
      </c>
      <c r="CH41" s="30" t="s">
        <v>192</v>
      </c>
      <c r="CI41" s="37" t="s">
        <v>151</v>
      </c>
      <c r="CJ41" s="30" t="s">
        <v>151</v>
      </c>
      <c r="CK41" s="29" t="s">
        <v>151</v>
      </c>
      <c r="CL41" s="30" t="s">
        <v>293</v>
      </c>
      <c r="CM41" s="30" t="s">
        <v>293</v>
      </c>
      <c r="CN41" s="30" t="s">
        <v>151</v>
      </c>
      <c r="CO41" s="30" t="s">
        <v>165</v>
      </c>
      <c r="CP41" s="35">
        <v>45463</v>
      </c>
      <c r="CQ41" s="37">
        <v>1</v>
      </c>
      <c r="CR41" s="30" t="s">
        <v>1076</v>
      </c>
      <c r="CS41" s="30" t="s">
        <v>191</v>
      </c>
      <c r="CT41" s="29">
        <v>69</v>
      </c>
      <c r="CU41" s="30" t="s">
        <v>196</v>
      </c>
      <c r="CV41" s="32">
        <v>64</v>
      </c>
      <c r="CW41" s="32">
        <v>36</v>
      </c>
      <c r="CX41" s="30" t="s">
        <v>294</v>
      </c>
      <c r="CY41" s="32">
        <v>1</v>
      </c>
      <c r="CZ41" s="32">
        <v>63</v>
      </c>
      <c r="DA41" s="37">
        <v>21.4</v>
      </c>
      <c r="DB41" s="35">
        <v>44645</v>
      </c>
      <c r="DC41" s="30" t="s">
        <v>293</v>
      </c>
      <c r="DD41" s="29">
        <v>10.59</v>
      </c>
      <c r="DE41" s="32">
        <v>0.48</v>
      </c>
      <c r="DF41" s="34">
        <v>94</v>
      </c>
      <c r="DG41" s="32">
        <v>0</v>
      </c>
      <c r="DH41" s="32">
        <v>0</v>
      </c>
      <c r="DI41" s="32">
        <v>0.48</v>
      </c>
      <c r="DJ41" s="34">
        <v>95</v>
      </c>
      <c r="DK41" s="32" t="s">
        <v>151</v>
      </c>
      <c r="DL41" s="34" t="s">
        <v>151</v>
      </c>
      <c r="DM41" s="32">
        <v>0.48</v>
      </c>
      <c r="DN41" s="34">
        <v>95</v>
      </c>
      <c r="DO41" s="36">
        <v>8.47</v>
      </c>
      <c r="DP41" s="34">
        <v>89</v>
      </c>
      <c r="DQ41" s="36">
        <v>0</v>
      </c>
      <c r="DR41" s="32">
        <v>0</v>
      </c>
      <c r="DS41" s="36">
        <v>8.47</v>
      </c>
      <c r="DT41" s="34">
        <v>88</v>
      </c>
      <c r="DU41" s="36" t="s">
        <v>151</v>
      </c>
      <c r="DV41" s="34" t="s">
        <v>151</v>
      </c>
      <c r="DW41" s="36">
        <v>8.47</v>
      </c>
      <c r="DX41" s="34">
        <v>88</v>
      </c>
      <c r="DY41" s="31" t="s">
        <v>151</v>
      </c>
      <c r="DZ41" s="35" t="s">
        <v>151</v>
      </c>
      <c r="EA41" s="35" t="s">
        <v>151</v>
      </c>
      <c r="EB41" s="34">
        <v>1003</v>
      </c>
      <c r="EC41" s="33">
        <v>-45</v>
      </c>
      <c r="ED41" s="32">
        <v>-4.29</v>
      </c>
      <c r="EE41" s="34">
        <v>161</v>
      </c>
      <c r="EF41" s="33">
        <v>1</v>
      </c>
      <c r="EG41" s="32">
        <v>0.63</v>
      </c>
      <c r="EH41" s="29" t="s">
        <v>198</v>
      </c>
      <c r="EI41" s="30" t="s">
        <v>151</v>
      </c>
      <c r="EJ41" s="30" t="s">
        <v>151</v>
      </c>
      <c r="EK41" s="31">
        <v>2</v>
      </c>
      <c r="EL41" s="31">
        <v>6</v>
      </c>
      <c r="EM41" s="31" t="s">
        <v>151</v>
      </c>
      <c r="EN41" s="31" t="s">
        <v>151</v>
      </c>
      <c r="EO41" s="31" t="s">
        <v>151</v>
      </c>
      <c r="EP41" s="30" t="s">
        <v>940</v>
      </c>
      <c r="EQ41" s="29" t="s">
        <v>151</v>
      </c>
      <c r="ER41" s="29" t="s">
        <v>151</v>
      </c>
      <c r="ES41" s="4">
        <f>HYPERLINK("https://my.pitchbook.com?c=229453-75","View Company Online")</f>
      </c>
    </row>
    <row r="42">
      <c r="A42" s="17" t="s">
        <v>1077</v>
      </c>
      <c r="B42" s="17" t="s">
        <v>1078</v>
      </c>
      <c r="C42" s="18">
        <v>6</v>
      </c>
      <c r="D42" s="17" t="s">
        <v>1079</v>
      </c>
      <c r="E42" s="17" t="s">
        <v>151</v>
      </c>
      <c r="F42" s="17" t="s">
        <v>1080</v>
      </c>
      <c r="G42" s="17" t="s">
        <v>151</v>
      </c>
      <c r="H42" s="17" t="s">
        <v>151</v>
      </c>
      <c r="I42" s="17" t="s">
        <v>151</v>
      </c>
      <c r="J42" s="17" t="s">
        <v>1077</v>
      </c>
      <c r="K42" s="17" t="s">
        <v>1081</v>
      </c>
      <c r="L42" s="17" t="s">
        <v>205</v>
      </c>
      <c r="M42" s="17" t="s">
        <v>206</v>
      </c>
      <c r="N42" s="17" t="s">
        <v>1082</v>
      </c>
      <c r="O42" s="17" t="s">
        <v>1083</v>
      </c>
      <c r="P42" s="17" t="s">
        <v>1084</v>
      </c>
      <c r="Q42" s="17" t="s">
        <v>1085</v>
      </c>
      <c r="R42" s="17" t="s">
        <v>780</v>
      </c>
      <c r="S42" s="17" t="s">
        <v>162</v>
      </c>
      <c r="T42" s="24">
        <v>6</v>
      </c>
      <c r="U42" s="17" t="s">
        <v>163</v>
      </c>
      <c r="V42" s="17" t="s">
        <v>164</v>
      </c>
      <c r="W42" s="17" t="s">
        <v>165</v>
      </c>
      <c r="X42" s="15" t="s">
        <v>1086</v>
      </c>
      <c r="Y42" s="15" t="s">
        <v>1087</v>
      </c>
      <c r="Z42" s="27">
        <v>36</v>
      </c>
      <c r="AA42" s="17" t="s">
        <v>1088</v>
      </c>
      <c r="AB42" s="17" t="s">
        <v>151</v>
      </c>
      <c r="AC42" s="17" t="s">
        <v>151</v>
      </c>
      <c r="AD42" s="26">
        <v>2019</v>
      </c>
      <c r="AE42" s="17" t="s">
        <v>151</v>
      </c>
      <c r="AF42" s="22">
        <v>45506</v>
      </c>
      <c r="AG42" s="17" t="s">
        <v>151</v>
      </c>
      <c r="AH42" s="17" t="s">
        <v>151</v>
      </c>
      <c r="AI42" s="25" t="s">
        <v>151</v>
      </c>
      <c r="AJ42" s="19" t="s">
        <v>151</v>
      </c>
      <c r="AK42" s="25" t="s">
        <v>151</v>
      </c>
      <c r="AL42" s="25" t="s">
        <v>151</v>
      </c>
      <c r="AM42" s="25" t="s">
        <v>151</v>
      </c>
      <c r="AN42" s="25" t="s">
        <v>151</v>
      </c>
      <c r="AO42" s="25" t="s">
        <v>151</v>
      </c>
      <c r="AP42" s="25" t="s">
        <v>151</v>
      </c>
      <c r="AQ42" s="25" t="s">
        <v>151</v>
      </c>
      <c r="AR42" s="16" t="s">
        <v>151</v>
      </c>
      <c r="AS42" s="17" t="s">
        <v>1089</v>
      </c>
      <c r="AT42" s="17" t="s">
        <v>1090</v>
      </c>
      <c r="AU42" s="18">
        <v>13</v>
      </c>
      <c r="AV42" s="17" t="s">
        <v>151</v>
      </c>
      <c r="AW42" s="17" t="s">
        <v>151</v>
      </c>
      <c r="AX42" s="17" t="s">
        <v>151</v>
      </c>
      <c r="AY42" s="17" t="s">
        <v>1091</v>
      </c>
      <c r="AZ42" s="17" t="s">
        <v>151</v>
      </c>
      <c r="BA42" s="17" t="s">
        <v>151</v>
      </c>
      <c r="BB42" s="17" t="s">
        <v>151</v>
      </c>
      <c r="BC42" s="17" t="s">
        <v>490</v>
      </c>
      <c r="BD42" s="17" t="s">
        <v>1092</v>
      </c>
      <c r="BE42" s="17" t="s">
        <v>1093</v>
      </c>
      <c r="BF42" s="17" t="s">
        <v>221</v>
      </c>
      <c r="BG42" s="17" t="s">
        <v>1094</v>
      </c>
      <c r="BH42" s="17" t="s">
        <v>1095</v>
      </c>
      <c r="BI42" s="17" t="s">
        <v>1096</v>
      </c>
      <c r="BJ42" s="17" t="s">
        <v>1097</v>
      </c>
      <c r="BK42" s="17" t="s">
        <v>151</v>
      </c>
      <c r="BL42" s="17" t="s">
        <v>1098</v>
      </c>
      <c r="BM42" s="17" t="s">
        <v>184</v>
      </c>
      <c r="BN42" s="16" t="s">
        <v>1099</v>
      </c>
      <c r="BO42" s="17" t="s">
        <v>186</v>
      </c>
      <c r="BP42" s="16" t="s">
        <v>151</v>
      </c>
      <c r="BQ42" s="16" t="s">
        <v>151</v>
      </c>
      <c r="BR42" s="17" t="s">
        <v>1100</v>
      </c>
      <c r="BS42" s="17" t="s">
        <v>187</v>
      </c>
      <c r="BT42" s="17" t="s">
        <v>188</v>
      </c>
      <c r="BU42" s="22">
        <v>44602</v>
      </c>
      <c r="BV42" s="24">
        <v>6</v>
      </c>
      <c r="BW42" s="17" t="s">
        <v>192</v>
      </c>
      <c r="BX42" s="24">
        <v>20</v>
      </c>
      <c r="BY42" s="17" t="s">
        <v>192</v>
      </c>
      <c r="BZ42" s="17" t="s">
        <v>293</v>
      </c>
      <c r="CA42" s="17" t="s">
        <v>293</v>
      </c>
      <c r="CB42" s="17" t="s">
        <v>151</v>
      </c>
      <c r="CC42" s="17" t="s">
        <v>165</v>
      </c>
      <c r="CD42" s="17" t="s">
        <v>151</v>
      </c>
      <c r="CE42" s="17" t="s">
        <v>191</v>
      </c>
      <c r="CF42" s="22">
        <v>44602</v>
      </c>
      <c r="CG42" s="24">
        <v>6</v>
      </c>
      <c r="CH42" s="17" t="s">
        <v>192</v>
      </c>
      <c r="CI42" s="24">
        <v>20</v>
      </c>
      <c r="CJ42" s="17" t="s">
        <v>192</v>
      </c>
      <c r="CK42" s="16" t="s">
        <v>151</v>
      </c>
      <c r="CL42" s="17" t="s">
        <v>293</v>
      </c>
      <c r="CM42" s="17" t="s">
        <v>293</v>
      </c>
      <c r="CN42" s="17" t="s">
        <v>151</v>
      </c>
      <c r="CO42" s="17" t="s">
        <v>165</v>
      </c>
      <c r="CP42" s="22">
        <v>44602</v>
      </c>
      <c r="CQ42" s="24" t="s">
        <v>151</v>
      </c>
      <c r="CR42" s="17" t="s">
        <v>151</v>
      </c>
      <c r="CS42" s="17" t="s">
        <v>191</v>
      </c>
      <c r="CT42" s="16" t="s">
        <v>151</v>
      </c>
      <c r="CU42" s="17" t="s">
        <v>151</v>
      </c>
      <c r="CV42" s="19" t="s">
        <v>151</v>
      </c>
      <c r="CW42" s="19" t="s">
        <v>151</v>
      </c>
      <c r="CX42" s="17" t="s">
        <v>151</v>
      </c>
      <c r="CY42" s="19" t="s">
        <v>151</v>
      </c>
      <c r="CZ42" s="19" t="s">
        <v>151</v>
      </c>
      <c r="DA42" s="24">
        <v>20</v>
      </c>
      <c r="DB42" s="22">
        <v>44602</v>
      </c>
      <c r="DC42" s="17" t="s">
        <v>293</v>
      </c>
      <c r="DD42" s="16" t="s">
        <v>151</v>
      </c>
      <c r="DE42" s="19">
        <v>-1.29</v>
      </c>
      <c r="DF42" s="21">
        <v>3</v>
      </c>
      <c r="DG42" s="19">
        <v>0</v>
      </c>
      <c r="DH42" s="19">
        <v>0</v>
      </c>
      <c r="DI42" s="19" t="s">
        <v>151</v>
      </c>
      <c r="DJ42" s="21" t="s">
        <v>151</v>
      </c>
      <c r="DK42" s="19" t="s">
        <v>151</v>
      </c>
      <c r="DL42" s="21" t="s">
        <v>151</v>
      </c>
      <c r="DM42" s="19" t="s">
        <v>151</v>
      </c>
      <c r="DN42" s="21" t="s">
        <v>151</v>
      </c>
      <c r="DO42" s="23">
        <v>2.08</v>
      </c>
      <c r="DP42" s="21">
        <v>67</v>
      </c>
      <c r="DQ42" s="23">
        <v>0</v>
      </c>
      <c r="DR42" s="19">
        <v>0</v>
      </c>
      <c r="DS42" s="23" t="s">
        <v>151</v>
      </c>
      <c r="DT42" s="21" t="s">
        <v>151</v>
      </c>
      <c r="DU42" s="23" t="s">
        <v>151</v>
      </c>
      <c r="DV42" s="21" t="s">
        <v>151</v>
      </c>
      <c r="DW42" s="23" t="s">
        <v>151</v>
      </c>
      <c r="DX42" s="21" t="s">
        <v>151</v>
      </c>
      <c r="DY42" s="18" t="s">
        <v>151</v>
      </c>
      <c r="DZ42" s="22" t="s">
        <v>151</v>
      </c>
      <c r="EA42" s="22" t="s">
        <v>151</v>
      </c>
      <c r="EB42" s="21">
        <v>707</v>
      </c>
      <c r="EC42" s="20">
        <v>46</v>
      </c>
      <c r="ED42" s="19">
        <v>6.96</v>
      </c>
      <c r="EE42" s="21" t="s">
        <v>151</v>
      </c>
      <c r="EF42" s="20" t="s">
        <v>151</v>
      </c>
      <c r="EG42" s="19" t="s">
        <v>151</v>
      </c>
      <c r="EH42" s="16" t="s">
        <v>198</v>
      </c>
      <c r="EI42" s="17" t="s">
        <v>151</v>
      </c>
      <c r="EJ42" s="17" t="s">
        <v>151</v>
      </c>
      <c r="EK42" s="18">
        <v>4</v>
      </c>
      <c r="EL42" s="18" t="s">
        <v>151</v>
      </c>
      <c r="EM42" s="18">
        <v>6</v>
      </c>
      <c r="EN42" s="18" t="s">
        <v>151</v>
      </c>
      <c r="EO42" s="18" t="s">
        <v>151</v>
      </c>
      <c r="EP42" s="17" t="s">
        <v>327</v>
      </c>
      <c r="EQ42" s="16" t="s">
        <v>151</v>
      </c>
      <c r="ER42" s="16" t="s">
        <v>151</v>
      </c>
      <c r="ES42" s="3">
        <f>HYPERLINK("https://my.pitchbook.com?c=442898-47","View Company Online")</f>
      </c>
    </row>
    <row r="43">
      <c r="A43" s="30" t="s">
        <v>1101</v>
      </c>
      <c r="B43" s="30" t="s">
        <v>1102</v>
      </c>
      <c r="C43" s="31">
        <v>6</v>
      </c>
      <c r="D43" s="30" t="s">
        <v>151</v>
      </c>
      <c r="E43" s="30" t="s">
        <v>151</v>
      </c>
      <c r="F43" s="30" t="s">
        <v>1103</v>
      </c>
      <c r="G43" s="30" t="s">
        <v>151</v>
      </c>
      <c r="H43" s="30" t="s">
        <v>151</v>
      </c>
      <c r="I43" s="30" t="s">
        <v>1104</v>
      </c>
      <c r="J43" s="30" t="s">
        <v>1101</v>
      </c>
      <c r="K43" s="30" t="s">
        <v>1105</v>
      </c>
      <c r="L43" s="30" t="s">
        <v>205</v>
      </c>
      <c r="M43" s="30" t="s">
        <v>206</v>
      </c>
      <c r="N43" s="30" t="s">
        <v>269</v>
      </c>
      <c r="O43" s="30" t="s">
        <v>1106</v>
      </c>
      <c r="P43" s="30" t="s">
        <v>1107</v>
      </c>
      <c r="Q43" s="30" t="s">
        <v>1108</v>
      </c>
      <c r="R43" s="30" t="s">
        <v>151</v>
      </c>
      <c r="S43" s="30" t="s">
        <v>162</v>
      </c>
      <c r="T43" s="37">
        <v>6.97</v>
      </c>
      <c r="U43" s="30" t="s">
        <v>163</v>
      </c>
      <c r="V43" s="30" t="s">
        <v>164</v>
      </c>
      <c r="W43" s="30" t="s">
        <v>165</v>
      </c>
      <c r="X43" s="28" t="s">
        <v>1109</v>
      </c>
      <c r="Y43" s="28" t="s">
        <v>1110</v>
      </c>
      <c r="Z43" s="40">
        <v>20</v>
      </c>
      <c r="AA43" s="30" t="s">
        <v>1111</v>
      </c>
      <c r="AB43" s="30" t="s">
        <v>151</v>
      </c>
      <c r="AC43" s="30" t="s">
        <v>151</v>
      </c>
      <c r="AD43" s="39">
        <v>2018</v>
      </c>
      <c r="AE43" s="30" t="s">
        <v>151</v>
      </c>
      <c r="AF43" s="35">
        <v>45603</v>
      </c>
      <c r="AG43" s="30" t="s">
        <v>151</v>
      </c>
      <c r="AH43" s="30" t="s">
        <v>151</v>
      </c>
      <c r="AI43" s="38" t="s">
        <v>151</v>
      </c>
      <c r="AJ43" s="32" t="s">
        <v>151</v>
      </c>
      <c r="AK43" s="38" t="s">
        <v>151</v>
      </c>
      <c r="AL43" s="38" t="s">
        <v>151</v>
      </c>
      <c r="AM43" s="38" t="s">
        <v>151</v>
      </c>
      <c r="AN43" s="38" t="s">
        <v>151</v>
      </c>
      <c r="AO43" s="38" t="s">
        <v>151</v>
      </c>
      <c r="AP43" s="38" t="s">
        <v>151</v>
      </c>
      <c r="AQ43" s="38" t="s">
        <v>151</v>
      </c>
      <c r="AR43" s="29" t="s">
        <v>151</v>
      </c>
      <c r="AS43" s="30" t="s">
        <v>1112</v>
      </c>
      <c r="AT43" s="30" t="s">
        <v>1113</v>
      </c>
      <c r="AU43" s="31">
        <v>27</v>
      </c>
      <c r="AV43" s="30" t="s">
        <v>151</v>
      </c>
      <c r="AW43" s="30" t="s">
        <v>151</v>
      </c>
      <c r="AX43" s="30" t="s">
        <v>151</v>
      </c>
      <c r="AY43" s="30" t="s">
        <v>1114</v>
      </c>
      <c r="AZ43" s="30" t="s">
        <v>151</v>
      </c>
      <c r="BA43" s="30" t="s">
        <v>151</v>
      </c>
      <c r="BB43" s="30" t="s">
        <v>151</v>
      </c>
      <c r="BC43" s="30" t="s">
        <v>1115</v>
      </c>
      <c r="BD43" s="30" t="s">
        <v>1116</v>
      </c>
      <c r="BE43" s="30" t="s">
        <v>1117</v>
      </c>
      <c r="BF43" s="30" t="s">
        <v>1118</v>
      </c>
      <c r="BG43" s="30" t="s">
        <v>1119</v>
      </c>
      <c r="BH43" s="30" t="s">
        <v>1120</v>
      </c>
      <c r="BI43" s="30" t="s">
        <v>906</v>
      </c>
      <c r="BJ43" s="30" t="s">
        <v>1121</v>
      </c>
      <c r="BK43" s="30" t="s">
        <v>1122</v>
      </c>
      <c r="BL43" s="30" t="s">
        <v>259</v>
      </c>
      <c r="BM43" s="30" t="s">
        <v>259</v>
      </c>
      <c r="BN43" s="29" t="s">
        <v>1123</v>
      </c>
      <c r="BO43" s="30" t="s">
        <v>186</v>
      </c>
      <c r="BP43" s="29" t="s">
        <v>151</v>
      </c>
      <c r="BQ43" s="29" t="s">
        <v>151</v>
      </c>
      <c r="BR43" s="30" t="s">
        <v>1124</v>
      </c>
      <c r="BS43" s="30" t="s">
        <v>187</v>
      </c>
      <c r="BT43" s="30" t="s">
        <v>188</v>
      </c>
      <c r="BU43" s="35">
        <v>43686</v>
      </c>
      <c r="BV43" s="37">
        <v>0.02</v>
      </c>
      <c r="BW43" s="30" t="s">
        <v>192</v>
      </c>
      <c r="BX43" s="37" t="s">
        <v>151</v>
      </c>
      <c r="BY43" s="30" t="s">
        <v>151</v>
      </c>
      <c r="BZ43" s="30" t="s">
        <v>189</v>
      </c>
      <c r="CA43" s="30" t="s">
        <v>151</v>
      </c>
      <c r="CB43" s="30" t="s">
        <v>151</v>
      </c>
      <c r="CC43" s="30" t="s">
        <v>190</v>
      </c>
      <c r="CD43" s="30" t="s">
        <v>151</v>
      </c>
      <c r="CE43" s="30" t="s">
        <v>191</v>
      </c>
      <c r="CF43" s="35" t="s">
        <v>151</v>
      </c>
      <c r="CG43" s="37" t="s">
        <v>151</v>
      </c>
      <c r="CH43" s="30" t="s">
        <v>151</v>
      </c>
      <c r="CI43" s="37" t="s">
        <v>151</v>
      </c>
      <c r="CJ43" s="30" t="s">
        <v>151</v>
      </c>
      <c r="CK43" s="29">
        <v>1.22</v>
      </c>
      <c r="CL43" s="30" t="s">
        <v>194</v>
      </c>
      <c r="CM43" s="30" t="s">
        <v>151</v>
      </c>
      <c r="CN43" s="30" t="s">
        <v>151</v>
      </c>
      <c r="CO43" s="30" t="s">
        <v>165</v>
      </c>
      <c r="CP43" s="35" t="s">
        <v>151</v>
      </c>
      <c r="CQ43" s="37" t="s">
        <v>151</v>
      </c>
      <c r="CR43" s="30" t="s">
        <v>151</v>
      </c>
      <c r="CS43" s="30" t="s">
        <v>1125</v>
      </c>
      <c r="CT43" s="29">
        <v>83</v>
      </c>
      <c r="CU43" s="30" t="s">
        <v>196</v>
      </c>
      <c r="CV43" s="32">
        <v>75</v>
      </c>
      <c r="CW43" s="32">
        <v>25</v>
      </c>
      <c r="CX43" s="30" t="s">
        <v>294</v>
      </c>
      <c r="CY43" s="32">
        <v>3</v>
      </c>
      <c r="CZ43" s="32">
        <v>72</v>
      </c>
      <c r="DA43" s="37">
        <v>25.5</v>
      </c>
      <c r="DB43" s="35">
        <v>45275</v>
      </c>
      <c r="DC43" s="30" t="s">
        <v>293</v>
      </c>
      <c r="DD43" s="29">
        <v>1.22</v>
      </c>
      <c r="DE43" s="32">
        <v>1.16</v>
      </c>
      <c r="DF43" s="34">
        <v>97</v>
      </c>
      <c r="DG43" s="32">
        <v>0</v>
      </c>
      <c r="DH43" s="32">
        <v>0</v>
      </c>
      <c r="DI43" s="32">
        <v>-0.63</v>
      </c>
      <c r="DJ43" s="34">
        <v>6</v>
      </c>
      <c r="DK43" s="32" t="s">
        <v>151</v>
      </c>
      <c r="DL43" s="34" t="s">
        <v>151</v>
      </c>
      <c r="DM43" s="32">
        <v>-0.63</v>
      </c>
      <c r="DN43" s="34">
        <v>6</v>
      </c>
      <c r="DO43" s="36">
        <v>10.51</v>
      </c>
      <c r="DP43" s="34">
        <v>91</v>
      </c>
      <c r="DQ43" s="36">
        <v>0</v>
      </c>
      <c r="DR43" s="32">
        <v>0</v>
      </c>
      <c r="DS43" s="36">
        <v>19.47</v>
      </c>
      <c r="DT43" s="34">
        <v>95</v>
      </c>
      <c r="DU43" s="36" t="s">
        <v>151</v>
      </c>
      <c r="DV43" s="34" t="s">
        <v>151</v>
      </c>
      <c r="DW43" s="36">
        <v>19.47</v>
      </c>
      <c r="DX43" s="34">
        <v>95</v>
      </c>
      <c r="DY43" s="31" t="s">
        <v>151</v>
      </c>
      <c r="DZ43" s="35" t="s">
        <v>151</v>
      </c>
      <c r="EA43" s="35" t="s">
        <v>151</v>
      </c>
      <c r="EB43" s="34">
        <v>9154</v>
      </c>
      <c r="EC43" s="33">
        <v>-801</v>
      </c>
      <c r="ED43" s="32">
        <v>-8.05</v>
      </c>
      <c r="EE43" s="34">
        <v>370</v>
      </c>
      <c r="EF43" s="33">
        <v>-7</v>
      </c>
      <c r="EG43" s="32">
        <v>-1.86</v>
      </c>
      <c r="EH43" s="29" t="s">
        <v>198</v>
      </c>
      <c r="EI43" s="30" t="s">
        <v>151</v>
      </c>
      <c r="EJ43" s="30" t="s">
        <v>151</v>
      </c>
      <c r="EK43" s="31">
        <v>1</v>
      </c>
      <c r="EL43" s="31">
        <v>2</v>
      </c>
      <c r="EM43" s="31">
        <v>4</v>
      </c>
      <c r="EN43" s="31" t="s">
        <v>151</v>
      </c>
      <c r="EO43" s="31" t="s">
        <v>151</v>
      </c>
      <c r="EP43" s="30" t="s">
        <v>295</v>
      </c>
      <c r="EQ43" s="29" t="s">
        <v>151</v>
      </c>
      <c r="ER43" s="29" t="s">
        <v>151</v>
      </c>
      <c r="ES43" s="4">
        <f>HYPERLINK("https://my.pitchbook.com?c=469070-56","View Company Online")</f>
      </c>
    </row>
    <row r="44">
      <c r="A44" s="17" t="s">
        <v>1126</v>
      </c>
      <c r="B44" s="17" t="s">
        <v>1127</v>
      </c>
      <c r="C44" s="18">
        <v>6</v>
      </c>
      <c r="D44" s="17" t="s">
        <v>151</v>
      </c>
      <c r="E44" s="17" t="s">
        <v>151</v>
      </c>
      <c r="F44" s="17" t="s">
        <v>1128</v>
      </c>
      <c r="G44" s="17" t="s">
        <v>151</v>
      </c>
      <c r="H44" s="17" t="s">
        <v>151</v>
      </c>
      <c r="I44" s="17" t="s">
        <v>151</v>
      </c>
      <c r="J44" s="17" t="s">
        <v>1126</v>
      </c>
      <c r="K44" s="17" t="s">
        <v>1129</v>
      </c>
      <c r="L44" s="17" t="s">
        <v>205</v>
      </c>
      <c r="M44" s="17" t="s">
        <v>206</v>
      </c>
      <c r="N44" s="17" t="s">
        <v>1130</v>
      </c>
      <c r="O44" s="17" t="s">
        <v>1131</v>
      </c>
      <c r="P44" s="17" t="s">
        <v>1132</v>
      </c>
      <c r="Q44" s="17" t="s">
        <v>1133</v>
      </c>
      <c r="R44" s="17" t="s">
        <v>151</v>
      </c>
      <c r="S44" s="17" t="s">
        <v>162</v>
      </c>
      <c r="T44" s="24">
        <v>17.09</v>
      </c>
      <c r="U44" s="17" t="s">
        <v>163</v>
      </c>
      <c r="V44" s="17" t="s">
        <v>164</v>
      </c>
      <c r="W44" s="17" t="s">
        <v>165</v>
      </c>
      <c r="X44" s="15" t="s">
        <v>1134</v>
      </c>
      <c r="Y44" s="15" t="s">
        <v>1135</v>
      </c>
      <c r="Z44" s="27">
        <v>51</v>
      </c>
      <c r="AA44" s="17" t="s">
        <v>1136</v>
      </c>
      <c r="AB44" s="17" t="s">
        <v>151</v>
      </c>
      <c r="AC44" s="17" t="s">
        <v>151</v>
      </c>
      <c r="AD44" s="26">
        <v>2017</v>
      </c>
      <c r="AE44" s="17" t="s">
        <v>151</v>
      </c>
      <c r="AF44" s="22">
        <v>45554</v>
      </c>
      <c r="AG44" s="17" t="s">
        <v>151</v>
      </c>
      <c r="AH44" s="17" t="s">
        <v>151</v>
      </c>
      <c r="AI44" s="25" t="s">
        <v>151</v>
      </c>
      <c r="AJ44" s="19" t="s">
        <v>151</v>
      </c>
      <c r="AK44" s="25" t="s">
        <v>151</v>
      </c>
      <c r="AL44" s="25" t="s">
        <v>151</v>
      </c>
      <c r="AM44" s="25" t="s">
        <v>151</v>
      </c>
      <c r="AN44" s="25" t="s">
        <v>151</v>
      </c>
      <c r="AO44" s="25" t="s">
        <v>151</v>
      </c>
      <c r="AP44" s="25" t="s">
        <v>151</v>
      </c>
      <c r="AQ44" s="25" t="s">
        <v>151</v>
      </c>
      <c r="AR44" s="16" t="s">
        <v>151</v>
      </c>
      <c r="AS44" s="17" t="s">
        <v>1137</v>
      </c>
      <c r="AT44" s="17" t="s">
        <v>1138</v>
      </c>
      <c r="AU44" s="18">
        <v>3</v>
      </c>
      <c r="AV44" s="17" t="s">
        <v>151</v>
      </c>
      <c r="AW44" s="17" t="s">
        <v>151</v>
      </c>
      <c r="AX44" s="17" t="s">
        <v>151</v>
      </c>
      <c r="AY44" s="17" t="s">
        <v>1139</v>
      </c>
      <c r="AZ44" s="17" t="s">
        <v>151</v>
      </c>
      <c r="BA44" s="17" t="s">
        <v>151</v>
      </c>
      <c r="BB44" s="17" t="s">
        <v>151</v>
      </c>
      <c r="BC44" s="17" t="s">
        <v>151</v>
      </c>
      <c r="BD44" s="17" t="s">
        <v>1140</v>
      </c>
      <c r="BE44" s="17" t="s">
        <v>1141</v>
      </c>
      <c r="BF44" s="17" t="s">
        <v>1142</v>
      </c>
      <c r="BG44" s="17" t="s">
        <v>1143</v>
      </c>
      <c r="BH44" s="17" t="s">
        <v>151</v>
      </c>
      <c r="BI44" s="17" t="s">
        <v>1144</v>
      </c>
      <c r="BJ44" s="17" t="s">
        <v>151</v>
      </c>
      <c r="BK44" s="17" t="s">
        <v>151</v>
      </c>
      <c r="BL44" s="17" t="s">
        <v>1145</v>
      </c>
      <c r="BM44" s="17" t="s">
        <v>184</v>
      </c>
      <c r="BN44" s="16" t="s">
        <v>151</v>
      </c>
      <c r="BO44" s="17" t="s">
        <v>186</v>
      </c>
      <c r="BP44" s="16" t="s">
        <v>151</v>
      </c>
      <c r="BQ44" s="16" t="s">
        <v>151</v>
      </c>
      <c r="BR44" s="17" t="s">
        <v>1146</v>
      </c>
      <c r="BS44" s="17" t="s">
        <v>187</v>
      </c>
      <c r="BT44" s="17" t="s">
        <v>188</v>
      </c>
      <c r="BU44" s="22">
        <v>44684</v>
      </c>
      <c r="BV44" s="24">
        <v>2.5</v>
      </c>
      <c r="BW44" s="17" t="s">
        <v>192</v>
      </c>
      <c r="BX44" s="24">
        <v>12</v>
      </c>
      <c r="BY44" s="17" t="s">
        <v>192</v>
      </c>
      <c r="BZ44" s="17" t="s">
        <v>293</v>
      </c>
      <c r="CA44" s="17" t="s">
        <v>293</v>
      </c>
      <c r="CB44" s="17" t="s">
        <v>151</v>
      </c>
      <c r="CC44" s="17" t="s">
        <v>165</v>
      </c>
      <c r="CD44" s="17" t="s">
        <v>151</v>
      </c>
      <c r="CE44" s="17" t="s">
        <v>191</v>
      </c>
      <c r="CF44" s="22">
        <v>45294</v>
      </c>
      <c r="CG44" s="24">
        <v>9.59</v>
      </c>
      <c r="CH44" s="17" t="s">
        <v>192</v>
      </c>
      <c r="CI44" s="24">
        <v>70</v>
      </c>
      <c r="CJ44" s="17" t="s">
        <v>192</v>
      </c>
      <c r="CK44" s="16">
        <v>1.95</v>
      </c>
      <c r="CL44" s="17" t="s">
        <v>194</v>
      </c>
      <c r="CM44" s="17" t="s">
        <v>326</v>
      </c>
      <c r="CN44" s="17" t="s">
        <v>151</v>
      </c>
      <c r="CO44" s="17" t="s">
        <v>165</v>
      </c>
      <c r="CP44" s="22">
        <v>45294</v>
      </c>
      <c r="CQ44" s="24" t="s">
        <v>151</v>
      </c>
      <c r="CR44" s="17" t="s">
        <v>151</v>
      </c>
      <c r="CS44" s="17" t="s">
        <v>191</v>
      </c>
      <c r="CT44" s="16">
        <v>61</v>
      </c>
      <c r="CU44" s="17" t="s">
        <v>196</v>
      </c>
      <c r="CV44" s="19">
        <v>71</v>
      </c>
      <c r="CW44" s="19">
        <v>29</v>
      </c>
      <c r="CX44" s="17" t="s">
        <v>294</v>
      </c>
      <c r="CY44" s="19">
        <v>8</v>
      </c>
      <c r="CZ44" s="19">
        <v>63</v>
      </c>
      <c r="DA44" s="24">
        <v>70</v>
      </c>
      <c r="DB44" s="22">
        <v>45294</v>
      </c>
      <c r="DC44" s="17" t="s">
        <v>194</v>
      </c>
      <c r="DD44" s="16">
        <v>1.95</v>
      </c>
      <c r="DE44" s="19">
        <v>0.64</v>
      </c>
      <c r="DF44" s="21">
        <v>95</v>
      </c>
      <c r="DG44" s="19">
        <v>0</v>
      </c>
      <c r="DH44" s="19">
        <v>0</v>
      </c>
      <c r="DI44" s="19">
        <v>1.27</v>
      </c>
      <c r="DJ44" s="21">
        <v>97</v>
      </c>
      <c r="DK44" s="19" t="s">
        <v>151</v>
      </c>
      <c r="DL44" s="21" t="s">
        <v>151</v>
      </c>
      <c r="DM44" s="19">
        <v>1.27</v>
      </c>
      <c r="DN44" s="21">
        <v>97</v>
      </c>
      <c r="DO44" s="23">
        <v>15.94</v>
      </c>
      <c r="DP44" s="21">
        <v>94</v>
      </c>
      <c r="DQ44" s="23">
        <v>0</v>
      </c>
      <c r="DR44" s="19">
        <v>0</v>
      </c>
      <c r="DS44" s="23">
        <v>27.95</v>
      </c>
      <c r="DT44" s="21">
        <v>96</v>
      </c>
      <c r="DU44" s="23" t="s">
        <v>151</v>
      </c>
      <c r="DV44" s="21" t="s">
        <v>151</v>
      </c>
      <c r="DW44" s="23">
        <v>27.95</v>
      </c>
      <c r="DX44" s="21">
        <v>96</v>
      </c>
      <c r="DY44" s="18" t="s">
        <v>151</v>
      </c>
      <c r="DZ44" s="22" t="s">
        <v>151</v>
      </c>
      <c r="EA44" s="22" t="s">
        <v>151</v>
      </c>
      <c r="EB44" s="21">
        <v>14911</v>
      </c>
      <c r="EC44" s="20">
        <v>-108</v>
      </c>
      <c r="ED44" s="19">
        <v>-0.72</v>
      </c>
      <c r="EE44" s="21">
        <v>531</v>
      </c>
      <c r="EF44" s="20">
        <v>4</v>
      </c>
      <c r="EG44" s="19">
        <v>0.76</v>
      </c>
      <c r="EH44" s="16" t="s">
        <v>198</v>
      </c>
      <c r="EI44" s="17" t="s">
        <v>151</v>
      </c>
      <c r="EJ44" s="17" t="s">
        <v>151</v>
      </c>
      <c r="EK44" s="18">
        <v>6</v>
      </c>
      <c r="EL44" s="18" t="s">
        <v>151</v>
      </c>
      <c r="EM44" s="18" t="s">
        <v>151</v>
      </c>
      <c r="EN44" s="18" t="s">
        <v>151</v>
      </c>
      <c r="EO44" s="18">
        <v>6</v>
      </c>
      <c r="EP44" s="17" t="s">
        <v>151</v>
      </c>
      <c r="EQ44" s="16" t="s">
        <v>151</v>
      </c>
      <c r="ER44" s="16" t="s">
        <v>151</v>
      </c>
      <c r="ES44" s="3">
        <f>HYPERLINK("https://my.pitchbook.com?c=442684-18","View Company Online")</f>
      </c>
    </row>
    <row r="45">
      <c r="A45" s="30" t="s">
        <v>1147</v>
      </c>
      <c r="B45" s="30" t="s">
        <v>1148</v>
      </c>
      <c r="C45" s="31">
        <v>6</v>
      </c>
      <c r="D45" s="30" t="s">
        <v>1149</v>
      </c>
      <c r="E45" s="30" t="s">
        <v>151</v>
      </c>
      <c r="F45" s="30" t="s">
        <v>1150</v>
      </c>
      <c r="G45" s="30" t="s">
        <v>151</v>
      </c>
      <c r="H45" s="30" t="s">
        <v>151</v>
      </c>
      <c r="I45" s="30" t="s">
        <v>1151</v>
      </c>
      <c r="J45" s="30" t="s">
        <v>1147</v>
      </c>
      <c r="K45" s="30" t="s">
        <v>1152</v>
      </c>
      <c r="L45" s="30" t="s">
        <v>205</v>
      </c>
      <c r="M45" s="30" t="s">
        <v>206</v>
      </c>
      <c r="N45" s="30" t="s">
        <v>269</v>
      </c>
      <c r="O45" s="30" t="s">
        <v>563</v>
      </c>
      <c r="P45" s="30" t="s">
        <v>1153</v>
      </c>
      <c r="Q45" s="30" t="s">
        <v>1154</v>
      </c>
      <c r="R45" s="30" t="s">
        <v>1155</v>
      </c>
      <c r="S45" s="30" t="s">
        <v>162</v>
      </c>
      <c r="T45" s="37">
        <v>326</v>
      </c>
      <c r="U45" s="30" t="s">
        <v>163</v>
      </c>
      <c r="V45" s="30" t="s">
        <v>164</v>
      </c>
      <c r="W45" s="30" t="s">
        <v>165</v>
      </c>
      <c r="X45" s="28" t="s">
        <v>1156</v>
      </c>
      <c r="Y45" s="28" t="s">
        <v>1157</v>
      </c>
      <c r="Z45" s="40">
        <v>200</v>
      </c>
      <c r="AA45" s="30" t="s">
        <v>1158</v>
      </c>
      <c r="AB45" s="30" t="s">
        <v>151</v>
      </c>
      <c r="AC45" s="30" t="s">
        <v>151</v>
      </c>
      <c r="AD45" s="39">
        <v>2020</v>
      </c>
      <c r="AE45" s="30" t="s">
        <v>151</v>
      </c>
      <c r="AF45" s="35">
        <v>45617</v>
      </c>
      <c r="AG45" s="30" t="s">
        <v>151</v>
      </c>
      <c r="AH45" s="30" t="s">
        <v>169</v>
      </c>
      <c r="AI45" s="38">
        <v>20</v>
      </c>
      <c r="AJ45" s="32" t="s">
        <v>151</v>
      </c>
      <c r="AK45" s="38" t="s">
        <v>151</v>
      </c>
      <c r="AL45" s="38" t="s">
        <v>151</v>
      </c>
      <c r="AM45" s="38" t="s">
        <v>151</v>
      </c>
      <c r="AN45" s="38" t="s">
        <v>151</v>
      </c>
      <c r="AO45" s="38" t="s">
        <v>151</v>
      </c>
      <c r="AP45" s="38" t="s">
        <v>151</v>
      </c>
      <c r="AQ45" s="38" t="s">
        <v>151</v>
      </c>
      <c r="AR45" s="29" t="s">
        <v>841</v>
      </c>
      <c r="AS45" s="30" t="s">
        <v>1159</v>
      </c>
      <c r="AT45" s="30" t="s">
        <v>1160</v>
      </c>
      <c r="AU45" s="31">
        <v>47</v>
      </c>
      <c r="AV45" s="30" t="s">
        <v>151</v>
      </c>
      <c r="AW45" s="30" t="s">
        <v>1161</v>
      </c>
      <c r="AX45" s="30" t="s">
        <v>151</v>
      </c>
      <c r="AY45" s="30" t="s">
        <v>1162</v>
      </c>
      <c r="AZ45" s="30" t="s">
        <v>1163</v>
      </c>
      <c r="BA45" s="30" t="s">
        <v>151</v>
      </c>
      <c r="BB45" s="30" t="s">
        <v>151</v>
      </c>
      <c r="BC45" s="30" t="s">
        <v>343</v>
      </c>
      <c r="BD45" s="30" t="s">
        <v>1164</v>
      </c>
      <c r="BE45" s="30" t="s">
        <v>1165</v>
      </c>
      <c r="BF45" s="30" t="s">
        <v>493</v>
      </c>
      <c r="BG45" s="30" t="s">
        <v>1166</v>
      </c>
      <c r="BH45" s="30" t="s">
        <v>1167</v>
      </c>
      <c r="BI45" s="30" t="s">
        <v>764</v>
      </c>
      <c r="BJ45" s="30" t="s">
        <v>1168</v>
      </c>
      <c r="BK45" s="30" t="s">
        <v>1169</v>
      </c>
      <c r="BL45" s="30" t="s">
        <v>767</v>
      </c>
      <c r="BM45" s="30" t="s">
        <v>184</v>
      </c>
      <c r="BN45" s="29" t="s">
        <v>1170</v>
      </c>
      <c r="BO45" s="30" t="s">
        <v>186</v>
      </c>
      <c r="BP45" s="29" t="s">
        <v>1167</v>
      </c>
      <c r="BQ45" s="29" t="s">
        <v>151</v>
      </c>
      <c r="BR45" s="30" t="s">
        <v>1171</v>
      </c>
      <c r="BS45" s="30" t="s">
        <v>187</v>
      </c>
      <c r="BT45" s="30" t="s">
        <v>188</v>
      </c>
      <c r="BU45" s="35">
        <v>44044</v>
      </c>
      <c r="BV45" s="37">
        <v>5</v>
      </c>
      <c r="BW45" s="30" t="s">
        <v>192</v>
      </c>
      <c r="BX45" s="37">
        <v>12.5</v>
      </c>
      <c r="BY45" s="30" t="s">
        <v>192</v>
      </c>
      <c r="BZ45" s="30" t="s">
        <v>293</v>
      </c>
      <c r="CA45" s="30" t="s">
        <v>293</v>
      </c>
      <c r="CB45" s="30" t="s">
        <v>151</v>
      </c>
      <c r="CC45" s="30" t="s">
        <v>165</v>
      </c>
      <c r="CD45" s="30" t="s">
        <v>151</v>
      </c>
      <c r="CE45" s="30" t="s">
        <v>191</v>
      </c>
      <c r="CF45" s="35">
        <v>45609</v>
      </c>
      <c r="CG45" s="37" t="s">
        <v>151</v>
      </c>
      <c r="CH45" s="30" t="s">
        <v>151</v>
      </c>
      <c r="CI45" s="37" t="s">
        <v>151</v>
      </c>
      <c r="CJ45" s="30" t="s">
        <v>151</v>
      </c>
      <c r="CK45" s="29">
        <v>3.4</v>
      </c>
      <c r="CL45" s="30" t="s">
        <v>189</v>
      </c>
      <c r="CM45" s="30" t="s">
        <v>151</v>
      </c>
      <c r="CN45" s="30" t="s">
        <v>151</v>
      </c>
      <c r="CO45" s="30" t="s">
        <v>190</v>
      </c>
      <c r="CP45" s="35">
        <v>45609</v>
      </c>
      <c r="CQ45" s="37" t="s">
        <v>151</v>
      </c>
      <c r="CR45" s="30" t="s">
        <v>151</v>
      </c>
      <c r="CS45" s="30" t="s">
        <v>191</v>
      </c>
      <c r="CT45" s="29">
        <v>80</v>
      </c>
      <c r="CU45" s="30" t="s">
        <v>196</v>
      </c>
      <c r="CV45" s="32">
        <v>94</v>
      </c>
      <c r="CW45" s="32">
        <v>6</v>
      </c>
      <c r="CX45" s="30" t="s">
        <v>197</v>
      </c>
      <c r="CY45" s="32">
        <v>71</v>
      </c>
      <c r="CZ45" s="32">
        <v>23</v>
      </c>
      <c r="DA45" s="37">
        <v>1900</v>
      </c>
      <c r="DB45" s="35">
        <v>45608</v>
      </c>
      <c r="DC45" s="30" t="s">
        <v>194</v>
      </c>
      <c r="DD45" s="29">
        <v>3.4</v>
      </c>
      <c r="DE45" s="32">
        <v>0.82</v>
      </c>
      <c r="DF45" s="34">
        <v>95</v>
      </c>
      <c r="DG45" s="32">
        <v>0</v>
      </c>
      <c r="DH45" s="32">
        <v>0</v>
      </c>
      <c r="DI45" s="32">
        <v>0.24</v>
      </c>
      <c r="DJ45" s="34">
        <v>93</v>
      </c>
      <c r="DK45" s="32" t="s">
        <v>151</v>
      </c>
      <c r="DL45" s="34" t="s">
        <v>151</v>
      </c>
      <c r="DM45" s="32">
        <v>0.24</v>
      </c>
      <c r="DN45" s="34">
        <v>94</v>
      </c>
      <c r="DO45" s="36">
        <v>157.98</v>
      </c>
      <c r="DP45" s="34">
        <v>100</v>
      </c>
      <c r="DQ45" s="36">
        <v>0</v>
      </c>
      <c r="DR45" s="32">
        <v>0</v>
      </c>
      <c r="DS45" s="36">
        <v>300.58</v>
      </c>
      <c r="DT45" s="34">
        <v>100</v>
      </c>
      <c r="DU45" s="36" t="s">
        <v>151</v>
      </c>
      <c r="DV45" s="34" t="s">
        <v>151</v>
      </c>
      <c r="DW45" s="36">
        <v>300.58</v>
      </c>
      <c r="DX45" s="34">
        <v>100</v>
      </c>
      <c r="DY45" s="31" t="s">
        <v>151</v>
      </c>
      <c r="DZ45" s="35" t="s">
        <v>151</v>
      </c>
      <c r="EA45" s="35" t="s">
        <v>151</v>
      </c>
      <c r="EB45" s="34">
        <v>643175</v>
      </c>
      <c r="EC45" s="33">
        <v>276</v>
      </c>
      <c r="ED45" s="32">
        <v>0.04</v>
      </c>
      <c r="EE45" s="34">
        <v>5711</v>
      </c>
      <c r="EF45" s="33">
        <v>7</v>
      </c>
      <c r="EG45" s="32">
        <v>0.12</v>
      </c>
      <c r="EH45" s="29" t="s">
        <v>198</v>
      </c>
      <c r="EI45" s="30" t="s">
        <v>151</v>
      </c>
      <c r="EJ45" s="30" t="s">
        <v>151</v>
      </c>
      <c r="EK45" s="31">
        <v>3</v>
      </c>
      <c r="EL45" s="31">
        <v>6</v>
      </c>
      <c r="EM45" s="31" t="s">
        <v>151</v>
      </c>
      <c r="EN45" s="31" t="s">
        <v>151</v>
      </c>
      <c r="EO45" s="31" t="s">
        <v>151</v>
      </c>
      <c r="EP45" s="30" t="s">
        <v>327</v>
      </c>
      <c r="EQ45" s="29" t="s">
        <v>151</v>
      </c>
      <c r="ER45" s="29" t="s">
        <v>151</v>
      </c>
      <c r="ES45" s="4">
        <f>HYPERLINK("https://my.pitchbook.com?c=439866-01","View Company Online")</f>
      </c>
    </row>
    <row r="46">
      <c r="A46" s="17" t="s">
        <v>1172</v>
      </c>
      <c r="B46" s="17" t="s">
        <v>1173</v>
      </c>
      <c r="C46" s="18">
        <v>6</v>
      </c>
      <c r="D46" s="17" t="s">
        <v>151</v>
      </c>
      <c r="E46" s="17" t="s">
        <v>1174</v>
      </c>
      <c r="F46" s="17" t="s">
        <v>1175</v>
      </c>
      <c r="G46" s="17" t="s">
        <v>151</v>
      </c>
      <c r="H46" s="17" t="s">
        <v>151</v>
      </c>
      <c r="I46" s="17" t="s">
        <v>1176</v>
      </c>
      <c r="J46" s="17" t="s">
        <v>1172</v>
      </c>
      <c r="K46" s="17" t="s">
        <v>1177</v>
      </c>
      <c r="L46" s="17" t="s">
        <v>1178</v>
      </c>
      <c r="M46" s="17" t="s">
        <v>1179</v>
      </c>
      <c r="N46" s="17" t="s">
        <v>1179</v>
      </c>
      <c r="O46" s="17" t="s">
        <v>1180</v>
      </c>
      <c r="P46" s="17" t="s">
        <v>1181</v>
      </c>
      <c r="Q46" s="17" t="s">
        <v>1182</v>
      </c>
      <c r="R46" s="17" t="s">
        <v>151</v>
      </c>
      <c r="S46" s="17" t="s">
        <v>162</v>
      </c>
      <c r="T46" s="24">
        <v>449.99</v>
      </c>
      <c r="U46" s="17" t="s">
        <v>163</v>
      </c>
      <c r="V46" s="17" t="s">
        <v>164</v>
      </c>
      <c r="W46" s="17" t="s">
        <v>165</v>
      </c>
      <c r="X46" s="15" t="s">
        <v>1183</v>
      </c>
      <c r="Y46" s="15" t="s">
        <v>1184</v>
      </c>
      <c r="Z46" s="27">
        <v>109</v>
      </c>
      <c r="AA46" s="17" t="s">
        <v>1185</v>
      </c>
      <c r="AB46" s="17" t="s">
        <v>151</v>
      </c>
      <c r="AC46" s="17" t="s">
        <v>151</v>
      </c>
      <c r="AD46" s="26">
        <v>2021</v>
      </c>
      <c r="AE46" s="17" t="s">
        <v>151</v>
      </c>
      <c r="AF46" s="22">
        <v>45609</v>
      </c>
      <c r="AG46" s="17" t="s">
        <v>151</v>
      </c>
      <c r="AH46" s="17" t="s">
        <v>1186</v>
      </c>
      <c r="AI46" s="25">
        <v>3140</v>
      </c>
      <c r="AJ46" s="19">
        <v>100</v>
      </c>
      <c r="AK46" s="25" t="s">
        <v>151</v>
      </c>
      <c r="AL46" s="25" t="s">
        <v>151</v>
      </c>
      <c r="AM46" s="25" t="s">
        <v>151</v>
      </c>
      <c r="AN46" s="25" t="s">
        <v>151</v>
      </c>
      <c r="AO46" s="25" t="s">
        <v>151</v>
      </c>
      <c r="AP46" s="25" t="s">
        <v>151</v>
      </c>
      <c r="AQ46" s="25" t="s">
        <v>151</v>
      </c>
      <c r="AR46" s="16" t="s">
        <v>841</v>
      </c>
      <c r="AS46" s="17" t="s">
        <v>1187</v>
      </c>
      <c r="AT46" s="17" t="s">
        <v>1188</v>
      </c>
      <c r="AU46" s="18">
        <v>65</v>
      </c>
      <c r="AV46" s="17" t="s">
        <v>151</v>
      </c>
      <c r="AW46" s="17" t="s">
        <v>151</v>
      </c>
      <c r="AX46" s="17" t="s">
        <v>151</v>
      </c>
      <c r="AY46" s="17" t="s">
        <v>1189</v>
      </c>
      <c r="AZ46" s="17" t="s">
        <v>151</v>
      </c>
      <c r="BA46" s="17" t="s">
        <v>151</v>
      </c>
      <c r="BB46" s="17" t="s">
        <v>151</v>
      </c>
      <c r="BC46" s="17" t="s">
        <v>151</v>
      </c>
      <c r="BD46" s="17" t="s">
        <v>1190</v>
      </c>
      <c r="BE46" s="17" t="s">
        <v>1191</v>
      </c>
      <c r="BF46" s="17" t="s">
        <v>493</v>
      </c>
      <c r="BG46" s="17" t="s">
        <v>1192</v>
      </c>
      <c r="BH46" s="17" t="s">
        <v>1193</v>
      </c>
      <c r="BI46" s="17" t="s">
        <v>1194</v>
      </c>
      <c r="BJ46" s="17" t="s">
        <v>1195</v>
      </c>
      <c r="BK46" s="17" t="s">
        <v>1196</v>
      </c>
      <c r="BL46" s="17" t="s">
        <v>1197</v>
      </c>
      <c r="BM46" s="17" t="s">
        <v>823</v>
      </c>
      <c r="BN46" s="16" t="s">
        <v>1198</v>
      </c>
      <c r="BO46" s="17" t="s">
        <v>186</v>
      </c>
      <c r="BP46" s="16" t="s">
        <v>1193</v>
      </c>
      <c r="BQ46" s="16" t="s">
        <v>151</v>
      </c>
      <c r="BR46" s="17" t="s">
        <v>151</v>
      </c>
      <c r="BS46" s="17" t="s">
        <v>187</v>
      </c>
      <c r="BT46" s="17" t="s">
        <v>188</v>
      </c>
      <c r="BU46" s="22">
        <v>44642</v>
      </c>
      <c r="BV46" s="24">
        <v>449.99</v>
      </c>
      <c r="BW46" s="17" t="s">
        <v>192</v>
      </c>
      <c r="BX46" s="24">
        <v>4000</v>
      </c>
      <c r="BY46" s="17" t="s">
        <v>192</v>
      </c>
      <c r="BZ46" s="17" t="s">
        <v>293</v>
      </c>
      <c r="CA46" s="17" t="s">
        <v>293</v>
      </c>
      <c r="CB46" s="17" t="s">
        <v>151</v>
      </c>
      <c r="CC46" s="17" t="s">
        <v>165</v>
      </c>
      <c r="CD46" s="17" t="s">
        <v>151</v>
      </c>
      <c r="CE46" s="17" t="s">
        <v>191</v>
      </c>
      <c r="CF46" s="22">
        <v>45195</v>
      </c>
      <c r="CG46" s="24" t="s">
        <v>151</v>
      </c>
      <c r="CH46" s="17" t="s">
        <v>151</v>
      </c>
      <c r="CI46" s="24" t="s">
        <v>151</v>
      </c>
      <c r="CJ46" s="17" t="s">
        <v>151</v>
      </c>
      <c r="CK46" s="16" t="s">
        <v>151</v>
      </c>
      <c r="CL46" s="17" t="s">
        <v>1075</v>
      </c>
      <c r="CM46" s="17" t="s">
        <v>1075</v>
      </c>
      <c r="CN46" s="17" t="s">
        <v>151</v>
      </c>
      <c r="CO46" s="17" t="s">
        <v>585</v>
      </c>
      <c r="CP46" s="22">
        <v>45195</v>
      </c>
      <c r="CQ46" s="24" t="s">
        <v>151</v>
      </c>
      <c r="CR46" s="17" t="s">
        <v>151</v>
      </c>
      <c r="CS46" s="17" t="s">
        <v>191</v>
      </c>
      <c r="CT46" s="16">
        <v>84</v>
      </c>
      <c r="CU46" s="17" t="s">
        <v>196</v>
      </c>
      <c r="CV46" s="19">
        <v>63</v>
      </c>
      <c r="CW46" s="19">
        <v>37</v>
      </c>
      <c r="CX46" s="17" t="s">
        <v>294</v>
      </c>
      <c r="CY46" s="19">
        <v>25</v>
      </c>
      <c r="CZ46" s="19">
        <v>38</v>
      </c>
      <c r="DA46" s="24">
        <v>4000</v>
      </c>
      <c r="DB46" s="22">
        <v>44642</v>
      </c>
      <c r="DC46" s="17" t="s">
        <v>293</v>
      </c>
      <c r="DD46" s="16" t="s">
        <v>151</v>
      </c>
      <c r="DE46" s="19">
        <v>-0.34</v>
      </c>
      <c r="DF46" s="21">
        <v>8</v>
      </c>
      <c r="DG46" s="19">
        <v>0</v>
      </c>
      <c r="DH46" s="19">
        <v>0</v>
      </c>
      <c r="DI46" s="19">
        <v>-0.76</v>
      </c>
      <c r="DJ46" s="21">
        <v>5</v>
      </c>
      <c r="DK46" s="19" t="s">
        <v>151</v>
      </c>
      <c r="DL46" s="21" t="s">
        <v>151</v>
      </c>
      <c r="DM46" s="19">
        <v>-0.76</v>
      </c>
      <c r="DN46" s="21">
        <v>5</v>
      </c>
      <c r="DO46" s="23">
        <v>55.86</v>
      </c>
      <c r="DP46" s="21">
        <v>98</v>
      </c>
      <c r="DQ46" s="23">
        <v>0</v>
      </c>
      <c r="DR46" s="19">
        <v>0</v>
      </c>
      <c r="DS46" s="23">
        <v>99.95</v>
      </c>
      <c r="DT46" s="21">
        <v>99</v>
      </c>
      <c r="DU46" s="23" t="s">
        <v>151</v>
      </c>
      <c r="DV46" s="21" t="s">
        <v>151</v>
      </c>
      <c r="DW46" s="23">
        <v>99.95</v>
      </c>
      <c r="DX46" s="21">
        <v>99</v>
      </c>
      <c r="DY46" s="18" t="s">
        <v>151</v>
      </c>
      <c r="DZ46" s="22" t="s">
        <v>151</v>
      </c>
      <c r="EA46" s="22" t="s">
        <v>151</v>
      </c>
      <c r="EB46" s="21">
        <v>8657</v>
      </c>
      <c r="EC46" s="20">
        <v>-332</v>
      </c>
      <c r="ED46" s="19">
        <v>-3.69</v>
      </c>
      <c r="EE46" s="21">
        <v>1899</v>
      </c>
      <c r="EF46" s="20">
        <v>-14</v>
      </c>
      <c r="EG46" s="19">
        <v>-0.73</v>
      </c>
      <c r="EH46" s="16" t="s">
        <v>198</v>
      </c>
      <c r="EI46" s="17" t="s">
        <v>151</v>
      </c>
      <c r="EJ46" s="17" t="s">
        <v>151</v>
      </c>
      <c r="EK46" s="18">
        <v>4</v>
      </c>
      <c r="EL46" s="18">
        <v>3</v>
      </c>
      <c r="EM46" s="18">
        <v>2</v>
      </c>
      <c r="EN46" s="18" t="s">
        <v>151</v>
      </c>
      <c r="EO46" s="18">
        <v>1</v>
      </c>
      <c r="EP46" s="17" t="s">
        <v>1199</v>
      </c>
      <c r="EQ46" s="16" t="s">
        <v>151</v>
      </c>
      <c r="ER46" s="16" t="s">
        <v>151</v>
      </c>
      <c r="ES46" s="3">
        <f>HYPERLINK("https://my.pitchbook.com?c=482277-07","View Company Online")</f>
      </c>
    </row>
    <row r="47">
      <c r="A47" s="30" t="s">
        <v>1200</v>
      </c>
      <c r="B47" s="30" t="s">
        <v>1201</v>
      </c>
      <c r="C47" s="31">
        <v>5</v>
      </c>
      <c r="D47" s="30" t="s">
        <v>151</v>
      </c>
      <c r="E47" s="30" t="s">
        <v>151</v>
      </c>
      <c r="F47" s="30" t="s">
        <v>1202</v>
      </c>
      <c r="G47" s="30" t="s">
        <v>151</v>
      </c>
      <c r="H47" s="30" t="s">
        <v>151</v>
      </c>
      <c r="I47" s="30" t="s">
        <v>151</v>
      </c>
      <c r="J47" s="30" t="s">
        <v>1200</v>
      </c>
      <c r="K47" s="30" t="s">
        <v>1203</v>
      </c>
      <c r="L47" s="30" t="s">
        <v>205</v>
      </c>
      <c r="M47" s="30" t="s">
        <v>206</v>
      </c>
      <c r="N47" s="30" t="s">
        <v>1130</v>
      </c>
      <c r="O47" s="30" t="s">
        <v>1204</v>
      </c>
      <c r="P47" s="30" t="s">
        <v>1205</v>
      </c>
      <c r="Q47" s="30" t="s">
        <v>1206</v>
      </c>
      <c r="R47" s="30" t="s">
        <v>1207</v>
      </c>
      <c r="S47" s="30" t="s">
        <v>162</v>
      </c>
      <c r="T47" s="37">
        <v>1.04</v>
      </c>
      <c r="U47" s="30" t="s">
        <v>163</v>
      </c>
      <c r="V47" s="30" t="s">
        <v>164</v>
      </c>
      <c r="W47" s="30" t="s">
        <v>165</v>
      </c>
      <c r="X47" s="28" t="s">
        <v>1208</v>
      </c>
      <c r="Y47" s="28" t="s">
        <v>1209</v>
      </c>
      <c r="Z47" s="40">
        <v>26</v>
      </c>
      <c r="AA47" s="30" t="s">
        <v>1210</v>
      </c>
      <c r="AB47" s="30" t="s">
        <v>151</v>
      </c>
      <c r="AC47" s="30" t="s">
        <v>151</v>
      </c>
      <c r="AD47" s="39">
        <v>2018</v>
      </c>
      <c r="AE47" s="30" t="s">
        <v>151</v>
      </c>
      <c r="AF47" s="35">
        <v>45601</v>
      </c>
      <c r="AG47" s="30" t="s">
        <v>151</v>
      </c>
      <c r="AH47" s="30" t="s">
        <v>151</v>
      </c>
      <c r="AI47" s="38">
        <v>0.1</v>
      </c>
      <c r="AJ47" s="32">
        <v>9432.89</v>
      </c>
      <c r="AK47" s="38" t="s">
        <v>151</v>
      </c>
      <c r="AL47" s="38" t="s">
        <v>151</v>
      </c>
      <c r="AM47" s="38" t="s">
        <v>151</v>
      </c>
      <c r="AN47" s="38" t="s">
        <v>151</v>
      </c>
      <c r="AO47" s="38" t="s">
        <v>151</v>
      </c>
      <c r="AP47" s="38" t="s">
        <v>151</v>
      </c>
      <c r="AQ47" s="38" t="s">
        <v>151</v>
      </c>
      <c r="AR47" s="29" t="s">
        <v>456</v>
      </c>
      <c r="AS47" s="30" t="s">
        <v>1211</v>
      </c>
      <c r="AT47" s="30" t="s">
        <v>1212</v>
      </c>
      <c r="AU47" s="31">
        <v>10</v>
      </c>
      <c r="AV47" s="30" t="s">
        <v>151</v>
      </c>
      <c r="AW47" s="30" t="s">
        <v>151</v>
      </c>
      <c r="AX47" s="30" t="s">
        <v>151</v>
      </c>
      <c r="AY47" s="30" t="s">
        <v>1213</v>
      </c>
      <c r="AZ47" s="30" t="s">
        <v>151</v>
      </c>
      <c r="BA47" s="30" t="s">
        <v>151</v>
      </c>
      <c r="BB47" s="30" t="s">
        <v>151</v>
      </c>
      <c r="BC47" s="30" t="s">
        <v>1214</v>
      </c>
      <c r="BD47" s="30" t="s">
        <v>1215</v>
      </c>
      <c r="BE47" s="30" t="s">
        <v>1216</v>
      </c>
      <c r="BF47" s="30" t="s">
        <v>546</v>
      </c>
      <c r="BG47" s="30" t="s">
        <v>151</v>
      </c>
      <c r="BH47" s="30" t="s">
        <v>1217</v>
      </c>
      <c r="BI47" s="30" t="s">
        <v>1040</v>
      </c>
      <c r="BJ47" s="30" t="s">
        <v>1218</v>
      </c>
      <c r="BK47" s="30" t="s">
        <v>151</v>
      </c>
      <c r="BL47" s="30" t="s">
        <v>1042</v>
      </c>
      <c r="BM47" s="30" t="s">
        <v>1043</v>
      </c>
      <c r="BN47" s="29" t="s">
        <v>1219</v>
      </c>
      <c r="BO47" s="30" t="s">
        <v>186</v>
      </c>
      <c r="BP47" s="29" t="s">
        <v>1217</v>
      </c>
      <c r="BQ47" s="29" t="s">
        <v>151</v>
      </c>
      <c r="BR47" s="30" t="s">
        <v>1220</v>
      </c>
      <c r="BS47" s="30" t="s">
        <v>187</v>
      </c>
      <c r="BT47" s="30" t="s">
        <v>188</v>
      </c>
      <c r="BU47" s="35">
        <v>43831</v>
      </c>
      <c r="BV47" s="37">
        <v>0.01</v>
      </c>
      <c r="BW47" s="30" t="s">
        <v>193</v>
      </c>
      <c r="BX47" s="37" t="s">
        <v>151</v>
      </c>
      <c r="BY47" s="30" t="s">
        <v>151</v>
      </c>
      <c r="BZ47" s="30" t="s">
        <v>501</v>
      </c>
      <c r="CA47" s="30" t="s">
        <v>151</v>
      </c>
      <c r="CB47" s="30" t="s">
        <v>151</v>
      </c>
      <c r="CC47" s="30" t="s">
        <v>190</v>
      </c>
      <c r="CD47" s="30" t="s">
        <v>151</v>
      </c>
      <c r="CE47" s="30" t="s">
        <v>191</v>
      </c>
      <c r="CF47" s="35">
        <v>45292</v>
      </c>
      <c r="CG47" s="37" t="s">
        <v>151</v>
      </c>
      <c r="CH47" s="30" t="s">
        <v>151</v>
      </c>
      <c r="CI47" s="37" t="s">
        <v>151</v>
      </c>
      <c r="CJ47" s="30" t="s">
        <v>151</v>
      </c>
      <c r="CK47" s="29" t="s">
        <v>151</v>
      </c>
      <c r="CL47" s="30" t="s">
        <v>189</v>
      </c>
      <c r="CM47" s="30" t="s">
        <v>151</v>
      </c>
      <c r="CN47" s="30" t="s">
        <v>151</v>
      </c>
      <c r="CO47" s="30" t="s">
        <v>190</v>
      </c>
      <c r="CP47" s="35">
        <v>45292</v>
      </c>
      <c r="CQ47" s="37" t="s">
        <v>151</v>
      </c>
      <c r="CR47" s="30" t="s">
        <v>151</v>
      </c>
      <c r="CS47" s="30" t="s">
        <v>191</v>
      </c>
      <c r="CT47" s="29">
        <v>48</v>
      </c>
      <c r="CU47" s="30" t="s">
        <v>263</v>
      </c>
      <c r="CV47" s="32">
        <v>46</v>
      </c>
      <c r="CW47" s="32">
        <v>54</v>
      </c>
      <c r="CX47" s="30" t="s">
        <v>263</v>
      </c>
      <c r="CY47" s="32">
        <v>1</v>
      </c>
      <c r="CZ47" s="32">
        <v>45</v>
      </c>
      <c r="DA47" s="37" t="s">
        <v>151</v>
      </c>
      <c r="DB47" s="35" t="s">
        <v>151</v>
      </c>
      <c r="DC47" s="30" t="s">
        <v>151</v>
      </c>
      <c r="DD47" s="29" t="s">
        <v>151</v>
      </c>
      <c r="DE47" s="32">
        <v>1.35</v>
      </c>
      <c r="DF47" s="34">
        <v>97</v>
      </c>
      <c r="DG47" s="32">
        <v>0</v>
      </c>
      <c r="DH47" s="32">
        <v>0</v>
      </c>
      <c r="DI47" s="32">
        <v>1.35</v>
      </c>
      <c r="DJ47" s="34">
        <v>97</v>
      </c>
      <c r="DK47" s="32" t="s">
        <v>151</v>
      </c>
      <c r="DL47" s="34" t="s">
        <v>151</v>
      </c>
      <c r="DM47" s="32">
        <v>1.35</v>
      </c>
      <c r="DN47" s="34">
        <v>97</v>
      </c>
      <c r="DO47" s="36">
        <v>24.89</v>
      </c>
      <c r="DP47" s="34">
        <v>96</v>
      </c>
      <c r="DQ47" s="36">
        <v>0</v>
      </c>
      <c r="DR47" s="32">
        <v>0</v>
      </c>
      <c r="DS47" s="36">
        <v>24.89</v>
      </c>
      <c r="DT47" s="34">
        <v>96</v>
      </c>
      <c r="DU47" s="36" t="s">
        <v>151</v>
      </c>
      <c r="DV47" s="34" t="s">
        <v>151</v>
      </c>
      <c r="DW47" s="36">
        <v>24.89</v>
      </c>
      <c r="DX47" s="34">
        <v>96</v>
      </c>
      <c r="DY47" s="31" t="s">
        <v>151</v>
      </c>
      <c r="DZ47" s="35" t="s">
        <v>151</v>
      </c>
      <c r="EA47" s="35" t="s">
        <v>151</v>
      </c>
      <c r="EB47" s="34" t="s">
        <v>151</v>
      </c>
      <c r="EC47" s="33" t="s">
        <v>151</v>
      </c>
      <c r="ED47" s="32" t="s">
        <v>151</v>
      </c>
      <c r="EE47" s="34">
        <v>473</v>
      </c>
      <c r="EF47" s="33">
        <v>2</v>
      </c>
      <c r="EG47" s="32">
        <v>0.42</v>
      </c>
      <c r="EH47" s="29" t="s">
        <v>198</v>
      </c>
      <c r="EI47" s="30" t="s">
        <v>151</v>
      </c>
      <c r="EJ47" s="30" t="s">
        <v>151</v>
      </c>
      <c r="EK47" s="31">
        <v>4</v>
      </c>
      <c r="EL47" s="31">
        <v>2</v>
      </c>
      <c r="EM47" s="31">
        <v>2</v>
      </c>
      <c r="EN47" s="31" t="s">
        <v>151</v>
      </c>
      <c r="EO47" s="31">
        <v>1</v>
      </c>
      <c r="EP47" s="30" t="s">
        <v>940</v>
      </c>
      <c r="EQ47" s="29" t="s">
        <v>151</v>
      </c>
      <c r="ER47" s="29" t="s">
        <v>151</v>
      </c>
      <c r="ES47" s="4">
        <f>HYPERLINK("https://my.pitchbook.com?c=266092-21","View Company Online")</f>
      </c>
    </row>
    <row r="48">
      <c r="A48" s="17" t="s">
        <v>1221</v>
      </c>
      <c r="B48" s="17" t="s">
        <v>1222</v>
      </c>
      <c r="C48" s="18">
        <v>5</v>
      </c>
      <c r="D48" s="17" t="s">
        <v>151</v>
      </c>
      <c r="E48" s="17" t="s">
        <v>151</v>
      </c>
      <c r="F48" s="17" t="s">
        <v>1223</v>
      </c>
      <c r="G48" s="17" t="s">
        <v>151</v>
      </c>
      <c r="H48" s="17" t="s">
        <v>151</v>
      </c>
      <c r="I48" s="17" t="s">
        <v>1224</v>
      </c>
      <c r="J48" s="17" t="s">
        <v>1221</v>
      </c>
      <c r="K48" s="17" t="s">
        <v>1225</v>
      </c>
      <c r="L48" s="17" t="s">
        <v>205</v>
      </c>
      <c r="M48" s="17" t="s">
        <v>206</v>
      </c>
      <c r="N48" s="17" t="s">
        <v>269</v>
      </c>
      <c r="O48" s="17" t="s">
        <v>563</v>
      </c>
      <c r="P48" s="17" t="s">
        <v>1153</v>
      </c>
      <c r="Q48" s="17" t="s">
        <v>1226</v>
      </c>
      <c r="R48" s="17" t="s">
        <v>780</v>
      </c>
      <c r="S48" s="17" t="s">
        <v>162</v>
      </c>
      <c r="T48" s="24">
        <v>39.3</v>
      </c>
      <c r="U48" s="17" t="s">
        <v>163</v>
      </c>
      <c r="V48" s="17" t="s">
        <v>164</v>
      </c>
      <c r="W48" s="17" t="s">
        <v>165</v>
      </c>
      <c r="X48" s="15" t="s">
        <v>1227</v>
      </c>
      <c r="Y48" s="15" t="s">
        <v>1228</v>
      </c>
      <c r="Z48" s="27">
        <v>47</v>
      </c>
      <c r="AA48" s="17" t="s">
        <v>1229</v>
      </c>
      <c r="AB48" s="17" t="s">
        <v>151</v>
      </c>
      <c r="AC48" s="17" t="s">
        <v>151</v>
      </c>
      <c r="AD48" s="26">
        <v>2020</v>
      </c>
      <c r="AE48" s="17" t="s">
        <v>151</v>
      </c>
      <c r="AF48" s="22">
        <v>45574</v>
      </c>
      <c r="AG48" s="17" t="s">
        <v>151</v>
      </c>
      <c r="AH48" s="17" t="s">
        <v>151</v>
      </c>
      <c r="AI48" s="25" t="s">
        <v>151</v>
      </c>
      <c r="AJ48" s="19" t="s">
        <v>151</v>
      </c>
      <c r="AK48" s="25" t="s">
        <v>151</v>
      </c>
      <c r="AL48" s="25" t="s">
        <v>151</v>
      </c>
      <c r="AM48" s="25" t="s">
        <v>151</v>
      </c>
      <c r="AN48" s="25" t="s">
        <v>151</v>
      </c>
      <c r="AO48" s="25" t="s">
        <v>151</v>
      </c>
      <c r="AP48" s="25" t="s">
        <v>151</v>
      </c>
      <c r="AQ48" s="25" t="s">
        <v>151</v>
      </c>
      <c r="AR48" s="16" t="s">
        <v>151</v>
      </c>
      <c r="AS48" s="17" t="s">
        <v>1230</v>
      </c>
      <c r="AT48" s="17" t="s">
        <v>1231</v>
      </c>
      <c r="AU48" s="18">
        <v>8</v>
      </c>
      <c r="AV48" s="17" t="s">
        <v>151</v>
      </c>
      <c r="AW48" s="17" t="s">
        <v>151</v>
      </c>
      <c r="AX48" s="17" t="s">
        <v>151</v>
      </c>
      <c r="AY48" s="17" t="s">
        <v>1232</v>
      </c>
      <c r="AZ48" s="17" t="s">
        <v>151</v>
      </c>
      <c r="BA48" s="17" t="s">
        <v>151</v>
      </c>
      <c r="BB48" s="17" t="s">
        <v>151</v>
      </c>
      <c r="BC48" s="17" t="s">
        <v>151</v>
      </c>
      <c r="BD48" s="17" t="s">
        <v>1233</v>
      </c>
      <c r="BE48" s="17" t="s">
        <v>1234</v>
      </c>
      <c r="BF48" s="17" t="s">
        <v>221</v>
      </c>
      <c r="BG48" s="17" t="s">
        <v>1235</v>
      </c>
      <c r="BH48" s="17" t="s">
        <v>151</v>
      </c>
      <c r="BI48" s="17" t="s">
        <v>707</v>
      </c>
      <c r="BJ48" s="17" t="s">
        <v>1236</v>
      </c>
      <c r="BK48" s="17" t="s">
        <v>151</v>
      </c>
      <c r="BL48" s="17" t="s">
        <v>709</v>
      </c>
      <c r="BM48" s="17" t="s">
        <v>184</v>
      </c>
      <c r="BN48" s="16" t="s">
        <v>1237</v>
      </c>
      <c r="BO48" s="17" t="s">
        <v>186</v>
      </c>
      <c r="BP48" s="16" t="s">
        <v>151</v>
      </c>
      <c r="BQ48" s="16" t="s">
        <v>151</v>
      </c>
      <c r="BR48" s="17" t="s">
        <v>1238</v>
      </c>
      <c r="BS48" s="17" t="s">
        <v>187</v>
      </c>
      <c r="BT48" s="17" t="s">
        <v>188</v>
      </c>
      <c r="BU48" s="22">
        <v>43831</v>
      </c>
      <c r="BV48" s="24">
        <v>5.5</v>
      </c>
      <c r="BW48" s="17" t="s">
        <v>192</v>
      </c>
      <c r="BX48" s="24">
        <v>21.5</v>
      </c>
      <c r="BY48" s="17" t="s">
        <v>192</v>
      </c>
      <c r="BZ48" s="17" t="s">
        <v>293</v>
      </c>
      <c r="CA48" s="17" t="s">
        <v>293</v>
      </c>
      <c r="CB48" s="17" t="s">
        <v>151</v>
      </c>
      <c r="CC48" s="17" t="s">
        <v>165</v>
      </c>
      <c r="CD48" s="17" t="s">
        <v>151</v>
      </c>
      <c r="CE48" s="17" t="s">
        <v>191</v>
      </c>
      <c r="CF48" s="22">
        <v>45503</v>
      </c>
      <c r="CG48" s="24">
        <v>21</v>
      </c>
      <c r="CH48" s="17" t="s">
        <v>192</v>
      </c>
      <c r="CI48" s="24">
        <v>103</v>
      </c>
      <c r="CJ48" s="17" t="s">
        <v>192</v>
      </c>
      <c r="CK48" s="16">
        <v>1.31</v>
      </c>
      <c r="CL48" s="17" t="s">
        <v>231</v>
      </c>
      <c r="CM48" s="17" t="s">
        <v>1239</v>
      </c>
      <c r="CN48" s="17" t="s">
        <v>151</v>
      </c>
      <c r="CO48" s="17" t="s">
        <v>165</v>
      </c>
      <c r="CP48" s="22">
        <v>45503</v>
      </c>
      <c r="CQ48" s="24" t="s">
        <v>151</v>
      </c>
      <c r="CR48" s="17" t="s">
        <v>151</v>
      </c>
      <c r="CS48" s="17" t="s">
        <v>191</v>
      </c>
      <c r="CT48" s="16">
        <v>92</v>
      </c>
      <c r="CU48" s="17" t="s">
        <v>196</v>
      </c>
      <c r="CV48" s="19">
        <v>83</v>
      </c>
      <c r="CW48" s="19">
        <v>17</v>
      </c>
      <c r="CX48" s="17" t="s">
        <v>294</v>
      </c>
      <c r="CY48" s="19">
        <v>5</v>
      </c>
      <c r="CZ48" s="19">
        <v>78</v>
      </c>
      <c r="DA48" s="24">
        <v>103</v>
      </c>
      <c r="DB48" s="22">
        <v>45503</v>
      </c>
      <c r="DC48" s="17" t="s">
        <v>231</v>
      </c>
      <c r="DD48" s="16">
        <v>1.31</v>
      </c>
      <c r="DE48" s="19">
        <v>0.93</v>
      </c>
      <c r="DF48" s="21">
        <v>96</v>
      </c>
      <c r="DG48" s="19">
        <v>0</v>
      </c>
      <c r="DH48" s="19">
        <v>0</v>
      </c>
      <c r="DI48" s="19">
        <v>0.44</v>
      </c>
      <c r="DJ48" s="21">
        <v>95</v>
      </c>
      <c r="DK48" s="19">
        <v>-0.61</v>
      </c>
      <c r="DL48" s="21">
        <v>10</v>
      </c>
      <c r="DM48" s="19">
        <v>1.49</v>
      </c>
      <c r="DN48" s="21">
        <v>98</v>
      </c>
      <c r="DO48" s="23">
        <v>14.59</v>
      </c>
      <c r="DP48" s="21">
        <v>93</v>
      </c>
      <c r="DQ48" s="23">
        <v>0</v>
      </c>
      <c r="DR48" s="19">
        <v>0</v>
      </c>
      <c r="DS48" s="23">
        <v>25.56</v>
      </c>
      <c r="DT48" s="21">
        <v>96</v>
      </c>
      <c r="DU48" s="23">
        <v>32.22</v>
      </c>
      <c r="DV48" s="21">
        <v>93</v>
      </c>
      <c r="DW48" s="23">
        <v>18.89</v>
      </c>
      <c r="DX48" s="21">
        <v>95</v>
      </c>
      <c r="DY48" s="18">
        <v>1</v>
      </c>
      <c r="DZ48" s="22">
        <v>44791</v>
      </c>
      <c r="EA48" s="22" t="s">
        <v>151</v>
      </c>
      <c r="EB48" s="21">
        <v>6637</v>
      </c>
      <c r="EC48" s="20">
        <v>-64</v>
      </c>
      <c r="ED48" s="19">
        <v>-0.96</v>
      </c>
      <c r="EE48" s="21">
        <v>359</v>
      </c>
      <c r="EF48" s="20">
        <v>3</v>
      </c>
      <c r="EG48" s="19">
        <v>0.84</v>
      </c>
      <c r="EH48" s="16" t="s">
        <v>198</v>
      </c>
      <c r="EI48" s="17" t="s">
        <v>151</v>
      </c>
      <c r="EJ48" s="17" t="s">
        <v>151</v>
      </c>
      <c r="EK48" s="18">
        <v>2</v>
      </c>
      <c r="EL48" s="18">
        <v>2</v>
      </c>
      <c r="EM48" s="18">
        <v>3</v>
      </c>
      <c r="EN48" s="18" t="s">
        <v>151</v>
      </c>
      <c r="EO48" s="18" t="s">
        <v>151</v>
      </c>
      <c r="EP48" s="17" t="s">
        <v>1240</v>
      </c>
      <c r="EQ48" s="16" t="s">
        <v>151</v>
      </c>
      <c r="ER48" s="16" t="s">
        <v>151</v>
      </c>
      <c r="ES48" s="3">
        <f>HYPERLINK("https://my.pitchbook.com?c=459035-74","View Company Online")</f>
      </c>
    </row>
    <row r="49">
      <c r="A49" s="30" t="s">
        <v>1241</v>
      </c>
      <c r="B49" s="30" t="s">
        <v>1242</v>
      </c>
      <c r="C49" s="31">
        <v>5</v>
      </c>
      <c r="D49" s="30" t="s">
        <v>151</v>
      </c>
      <c r="E49" s="30" t="s">
        <v>151</v>
      </c>
      <c r="F49" s="30" t="s">
        <v>1243</v>
      </c>
      <c r="G49" s="30" t="s">
        <v>151</v>
      </c>
      <c r="H49" s="30" t="s">
        <v>151</v>
      </c>
      <c r="I49" s="30" t="s">
        <v>1244</v>
      </c>
      <c r="J49" s="30" t="s">
        <v>1241</v>
      </c>
      <c r="K49" s="30" t="s">
        <v>1245</v>
      </c>
      <c r="L49" s="30" t="s">
        <v>616</v>
      </c>
      <c r="M49" s="30" t="s">
        <v>834</v>
      </c>
      <c r="N49" s="30" t="s">
        <v>1246</v>
      </c>
      <c r="O49" s="30" t="s">
        <v>1247</v>
      </c>
      <c r="P49" s="30" t="s">
        <v>1248</v>
      </c>
      <c r="Q49" s="30" t="s">
        <v>1249</v>
      </c>
      <c r="R49" s="30" t="s">
        <v>151</v>
      </c>
      <c r="S49" s="30" t="s">
        <v>162</v>
      </c>
      <c r="T49" s="37">
        <v>5.1</v>
      </c>
      <c r="U49" s="30" t="s">
        <v>163</v>
      </c>
      <c r="V49" s="30" t="s">
        <v>164</v>
      </c>
      <c r="W49" s="30" t="s">
        <v>165</v>
      </c>
      <c r="X49" s="28" t="s">
        <v>1250</v>
      </c>
      <c r="Y49" s="28" t="s">
        <v>1251</v>
      </c>
      <c r="Z49" s="40">
        <v>13</v>
      </c>
      <c r="AA49" s="30" t="s">
        <v>1252</v>
      </c>
      <c r="AB49" s="30" t="s">
        <v>151</v>
      </c>
      <c r="AC49" s="30" t="s">
        <v>151</v>
      </c>
      <c r="AD49" s="39">
        <v>2019</v>
      </c>
      <c r="AE49" s="30" t="s">
        <v>151</v>
      </c>
      <c r="AF49" s="35">
        <v>45597</v>
      </c>
      <c r="AG49" s="30" t="s">
        <v>151</v>
      </c>
      <c r="AH49" s="30" t="s">
        <v>151</v>
      </c>
      <c r="AI49" s="38" t="s">
        <v>151</v>
      </c>
      <c r="AJ49" s="32" t="s">
        <v>151</v>
      </c>
      <c r="AK49" s="38" t="s">
        <v>151</v>
      </c>
      <c r="AL49" s="38" t="s">
        <v>151</v>
      </c>
      <c r="AM49" s="38" t="s">
        <v>151</v>
      </c>
      <c r="AN49" s="38" t="s">
        <v>151</v>
      </c>
      <c r="AO49" s="38" t="s">
        <v>151</v>
      </c>
      <c r="AP49" s="38" t="s">
        <v>151</v>
      </c>
      <c r="AQ49" s="38" t="s">
        <v>151</v>
      </c>
      <c r="AR49" s="29" t="s">
        <v>151</v>
      </c>
      <c r="AS49" s="30" t="s">
        <v>1253</v>
      </c>
      <c r="AT49" s="30" t="s">
        <v>1254</v>
      </c>
      <c r="AU49" s="31">
        <v>10</v>
      </c>
      <c r="AV49" s="30" t="s">
        <v>151</v>
      </c>
      <c r="AW49" s="30" t="s">
        <v>151</v>
      </c>
      <c r="AX49" s="30" t="s">
        <v>151</v>
      </c>
      <c r="AY49" s="30" t="s">
        <v>1255</v>
      </c>
      <c r="AZ49" s="30" t="s">
        <v>151</v>
      </c>
      <c r="BA49" s="30" t="s">
        <v>151</v>
      </c>
      <c r="BB49" s="30" t="s">
        <v>343</v>
      </c>
      <c r="BC49" s="30" t="s">
        <v>151</v>
      </c>
      <c r="BD49" s="30" t="s">
        <v>1256</v>
      </c>
      <c r="BE49" s="30" t="s">
        <v>1257</v>
      </c>
      <c r="BF49" s="30" t="s">
        <v>493</v>
      </c>
      <c r="BG49" s="30" t="s">
        <v>1258</v>
      </c>
      <c r="BH49" s="30" t="s">
        <v>1259</v>
      </c>
      <c r="BI49" s="30" t="s">
        <v>764</v>
      </c>
      <c r="BJ49" s="30" t="s">
        <v>151</v>
      </c>
      <c r="BK49" s="30" t="s">
        <v>151</v>
      </c>
      <c r="BL49" s="30" t="s">
        <v>767</v>
      </c>
      <c r="BM49" s="30" t="s">
        <v>184</v>
      </c>
      <c r="BN49" s="29" t="s">
        <v>1260</v>
      </c>
      <c r="BO49" s="30" t="s">
        <v>186</v>
      </c>
      <c r="BP49" s="29" t="s">
        <v>1259</v>
      </c>
      <c r="BQ49" s="29" t="s">
        <v>151</v>
      </c>
      <c r="BR49" s="30" t="s">
        <v>1261</v>
      </c>
      <c r="BS49" s="30" t="s">
        <v>187</v>
      </c>
      <c r="BT49" s="30" t="s">
        <v>188</v>
      </c>
      <c r="BU49" s="35" t="s">
        <v>151</v>
      </c>
      <c r="BV49" s="37" t="s">
        <v>151</v>
      </c>
      <c r="BW49" s="30" t="s">
        <v>151</v>
      </c>
      <c r="BX49" s="37" t="s">
        <v>151</v>
      </c>
      <c r="BY49" s="30" t="s">
        <v>151</v>
      </c>
      <c r="BZ49" s="30" t="s">
        <v>189</v>
      </c>
      <c r="CA49" s="30" t="s">
        <v>151</v>
      </c>
      <c r="CB49" s="30" t="s">
        <v>151</v>
      </c>
      <c r="CC49" s="30" t="s">
        <v>190</v>
      </c>
      <c r="CD49" s="30" t="s">
        <v>151</v>
      </c>
      <c r="CE49" s="30" t="s">
        <v>191</v>
      </c>
      <c r="CF49" s="35">
        <v>45539</v>
      </c>
      <c r="CG49" s="37" t="s">
        <v>151</v>
      </c>
      <c r="CH49" s="30" t="s">
        <v>151</v>
      </c>
      <c r="CI49" s="37" t="s">
        <v>151</v>
      </c>
      <c r="CJ49" s="30" t="s">
        <v>151</v>
      </c>
      <c r="CK49" s="29" t="s">
        <v>151</v>
      </c>
      <c r="CL49" s="30" t="s">
        <v>293</v>
      </c>
      <c r="CM49" s="30" t="s">
        <v>293</v>
      </c>
      <c r="CN49" s="30" t="s">
        <v>151</v>
      </c>
      <c r="CO49" s="30" t="s">
        <v>165</v>
      </c>
      <c r="CP49" s="35">
        <v>45539</v>
      </c>
      <c r="CQ49" s="37" t="s">
        <v>151</v>
      </c>
      <c r="CR49" s="30" t="s">
        <v>151</v>
      </c>
      <c r="CS49" s="30" t="s">
        <v>191</v>
      </c>
      <c r="CT49" s="29">
        <v>37</v>
      </c>
      <c r="CU49" s="30" t="s">
        <v>263</v>
      </c>
      <c r="CV49" s="32">
        <v>37</v>
      </c>
      <c r="CW49" s="32">
        <v>63</v>
      </c>
      <c r="CX49" s="30" t="s">
        <v>263</v>
      </c>
      <c r="CY49" s="32">
        <v>1</v>
      </c>
      <c r="CZ49" s="32">
        <v>36</v>
      </c>
      <c r="DA49" s="37" t="s">
        <v>151</v>
      </c>
      <c r="DB49" s="35" t="s">
        <v>151</v>
      </c>
      <c r="DC49" s="30" t="s">
        <v>151</v>
      </c>
      <c r="DD49" s="29" t="s">
        <v>151</v>
      </c>
      <c r="DE49" s="32">
        <v>0</v>
      </c>
      <c r="DF49" s="34">
        <v>11</v>
      </c>
      <c r="DG49" s="32">
        <v>0</v>
      </c>
      <c r="DH49" s="32">
        <v>0</v>
      </c>
      <c r="DI49" s="32" t="s">
        <v>151</v>
      </c>
      <c r="DJ49" s="34" t="s">
        <v>151</v>
      </c>
      <c r="DK49" s="32" t="s">
        <v>151</v>
      </c>
      <c r="DL49" s="34" t="s">
        <v>151</v>
      </c>
      <c r="DM49" s="32" t="s">
        <v>151</v>
      </c>
      <c r="DN49" s="34" t="s">
        <v>151</v>
      </c>
      <c r="DO49" s="36">
        <v>1.15</v>
      </c>
      <c r="DP49" s="34">
        <v>53</v>
      </c>
      <c r="DQ49" s="36">
        <v>0</v>
      </c>
      <c r="DR49" s="32">
        <v>0</v>
      </c>
      <c r="DS49" s="36" t="s">
        <v>151</v>
      </c>
      <c r="DT49" s="34" t="s">
        <v>151</v>
      </c>
      <c r="DU49" s="36" t="s">
        <v>151</v>
      </c>
      <c r="DV49" s="34" t="s">
        <v>151</v>
      </c>
      <c r="DW49" s="36" t="s">
        <v>151</v>
      </c>
      <c r="DX49" s="34" t="s">
        <v>151</v>
      </c>
      <c r="DY49" s="31" t="s">
        <v>151</v>
      </c>
      <c r="DZ49" s="35" t="s">
        <v>151</v>
      </c>
      <c r="EA49" s="35" t="s">
        <v>151</v>
      </c>
      <c r="EB49" s="34">
        <v>303</v>
      </c>
      <c r="EC49" s="33">
        <v>-51</v>
      </c>
      <c r="ED49" s="32">
        <v>-14.41</v>
      </c>
      <c r="EE49" s="34" t="s">
        <v>151</v>
      </c>
      <c r="EF49" s="33" t="s">
        <v>151</v>
      </c>
      <c r="EG49" s="32" t="s">
        <v>151</v>
      </c>
      <c r="EH49" s="29" t="s">
        <v>198</v>
      </c>
      <c r="EI49" s="30" t="s">
        <v>151</v>
      </c>
      <c r="EJ49" s="30" t="s">
        <v>151</v>
      </c>
      <c r="EK49" s="31">
        <v>2</v>
      </c>
      <c r="EL49" s="31">
        <v>2</v>
      </c>
      <c r="EM49" s="31">
        <v>2</v>
      </c>
      <c r="EN49" s="31" t="s">
        <v>151</v>
      </c>
      <c r="EO49" s="31">
        <v>1</v>
      </c>
      <c r="EP49" s="30" t="s">
        <v>1262</v>
      </c>
      <c r="EQ49" s="29" t="s">
        <v>151</v>
      </c>
      <c r="ER49" s="29" t="s">
        <v>151</v>
      </c>
      <c r="ES49" s="4">
        <f>HYPERLINK("https://my.pitchbook.com?c=432723-34","View Company Online")</f>
      </c>
    </row>
    <row r="50">
      <c r="A50" s="17" t="s">
        <v>1263</v>
      </c>
      <c r="B50" s="17" t="s">
        <v>1264</v>
      </c>
      <c r="C50" s="18">
        <v>5</v>
      </c>
      <c r="D50" s="17" t="s">
        <v>151</v>
      </c>
      <c r="E50" s="17" t="s">
        <v>151</v>
      </c>
      <c r="F50" s="17" t="s">
        <v>1265</v>
      </c>
      <c r="G50" s="17" t="s">
        <v>151</v>
      </c>
      <c r="H50" s="17" t="s">
        <v>151</v>
      </c>
      <c r="I50" s="17" t="s">
        <v>1266</v>
      </c>
      <c r="J50" s="17" t="s">
        <v>1263</v>
      </c>
      <c r="K50" s="17" t="s">
        <v>1267</v>
      </c>
      <c r="L50" s="17" t="s">
        <v>205</v>
      </c>
      <c r="M50" s="17" t="s">
        <v>206</v>
      </c>
      <c r="N50" s="17" t="s">
        <v>1268</v>
      </c>
      <c r="O50" s="17" t="s">
        <v>1269</v>
      </c>
      <c r="P50" s="17" t="s">
        <v>209</v>
      </c>
      <c r="Q50" s="17" t="s">
        <v>1270</v>
      </c>
      <c r="R50" s="17" t="s">
        <v>211</v>
      </c>
      <c r="S50" s="17" t="s">
        <v>162</v>
      </c>
      <c r="T50" s="24">
        <v>20</v>
      </c>
      <c r="U50" s="17" t="s">
        <v>163</v>
      </c>
      <c r="V50" s="17" t="s">
        <v>164</v>
      </c>
      <c r="W50" s="17" t="s">
        <v>165</v>
      </c>
      <c r="X50" s="15" t="s">
        <v>1271</v>
      </c>
      <c r="Y50" s="15" t="s">
        <v>1272</v>
      </c>
      <c r="Z50" s="27">
        <v>42</v>
      </c>
      <c r="AA50" s="17" t="s">
        <v>1273</v>
      </c>
      <c r="AB50" s="17" t="s">
        <v>151</v>
      </c>
      <c r="AC50" s="17" t="s">
        <v>151</v>
      </c>
      <c r="AD50" s="26">
        <v>2021</v>
      </c>
      <c r="AE50" s="17" t="s">
        <v>151</v>
      </c>
      <c r="AF50" s="22">
        <v>45576</v>
      </c>
      <c r="AG50" s="17" t="s">
        <v>151</v>
      </c>
      <c r="AH50" s="17" t="s">
        <v>151</v>
      </c>
      <c r="AI50" s="25" t="s">
        <v>151</v>
      </c>
      <c r="AJ50" s="19" t="s">
        <v>151</v>
      </c>
      <c r="AK50" s="25" t="s">
        <v>151</v>
      </c>
      <c r="AL50" s="25" t="s">
        <v>151</v>
      </c>
      <c r="AM50" s="25" t="s">
        <v>151</v>
      </c>
      <c r="AN50" s="25" t="s">
        <v>151</v>
      </c>
      <c r="AO50" s="25" t="s">
        <v>151</v>
      </c>
      <c r="AP50" s="25" t="s">
        <v>151</v>
      </c>
      <c r="AQ50" s="25" t="s">
        <v>151</v>
      </c>
      <c r="AR50" s="16" t="s">
        <v>151</v>
      </c>
      <c r="AS50" s="17" t="s">
        <v>1274</v>
      </c>
      <c r="AT50" s="17" t="s">
        <v>1275</v>
      </c>
      <c r="AU50" s="18">
        <v>10</v>
      </c>
      <c r="AV50" s="17" t="s">
        <v>151</v>
      </c>
      <c r="AW50" s="17" t="s">
        <v>151</v>
      </c>
      <c r="AX50" s="17" t="s">
        <v>151</v>
      </c>
      <c r="AY50" s="17" t="s">
        <v>1276</v>
      </c>
      <c r="AZ50" s="17" t="s">
        <v>151</v>
      </c>
      <c r="BA50" s="17" t="s">
        <v>151</v>
      </c>
      <c r="BB50" s="17" t="s">
        <v>151</v>
      </c>
      <c r="BC50" s="17" t="s">
        <v>1277</v>
      </c>
      <c r="BD50" s="17" t="s">
        <v>1278</v>
      </c>
      <c r="BE50" s="17" t="s">
        <v>1279</v>
      </c>
      <c r="BF50" s="17" t="s">
        <v>1280</v>
      </c>
      <c r="BG50" s="17" t="s">
        <v>1281</v>
      </c>
      <c r="BH50" s="17" t="s">
        <v>151</v>
      </c>
      <c r="BI50" s="17" t="s">
        <v>906</v>
      </c>
      <c r="BJ50" s="17" t="s">
        <v>1282</v>
      </c>
      <c r="BK50" s="17" t="s">
        <v>151</v>
      </c>
      <c r="BL50" s="17" t="s">
        <v>259</v>
      </c>
      <c r="BM50" s="17" t="s">
        <v>259</v>
      </c>
      <c r="BN50" s="16" t="s">
        <v>1283</v>
      </c>
      <c r="BO50" s="17" t="s">
        <v>186</v>
      </c>
      <c r="BP50" s="16" t="s">
        <v>151</v>
      </c>
      <c r="BQ50" s="16" t="s">
        <v>151</v>
      </c>
      <c r="BR50" s="17" t="s">
        <v>151</v>
      </c>
      <c r="BS50" s="17" t="s">
        <v>187</v>
      </c>
      <c r="BT50" s="17" t="s">
        <v>188</v>
      </c>
      <c r="BU50" s="22">
        <v>44490</v>
      </c>
      <c r="BV50" s="24">
        <v>20</v>
      </c>
      <c r="BW50" s="17" t="s">
        <v>192</v>
      </c>
      <c r="BX50" s="24">
        <v>100</v>
      </c>
      <c r="BY50" s="17" t="s">
        <v>192</v>
      </c>
      <c r="BZ50" s="17" t="s">
        <v>293</v>
      </c>
      <c r="CA50" s="17" t="s">
        <v>472</v>
      </c>
      <c r="CB50" s="17" t="s">
        <v>151</v>
      </c>
      <c r="CC50" s="17" t="s">
        <v>165</v>
      </c>
      <c r="CD50" s="17" t="s">
        <v>151</v>
      </c>
      <c r="CE50" s="17" t="s">
        <v>191</v>
      </c>
      <c r="CF50" s="22">
        <v>44490</v>
      </c>
      <c r="CG50" s="24">
        <v>20</v>
      </c>
      <c r="CH50" s="17" t="s">
        <v>192</v>
      </c>
      <c r="CI50" s="24">
        <v>100</v>
      </c>
      <c r="CJ50" s="17" t="s">
        <v>192</v>
      </c>
      <c r="CK50" s="16" t="s">
        <v>151</v>
      </c>
      <c r="CL50" s="17" t="s">
        <v>293</v>
      </c>
      <c r="CM50" s="17" t="s">
        <v>472</v>
      </c>
      <c r="CN50" s="17" t="s">
        <v>151</v>
      </c>
      <c r="CO50" s="17" t="s">
        <v>165</v>
      </c>
      <c r="CP50" s="22">
        <v>44490</v>
      </c>
      <c r="CQ50" s="24" t="s">
        <v>151</v>
      </c>
      <c r="CR50" s="17" t="s">
        <v>151</v>
      </c>
      <c r="CS50" s="17" t="s">
        <v>191</v>
      </c>
      <c r="CT50" s="16" t="s">
        <v>151</v>
      </c>
      <c r="CU50" s="17" t="s">
        <v>151</v>
      </c>
      <c r="CV50" s="19" t="s">
        <v>151</v>
      </c>
      <c r="CW50" s="19" t="s">
        <v>151</v>
      </c>
      <c r="CX50" s="17" t="s">
        <v>151</v>
      </c>
      <c r="CY50" s="19" t="s">
        <v>151</v>
      </c>
      <c r="CZ50" s="19" t="s">
        <v>151</v>
      </c>
      <c r="DA50" s="24">
        <v>100</v>
      </c>
      <c r="DB50" s="22">
        <v>44490</v>
      </c>
      <c r="DC50" s="17" t="s">
        <v>293</v>
      </c>
      <c r="DD50" s="16" t="s">
        <v>151</v>
      </c>
      <c r="DE50" s="19">
        <v>2.26</v>
      </c>
      <c r="DF50" s="21">
        <v>99</v>
      </c>
      <c r="DG50" s="19">
        <v>0</v>
      </c>
      <c r="DH50" s="19">
        <v>0</v>
      </c>
      <c r="DI50" s="19">
        <v>2.91</v>
      </c>
      <c r="DJ50" s="21">
        <v>99</v>
      </c>
      <c r="DK50" s="19">
        <v>5.83</v>
      </c>
      <c r="DL50" s="21">
        <v>98</v>
      </c>
      <c r="DM50" s="19">
        <v>0</v>
      </c>
      <c r="DN50" s="21">
        <v>10</v>
      </c>
      <c r="DO50" s="23">
        <v>4.58</v>
      </c>
      <c r="DP50" s="21">
        <v>81</v>
      </c>
      <c r="DQ50" s="23">
        <v>0</v>
      </c>
      <c r="DR50" s="19">
        <v>0</v>
      </c>
      <c r="DS50" s="23">
        <v>5.92</v>
      </c>
      <c r="DT50" s="21">
        <v>84</v>
      </c>
      <c r="DU50" s="23">
        <v>7.53</v>
      </c>
      <c r="DV50" s="21">
        <v>85</v>
      </c>
      <c r="DW50" s="23">
        <v>4.32</v>
      </c>
      <c r="DX50" s="21">
        <v>80</v>
      </c>
      <c r="DY50" s="18" t="s">
        <v>151</v>
      </c>
      <c r="DZ50" s="22" t="s">
        <v>151</v>
      </c>
      <c r="EA50" s="22" t="s">
        <v>151</v>
      </c>
      <c r="EB50" s="21">
        <v>1551</v>
      </c>
      <c r="EC50" s="20">
        <v>25</v>
      </c>
      <c r="ED50" s="19">
        <v>1.64</v>
      </c>
      <c r="EE50" s="21">
        <v>82</v>
      </c>
      <c r="EF50" s="20">
        <v>0</v>
      </c>
      <c r="EG50" s="19">
        <v>0</v>
      </c>
      <c r="EH50" s="16" t="s">
        <v>198</v>
      </c>
      <c r="EI50" s="17" t="s">
        <v>151</v>
      </c>
      <c r="EJ50" s="17" t="s">
        <v>151</v>
      </c>
      <c r="EK50" s="18">
        <v>2</v>
      </c>
      <c r="EL50" s="18">
        <v>4</v>
      </c>
      <c r="EM50" s="18" t="s">
        <v>151</v>
      </c>
      <c r="EN50" s="18" t="s">
        <v>151</v>
      </c>
      <c r="EO50" s="18">
        <v>1</v>
      </c>
      <c r="EP50" s="17" t="s">
        <v>1284</v>
      </c>
      <c r="EQ50" s="16" t="s">
        <v>151</v>
      </c>
      <c r="ER50" s="16" t="s">
        <v>151</v>
      </c>
      <c r="ES50" s="3">
        <f>HYPERLINK("https://my.pitchbook.com?c=482794-84","View Company Online")</f>
      </c>
    </row>
    <row r="51">
      <c r="A51" s="30" t="s">
        <v>1285</v>
      </c>
      <c r="B51" s="30" t="s">
        <v>1286</v>
      </c>
      <c r="C51" s="31">
        <v>5</v>
      </c>
      <c r="D51" s="30" t="s">
        <v>151</v>
      </c>
      <c r="E51" s="30" t="s">
        <v>151</v>
      </c>
      <c r="F51" s="30" t="s">
        <v>1287</v>
      </c>
      <c r="G51" s="30" t="s">
        <v>151</v>
      </c>
      <c r="H51" s="30" t="s">
        <v>151</v>
      </c>
      <c r="I51" s="30" t="s">
        <v>151</v>
      </c>
      <c r="J51" s="30" t="s">
        <v>1285</v>
      </c>
      <c r="K51" s="30" t="s">
        <v>1288</v>
      </c>
      <c r="L51" s="30" t="s">
        <v>205</v>
      </c>
      <c r="M51" s="30" t="s">
        <v>206</v>
      </c>
      <c r="N51" s="30" t="s">
        <v>269</v>
      </c>
      <c r="O51" s="30" t="s">
        <v>563</v>
      </c>
      <c r="P51" s="30" t="s">
        <v>1289</v>
      </c>
      <c r="Q51" s="30" t="s">
        <v>1290</v>
      </c>
      <c r="R51" s="30" t="s">
        <v>151</v>
      </c>
      <c r="S51" s="30" t="s">
        <v>162</v>
      </c>
      <c r="T51" s="37">
        <v>14.03</v>
      </c>
      <c r="U51" s="30" t="s">
        <v>163</v>
      </c>
      <c r="V51" s="30" t="s">
        <v>164</v>
      </c>
      <c r="W51" s="30" t="s">
        <v>165</v>
      </c>
      <c r="X51" s="28" t="s">
        <v>1291</v>
      </c>
      <c r="Y51" s="28" t="s">
        <v>1292</v>
      </c>
      <c r="Z51" s="40">
        <v>76</v>
      </c>
      <c r="AA51" s="30" t="s">
        <v>1293</v>
      </c>
      <c r="AB51" s="30" t="s">
        <v>151</v>
      </c>
      <c r="AC51" s="30" t="s">
        <v>151</v>
      </c>
      <c r="AD51" s="39">
        <v>2017</v>
      </c>
      <c r="AE51" s="30" t="s">
        <v>151</v>
      </c>
      <c r="AF51" s="35">
        <v>45601</v>
      </c>
      <c r="AG51" s="30" t="s">
        <v>151</v>
      </c>
      <c r="AH51" s="30" t="s">
        <v>151</v>
      </c>
      <c r="AI51" s="38" t="s">
        <v>151</v>
      </c>
      <c r="AJ51" s="32" t="s">
        <v>151</v>
      </c>
      <c r="AK51" s="38" t="s">
        <v>151</v>
      </c>
      <c r="AL51" s="38" t="s">
        <v>151</v>
      </c>
      <c r="AM51" s="38" t="s">
        <v>151</v>
      </c>
      <c r="AN51" s="38" t="s">
        <v>151</v>
      </c>
      <c r="AO51" s="38" t="s">
        <v>151</v>
      </c>
      <c r="AP51" s="38" t="s">
        <v>151</v>
      </c>
      <c r="AQ51" s="38" t="s">
        <v>151</v>
      </c>
      <c r="AR51" s="29" t="s">
        <v>151</v>
      </c>
      <c r="AS51" s="30" t="s">
        <v>1294</v>
      </c>
      <c r="AT51" s="30" t="s">
        <v>1295</v>
      </c>
      <c r="AU51" s="31">
        <v>23</v>
      </c>
      <c r="AV51" s="30" t="s">
        <v>151</v>
      </c>
      <c r="AW51" s="30" t="s">
        <v>1296</v>
      </c>
      <c r="AX51" s="30" t="s">
        <v>151</v>
      </c>
      <c r="AY51" s="30" t="s">
        <v>1297</v>
      </c>
      <c r="AZ51" s="30" t="s">
        <v>1298</v>
      </c>
      <c r="BA51" s="30" t="s">
        <v>151</v>
      </c>
      <c r="BB51" s="30" t="s">
        <v>1299</v>
      </c>
      <c r="BC51" s="30" t="s">
        <v>1300</v>
      </c>
      <c r="BD51" s="30" t="s">
        <v>1301</v>
      </c>
      <c r="BE51" s="30" t="s">
        <v>1302</v>
      </c>
      <c r="BF51" s="30" t="s">
        <v>546</v>
      </c>
      <c r="BG51" s="30" t="s">
        <v>1303</v>
      </c>
      <c r="BH51" s="30" t="s">
        <v>1304</v>
      </c>
      <c r="BI51" s="30" t="s">
        <v>906</v>
      </c>
      <c r="BJ51" s="30" t="s">
        <v>1305</v>
      </c>
      <c r="BK51" s="30" t="s">
        <v>151</v>
      </c>
      <c r="BL51" s="30" t="s">
        <v>259</v>
      </c>
      <c r="BM51" s="30" t="s">
        <v>259</v>
      </c>
      <c r="BN51" s="29" t="s">
        <v>1306</v>
      </c>
      <c r="BO51" s="30" t="s">
        <v>186</v>
      </c>
      <c r="BP51" s="29" t="s">
        <v>1304</v>
      </c>
      <c r="BQ51" s="29" t="s">
        <v>151</v>
      </c>
      <c r="BR51" s="30" t="s">
        <v>1307</v>
      </c>
      <c r="BS51" s="30" t="s">
        <v>187</v>
      </c>
      <c r="BT51" s="30" t="s">
        <v>188</v>
      </c>
      <c r="BU51" s="35">
        <v>42736</v>
      </c>
      <c r="BV51" s="37" t="s">
        <v>151</v>
      </c>
      <c r="BW51" s="30" t="s">
        <v>151</v>
      </c>
      <c r="BX51" s="37" t="s">
        <v>151</v>
      </c>
      <c r="BY51" s="30" t="s">
        <v>151</v>
      </c>
      <c r="BZ51" s="30" t="s">
        <v>189</v>
      </c>
      <c r="CA51" s="30" t="s">
        <v>151</v>
      </c>
      <c r="CB51" s="30" t="s">
        <v>151</v>
      </c>
      <c r="CC51" s="30" t="s">
        <v>190</v>
      </c>
      <c r="CD51" s="30" t="s">
        <v>151</v>
      </c>
      <c r="CE51" s="30" t="s">
        <v>191</v>
      </c>
      <c r="CF51" s="35">
        <v>45444</v>
      </c>
      <c r="CG51" s="37" t="s">
        <v>151</v>
      </c>
      <c r="CH51" s="30" t="s">
        <v>151</v>
      </c>
      <c r="CI51" s="37" t="s">
        <v>151</v>
      </c>
      <c r="CJ51" s="30" t="s">
        <v>151</v>
      </c>
      <c r="CK51" s="29" t="s">
        <v>151</v>
      </c>
      <c r="CL51" s="30" t="s">
        <v>194</v>
      </c>
      <c r="CM51" s="30" t="s">
        <v>151</v>
      </c>
      <c r="CN51" s="30" t="s">
        <v>151</v>
      </c>
      <c r="CO51" s="30" t="s">
        <v>165</v>
      </c>
      <c r="CP51" s="35">
        <v>45444</v>
      </c>
      <c r="CQ51" s="37" t="s">
        <v>151</v>
      </c>
      <c r="CR51" s="30" t="s">
        <v>151</v>
      </c>
      <c r="CS51" s="30" t="s">
        <v>191</v>
      </c>
      <c r="CT51" s="29">
        <v>81</v>
      </c>
      <c r="CU51" s="30" t="s">
        <v>196</v>
      </c>
      <c r="CV51" s="32">
        <v>74</v>
      </c>
      <c r="CW51" s="32">
        <v>26</v>
      </c>
      <c r="CX51" s="30" t="s">
        <v>294</v>
      </c>
      <c r="CY51" s="32">
        <v>1</v>
      </c>
      <c r="CZ51" s="32">
        <v>73</v>
      </c>
      <c r="DA51" s="37">
        <v>40</v>
      </c>
      <c r="DB51" s="35">
        <v>44376</v>
      </c>
      <c r="DC51" s="30" t="s">
        <v>194</v>
      </c>
      <c r="DD51" s="29">
        <v>2.31</v>
      </c>
      <c r="DE51" s="32">
        <v>-0.64</v>
      </c>
      <c r="DF51" s="34">
        <v>6</v>
      </c>
      <c r="DG51" s="32">
        <v>0</v>
      </c>
      <c r="DH51" s="32">
        <v>0</v>
      </c>
      <c r="DI51" s="32" t="s">
        <v>151</v>
      </c>
      <c r="DJ51" s="34" t="s">
        <v>151</v>
      </c>
      <c r="DK51" s="32" t="s">
        <v>151</v>
      </c>
      <c r="DL51" s="34" t="s">
        <v>151</v>
      </c>
      <c r="DM51" s="32" t="s">
        <v>151</v>
      </c>
      <c r="DN51" s="34" t="s">
        <v>151</v>
      </c>
      <c r="DO51" s="36">
        <v>5.85</v>
      </c>
      <c r="DP51" s="34">
        <v>84</v>
      </c>
      <c r="DQ51" s="36">
        <v>0</v>
      </c>
      <c r="DR51" s="32">
        <v>0</v>
      </c>
      <c r="DS51" s="36" t="s">
        <v>151</v>
      </c>
      <c r="DT51" s="34" t="s">
        <v>151</v>
      </c>
      <c r="DU51" s="36" t="s">
        <v>151</v>
      </c>
      <c r="DV51" s="34" t="s">
        <v>151</v>
      </c>
      <c r="DW51" s="36" t="s">
        <v>151</v>
      </c>
      <c r="DX51" s="34" t="s">
        <v>151</v>
      </c>
      <c r="DY51" s="31" t="s">
        <v>151</v>
      </c>
      <c r="DZ51" s="35" t="s">
        <v>151</v>
      </c>
      <c r="EA51" s="35" t="s">
        <v>151</v>
      </c>
      <c r="EB51" s="34">
        <v>5183</v>
      </c>
      <c r="EC51" s="33">
        <v>9</v>
      </c>
      <c r="ED51" s="32">
        <v>0.17</v>
      </c>
      <c r="EE51" s="34" t="s">
        <v>151</v>
      </c>
      <c r="EF51" s="33" t="s">
        <v>151</v>
      </c>
      <c r="EG51" s="32" t="s">
        <v>151</v>
      </c>
      <c r="EH51" s="29" t="s">
        <v>198</v>
      </c>
      <c r="EI51" s="30" t="s">
        <v>151</v>
      </c>
      <c r="EJ51" s="30" t="s">
        <v>151</v>
      </c>
      <c r="EK51" s="31">
        <v>3</v>
      </c>
      <c r="EL51" s="31">
        <v>2</v>
      </c>
      <c r="EM51" s="31">
        <v>3</v>
      </c>
      <c r="EN51" s="31" t="s">
        <v>151</v>
      </c>
      <c r="EO51" s="31" t="s">
        <v>151</v>
      </c>
      <c r="EP51" s="30" t="s">
        <v>1308</v>
      </c>
      <c r="EQ51" s="29" t="s">
        <v>151</v>
      </c>
      <c r="ER51" s="29" t="s">
        <v>151</v>
      </c>
      <c r="ES51" s="4">
        <f>HYPERLINK("https://my.pitchbook.com?c=169204-42","View Company Online")</f>
      </c>
    </row>
    <row r="52">
      <c r="A52" s="17" t="s">
        <v>1309</v>
      </c>
      <c r="B52" s="17" t="s">
        <v>1310</v>
      </c>
      <c r="C52" s="18">
        <v>5</v>
      </c>
      <c r="D52" s="17" t="s">
        <v>1311</v>
      </c>
      <c r="E52" s="17" t="s">
        <v>151</v>
      </c>
      <c r="F52" s="17" t="s">
        <v>1312</v>
      </c>
      <c r="G52" s="17" t="s">
        <v>151</v>
      </c>
      <c r="H52" s="17" t="s">
        <v>151</v>
      </c>
      <c r="I52" s="17" t="s">
        <v>1313</v>
      </c>
      <c r="J52" s="17" t="s">
        <v>1309</v>
      </c>
      <c r="K52" s="17" t="s">
        <v>1314</v>
      </c>
      <c r="L52" s="17" t="s">
        <v>205</v>
      </c>
      <c r="M52" s="17" t="s">
        <v>206</v>
      </c>
      <c r="N52" s="17" t="s">
        <v>269</v>
      </c>
      <c r="O52" s="17" t="s">
        <v>1315</v>
      </c>
      <c r="P52" s="17" t="s">
        <v>1316</v>
      </c>
      <c r="Q52" s="17" t="s">
        <v>1317</v>
      </c>
      <c r="R52" s="17" t="s">
        <v>151</v>
      </c>
      <c r="S52" s="17" t="s">
        <v>162</v>
      </c>
      <c r="T52" s="24">
        <v>2.84</v>
      </c>
      <c r="U52" s="17" t="s">
        <v>163</v>
      </c>
      <c r="V52" s="17" t="s">
        <v>164</v>
      </c>
      <c r="W52" s="17" t="s">
        <v>1318</v>
      </c>
      <c r="X52" s="15" t="s">
        <v>1319</v>
      </c>
      <c r="Y52" s="15" t="s">
        <v>1320</v>
      </c>
      <c r="Z52" s="27">
        <v>8</v>
      </c>
      <c r="AA52" s="17" t="s">
        <v>1321</v>
      </c>
      <c r="AB52" s="17" t="s">
        <v>151</v>
      </c>
      <c r="AC52" s="17" t="s">
        <v>151</v>
      </c>
      <c r="AD52" s="26">
        <v>2021</v>
      </c>
      <c r="AE52" s="17" t="s">
        <v>151</v>
      </c>
      <c r="AF52" s="22">
        <v>45441</v>
      </c>
      <c r="AG52" s="17" t="s">
        <v>151</v>
      </c>
      <c r="AH52" s="17" t="s">
        <v>151</v>
      </c>
      <c r="AI52" s="25" t="s">
        <v>151</v>
      </c>
      <c r="AJ52" s="19" t="s">
        <v>151</v>
      </c>
      <c r="AK52" s="25" t="s">
        <v>151</v>
      </c>
      <c r="AL52" s="25" t="s">
        <v>151</v>
      </c>
      <c r="AM52" s="25" t="s">
        <v>151</v>
      </c>
      <c r="AN52" s="25" t="s">
        <v>151</v>
      </c>
      <c r="AO52" s="25" t="s">
        <v>151</v>
      </c>
      <c r="AP52" s="25" t="s">
        <v>151</v>
      </c>
      <c r="AQ52" s="25" t="s">
        <v>151</v>
      </c>
      <c r="AR52" s="16" t="s">
        <v>151</v>
      </c>
      <c r="AS52" s="17" t="s">
        <v>1322</v>
      </c>
      <c r="AT52" s="17" t="s">
        <v>1323</v>
      </c>
      <c r="AU52" s="18">
        <v>8</v>
      </c>
      <c r="AV52" s="17" t="s">
        <v>151</v>
      </c>
      <c r="AW52" s="17" t="s">
        <v>1324</v>
      </c>
      <c r="AX52" s="17" t="s">
        <v>151</v>
      </c>
      <c r="AY52" s="17" t="s">
        <v>1325</v>
      </c>
      <c r="AZ52" s="17" t="s">
        <v>1326</v>
      </c>
      <c r="BA52" s="17" t="s">
        <v>151</v>
      </c>
      <c r="BB52" s="17" t="s">
        <v>1327</v>
      </c>
      <c r="BC52" s="17" t="s">
        <v>1328</v>
      </c>
      <c r="BD52" s="17" t="s">
        <v>1329</v>
      </c>
      <c r="BE52" s="17" t="s">
        <v>1330</v>
      </c>
      <c r="BF52" s="17" t="s">
        <v>1331</v>
      </c>
      <c r="BG52" s="17" t="s">
        <v>1332</v>
      </c>
      <c r="BH52" s="17" t="s">
        <v>1333</v>
      </c>
      <c r="BI52" s="17" t="s">
        <v>1334</v>
      </c>
      <c r="BJ52" s="17" t="s">
        <v>1335</v>
      </c>
      <c r="BK52" s="17" t="s">
        <v>151</v>
      </c>
      <c r="BL52" s="17" t="s">
        <v>1336</v>
      </c>
      <c r="BM52" s="17" t="s">
        <v>1337</v>
      </c>
      <c r="BN52" s="16" t="s">
        <v>1338</v>
      </c>
      <c r="BO52" s="17" t="s">
        <v>186</v>
      </c>
      <c r="BP52" s="16" t="s">
        <v>1333</v>
      </c>
      <c r="BQ52" s="16" t="s">
        <v>151</v>
      </c>
      <c r="BR52" s="17" t="s">
        <v>1339</v>
      </c>
      <c r="BS52" s="17" t="s">
        <v>187</v>
      </c>
      <c r="BT52" s="17" t="s">
        <v>188</v>
      </c>
      <c r="BU52" s="22">
        <v>44285</v>
      </c>
      <c r="BV52" s="24">
        <v>0.05</v>
      </c>
      <c r="BW52" s="17" t="s">
        <v>192</v>
      </c>
      <c r="BX52" s="24" t="s">
        <v>151</v>
      </c>
      <c r="BY52" s="17" t="s">
        <v>151</v>
      </c>
      <c r="BZ52" s="17" t="s">
        <v>189</v>
      </c>
      <c r="CA52" s="17" t="s">
        <v>151</v>
      </c>
      <c r="CB52" s="17" t="s">
        <v>151</v>
      </c>
      <c r="CC52" s="17" t="s">
        <v>190</v>
      </c>
      <c r="CD52" s="17" t="s">
        <v>151</v>
      </c>
      <c r="CE52" s="17" t="s">
        <v>191</v>
      </c>
      <c r="CF52" s="22">
        <v>45397</v>
      </c>
      <c r="CG52" s="24">
        <v>2.79</v>
      </c>
      <c r="CH52" s="17" t="s">
        <v>192</v>
      </c>
      <c r="CI52" s="24">
        <v>10</v>
      </c>
      <c r="CJ52" s="17" t="s">
        <v>192</v>
      </c>
      <c r="CK52" s="16" t="s">
        <v>151</v>
      </c>
      <c r="CL52" s="17" t="s">
        <v>293</v>
      </c>
      <c r="CM52" s="17" t="s">
        <v>293</v>
      </c>
      <c r="CN52" s="17" t="s">
        <v>151</v>
      </c>
      <c r="CO52" s="17" t="s">
        <v>165</v>
      </c>
      <c r="CP52" s="22">
        <v>45397</v>
      </c>
      <c r="CQ52" s="24" t="s">
        <v>151</v>
      </c>
      <c r="CR52" s="17" t="s">
        <v>151</v>
      </c>
      <c r="CS52" s="17" t="s">
        <v>191</v>
      </c>
      <c r="CT52" s="16" t="s">
        <v>151</v>
      </c>
      <c r="CU52" s="17" t="s">
        <v>151</v>
      </c>
      <c r="CV52" s="19" t="s">
        <v>151</v>
      </c>
      <c r="CW52" s="19" t="s">
        <v>151</v>
      </c>
      <c r="CX52" s="17" t="s">
        <v>151</v>
      </c>
      <c r="CY52" s="19" t="s">
        <v>151</v>
      </c>
      <c r="CZ52" s="19" t="s">
        <v>151</v>
      </c>
      <c r="DA52" s="24">
        <v>10</v>
      </c>
      <c r="DB52" s="22">
        <v>45397</v>
      </c>
      <c r="DC52" s="17" t="s">
        <v>293</v>
      </c>
      <c r="DD52" s="16" t="s">
        <v>151</v>
      </c>
      <c r="DE52" s="19">
        <v>1.23</v>
      </c>
      <c r="DF52" s="21">
        <v>97</v>
      </c>
      <c r="DG52" s="19">
        <v>0</v>
      </c>
      <c r="DH52" s="19">
        <v>0</v>
      </c>
      <c r="DI52" s="19">
        <v>0.37</v>
      </c>
      <c r="DJ52" s="21">
        <v>94</v>
      </c>
      <c r="DK52" s="19" t="s">
        <v>151</v>
      </c>
      <c r="DL52" s="21" t="s">
        <v>151</v>
      </c>
      <c r="DM52" s="19">
        <v>0.37</v>
      </c>
      <c r="DN52" s="21">
        <v>94</v>
      </c>
      <c r="DO52" s="23">
        <v>2.98</v>
      </c>
      <c r="DP52" s="21">
        <v>74</v>
      </c>
      <c r="DQ52" s="23">
        <v>0</v>
      </c>
      <c r="DR52" s="19">
        <v>0</v>
      </c>
      <c r="DS52" s="23">
        <v>5.42</v>
      </c>
      <c r="DT52" s="21">
        <v>83</v>
      </c>
      <c r="DU52" s="23" t="s">
        <v>151</v>
      </c>
      <c r="DV52" s="21" t="s">
        <v>151</v>
      </c>
      <c r="DW52" s="23">
        <v>5.42</v>
      </c>
      <c r="DX52" s="21">
        <v>83</v>
      </c>
      <c r="DY52" s="18" t="s">
        <v>151</v>
      </c>
      <c r="DZ52" s="22" t="s">
        <v>151</v>
      </c>
      <c r="EA52" s="22" t="s">
        <v>151</v>
      </c>
      <c r="EB52" s="21">
        <v>1515</v>
      </c>
      <c r="EC52" s="20">
        <v>-37</v>
      </c>
      <c r="ED52" s="19">
        <v>-2.38</v>
      </c>
      <c r="EE52" s="21">
        <v>103</v>
      </c>
      <c r="EF52" s="20">
        <v>2</v>
      </c>
      <c r="EG52" s="19">
        <v>1.98</v>
      </c>
      <c r="EH52" s="16" t="s">
        <v>198</v>
      </c>
      <c r="EI52" s="17" t="s">
        <v>151</v>
      </c>
      <c r="EJ52" s="17" t="s">
        <v>151</v>
      </c>
      <c r="EK52" s="18">
        <v>1</v>
      </c>
      <c r="EL52" s="18">
        <v>3</v>
      </c>
      <c r="EM52" s="18">
        <v>2</v>
      </c>
      <c r="EN52" s="18" t="s">
        <v>151</v>
      </c>
      <c r="EO52" s="18" t="s">
        <v>151</v>
      </c>
      <c r="EP52" s="17" t="s">
        <v>741</v>
      </c>
      <c r="EQ52" s="16" t="s">
        <v>151</v>
      </c>
      <c r="ER52" s="16" t="s">
        <v>151</v>
      </c>
      <c r="ES52" s="3">
        <f>HYPERLINK("https://my.pitchbook.com?c=464064-67","View Company Online")</f>
      </c>
    </row>
    <row r="53">
      <c r="A53" s="30" t="s">
        <v>1340</v>
      </c>
      <c r="B53" s="30" t="s">
        <v>1341</v>
      </c>
      <c r="C53" s="31">
        <v>5</v>
      </c>
      <c r="D53" s="30" t="s">
        <v>151</v>
      </c>
      <c r="E53" s="30" t="s">
        <v>151</v>
      </c>
      <c r="F53" s="30" t="s">
        <v>1342</v>
      </c>
      <c r="G53" s="30" t="s">
        <v>151</v>
      </c>
      <c r="H53" s="30" t="s">
        <v>151</v>
      </c>
      <c r="I53" s="30" t="s">
        <v>151</v>
      </c>
      <c r="J53" s="30" t="s">
        <v>1340</v>
      </c>
      <c r="K53" s="30" t="s">
        <v>1343</v>
      </c>
      <c r="L53" s="30" t="s">
        <v>155</v>
      </c>
      <c r="M53" s="30" t="s">
        <v>239</v>
      </c>
      <c r="N53" s="30" t="s">
        <v>1344</v>
      </c>
      <c r="O53" s="30" t="s">
        <v>1345</v>
      </c>
      <c r="P53" s="30" t="s">
        <v>1346</v>
      </c>
      <c r="Q53" s="30" t="s">
        <v>1347</v>
      </c>
      <c r="R53" s="30" t="s">
        <v>151</v>
      </c>
      <c r="S53" s="30" t="s">
        <v>162</v>
      </c>
      <c r="T53" s="37">
        <v>1.67</v>
      </c>
      <c r="U53" s="30" t="s">
        <v>163</v>
      </c>
      <c r="V53" s="30" t="s">
        <v>164</v>
      </c>
      <c r="W53" s="30" t="s">
        <v>165</v>
      </c>
      <c r="X53" s="28" t="s">
        <v>1348</v>
      </c>
      <c r="Y53" s="28" t="s">
        <v>1349</v>
      </c>
      <c r="Z53" s="40">
        <v>5</v>
      </c>
      <c r="AA53" s="30" t="s">
        <v>1350</v>
      </c>
      <c r="AB53" s="30" t="s">
        <v>151</v>
      </c>
      <c r="AC53" s="30" t="s">
        <v>151</v>
      </c>
      <c r="AD53" s="39">
        <v>2019</v>
      </c>
      <c r="AE53" s="30" t="s">
        <v>151</v>
      </c>
      <c r="AF53" s="35">
        <v>45574</v>
      </c>
      <c r="AG53" s="30" t="s">
        <v>151</v>
      </c>
      <c r="AH53" s="30" t="s">
        <v>151</v>
      </c>
      <c r="AI53" s="38">
        <v>0.18</v>
      </c>
      <c r="AJ53" s="32">
        <v>-58.88</v>
      </c>
      <c r="AK53" s="38" t="s">
        <v>151</v>
      </c>
      <c r="AL53" s="38">
        <v>-0.58</v>
      </c>
      <c r="AM53" s="38" t="s">
        <v>151</v>
      </c>
      <c r="AN53" s="38" t="s">
        <v>151</v>
      </c>
      <c r="AO53" s="38" t="s">
        <v>151</v>
      </c>
      <c r="AP53" s="38" t="s">
        <v>151</v>
      </c>
      <c r="AQ53" s="38" t="s">
        <v>151</v>
      </c>
      <c r="AR53" s="29" t="s">
        <v>456</v>
      </c>
      <c r="AS53" s="30" t="s">
        <v>1351</v>
      </c>
      <c r="AT53" s="30" t="s">
        <v>1352</v>
      </c>
      <c r="AU53" s="31">
        <v>1</v>
      </c>
      <c r="AV53" s="30" t="s">
        <v>151</v>
      </c>
      <c r="AW53" s="30" t="s">
        <v>151</v>
      </c>
      <c r="AX53" s="30" t="s">
        <v>151</v>
      </c>
      <c r="AY53" s="30" t="s">
        <v>1353</v>
      </c>
      <c r="AZ53" s="30" t="s">
        <v>151</v>
      </c>
      <c r="BA53" s="30" t="s">
        <v>151</v>
      </c>
      <c r="BB53" s="30" t="s">
        <v>151</v>
      </c>
      <c r="BC53" s="30" t="s">
        <v>1354</v>
      </c>
      <c r="BD53" s="30" t="s">
        <v>1355</v>
      </c>
      <c r="BE53" s="30" t="s">
        <v>1356</v>
      </c>
      <c r="BF53" s="30" t="s">
        <v>789</v>
      </c>
      <c r="BG53" s="30" t="s">
        <v>1357</v>
      </c>
      <c r="BH53" s="30" t="s">
        <v>1358</v>
      </c>
      <c r="BI53" s="30" t="s">
        <v>285</v>
      </c>
      <c r="BJ53" s="30" t="s">
        <v>1359</v>
      </c>
      <c r="BK53" s="30" t="s">
        <v>1360</v>
      </c>
      <c r="BL53" s="30" t="s">
        <v>288</v>
      </c>
      <c r="BM53" s="30" t="s">
        <v>289</v>
      </c>
      <c r="BN53" s="29" t="s">
        <v>1361</v>
      </c>
      <c r="BO53" s="30" t="s">
        <v>186</v>
      </c>
      <c r="BP53" s="29" t="s">
        <v>1358</v>
      </c>
      <c r="BQ53" s="29" t="s">
        <v>151</v>
      </c>
      <c r="BR53" s="30" t="s">
        <v>1362</v>
      </c>
      <c r="BS53" s="30" t="s">
        <v>187</v>
      </c>
      <c r="BT53" s="30" t="s">
        <v>188</v>
      </c>
      <c r="BU53" s="35">
        <v>44993</v>
      </c>
      <c r="BV53" s="37">
        <v>0.2</v>
      </c>
      <c r="BW53" s="30" t="s">
        <v>192</v>
      </c>
      <c r="BX53" s="37">
        <v>20.2</v>
      </c>
      <c r="BY53" s="30" t="s">
        <v>192</v>
      </c>
      <c r="BZ53" s="30" t="s">
        <v>1363</v>
      </c>
      <c r="CA53" s="30" t="s">
        <v>151</v>
      </c>
      <c r="CB53" s="30" t="s">
        <v>151</v>
      </c>
      <c r="CC53" s="30" t="s">
        <v>585</v>
      </c>
      <c r="CD53" s="30" t="s">
        <v>151</v>
      </c>
      <c r="CE53" s="30" t="s">
        <v>191</v>
      </c>
      <c r="CF53" s="35">
        <v>45026</v>
      </c>
      <c r="CG53" s="37">
        <v>1.47</v>
      </c>
      <c r="CH53" s="30" t="s">
        <v>193</v>
      </c>
      <c r="CI53" s="37">
        <v>5</v>
      </c>
      <c r="CJ53" s="30" t="s">
        <v>192</v>
      </c>
      <c r="CK53" s="29" t="s">
        <v>151</v>
      </c>
      <c r="CL53" s="30" t="s">
        <v>293</v>
      </c>
      <c r="CM53" s="30" t="s">
        <v>293</v>
      </c>
      <c r="CN53" s="30" t="s">
        <v>151</v>
      </c>
      <c r="CO53" s="30" t="s">
        <v>165</v>
      </c>
      <c r="CP53" s="35">
        <v>45026</v>
      </c>
      <c r="CQ53" s="37" t="s">
        <v>151</v>
      </c>
      <c r="CR53" s="30" t="s">
        <v>151</v>
      </c>
      <c r="CS53" s="30" t="s">
        <v>191</v>
      </c>
      <c r="CT53" s="29" t="s">
        <v>151</v>
      </c>
      <c r="CU53" s="30" t="s">
        <v>151</v>
      </c>
      <c r="CV53" s="32" t="s">
        <v>151</v>
      </c>
      <c r="CW53" s="32" t="s">
        <v>151</v>
      </c>
      <c r="CX53" s="30" t="s">
        <v>151</v>
      </c>
      <c r="CY53" s="32" t="s">
        <v>151</v>
      </c>
      <c r="CZ53" s="32" t="s">
        <v>151</v>
      </c>
      <c r="DA53" s="37">
        <v>5</v>
      </c>
      <c r="DB53" s="35">
        <v>45026</v>
      </c>
      <c r="DC53" s="30" t="s">
        <v>293</v>
      </c>
      <c r="DD53" s="29" t="s">
        <v>151</v>
      </c>
      <c r="DE53" s="32" t="s">
        <v>151</v>
      </c>
      <c r="DF53" s="34" t="s">
        <v>151</v>
      </c>
      <c r="DG53" s="32" t="s">
        <v>151</v>
      </c>
      <c r="DH53" s="32" t="s">
        <v>151</v>
      </c>
      <c r="DI53" s="32" t="s">
        <v>151</v>
      </c>
      <c r="DJ53" s="34" t="s">
        <v>151</v>
      </c>
      <c r="DK53" s="32" t="s">
        <v>151</v>
      </c>
      <c r="DL53" s="34" t="s">
        <v>151</v>
      </c>
      <c r="DM53" s="32" t="s">
        <v>151</v>
      </c>
      <c r="DN53" s="34" t="s">
        <v>151</v>
      </c>
      <c r="DO53" s="36" t="s">
        <v>151</v>
      </c>
      <c r="DP53" s="34" t="s">
        <v>151</v>
      </c>
      <c r="DQ53" s="36" t="s">
        <v>151</v>
      </c>
      <c r="DR53" s="32" t="s">
        <v>151</v>
      </c>
      <c r="DS53" s="36" t="s">
        <v>151</v>
      </c>
      <c r="DT53" s="34" t="s">
        <v>151</v>
      </c>
      <c r="DU53" s="36" t="s">
        <v>151</v>
      </c>
      <c r="DV53" s="34" t="s">
        <v>151</v>
      </c>
      <c r="DW53" s="36" t="s">
        <v>151</v>
      </c>
      <c r="DX53" s="34" t="s">
        <v>151</v>
      </c>
      <c r="DY53" s="31" t="s">
        <v>151</v>
      </c>
      <c r="DZ53" s="35" t="s">
        <v>151</v>
      </c>
      <c r="EA53" s="35" t="s">
        <v>151</v>
      </c>
      <c r="EB53" s="34" t="s">
        <v>151</v>
      </c>
      <c r="EC53" s="33" t="s">
        <v>151</v>
      </c>
      <c r="ED53" s="32" t="s">
        <v>151</v>
      </c>
      <c r="EE53" s="34" t="s">
        <v>151</v>
      </c>
      <c r="EF53" s="33" t="s">
        <v>151</v>
      </c>
      <c r="EG53" s="32" t="s">
        <v>151</v>
      </c>
      <c r="EH53" s="29" t="s">
        <v>198</v>
      </c>
      <c r="EI53" s="30" t="s">
        <v>151</v>
      </c>
      <c r="EJ53" s="30" t="s">
        <v>151</v>
      </c>
      <c r="EK53" s="31">
        <v>2</v>
      </c>
      <c r="EL53" s="31">
        <v>3</v>
      </c>
      <c r="EM53" s="31">
        <v>1</v>
      </c>
      <c r="EN53" s="31" t="s">
        <v>151</v>
      </c>
      <c r="EO53" s="31">
        <v>1</v>
      </c>
      <c r="EP53" s="30" t="s">
        <v>233</v>
      </c>
      <c r="EQ53" s="29" t="s">
        <v>151</v>
      </c>
      <c r="ER53" s="29" t="s">
        <v>151</v>
      </c>
      <c r="ES53" s="4">
        <f>HYPERLINK("https://my.pitchbook.com?c=483772-87","View Company Online")</f>
      </c>
    </row>
    <row r="54">
      <c r="A54" s="17" t="s">
        <v>1364</v>
      </c>
      <c r="B54" s="17" t="s">
        <v>1365</v>
      </c>
      <c r="C54" s="18">
        <v>5</v>
      </c>
      <c r="D54" s="17" t="s">
        <v>1366</v>
      </c>
      <c r="E54" s="17" t="s">
        <v>151</v>
      </c>
      <c r="F54" s="17" t="s">
        <v>1367</v>
      </c>
      <c r="G54" s="17" t="s">
        <v>151</v>
      </c>
      <c r="H54" s="17" t="s">
        <v>151</v>
      </c>
      <c r="I54" s="17" t="s">
        <v>1368</v>
      </c>
      <c r="J54" s="17" t="s">
        <v>1364</v>
      </c>
      <c r="K54" s="17" t="s">
        <v>1369</v>
      </c>
      <c r="L54" s="17" t="s">
        <v>205</v>
      </c>
      <c r="M54" s="17" t="s">
        <v>206</v>
      </c>
      <c r="N54" s="17" t="s">
        <v>269</v>
      </c>
      <c r="O54" s="17" t="s">
        <v>1370</v>
      </c>
      <c r="P54" s="17" t="s">
        <v>1371</v>
      </c>
      <c r="Q54" s="17" t="s">
        <v>1372</v>
      </c>
      <c r="R54" s="17" t="s">
        <v>1373</v>
      </c>
      <c r="S54" s="17" t="s">
        <v>162</v>
      </c>
      <c r="T54" s="24">
        <v>1.65</v>
      </c>
      <c r="U54" s="17" t="s">
        <v>163</v>
      </c>
      <c r="V54" s="17" t="s">
        <v>164</v>
      </c>
      <c r="W54" s="17" t="s">
        <v>165</v>
      </c>
      <c r="X54" s="15" t="s">
        <v>1374</v>
      </c>
      <c r="Y54" s="15" t="s">
        <v>1375</v>
      </c>
      <c r="Z54" s="27">
        <v>12</v>
      </c>
      <c r="AA54" s="17" t="s">
        <v>1376</v>
      </c>
      <c r="AB54" s="17" t="s">
        <v>151</v>
      </c>
      <c r="AC54" s="17" t="s">
        <v>151</v>
      </c>
      <c r="AD54" s="26">
        <v>2020</v>
      </c>
      <c r="AE54" s="17" t="s">
        <v>151</v>
      </c>
      <c r="AF54" s="22">
        <v>45541</v>
      </c>
      <c r="AG54" s="17" t="s">
        <v>151</v>
      </c>
      <c r="AH54" s="17" t="s">
        <v>151</v>
      </c>
      <c r="AI54" s="25">
        <v>1</v>
      </c>
      <c r="AJ54" s="19" t="s">
        <v>151</v>
      </c>
      <c r="AK54" s="25" t="s">
        <v>151</v>
      </c>
      <c r="AL54" s="25" t="s">
        <v>151</v>
      </c>
      <c r="AM54" s="25" t="s">
        <v>151</v>
      </c>
      <c r="AN54" s="25" t="s">
        <v>151</v>
      </c>
      <c r="AO54" s="25" t="s">
        <v>151</v>
      </c>
      <c r="AP54" s="25" t="s">
        <v>151</v>
      </c>
      <c r="AQ54" s="25" t="s">
        <v>151</v>
      </c>
      <c r="AR54" s="16" t="s">
        <v>170</v>
      </c>
      <c r="AS54" s="17" t="s">
        <v>1377</v>
      </c>
      <c r="AT54" s="17" t="s">
        <v>1378</v>
      </c>
      <c r="AU54" s="18">
        <v>4</v>
      </c>
      <c r="AV54" s="17" t="s">
        <v>151</v>
      </c>
      <c r="AW54" s="17" t="s">
        <v>151</v>
      </c>
      <c r="AX54" s="17" t="s">
        <v>151</v>
      </c>
      <c r="AY54" s="17" t="s">
        <v>1379</v>
      </c>
      <c r="AZ54" s="17" t="s">
        <v>151</v>
      </c>
      <c r="BA54" s="17" t="s">
        <v>151</v>
      </c>
      <c r="BB54" s="17" t="s">
        <v>151</v>
      </c>
      <c r="BC54" s="17" t="s">
        <v>151</v>
      </c>
      <c r="BD54" s="17" t="s">
        <v>1380</v>
      </c>
      <c r="BE54" s="17" t="s">
        <v>1381</v>
      </c>
      <c r="BF54" s="17" t="s">
        <v>221</v>
      </c>
      <c r="BG54" s="17" t="s">
        <v>1382</v>
      </c>
      <c r="BH54" s="17" t="s">
        <v>1383</v>
      </c>
      <c r="BI54" s="17" t="s">
        <v>1384</v>
      </c>
      <c r="BJ54" s="17" t="s">
        <v>1385</v>
      </c>
      <c r="BK54" s="17" t="s">
        <v>1386</v>
      </c>
      <c r="BL54" s="17" t="s">
        <v>1387</v>
      </c>
      <c r="BM54" s="17" t="s">
        <v>1388</v>
      </c>
      <c r="BN54" s="16" t="s">
        <v>1389</v>
      </c>
      <c r="BO54" s="17" t="s">
        <v>186</v>
      </c>
      <c r="BP54" s="16" t="s">
        <v>151</v>
      </c>
      <c r="BQ54" s="16" t="s">
        <v>151</v>
      </c>
      <c r="BR54" s="17" t="s">
        <v>1390</v>
      </c>
      <c r="BS54" s="17" t="s">
        <v>187</v>
      </c>
      <c r="BT54" s="17" t="s">
        <v>188</v>
      </c>
      <c r="BU54" s="22">
        <v>44136</v>
      </c>
      <c r="BV54" s="24">
        <v>0.5</v>
      </c>
      <c r="BW54" s="17" t="s">
        <v>192</v>
      </c>
      <c r="BX54" s="24" t="s">
        <v>151</v>
      </c>
      <c r="BY54" s="17" t="s">
        <v>151</v>
      </c>
      <c r="BZ54" s="17" t="s">
        <v>1391</v>
      </c>
      <c r="CA54" s="17" t="s">
        <v>151</v>
      </c>
      <c r="CB54" s="17" t="s">
        <v>151</v>
      </c>
      <c r="CC54" s="17" t="s">
        <v>585</v>
      </c>
      <c r="CD54" s="17" t="s">
        <v>151</v>
      </c>
      <c r="CE54" s="17" t="s">
        <v>191</v>
      </c>
      <c r="CF54" s="22">
        <v>45198</v>
      </c>
      <c r="CG54" s="24">
        <v>0.15</v>
      </c>
      <c r="CH54" s="17" t="s">
        <v>192</v>
      </c>
      <c r="CI54" s="24" t="s">
        <v>151</v>
      </c>
      <c r="CJ54" s="17" t="s">
        <v>151</v>
      </c>
      <c r="CK54" s="16" t="s">
        <v>151</v>
      </c>
      <c r="CL54" s="17" t="s">
        <v>293</v>
      </c>
      <c r="CM54" s="17" t="s">
        <v>293</v>
      </c>
      <c r="CN54" s="17" t="s">
        <v>151</v>
      </c>
      <c r="CO54" s="17" t="s">
        <v>165</v>
      </c>
      <c r="CP54" s="22">
        <v>45198</v>
      </c>
      <c r="CQ54" s="24" t="s">
        <v>151</v>
      </c>
      <c r="CR54" s="17" t="s">
        <v>151</v>
      </c>
      <c r="CS54" s="17" t="s">
        <v>191</v>
      </c>
      <c r="CT54" s="16">
        <v>34</v>
      </c>
      <c r="CU54" s="17" t="s">
        <v>263</v>
      </c>
      <c r="CV54" s="19">
        <v>34</v>
      </c>
      <c r="CW54" s="19">
        <v>66</v>
      </c>
      <c r="CX54" s="17" t="s">
        <v>263</v>
      </c>
      <c r="CY54" s="19">
        <v>1</v>
      </c>
      <c r="CZ54" s="19">
        <v>33</v>
      </c>
      <c r="DA54" s="24" t="s">
        <v>151</v>
      </c>
      <c r="DB54" s="22" t="s">
        <v>151</v>
      </c>
      <c r="DC54" s="17" t="s">
        <v>151</v>
      </c>
      <c r="DD54" s="16" t="s">
        <v>151</v>
      </c>
      <c r="DE54" s="19">
        <v>-2.1</v>
      </c>
      <c r="DF54" s="21">
        <v>2</v>
      </c>
      <c r="DG54" s="19">
        <v>0</v>
      </c>
      <c r="DH54" s="19">
        <v>0</v>
      </c>
      <c r="DI54" s="19">
        <v>0</v>
      </c>
      <c r="DJ54" s="21">
        <v>10</v>
      </c>
      <c r="DK54" s="19" t="s">
        <v>151</v>
      </c>
      <c r="DL54" s="21" t="s">
        <v>151</v>
      </c>
      <c r="DM54" s="19">
        <v>0</v>
      </c>
      <c r="DN54" s="21">
        <v>10</v>
      </c>
      <c r="DO54" s="23">
        <v>2.7</v>
      </c>
      <c r="DP54" s="21">
        <v>73</v>
      </c>
      <c r="DQ54" s="23">
        <v>0</v>
      </c>
      <c r="DR54" s="19">
        <v>0</v>
      </c>
      <c r="DS54" s="23">
        <v>4.47</v>
      </c>
      <c r="DT54" s="21">
        <v>81</v>
      </c>
      <c r="DU54" s="23" t="s">
        <v>151</v>
      </c>
      <c r="DV54" s="21" t="s">
        <v>151</v>
      </c>
      <c r="DW54" s="23">
        <v>4.47</v>
      </c>
      <c r="DX54" s="21">
        <v>80</v>
      </c>
      <c r="DY54" s="18" t="s">
        <v>151</v>
      </c>
      <c r="DZ54" s="22" t="s">
        <v>151</v>
      </c>
      <c r="EA54" s="22" t="s">
        <v>151</v>
      </c>
      <c r="EB54" s="21">
        <v>456</v>
      </c>
      <c r="EC54" s="20">
        <v>15</v>
      </c>
      <c r="ED54" s="19">
        <v>3.4</v>
      </c>
      <c r="EE54" s="21">
        <v>85</v>
      </c>
      <c r="EF54" s="20">
        <v>1</v>
      </c>
      <c r="EG54" s="19">
        <v>1.19</v>
      </c>
      <c r="EH54" s="16" t="s">
        <v>198</v>
      </c>
      <c r="EI54" s="17" t="s">
        <v>151</v>
      </c>
      <c r="EJ54" s="17" t="s">
        <v>151</v>
      </c>
      <c r="EK54" s="18">
        <v>4</v>
      </c>
      <c r="EL54" s="18">
        <v>3</v>
      </c>
      <c r="EM54" s="18" t="s">
        <v>151</v>
      </c>
      <c r="EN54" s="18" t="s">
        <v>151</v>
      </c>
      <c r="EO54" s="18">
        <v>2</v>
      </c>
      <c r="EP54" s="17" t="s">
        <v>295</v>
      </c>
      <c r="EQ54" s="16" t="s">
        <v>151</v>
      </c>
      <c r="ER54" s="16" t="s">
        <v>151</v>
      </c>
      <c r="ES54" s="3">
        <f>HYPERLINK("https://my.pitchbook.com?c=501215-32","View Company Online")</f>
      </c>
    </row>
    <row r="55">
      <c r="A55" s="30" t="s">
        <v>1392</v>
      </c>
      <c r="B55" s="30" t="s">
        <v>1393</v>
      </c>
      <c r="C55" s="31">
        <v>4</v>
      </c>
      <c r="D55" s="30" t="s">
        <v>151</v>
      </c>
      <c r="E55" s="30" t="s">
        <v>151</v>
      </c>
      <c r="F55" s="30" t="s">
        <v>1394</v>
      </c>
      <c r="G55" s="30" t="s">
        <v>151</v>
      </c>
      <c r="H55" s="30" t="s">
        <v>151</v>
      </c>
      <c r="I55" s="30" t="s">
        <v>151</v>
      </c>
      <c r="J55" s="30" t="s">
        <v>1392</v>
      </c>
      <c r="K55" s="30" t="s">
        <v>1395</v>
      </c>
      <c r="L55" s="30" t="s">
        <v>205</v>
      </c>
      <c r="M55" s="30" t="s">
        <v>206</v>
      </c>
      <c r="N55" s="30" t="s">
        <v>269</v>
      </c>
      <c r="O55" s="30" t="s">
        <v>1396</v>
      </c>
      <c r="P55" s="30" t="s">
        <v>1397</v>
      </c>
      <c r="Q55" s="30" t="s">
        <v>1398</v>
      </c>
      <c r="R55" s="30" t="s">
        <v>151</v>
      </c>
      <c r="S55" s="30" t="s">
        <v>162</v>
      </c>
      <c r="T55" s="37">
        <v>15.3</v>
      </c>
      <c r="U55" s="30" t="s">
        <v>163</v>
      </c>
      <c r="V55" s="30" t="s">
        <v>164</v>
      </c>
      <c r="W55" s="30" t="s">
        <v>165</v>
      </c>
      <c r="X55" s="28" t="s">
        <v>1399</v>
      </c>
      <c r="Y55" s="28" t="s">
        <v>1400</v>
      </c>
      <c r="Z55" s="40">
        <v>17</v>
      </c>
      <c r="AA55" s="30" t="s">
        <v>1401</v>
      </c>
      <c r="AB55" s="30" t="s">
        <v>151</v>
      </c>
      <c r="AC55" s="30" t="s">
        <v>151</v>
      </c>
      <c r="AD55" s="39">
        <v>2019</v>
      </c>
      <c r="AE55" s="30" t="s">
        <v>151</v>
      </c>
      <c r="AF55" s="35">
        <v>45541</v>
      </c>
      <c r="AG55" s="30" t="s">
        <v>151</v>
      </c>
      <c r="AH55" s="30" t="s">
        <v>151</v>
      </c>
      <c r="AI55" s="38" t="s">
        <v>151</v>
      </c>
      <c r="AJ55" s="32" t="s">
        <v>151</v>
      </c>
      <c r="AK55" s="38" t="s">
        <v>151</v>
      </c>
      <c r="AL55" s="38" t="s">
        <v>151</v>
      </c>
      <c r="AM55" s="38" t="s">
        <v>151</v>
      </c>
      <c r="AN55" s="38" t="s">
        <v>151</v>
      </c>
      <c r="AO55" s="38" t="s">
        <v>151</v>
      </c>
      <c r="AP55" s="38" t="s">
        <v>151</v>
      </c>
      <c r="AQ55" s="38" t="s">
        <v>151</v>
      </c>
      <c r="AR55" s="29" t="s">
        <v>151</v>
      </c>
      <c r="AS55" s="30" t="s">
        <v>1402</v>
      </c>
      <c r="AT55" s="30" t="s">
        <v>1403</v>
      </c>
      <c r="AU55" s="31">
        <v>17</v>
      </c>
      <c r="AV55" s="30" t="s">
        <v>151</v>
      </c>
      <c r="AW55" s="30" t="s">
        <v>151</v>
      </c>
      <c r="AX55" s="30" t="s">
        <v>151</v>
      </c>
      <c r="AY55" s="30" t="s">
        <v>1404</v>
      </c>
      <c r="AZ55" s="30" t="s">
        <v>151</v>
      </c>
      <c r="BA55" s="30" t="s">
        <v>151</v>
      </c>
      <c r="BB55" s="30" t="s">
        <v>151</v>
      </c>
      <c r="BC55" s="30" t="s">
        <v>151</v>
      </c>
      <c r="BD55" s="30" t="s">
        <v>1405</v>
      </c>
      <c r="BE55" s="30" t="s">
        <v>1406</v>
      </c>
      <c r="BF55" s="30" t="s">
        <v>1280</v>
      </c>
      <c r="BG55" s="30" t="s">
        <v>1407</v>
      </c>
      <c r="BH55" s="30" t="s">
        <v>1408</v>
      </c>
      <c r="BI55" s="30" t="s">
        <v>1409</v>
      </c>
      <c r="BJ55" s="30" t="s">
        <v>1410</v>
      </c>
      <c r="BK55" s="30" t="s">
        <v>1411</v>
      </c>
      <c r="BL55" s="30" t="s">
        <v>1412</v>
      </c>
      <c r="BM55" s="30" t="s">
        <v>823</v>
      </c>
      <c r="BN55" s="29" t="s">
        <v>1413</v>
      </c>
      <c r="BO55" s="30" t="s">
        <v>186</v>
      </c>
      <c r="BP55" s="29" t="s">
        <v>1408</v>
      </c>
      <c r="BQ55" s="29" t="s">
        <v>151</v>
      </c>
      <c r="BR55" s="30" t="s">
        <v>1414</v>
      </c>
      <c r="BS55" s="30" t="s">
        <v>187</v>
      </c>
      <c r="BT55" s="30" t="s">
        <v>188</v>
      </c>
      <c r="BU55" s="35">
        <v>43861</v>
      </c>
      <c r="BV55" s="37">
        <v>0.89</v>
      </c>
      <c r="BW55" s="30" t="s">
        <v>192</v>
      </c>
      <c r="BX55" s="37" t="s">
        <v>151</v>
      </c>
      <c r="BY55" s="30" t="s">
        <v>151</v>
      </c>
      <c r="BZ55" s="30" t="s">
        <v>231</v>
      </c>
      <c r="CA55" s="30" t="s">
        <v>151</v>
      </c>
      <c r="CB55" s="30" t="s">
        <v>151</v>
      </c>
      <c r="CC55" s="30" t="s">
        <v>165</v>
      </c>
      <c r="CD55" s="30" t="s">
        <v>151</v>
      </c>
      <c r="CE55" s="30" t="s">
        <v>191</v>
      </c>
      <c r="CF55" s="35">
        <v>45200</v>
      </c>
      <c r="CG55" s="37" t="s">
        <v>151</v>
      </c>
      <c r="CH55" s="30" t="s">
        <v>151</v>
      </c>
      <c r="CI55" s="37" t="s">
        <v>151</v>
      </c>
      <c r="CJ55" s="30" t="s">
        <v>151</v>
      </c>
      <c r="CK55" s="29" t="s">
        <v>151</v>
      </c>
      <c r="CL55" s="30" t="s">
        <v>231</v>
      </c>
      <c r="CM55" s="30" t="s">
        <v>151</v>
      </c>
      <c r="CN55" s="30" t="s">
        <v>151</v>
      </c>
      <c r="CO55" s="30" t="s">
        <v>165</v>
      </c>
      <c r="CP55" s="35">
        <v>45200</v>
      </c>
      <c r="CQ55" s="37" t="s">
        <v>151</v>
      </c>
      <c r="CR55" s="30" t="s">
        <v>151</v>
      </c>
      <c r="CS55" s="30" t="s">
        <v>191</v>
      </c>
      <c r="CT55" s="29">
        <v>51</v>
      </c>
      <c r="CU55" s="30" t="s">
        <v>263</v>
      </c>
      <c r="CV55" s="32">
        <v>49</v>
      </c>
      <c r="CW55" s="32">
        <v>51</v>
      </c>
      <c r="CX55" s="30" t="s">
        <v>263</v>
      </c>
      <c r="CY55" s="32">
        <v>1</v>
      </c>
      <c r="CZ55" s="32">
        <v>48</v>
      </c>
      <c r="DA55" s="37">
        <v>16</v>
      </c>
      <c r="DB55" s="35">
        <v>44439</v>
      </c>
      <c r="DC55" s="30" t="s">
        <v>231</v>
      </c>
      <c r="DD55" s="29">
        <v>0.22</v>
      </c>
      <c r="DE55" s="32">
        <v>-1.45</v>
      </c>
      <c r="DF55" s="34">
        <v>3</v>
      </c>
      <c r="DG55" s="32">
        <v>0</v>
      </c>
      <c r="DH55" s="32">
        <v>0</v>
      </c>
      <c r="DI55" s="32">
        <v>-1.45</v>
      </c>
      <c r="DJ55" s="34">
        <v>3</v>
      </c>
      <c r="DK55" s="32" t="s">
        <v>151</v>
      </c>
      <c r="DL55" s="34" t="s">
        <v>151</v>
      </c>
      <c r="DM55" s="32">
        <v>-1.45</v>
      </c>
      <c r="DN55" s="34">
        <v>3</v>
      </c>
      <c r="DO55" s="36">
        <v>14.89</v>
      </c>
      <c r="DP55" s="34">
        <v>93</v>
      </c>
      <c r="DQ55" s="36">
        <v>0</v>
      </c>
      <c r="DR55" s="32">
        <v>0</v>
      </c>
      <c r="DS55" s="36">
        <v>14.89</v>
      </c>
      <c r="DT55" s="34">
        <v>93</v>
      </c>
      <c r="DU55" s="36" t="s">
        <v>151</v>
      </c>
      <c r="DV55" s="34" t="s">
        <v>151</v>
      </c>
      <c r="DW55" s="36">
        <v>14.89</v>
      </c>
      <c r="DX55" s="34">
        <v>93</v>
      </c>
      <c r="DY55" s="31" t="s">
        <v>151</v>
      </c>
      <c r="DZ55" s="35" t="s">
        <v>151</v>
      </c>
      <c r="EA55" s="35" t="s">
        <v>151</v>
      </c>
      <c r="EB55" s="34">
        <v>496</v>
      </c>
      <c r="EC55" s="33">
        <v>-113</v>
      </c>
      <c r="ED55" s="32">
        <v>-18.56</v>
      </c>
      <c r="EE55" s="34">
        <v>283</v>
      </c>
      <c r="EF55" s="33">
        <v>-1</v>
      </c>
      <c r="EG55" s="32">
        <v>-0.35</v>
      </c>
      <c r="EH55" s="29" t="s">
        <v>198</v>
      </c>
      <c r="EI55" s="30" t="s">
        <v>151</v>
      </c>
      <c r="EJ55" s="30" t="s">
        <v>151</v>
      </c>
      <c r="EK55" s="31">
        <v>2</v>
      </c>
      <c r="EL55" s="31">
        <v>4</v>
      </c>
      <c r="EM55" s="31" t="s">
        <v>151</v>
      </c>
      <c r="EN55" s="31" t="s">
        <v>151</v>
      </c>
      <c r="EO55" s="31" t="s">
        <v>151</v>
      </c>
      <c r="EP55" s="30" t="s">
        <v>940</v>
      </c>
      <c r="EQ55" s="29" t="s">
        <v>151</v>
      </c>
      <c r="ER55" s="29" t="s">
        <v>151</v>
      </c>
      <c r="ES55" s="4">
        <f>HYPERLINK("https://my.pitchbook.com?c=433312-93","View Company Online")</f>
      </c>
    </row>
    <row r="56">
      <c r="A56" s="17" t="s">
        <v>1415</v>
      </c>
      <c r="B56" s="17" t="s">
        <v>1416</v>
      </c>
      <c r="C56" s="18">
        <v>4</v>
      </c>
      <c r="D56" s="17" t="s">
        <v>151</v>
      </c>
      <c r="E56" s="17" t="s">
        <v>151</v>
      </c>
      <c r="F56" s="17" t="s">
        <v>1417</v>
      </c>
      <c r="G56" s="17" t="s">
        <v>151</v>
      </c>
      <c r="H56" s="17" t="s">
        <v>151</v>
      </c>
      <c r="I56" s="17" t="s">
        <v>1418</v>
      </c>
      <c r="J56" s="17" t="s">
        <v>1415</v>
      </c>
      <c r="K56" s="17" t="s">
        <v>1419</v>
      </c>
      <c r="L56" s="17" t="s">
        <v>205</v>
      </c>
      <c r="M56" s="17" t="s">
        <v>206</v>
      </c>
      <c r="N56" s="17" t="s">
        <v>269</v>
      </c>
      <c r="O56" s="17" t="s">
        <v>1420</v>
      </c>
      <c r="P56" s="17" t="s">
        <v>1421</v>
      </c>
      <c r="Q56" s="17" t="s">
        <v>1422</v>
      </c>
      <c r="R56" s="17" t="s">
        <v>151</v>
      </c>
      <c r="S56" s="17" t="s">
        <v>162</v>
      </c>
      <c r="T56" s="24">
        <v>6.46</v>
      </c>
      <c r="U56" s="17" t="s">
        <v>163</v>
      </c>
      <c r="V56" s="17" t="s">
        <v>164</v>
      </c>
      <c r="W56" s="17" t="s">
        <v>165</v>
      </c>
      <c r="X56" s="15" t="s">
        <v>1423</v>
      </c>
      <c r="Y56" s="15" t="s">
        <v>1424</v>
      </c>
      <c r="Z56" s="27">
        <v>50</v>
      </c>
      <c r="AA56" s="17" t="s">
        <v>1425</v>
      </c>
      <c r="AB56" s="17" t="s">
        <v>151</v>
      </c>
      <c r="AC56" s="17" t="s">
        <v>151</v>
      </c>
      <c r="AD56" s="26">
        <v>2020</v>
      </c>
      <c r="AE56" s="17" t="s">
        <v>151</v>
      </c>
      <c r="AF56" s="22">
        <v>45426</v>
      </c>
      <c r="AG56" s="17" t="s">
        <v>151</v>
      </c>
      <c r="AH56" s="17" t="s">
        <v>151</v>
      </c>
      <c r="AI56" s="25" t="s">
        <v>151</v>
      </c>
      <c r="AJ56" s="19" t="s">
        <v>151</v>
      </c>
      <c r="AK56" s="25" t="s">
        <v>151</v>
      </c>
      <c r="AL56" s="25" t="s">
        <v>151</v>
      </c>
      <c r="AM56" s="25" t="s">
        <v>151</v>
      </c>
      <c r="AN56" s="25" t="s">
        <v>151</v>
      </c>
      <c r="AO56" s="25" t="s">
        <v>151</v>
      </c>
      <c r="AP56" s="25" t="s">
        <v>151</v>
      </c>
      <c r="AQ56" s="25" t="s">
        <v>151</v>
      </c>
      <c r="AR56" s="16" t="s">
        <v>151</v>
      </c>
      <c r="AS56" s="17" t="s">
        <v>1426</v>
      </c>
      <c r="AT56" s="17" t="s">
        <v>1427</v>
      </c>
      <c r="AU56" s="18">
        <v>10</v>
      </c>
      <c r="AV56" s="17" t="s">
        <v>151</v>
      </c>
      <c r="AW56" s="17" t="s">
        <v>151</v>
      </c>
      <c r="AX56" s="17" t="s">
        <v>151</v>
      </c>
      <c r="AY56" s="17" t="s">
        <v>1428</v>
      </c>
      <c r="AZ56" s="17" t="s">
        <v>151</v>
      </c>
      <c r="BA56" s="17" t="s">
        <v>151</v>
      </c>
      <c r="BB56" s="17" t="s">
        <v>151</v>
      </c>
      <c r="BC56" s="17" t="s">
        <v>1115</v>
      </c>
      <c r="BD56" s="17" t="s">
        <v>1429</v>
      </c>
      <c r="BE56" s="17" t="s">
        <v>1430</v>
      </c>
      <c r="BF56" s="17" t="s">
        <v>1431</v>
      </c>
      <c r="BG56" s="17" t="s">
        <v>1432</v>
      </c>
      <c r="BH56" s="17" t="s">
        <v>1433</v>
      </c>
      <c r="BI56" s="17" t="s">
        <v>764</v>
      </c>
      <c r="BJ56" s="17" t="s">
        <v>1434</v>
      </c>
      <c r="BK56" s="17" t="s">
        <v>151</v>
      </c>
      <c r="BL56" s="17" t="s">
        <v>767</v>
      </c>
      <c r="BM56" s="17" t="s">
        <v>184</v>
      </c>
      <c r="BN56" s="16" t="s">
        <v>1435</v>
      </c>
      <c r="BO56" s="17" t="s">
        <v>186</v>
      </c>
      <c r="BP56" s="16" t="s">
        <v>1433</v>
      </c>
      <c r="BQ56" s="16" t="s">
        <v>151</v>
      </c>
      <c r="BR56" s="17" t="s">
        <v>1436</v>
      </c>
      <c r="BS56" s="17" t="s">
        <v>187</v>
      </c>
      <c r="BT56" s="17" t="s">
        <v>188</v>
      </c>
      <c r="BU56" s="22">
        <v>44174</v>
      </c>
      <c r="BV56" s="24">
        <v>0.75</v>
      </c>
      <c r="BW56" s="17" t="s">
        <v>193</v>
      </c>
      <c r="BX56" s="24" t="s">
        <v>151</v>
      </c>
      <c r="BY56" s="17" t="s">
        <v>151</v>
      </c>
      <c r="BZ56" s="17" t="s">
        <v>293</v>
      </c>
      <c r="CA56" s="17" t="s">
        <v>293</v>
      </c>
      <c r="CB56" s="17" t="s">
        <v>151</v>
      </c>
      <c r="CC56" s="17" t="s">
        <v>165</v>
      </c>
      <c r="CD56" s="17" t="s">
        <v>151</v>
      </c>
      <c r="CE56" s="17" t="s">
        <v>191</v>
      </c>
      <c r="CF56" s="22">
        <v>44708</v>
      </c>
      <c r="CG56" s="24">
        <v>5.71</v>
      </c>
      <c r="CH56" s="17" t="s">
        <v>192</v>
      </c>
      <c r="CI56" s="24">
        <v>19.71</v>
      </c>
      <c r="CJ56" s="17" t="s">
        <v>192</v>
      </c>
      <c r="CK56" s="16" t="s">
        <v>151</v>
      </c>
      <c r="CL56" s="17" t="s">
        <v>293</v>
      </c>
      <c r="CM56" s="17" t="s">
        <v>293</v>
      </c>
      <c r="CN56" s="17" t="s">
        <v>151</v>
      </c>
      <c r="CO56" s="17" t="s">
        <v>165</v>
      </c>
      <c r="CP56" s="22">
        <v>44708</v>
      </c>
      <c r="CQ56" s="24" t="s">
        <v>151</v>
      </c>
      <c r="CR56" s="17" t="s">
        <v>151</v>
      </c>
      <c r="CS56" s="17" t="s">
        <v>191</v>
      </c>
      <c r="CT56" s="16">
        <v>88</v>
      </c>
      <c r="CU56" s="17" t="s">
        <v>196</v>
      </c>
      <c r="CV56" s="19">
        <v>80</v>
      </c>
      <c r="CW56" s="19">
        <v>20</v>
      </c>
      <c r="CX56" s="17" t="s">
        <v>294</v>
      </c>
      <c r="CY56" s="19">
        <v>1</v>
      </c>
      <c r="CZ56" s="19">
        <v>79</v>
      </c>
      <c r="DA56" s="24">
        <v>19.71</v>
      </c>
      <c r="DB56" s="22">
        <v>44708</v>
      </c>
      <c r="DC56" s="17" t="s">
        <v>293</v>
      </c>
      <c r="DD56" s="16" t="s">
        <v>151</v>
      </c>
      <c r="DE56" s="19">
        <v>2.28</v>
      </c>
      <c r="DF56" s="21">
        <v>99</v>
      </c>
      <c r="DG56" s="19">
        <v>0</v>
      </c>
      <c r="DH56" s="19">
        <v>0</v>
      </c>
      <c r="DI56" s="19">
        <v>2.28</v>
      </c>
      <c r="DJ56" s="21">
        <v>99</v>
      </c>
      <c r="DK56" s="19" t="s">
        <v>151</v>
      </c>
      <c r="DL56" s="21" t="s">
        <v>151</v>
      </c>
      <c r="DM56" s="19">
        <v>2.28</v>
      </c>
      <c r="DN56" s="21">
        <v>99</v>
      </c>
      <c r="DO56" s="23">
        <v>11.84</v>
      </c>
      <c r="DP56" s="21">
        <v>92</v>
      </c>
      <c r="DQ56" s="23">
        <v>0</v>
      </c>
      <c r="DR56" s="19">
        <v>0</v>
      </c>
      <c r="DS56" s="23">
        <v>11.84</v>
      </c>
      <c r="DT56" s="21">
        <v>91</v>
      </c>
      <c r="DU56" s="23" t="s">
        <v>151</v>
      </c>
      <c r="DV56" s="21" t="s">
        <v>151</v>
      </c>
      <c r="DW56" s="23">
        <v>11.84</v>
      </c>
      <c r="DX56" s="21">
        <v>91</v>
      </c>
      <c r="DY56" s="18" t="s">
        <v>151</v>
      </c>
      <c r="DZ56" s="22" t="s">
        <v>151</v>
      </c>
      <c r="EA56" s="22" t="s">
        <v>151</v>
      </c>
      <c r="EB56" s="21">
        <v>1441</v>
      </c>
      <c r="EC56" s="20">
        <v>219</v>
      </c>
      <c r="ED56" s="19">
        <v>17.92</v>
      </c>
      <c r="EE56" s="21">
        <v>225</v>
      </c>
      <c r="EF56" s="20">
        <v>2</v>
      </c>
      <c r="EG56" s="19">
        <v>0.9</v>
      </c>
      <c r="EH56" s="16" t="s">
        <v>198</v>
      </c>
      <c r="EI56" s="17" t="s">
        <v>151</v>
      </c>
      <c r="EJ56" s="17" t="s">
        <v>151</v>
      </c>
      <c r="EK56" s="18">
        <v>4</v>
      </c>
      <c r="EL56" s="18">
        <v>1</v>
      </c>
      <c r="EM56" s="18">
        <v>2</v>
      </c>
      <c r="EN56" s="18" t="s">
        <v>151</v>
      </c>
      <c r="EO56" s="18">
        <v>1</v>
      </c>
      <c r="EP56" s="17" t="s">
        <v>151</v>
      </c>
      <c r="EQ56" s="16" t="s">
        <v>151</v>
      </c>
      <c r="ER56" s="16" t="s">
        <v>151</v>
      </c>
      <c r="ES56" s="3">
        <f>HYPERLINK("https://my.pitchbook.com?c=454893-49","View Company Online")</f>
      </c>
    </row>
    <row r="57">
      <c r="A57" s="30" t="s">
        <v>1437</v>
      </c>
      <c r="B57" s="30" t="s">
        <v>1438</v>
      </c>
      <c r="C57" s="31">
        <v>4</v>
      </c>
      <c r="D57" s="30" t="s">
        <v>151</v>
      </c>
      <c r="E57" s="30" t="s">
        <v>151</v>
      </c>
      <c r="F57" s="30" t="s">
        <v>1439</v>
      </c>
      <c r="G57" s="30" t="s">
        <v>151</v>
      </c>
      <c r="H57" s="30" t="s">
        <v>151</v>
      </c>
      <c r="I57" s="30" t="s">
        <v>151</v>
      </c>
      <c r="J57" s="30" t="s">
        <v>1437</v>
      </c>
      <c r="K57" s="30" t="s">
        <v>1440</v>
      </c>
      <c r="L57" s="30" t="s">
        <v>205</v>
      </c>
      <c r="M57" s="30" t="s">
        <v>206</v>
      </c>
      <c r="N57" s="30" t="s">
        <v>998</v>
      </c>
      <c r="O57" s="30" t="s">
        <v>1441</v>
      </c>
      <c r="P57" s="30" t="s">
        <v>1107</v>
      </c>
      <c r="Q57" s="30" t="s">
        <v>1442</v>
      </c>
      <c r="R57" s="30" t="s">
        <v>151</v>
      </c>
      <c r="S57" s="30" t="s">
        <v>162</v>
      </c>
      <c r="T57" s="37">
        <v>3.53</v>
      </c>
      <c r="U57" s="30" t="s">
        <v>163</v>
      </c>
      <c r="V57" s="30" t="s">
        <v>164</v>
      </c>
      <c r="W57" s="30" t="s">
        <v>165</v>
      </c>
      <c r="X57" s="28" t="s">
        <v>1443</v>
      </c>
      <c r="Y57" s="28" t="s">
        <v>1444</v>
      </c>
      <c r="Z57" s="40">
        <v>11</v>
      </c>
      <c r="AA57" s="30" t="s">
        <v>1445</v>
      </c>
      <c r="AB57" s="30" t="s">
        <v>151</v>
      </c>
      <c r="AC57" s="30" t="s">
        <v>151</v>
      </c>
      <c r="AD57" s="39">
        <v>2017</v>
      </c>
      <c r="AE57" s="30" t="s">
        <v>151</v>
      </c>
      <c r="AF57" s="35">
        <v>45601</v>
      </c>
      <c r="AG57" s="30" t="s">
        <v>151</v>
      </c>
      <c r="AH57" s="30" t="s">
        <v>151</v>
      </c>
      <c r="AI57" s="38" t="s">
        <v>151</v>
      </c>
      <c r="AJ57" s="32" t="s">
        <v>151</v>
      </c>
      <c r="AK57" s="38" t="s">
        <v>151</v>
      </c>
      <c r="AL57" s="38" t="s">
        <v>151</v>
      </c>
      <c r="AM57" s="38" t="s">
        <v>151</v>
      </c>
      <c r="AN57" s="38" t="s">
        <v>151</v>
      </c>
      <c r="AO57" s="38" t="s">
        <v>151</v>
      </c>
      <c r="AP57" s="38" t="s">
        <v>151</v>
      </c>
      <c r="AQ57" s="38" t="s">
        <v>151</v>
      </c>
      <c r="AR57" s="29" t="s">
        <v>151</v>
      </c>
      <c r="AS57" s="30" t="s">
        <v>1446</v>
      </c>
      <c r="AT57" s="30" t="s">
        <v>1447</v>
      </c>
      <c r="AU57" s="31">
        <v>4</v>
      </c>
      <c r="AV57" s="30" t="s">
        <v>151</v>
      </c>
      <c r="AW57" s="30" t="s">
        <v>151</v>
      </c>
      <c r="AX57" s="30" t="s">
        <v>151</v>
      </c>
      <c r="AY57" s="30" t="s">
        <v>1448</v>
      </c>
      <c r="AZ57" s="30" t="s">
        <v>151</v>
      </c>
      <c r="BA57" s="30" t="s">
        <v>151</v>
      </c>
      <c r="BB57" s="30" t="s">
        <v>151</v>
      </c>
      <c r="BC57" s="30" t="s">
        <v>151</v>
      </c>
      <c r="BD57" s="30" t="s">
        <v>1449</v>
      </c>
      <c r="BE57" s="30" t="s">
        <v>1450</v>
      </c>
      <c r="BF57" s="30" t="s">
        <v>430</v>
      </c>
      <c r="BG57" s="30" t="s">
        <v>151</v>
      </c>
      <c r="BH57" s="30" t="s">
        <v>1451</v>
      </c>
      <c r="BI57" s="30" t="s">
        <v>1144</v>
      </c>
      <c r="BJ57" s="30" t="s">
        <v>1452</v>
      </c>
      <c r="BK57" s="30" t="s">
        <v>1453</v>
      </c>
      <c r="BL57" s="30" t="s">
        <v>1145</v>
      </c>
      <c r="BM57" s="30" t="s">
        <v>184</v>
      </c>
      <c r="BN57" s="29" t="s">
        <v>1454</v>
      </c>
      <c r="BO57" s="30" t="s">
        <v>186</v>
      </c>
      <c r="BP57" s="29" t="s">
        <v>1451</v>
      </c>
      <c r="BQ57" s="29" t="s">
        <v>151</v>
      </c>
      <c r="BR57" s="30" t="s">
        <v>1455</v>
      </c>
      <c r="BS57" s="30" t="s">
        <v>187</v>
      </c>
      <c r="BT57" s="30" t="s">
        <v>188</v>
      </c>
      <c r="BU57" s="35">
        <v>43250</v>
      </c>
      <c r="BV57" s="37" t="s">
        <v>151</v>
      </c>
      <c r="BW57" s="30" t="s">
        <v>151</v>
      </c>
      <c r="BX57" s="37" t="s">
        <v>151</v>
      </c>
      <c r="BY57" s="30" t="s">
        <v>151</v>
      </c>
      <c r="BZ57" s="30" t="s">
        <v>189</v>
      </c>
      <c r="CA57" s="30" t="s">
        <v>151</v>
      </c>
      <c r="CB57" s="30" t="s">
        <v>151</v>
      </c>
      <c r="CC57" s="30" t="s">
        <v>190</v>
      </c>
      <c r="CD57" s="30" t="s">
        <v>151</v>
      </c>
      <c r="CE57" s="30" t="s">
        <v>191</v>
      </c>
      <c r="CF57" s="35">
        <v>44764</v>
      </c>
      <c r="CG57" s="37">
        <v>1</v>
      </c>
      <c r="CH57" s="30" t="s">
        <v>192</v>
      </c>
      <c r="CI57" s="37">
        <v>11</v>
      </c>
      <c r="CJ57" s="30" t="s">
        <v>192</v>
      </c>
      <c r="CK57" s="29">
        <v>1.95</v>
      </c>
      <c r="CL57" s="30" t="s">
        <v>194</v>
      </c>
      <c r="CM57" s="30" t="s">
        <v>151</v>
      </c>
      <c r="CN57" s="30" t="s">
        <v>151</v>
      </c>
      <c r="CO57" s="30" t="s">
        <v>165</v>
      </c>
      <c r="CP57" s="35">
        <v>44764</v>
      </c>
      <c r="CQ57" s="37" t="s">
        <v>151</v>
      </c>
      <c r="CR57" s="30" t="s">
        <v>151</v>
      </c>
      <c r="CS57" s="30" t="s">
        <v>191</v>
      </c>
      <c r="CT57" s="29">
        <v>44</v>
      </c>
      <c r="CU57" s="30" t="s">
        <v>263</v>
      </c>
      <c r="CV57" s="32">
        <v>43</v>
      </c>
      <c r="CW57" s="32">
        <v>57</v>
      </c>
      <c r="CX57" s="30" t="s">
        <v>263</v>
      </c>
      <c r="CY57" s="32">
        <v>1</v>
      </c>
      <c r="CZ57" s="32">
        <v>42</v>
      </c>
      <c r="DA57" s="37">
        <v>11</v>
      </c>
      <c r="DB57" s="35">
        <v>44764</v>
      </c>
      <c r="DC57" s="30" t="s">
        <v>194</v>
      </c>
      <c r="DD57" s="29">
        <v>1.95</v>
      </c>
      <c r="DE57" s="32">
        <v>0</v>
      </c>
      <c r="DF57" s="34">
        <v>11</v>
      </c>
      <c r="DG57" s="32">
        <v>0</v>
      </c>
      <c r="DH57" s="32">
        <v>0</v>
      </c>
      <c r="DI57" s="32">
        <v>0</v>
      </c>
      <c r="DJ57" s="34">
        <v>10</v>
      </c>
      <c r="DK57" s="32" t="s">
        <v>151</v>
      </c>
      <c r="DL57" s="34" t="s">
        <v>151</v>
      </c>
      <c r="DM57" s="32">
        <v>0</v>
      </c>
      <c r="DN57" s="34">
        <v>10</v>
      </c>
      <c r="DO57" s="36">
        <v>5.16</v>
      </c>
      <c r="DP57" s="34">
        <v>83</v>
      </c>
      <c r="DQ57" s="36">
        <v>0</v>
      </c>
      <c r="DR57" s="32">
        <v>0</v>
      </c>
      <c r="DS57" s="36">
        <v>5.16</v>
      </c>
      <c r="DT57" s="34">
        <v>83</v>
      </c>
      <c r="DU57" s="36" t="s">
        <v>151</v>
      </c>
      <c r="DV57" s="34" t="s">
        <v>151</v>
      </c>
      <c r="DW57" s="36">
        <v>5.16</v>
      </c>
      <c r="DX57" s="34">
        <v>82</v>
      </c>
      <c r="DY57" s="31" t="s">
        <v>151</v>
      </c>
      <c r="DZ57" s="35" t="s">
        <v>151</v>
      </c>
      <c r="EA57" s="35" t="s">
        <v>151</v>
      </c>
      <c r="EB57" s="34" t="s">
        <v>151</v>
      </c>
      <c r="EC57" s="33" t="s">
        <v>151</v>
      </c>
      <c r="ED57" s="32" t="s">
        <v>151</v>
      </c>
      <c r="EE57" s="34">
        <v>98</v>
      </c>
      <c r="EF57" s="33">
        <v>0</v>
      </c>
      <c r="EG57" s="32">
        <v>0</v>
      </c>
      <c r="EH57" s="29" t="s">
        <v>198</v>
      </c>
      <c r="EI57" s="30" t="s">
        <v>151</v>
      </c>
      <c r="EJ57" s="30" t="s">
        <v>151</v>
      </c>
      <c r="EK57" s="31">
        <v>4</v>
      </c>
      <c r="EL57" s="31" t="s">
        <v>151</v>
      </c>
      <c r="EM57" s="31">
        <v>3</v>
      </c>
      <c r="EN57" s="31" t="s">
        <v>151</v>
      </c>
      <c r="EO57" s="31">
        <v>1</v>
      </c>
      <c r="EP57" s="30" t="s">
        <v>1456</v>
      </c>
      <c r="EQ57" s="29" t="s">
        <v>151</v>
      </c>
      <c r="ER57" s="29" t="s">
        <v>151</v>
      </c>
      <c r="ES57" s="4">
        <f>HYPERLINK("https://my.pitchbook.com?c=232190-47","View Company Online")</f>
      </c>
    </row>
    <row r="58">
      <c r="A58" s="17" t="s">
        <v>1457</v>
      </c>
      <c r="B58" s="17" t="s">
        <v>1458</v>
      </c>
      <c r="C58" s="18">
        <v>4</v>
      </c>
      <c r="D58" s="17" t="s">
        <v>151</v>
      </c>
      <c r="E58" s="17" t="s">
        <v>151</v>
      </c>
      <c r="F58" s="17" t="s">
        <v>1459</v>
      </c>
      <c r="G58" s="17" t="s">
        <v>151</v>
      </c>
      <c r="H58" s="17" t="s">
        <v>151</v>
      </c>
      <c r="I58" s="17" t="s">
        <v>151</v>
      </c>
      <c r="J58" s="17" t="s">
        <v>1457</v>
      </c>
      <c r="K58" s="17" t="s">
        <v>1460</v>
      </c>
      <c r="L58" s="17" t="s">
        <v>205</v>
      </c>
      <c r="M58" s="17" t="s">
        <v>206</v>
      </c>
      <c r="N58" s="17" t="s">
        <v>694</v>
      </c>
      <c r="O58" s="17" t="s">
        <v>1461</v>
      </c>
      <c r="P58" s="17" t="s">
        <v>1462</v>
      </c>
      <c r="Q58" s="17" t="s">
        <v>1463</v>
      </c>
      <c r="R58" s="17" t="s">
        <v>151</v>
      </c>
      <c r="S58" s="17" t="s">
        <v>162</v>
      </c>
      <c r="T58" s="24">
        <v>3.5</v>
      </c>
      <c r="U58" s="17" t="s">
        <v>163</v>
      </c>
      <c r="V58" s="17" t="s">
        <v>164</v>
      </c>
      <c r="W58" s="17" t="s">
        <v>165</v>
      </c>
      <c r="X58" s="15" t="s">
        <v>1464</v>
      </c>
      <c r="Y58" s="15" t="s">
        <v>1465</v>
      </c>
      <c r="Z58" s="27">
        <v>9</v>
      </c>
      <c r="AA58" s="17" t="s">
        <v>1466</v>
      </c>
      <c r="AB58" s="17" t="s">
        <v>151</v>
      </c>
      <c r="AC58" s="17" t="s">
        <v>151</v>
      </c>
      <c r="AD58" s="26">
        <v>2018</v>
      </c>
      <c r="AE58" s="17" t="s">
        <v>151</v>
      </c>
      <c r="AF58" s="22">
        <v>45504</v>
      </c>
      <c r="AG58" s="17" t="s">
        <v>151</v>
      </c>
      <c r="AH58" s="17" t="s">
        <v>151</v>
      </c>
      <c r="AI58" s="25" t="s">
        <v>151</v>
      </c>
      <c r="AJ58" s="19" t="s">
        <v>151</v>
      </c>
      <c r="AK58" s="25" t="s">
        <v>151</v>
      </c>
      <c r="AL58" s="25" t="s">
        <v>151</v>
      </c>
      <c r="AM58" s="25" t="s">
        <v>151</v>
      </c>
      <c r="AN58" s="25" t="s">
        <v>151</v>
      </c>
      <c r="AO58" s="25" t="s">
        <v>151</v>
      </c>
      <c r="AP58" s="25" t="s">
        <v>151</v>
      </c>
      <c r="AQ58" s="25" t="s">
        <v>151</v>
      </c>
      <c r="AR58" s="16" t="s">
        <v>151</v>
      </c>
      <c r="AS58" s="17" t="s">
        <v>1467</v>
      </c>
      <c r="AT58" s="17" t="s">
        <v>1468</v>
      </c>
      <c r="AU58" s="18">
        <v>5</v>
      </c>
      <c r="AV58" s="17" t="s">
        <v>151</v>
      </c>
      <c r="AW58" s="17" t="s">
        <v>151</v>
      </c>
      <c r="AX58" s="17" t="s">
        <v>151</v>
      </c>
      <c r="AY58" s="17" t="s">
        <v>1469</v>
      </c>
      <c r="AZ58" s="17" t="s">
        <v>151</v>
      </c>
      <c r="BA58" s="17" t="s">
        <v>151</v>
      </c>
      <c r="BB58" s="17" t="s">
        <v>151</v>
      </c>
      <c r="BC58" s="17" t="s">
        <v>151</v>
      </c>
      <c r="BD58" s="17" t="s">
        <v>1470</v>
      </c>
      <c r="BE58" s="17" t="s">
        <v>1471</v>
      </c>
      <c r="BF58" s="17" t="s">
        <v>789</v>
      </c>
      <c r="BG58" s="17" t="s">
        <v>1472</v>
      </c>
      <c r="BH58" s="17" t="s">
        <v>1473</v>
      </c>
      <c r="BI58" s="17" t="s">
        <v>906</v>
      </c>
      <c r="BJ58" s="17" t="s">
        <v>1474</v>
      </c>
      <c r="BK58" s="17" t="s">
        <v>1475</v>
      </c>
      <c r="BL58" s="17" t="s">
        <v>259</v>
      </c>
      <c r="BM58" s="17" t="s">
        <v>259</v>
      </c>
      <c r="BN58" s="16" t="s">
        <v>1476</v>
      </c>
      <c r="BO58" s="17" t="s">
        <v>186</v>
      </c>
      <c r="BP58" s="16" t="s">
        <v>151</v>
      </c>
      <c r="BQ58" s="16" t="s">
        <v>151</v>
      </c>
      <c r="BR58" s="17" t="s">
        <v>1477</v>
      </c>
      <c r="BS58" s="17" t="s">
        <v>187</v>
      </c>
      <c r="BT58" s="17" t="s">
        <v>188</v>
      </c>
      <c r="BU58" s="22">
        <v>44713</v>
      </c>
      <c r="BV58" s="24">
        <v>1</v>
      </c>
      <c r="BW58" s="17" t="s">
        <v>192</v>
      </c>
      <c r="BX58" s="24">
        <v>8.95</v>
      </c>
      <c r="BY58" s="17" t="s">
        <v>192</v>
      </c>
      <c r="BZ58" s="17" t="s">
        <v>293</v>
      </c>
      <c r="CA58" s="17" t="s">
        <v>293</v>
      </c>
      <c r="CB58" s="17" t="s">
        <v>151</v>
      </c>
      <c r="CC58" s="17" t="s">
        <v>165</v>
      </c>
      <c r="CD58" s="17" t="s">
        <v>1478</v>
      </c>
      <c r="CE58" s="17" t="s">
        <v>191</v>
      </c>
      <c r="CF58" s="22">
        <v>45140</v>
      </c>
      <c r="CG58" s="24">
        <v>2.5</v>
      </c>
      <c r="CH58" s="17" t="s">
        <v>192</v>
      </c>
      <c r="CI58" s="24">
        <v>13.5</v>
      </c>
      <c r="CJ58" s="17" t="s">
        <v>192</v>
      </c>
      <c r="CK58" s="16">
        <v>1.23</v>
      </c>
      <c r="CL58" s="17" t="s">
        <v>293</v>
      </c>
      <c r="CM58" s="17" t="s">
        <v>293</v>
      </c>
      <c r="CN58" s="17" t="s">
        <v>151</v>
      </c>
      <c r="CO58" s="17" t="s">
        <v>165</v>
      </c>
      <c r="CP58" s="22">
        <v>45140</v>
      </c>
      <c r="CQ58" s="24" t="s">
        <v>151</v>
      </c>
      <c r="CR58" s="17" t="s">
        <v>151</v>
      </c>
      <c r="CS58" s="17" t="s">
        <v>191</v>
      </c>
      <c r="CT58" s="16">
        <v>69</v>
      </c>
      <c r="CU58" s="17" t="s">
        <v>196</v>
      </c>
      <c r="CV58" s="19">
        <v>65</v>
      </c>
      <c r="CW58" s="19">
        <v>35</v>
      </c>
      <c r="CX58" s="17" t="s">
        <v>294</v>
      </c>
      <c r="CY58" s="19">
        <v>1</v>
      </c>
      <c r="CZ58" s="19">
        <v>64</v>
      </c>
      <c r="DA58" s="24">
        <v>13.5</v>
      </c>
      <c r="DB58" s="22">
        <v>45140</v>
      </c>
      <c r="DC58" s="17" t="s">
        <v>293</v>
      </c>
      <c r="DD58" s="16">
        <v>1.23</v>
      </c>
      <c r="DE58" s="19">
        <v>0.78</v>
      </c>
      <c r="DF58" s="21">
        <v>95</v>
      </c>
      <c r="DG58" s="19">
        <v>0</v>
      </c>
      <c r="DH58" s="19">
        <v>0</v>
      </c>
      <c r="DI58" s="19">
        <v>0</v>
      </c>
      <c r="DJ58" s="21">
        <v>10</v>
      </c>
      <c r="DK58" s="19" t="s">
        <v>151</v>
      </c>
      <c r="DL58" s="21" t="s">
        <v>151</v>
      </c>
      <c r="DM58" s="19">
        <v>0</v>
      </c>
      <c r="DN58" s="21">
        <v>10</v>
      </c>
      <c r="DO58" s="23">
        <v>0.9</v>
      </c>
      <c r="DP58" s="21">
        <v>48</v>
      </c>
      <c r="DQ58" s="23">
        <v>0</v>
      </c>
      <c r="DR58" s="19">
        <v>0</v>
      </c>
      <c r="DS58" s="23">
        <v>1.11</v>
      </c>
      <c r="DT58" s="21">
        <v>52</v>
      </c>
      <c r="DU58" s="23" t="s">
        <v>151</v>
      </c>
      <c r="DV58" s="21" t="s">
        <v>151</v>
      </c>
      <c r="DW58" s="23">
        <v>1.11</v>
      </c>
      <c r="DX58" s="21">
        <v>52</v>
      </c>
      <c r="DY58" s="18" t="s">
        <v>151</v>
      </c>
      <c r="DZ58" s="22" t="s">
        <v>151</v>
      </c>
      <c r="EA58" s="22" t="s">
        <v>151</v>
      </c>
      <c r="EB58" s="21">
        <v>512</v>
      </c>
      <c r="EC58" s="20">
        <v>48</v>
      </c>
      <c r="ED58" s="19">
        <v>10.34</v>
      </c>
      <c r="EE58" s="21">
        <v>21</v>
      </c>
      <c r="EF58" s="20">
        <v>0</v>
      </c>
      <c r="EG58" s="19">
        <v>0</v>
      </c>
      <c r="EH58" s="16" t="s">
        <v>198</v>
      </c>
      <c r="EI58" s="17" t="s">
        <v>151</v>
      </c>
      <c r="EJ58" s="17" t="s">
        <v>151</v>
      </c>
      <c r="EK58" s="18">
        <v>1</v>
      </c>
      <c r="EL58" s="18">
        <v>2</v>
      </c>
      <c r="EM58" s="18">
        <v>2</v>
      </c>
      <c r="EN58" s="18" t="s">
        <v>151</v>
      </c>
      <c r="EO58" s="18" t="s">
        <v>151</v>
      </c>
      <c r="EP58" s="17" t="s">
        <v>1479</v>
      </c>
      <c r="EQ58" s="16">
        <v>1</v>
      </c>
      <c r="ER58" s="16">
        <v>1</v>
      </c>
      <c r="ES58" s="3">
        <f>HYPERLINK("https://my.pitchbook.com?c=464161-60","View Company Online")</f>
      </c>
    </row>
    <row r="59">
      <c r="A59" s="30" t="s">
        <v>1480</v>
      </c>
      <c r="B59" s="30" t="s">
        <v>1481</v>
      </c>
      <c r="C59" s="31">
        <v>4</v>
      </c>
      <c r="D59" s="30" t="s">
        <v>151</v>
      </c>
      <c r="E59" s="30" t="s">
        <v>151</v>
      </c>
      <c r="F59" s="30" t="s">
        <v>1482</v>
      </c>
      <c r="G59" s="30" t="s">
        <v>151</v>
      </c>
      <c r="H59" s="30" t="s">
        <v>151</v>
      </c>
      <c r="I59" s="30" t="s">
        <v>1483</v>
      </c>
      <c r="J59" s="30" t="s">
        <v>1480</v>
      </c>
      <c r="K59" s="30" t="s">
        <v>1484</v>
      </c>
      <c r="L59" s="30" t="s">
        <v>205</v>
      </c>
      <c r="M59" s="30" t="s">
        <v>206</v>
      </c>
      <c r="N59" s="30" t="s">
        <v>1268</v>
      </c>
      <c r="O59" s="30" t="s">
        <v>1485</v>
      </c>
      <c r="P59" s="30" t="s">
        <v>1486</v>
      </c>
      <c r="Q59" s="30" t="s">
        <v>1487</v>
      </c>
      <c r="R59" s="30" t="s">
        <v>151</v>
      </c>
      <c r="S59" s="30" t="s">
        <v>162</v>
      </c>
      <c r="T59" s="37">
        <v>15.95</v>
      </c>
      <c r="U59" s="30" t="s">
        <v>163</v>
      </c>
      <c r="V59" s="30" t="s">
        <v>164</v>
      </c>
      <c r="W59" s="30" t="s">
        <v>165</v>
      </c>
      <c r="X59" s="28" t="s">
        <v>1488</v>
      </c>
      <c r="Y59" s="28" t="s">
        <v>1489</v>
      </c>
      <c r="Z59" s="40">
        <v>20</v>
      </c>
      <c r="AA59" s="30" t="s">
        <v>1490</v>
      </c>
      <c r="AB59" s="30" t="s">
        <v>151</v>
      </c>
      <c r="AC59" s="30" t="s">
        <v>151</v>
      </c>
      <c r="AD59" s="39">
        <v>2019</v>
      </c>
      <c r="AE59" s="30" t="s">
        <v>151</v>
      </c>
      <c r="AF59" s="35">
        <v>45579</v>
      </c>
      <c r="AG59" s="30" t="s">
        <v>151</v>
      </c>
      <c r="AH59" s="30" t="s">
        <v>151</v>
      </c>
      <c r="AI59" s="38" t="s">
        <v>151</v>
      </c>
      <c r="AJ59" s="32" t="s">
        <v>151</v>
      </c>
      <c r="AK59" s="38" t="s">
        <v>151</v>
      </c>
      <c r="AL59" s="38" t="s">
        <v>151</v>
      </c>
      <c r="AM59" s="38" t="s">
        <v>151</v>
      </c>
      <c r="AN59" s="38" t="s">
        <v>151</v>
      </c>
      <c r="AO59" s="38" t="s">
        <v>151</v>
      </c>
      <c r="AP59" s="38" t="s">
        <v>151</v>
      </c>
      <c r="AQ59" s="38" t="s">
        <v>151</v>
      </c>
      <c r="AR59" s="29" t="s">
        <v>151</v>
      </c>
      <c r="AS59" s="30" t="s">
        <v>1491</v>
      </c>
      <c r="AT59" s="30" t="s">
        <v>1492</v>
      </c>
      <c r="AU59" s="31">
        <v>23</v>
      </c>
      <c r="AV59" s="30" t="s">
        <v>151</v>
      </c>
      <c r="AW59" s="30" t="s">
        <v>151</v>
      </c>
      <c r="AX59" s="30" t="s">
        <v>151</v>
      </c>
      <c r="AY59" s="30" t="s">
        <v>1493</v>
      </c>
      <c r="AZ59" s="30" t="s">
        <v>151</v>
      </c>
      <c r="BA59" s="30" t="s">
        <v>151</v>
      </c>
      <c r="BB59" s="30" t="s">
        <v>151</v>
      </c>
      <c r="BC59" s="30" t="s">
        <v>343</v>
      </c>
      <c r="BD59" s="30" t="s">
        <v>1494</v>
      </c>
      <c r="BE59" s="30" t="s">
        <v>1495</v>
      </c>
      <c r="BF59" s="30" t="s">
        <v>282</v>
      </c>
      <c r="BG59" s="30" t="s">
        <v>1496</v>
      </c>
      <c r="BH59" s="30" t="s">
        <v>1497</v>
      </c>
      <c r="BI59" s="30" t="s">
        <v>906</v>
      </c>
      <c r="BJ59" s="30" t="s">
        <v>1498</v>
      </c>
      <c r="BK59" s="30" t="s">
        <v>151</v>
      </c>
      <c r="BL59" s="30" t="s">
        <v>259</v>
      </c>
      <c r="BM59" s="30" t="s">
        <v>259</v>
      </c>
      <c r="BN59" s="29" t="s">
        <v>1499</v>
      </c>
      <c r="BO59" s="30" t="s">
        <v>186</v>
      </c>
      <c r="BP59" s="29" t="s">
        <v>1497</v>
      </c>
      <c r="BQ59" s="29" t="s">
        <v>151</v>
      </c>
      <c r="BR59" s="30" t="s">
        <v>1500</v>
      </c>
      <c r="BS59" s="30" t="s">
        <v>187</v>
      </c>
      <c r="BT59" s="30" t="s">
        <v>188</v>
      </c>
      <c r="BU59" s="35">
        <v>44127</v>
      </c>
      <c r="BV59" s="37">
        <v>0.17</v>
      </c>
      <c r="BW59" s="30" t="s">
        <v>193</v>
      </c>
      <c r="BX59" s="37">
        <v>3</v>
      </c>
      <c r="BY59" s="30" t="s">
        <v>192</v>
      </c>
      <c r="BZ59" s="30" t="s">
        <v>293</v>
      </c>
      <c r="CA59" s="30" t="s">
        <v>293</v>
      </c>
      <c r="CB59" s="30" t="s">
        <v>151</v>
      </c>
      <c r="CC59" s="30" t="s">
        <v>165</v>
      </c>
      <c r="CD59" s="30" t="s">
        <v>151</v>
      </c>
      <c r="CE59" s="30" t="s">
        <v>191</v>
      </c>
      <c r="CF59" s="35">
        <v>45141</v>
      </c>
      <c r="CG59" s="37">
        <v>9.78</v>
      </c>
      <c r="CH59" s="30" t="s">
        <v>192</v>
      </c>
      <c r="CI59" s="37">
        <v>35</v>
      </c>
      <c r="CJ59" s="30" t="s">
        <v>192</v>
      </c>
      <c r="CK59" s="29" t="s">
        <v>151</v>
      </c>
      <c r="CL59" s="30" t="s">
        <v>293</v>
      </c>
      <c r="CM59" s="30" t="s">
        <v>472</v>
      </c>
      <c r="CN59" s="30" t="s">
        <v>151</v>
      </c>
      <c r="CO59" s="30" t="s">
        <v>165</v>
      </c>
      <c r="CP59" s="35">
        <v>45141</v>
      </c>
      <c r="CQ59" s="37" t="s">
        <v>151</v>
      </c>
      <c r="CR59" s="30" t="s">
        <v>151</v>
      </c>
      <c r="CS59" s="30" t="s">
        <v>191</v>
      </c>
      <c r="CT59" s="29">
        <v>87</v>
      </c>
      <c r="CU59" s="30" t="s">
        <v>196</v>
      </c>
      <c r="CV59" s="32">
        <v>80</v>
      </c>
      <c r="CW59" s="32">
        <v>20</v>
      </c>
      <c r="CX59" s="30" t="s">
        <v>294</v>
      </c>
      <c r="CY59" s="32">
        <v>1</v>
      </c>
      <c r="CZ59" s="32">
        <v>79</v>
      </c>
      <c r="DA59" s="37">
        <v>35</v>
      </c>
      <c r="DB59" s="35">
        <v>45141</v>
      </c>
      <c r="DC59" s="30" t="s">
        <v>293</v>
      </c>
      <c r="DD59" s="29" t="s">
        <v>151</v>
      </c>
      <c r="DE59" s="32">
        <v>-0.64</v>
      </c>
      <c r="DF59" s="34">
        <v>6</v>
      </c>
      <c r="DG59" s="32">
        <v>0</v>
      </c>
      <c r="DH59" s="32">
        <v>0</v>
      </c>
      <c r="DI59" s="32">
        <v>-0.69</v>
      </c>
      <c r="DJ59" s="34">
        <v>6</v>
      </c>
      <c r="DK59" s="32" t="s">
        <v>151</v>
      </c>
      <c r="DL59" s="34" t="s">
        <v>151</v>
      </c>
      <c r="DM59" s="32">
        <v>-0.69</v>
      </c>
      <c r="DN59" s="34">
        <v>5</v>
      </c>
      <c r="DO59" s="36">
        <v>4.9</v>
      </c>
      <c r="DP59" s="34">
        <v>82</v>
      </c>
      <c r="DQ59" s="36">
        <v>0</v>
      </c>
      <c r="DR59" s="32">
        <v>0</v>
      </c>
      <c r="DS59" s="36">
        <v>8.26</v>
      </c>
      <c r="DT59" s="34">
        <v>88</v>
      </c>
      <c r="DU59" s="36" t="s">
        <v>151</v>
      </c>
      <c r="DV59" s="34" t="s">
        <v>151</v>
      </c>
      <c r="DW59" s="36">
        <v>8.26</v>
      </c>
      <c r="DX59" s="34">
        <v>88</v>
      </c>
      <c r="DY59" s="31" t="s">
        <v>151</v>
      </c>
      <c r="DZ59" s="35" t="s">
        <v>151</v>
      </c>
      <c r="EA59" s="35" t="s">
        <v>151</v>
      </c>
      <c r="EB59" s="34">
        <v>491</v>
      </c>
      <c r="EC59" s="33">
        <v>27</v>
      </c>
      <c r="ED59" s="32">
        <v>5.82</v>
      </c>
      <c r="EE59" s="34">
        <v>157</v>
      </c>
      <c r="EF59" s="33">
        <v>0</v>
      </c>
      <c r="EG59" s="32">
        <v>0</v>
      </c>
      <c r="EH59" s="29" t="s">
        <v>198</v>
      </c>
      <c r="EI59" s="30" t="s">
        <v>151</v>
      </c>
      <c r="EJ59" s="30" t="s">
        <v>151</v>
      </c>
      <c r="EK59" s="31">
        <v>3</v>
      </c>
      <c r="EL59" s="31">
        <v>2</v>
      </c>
      <c r="EM59" s="31">
        <v>1</v>
      </c>
      <c r="EN59" s="31" t="s">
        <v>151</v>
      </c>
      <c r="EO59" s="31">
        <v>1</v>
      </c>
      <c r="EP59" s="30" t="s">
        <v>940</v>
      </c>
      <c r="EQ59" s="29" t="s">
        <v>151</v>
      </c>
      <c r="ER59" s="29" t="s">
        <v>151</v>
      </c>
      <c r="ES59" s="4">
        <f>HYPERLINK("https://my.pitchbook.com?c=458627-59","View Company Online")</f>
      </c>
    </row>
    <row r="60">
      <c r="A60" s="17" t="s">
        <v>1501</v>
      </c>
      <c r="B60" s="17" t="s">
        <v>1502</v>
      </c>
      <c r="C60" s="18">
        <v>4</v>
      </c>
      <c r="D60" s="17" t="s">
        <v>151</v>
      </c>
      <c r="E60" s="17" t="s">
        <v>1503</v>
      </c>
      <c r="F60" s="17" t="s">
        <v>1504</v>
      </c>
      <c r="G60" s="17" t="s">
        <v>151</v>
      </c>
      <c r="H60" s="17" t="s">
        <v>151</v>
      </c>
      <c r="I60" s="17" t="s">
        <v>151</v>
      </c>
      <c r="J60" s="17" t="s">
        <v>1501</v>
      </c>
      <c r="K60" s="17" t="s">
        <v>1505</v>
      </c>
      <c r="L60" s="17" t="s">
        <v>205</v>
      </c>
      <c r="M60" s="17" t="s">
        <v>206</v>
      </c>
      <c r="N60" s="17" t="s">
        <v>917</v>
      </c>
      <c r="O60" s="17" t="s">
        <v>1506</v>
      </c>
      <c r="P60" s="17" t="s">
        <v>1507</v>
      </c>
      <c r="Q60" s="17" t="s">
        <v>1508</v>
      </c>
      <c r="R60" s="17" t="s">
        <v>151</v>
      </c>
      <c r="S60" s="17" t="s">
        <v>162</v>
      </c>
      <c r="T60" s="24">
        <v>54.37</v>
      </c>
      <c r="U60" s="17" t="s">
        <v>163</v>
      </c>
      <c r="V60" s="17" t="s">
        <v>164</v>
      </c>
      <c r="W60" s="17" t="s">
        <v>165</v>
      </c>
      <c r="X60" s="15" t="s">
        <v>1509</v>
      </c>
      <c r="Y60" s="15" t="s">
        <v>1510</v>
      </c>
      <c r="Z60" s="27">
        <v>44</v>
      </c>
      <c r="AA60" s="17" t="s">
        <v>1511</v>
      </c>
      <c r="AB60" s="17" t="s">
        <v>151</v>
      </c>
      <c r="AC60" s="17" t="s">
        <v>151</v>
      </c>
      <c r="AD60" s="26">
        <v>2021</v>
      </c>
      <c r="AE60" s="17" t="s">
        <v>151</v>
      </c>
      <c r="AF60" s="22">
        <v>45617</v>
      </c>
      <c r="AG60" s="17" t="s">
        <v>151</v>
      </c>
      <c r="AH60" s="17" t="s">
        <v>151</v>
      </c>
      <c r="AI60" s="25" t="s">
        <v>151</v>
      </c>
      <c r="AJ60" s="19" t="s">
        <v>151</v>
      </c>
      <c r="AK60" s="25" t="s">
        <v>151</v>
      </c>
      <c r="AL60" s="25" t="s">
        <v>151</v>
      </c>
      <c r="AM60" s="25" t="s">
        <v>151</v>
      </c>
      <c r="AN60" s="25" t="s">
        <v>151</v>
      </c>
      <c r="AO60" s="25" t="s">
        <v>151</v>
      </c>
      <c r="AP60" s="25" t="s">
        <v>151</v>
      </c>
      <c r="AQ60" s="25" t="s">
        <v>151</v>
      </c>
      <c r="AR60" s="16" t="s">
        <v>151</v>
      </c>
      <c r="AS60" s="17" t="s">
        <v>1512</v>
      </c>
      <c r="AT60" s="17" t="s">
        <v>1513</v>
      </c>
      <c r="AU60" s="18">
        <v>29</v>
      </c>
      <c r="AV60" s="17" t="s">
        <v>151</v>
      </c>
      <c r="AW60" s="17" t="s">
        <v>151</v>
      </c>
      <c r="AX60" s="17" t="s">
        <v>151</v>
      </c>
      <c r="AY60" s="17" t="s">
        <v>1514</v>
      </c>
      <c r="AZ60" s="17" t="s">
        <v>151</v>
      </c>
      <c r="BA60" s="17" t="s">
        <v>151</v>
      </c>
      <c r="BB60" s="17" t="s">
        <v>151</v>
      </c>
      <c r="BC60" s="17" t="s">
        <v>151</v>
      </c>
      <c r="BD60" s="17" t="s">
        <v>1515</v>
      </c>
      <c r="BE60" s="17" t="s">
        <v>1516</v>
      </c>
      <c r="BF60" s="17" t="s">
        <v>221</v>
      </c>
      <c r="BG60" s="17" t="s">
        <v>1517</v>
      </c>
      <c r="BH60" s="17" t="s">
        <v>1518</v>
      </c>
      <c r="BI60" s="17" t="s">
        <v>1519</v>
      </c>
      <c r="BJ60" s="17" t="s">
        <v>1520</v>
      </c>
      <c r="BK60" s="17" t="s">
        <v>1521</v>
      </c>
      <c r="BL60" s="17" t="s">
        <v>1522</v>
      </c>
      <c r="BM60" s="17" t="s">
        <v>184</v>
      </c>
      <c r="BN60" s="16" t="s">
        <v>1523</v>
      </c>
      <c r="BO60" s="17" t="s">
        <v>186</v>
      </c>
      <c r="BP60" s="16" t="s">
        <v>1518</v>
      </c>
      <c r="BQ60" s="16" t="s">
        <v>1524</v>
      </c>
      <c r="BR60" s="17" t="s">
        <v>1525</v>
      </c>
      <c r="BS60" s="17" t="s">
        <v>187</v>
      </c>
      <c r="BT60" s="17" t="s">
        <v>188</v>
      </c>
      <c r="BU60" s="22">
        <v>44235</v>
      </c>
      <c r="BV60" s="24">
        <v>4.37</v>
      </c>
      <c r="BW60" s="17" t="s">
        <v>192</v>
      </c>
      <c r="BX60" s="24">
        <v>16.37</v>
      </c>
      <c r="BY60" s="17" t="s">
        <v>192</v>
      </c>
      <c r="BZ60" s="17" t="s">
        <v>293</v>
      </c>
      <c r="CA60" s="17" t="s">
        <v>472</v>
      </c>
      <c r="CB60" s="17" t="s">
        <v>151</v>
      </c>
      <c r="CC60" s="17" t="s">
        <v>165</v>
      </c>
      <c r="CD60" s="17" t="s">
        <v>151</v>
      </c>
      <c r="CE60" s="17" t="s">
        <v>191</v>
      </c>
      <c r="CF60" s="22">
        <v>45553</v>
      </c>
      <c r="CG60" s="24">
        <v>25</v>
      </c>
      <c r="CH60" s="17" t="s">
        <v>192</v>
      </c>
      <c r="CI60" s="24" t="s">
        <v>151</v>
      </c>
      <c r="CJ60" s="17" t="s">
        <v>151</v>
      </c>
      <c r="CK60" s="16" t="s">
        <v>151</v>
      </c>
      <c r="CL60" s="17" t="s">
        <v>231</v>
      </c>
      <c r="CM60" s="17" t="s">
        <v>1526</v>
      </c>
      <c r="CN60" s="17" t="s">
        <v>151</v>
      </c>
      <c r="CO60" s="17" t="s">
        <v>165</v>
      </c>
      <c r="CP60" s="22">
        <v>45553</v>
      </c>
      <c r="CQ60" s="24" t="s">
        <v>151</v>
      </c>
      <c r="CR60" s="17" t="s">
        <v>151</v>
      </c>
      <c r="CS60" s="17" t="s">
        <v>191</v>
      </c>
      <c r="CT60" s="16">
        <v>88</v>
      </c>
      <c r="CU60" s="17" t="s">
        <v>196</v>
      </c>
      <c r="CV60" s="19">
        <v>72</v>
      </c>
      <c r="CW60" s="19">
        <v>28</v>
      </c>
      <c r="CX60" s="17" t="s">
        <v>294</v>
      </c>
      <c r="CY60" s="19">
        <v>13</v>
      </c>
      <c r="CZ60" s="19">
        <v>59</v>
      </c>
      <c r="DA60" s="24">
        <v>125</v>
      </c>
      <c r="DB60" s="22">
        <v>44691</v>
      </c>
      <c r="DC60" s="17" t="s">
        <v>231</v>
      </c>
      <c r="DD60" s="16">
        <v>6.11</v>
      </c>
      <c r="DE60" s="19">
        <v>-0.07</v>
      </c>
      <c r="DF60" s="21">
        <v>11</v>
      </c>
      <c r="DG60" s="19">
        <v>0</v>
      </c>
      <c r="DH60" s="19">
        <v>0</v>
      </c>
      <c r="DI60" s="19">
        <v>-0.07</v>
      </c>
      <c r="DJ60" s="21">
        <v>10</v>
      </c>
      <c r="DK60" s="19" t="s">
        <v>151</v>
      </c>
      <c r="DL60" s="21" t="s">
        <v>151</v>
      </c>
      <c r="DM60" s="19">
        <v>-0.07</v>
      </c>
      <c r="DN60" s="21">
        <v>10</v>
      </c>
      <c r="DO60" s="23">
        <v>28.68</v>
      </c>
      <c r="DP60" s="21">
        <v>96</v>
      </c>
      <c r="DQ60" s="23">
        <v>0</v>
      </c>
      <c r="DR60" s="19">
        <v>0</v>
      </c>
      <c r="DS60" s="23">
        <v>28.68</v>
      </c>
      <c r="DT60" s="21">
        <v>96</v>
      </c>
      <c r="DU60" s="23" t="s">
        <v>151</v>
      </c>
      <c r="DV60" s="21" t="s">
        <v>151</v>
      </c>
      <c r="DW60" s="23">
        <v>28.68</v>
      </c>
      <c r="DX60" s="21">
        <v>96</v>
      </c>
      <c r="DY60" s="18" t="s">
        <v>151</v>
      </c>
      <c r="DZ60" s="22" t="s">
        <v>151</v>
      </c>
      <c r="EA60" s="22" t="s">
        <v>151</v>
      </c>
      <c r="EB60" s="21">
        <v>9033</v>
      </c>
      <c r="EC60" s="20">
        <v>-814</v>
      </c>
      <c r="ED60" s="19">
        <v>-8.27</v>
      </c>
      <c r="EE60" s="21">
        <v>545</v>
      </c>
      <c r="EF60" s="20">
        <v>0</v>
      </c>
      <c r="EG60" s="19">
        <v>0</v>
      </c>
      <c r="EH60" s="16" t="s">
        <v>198</v>
      </c>
      <c r="EI60" s="17" t="s">
        <v>151</v>
      </c>
      <c r="EJ60" s="17" t="s">
        <v>151</v>
      </c>
      <c r="EK60" s="18">
        <v>2</v>
      </c>
      <c r="EL60" s="18">
        <v>2</v>
      </c>
      <c r="EM60" s="18">
        <v>2</v>
      </c>
      <c r="EN60" s="18" t="s">
        <v>151</v>
      </c>
      <c r="EO60" s="18" t="s">
        <v>151</v>
      </c>
      <c r="EP60" s="17" t="s">
        <v>1527</v>
      </c>
      <c r="EQ60" s="16" t="s">
        <v>151</v>
      </c>
      <c r="ER60" s="16" t="s">
        <v>151</v>
      </c>
      <c r="ES60" s="3">
        <f>HYPERLINK("https://my.pitchbook.com?c=460073-35","View Company Online")</f>
      </c>
    </row>
    <row r="61">
      <c r="A61" s="30" t="s">
        <v>1528</v>
      </c>
      <c r="B61" s="30" t="s">
        <v>1529</v>
      </c>
      <c r="C61" s="31">
        <v>4</v>
      </c>
      <c r="D61" s="30" t="s">
        <v>1530</v>
      </c>
      <c r="E61" s="30" t="s">
        <v>151</v>
      </c>
      <c r="F61" s="30" t="s">
        <v>1531</v>
      </c>
      <c r="G61" s="30" t="s">
        <v>151</v>
      </c>
      <c r="H61" s="30" t="s">
        <v>151</v>
      </c>
      <c r="I61" s="30" t="s">
        <v>1532</v>
      </c>
      <c r="J61" s="30" t="s">
        <v>1528</v>
      </c>
      <c r="K61" s="30" t="s">
        <v>1533</v>
      </c>
      <c r="L61" s="30" t="s">
        <v>205</v>
      </c>
      <c r="M61" s="30" t="s">
        <v>206</v>
      </c>
      <c r="N61" s="30" t="s">
        <v>1268</v>
      </c>
      <c r="O61" s="30" t="s">
        <v>1534</v>
      </c>
      <c r="P61" s="30" t="s">
        <v>1205</v>
      </c>
      <c r="Q61" s="30" t="s">
        <v>1535</v>
      </c>
      <c r="R61" s="30" t="s">
        <v>1536</v>
      </c>
      <c r="S61" s="30" t="s">
        <v>162</v>
      </c>
      <c r="T61" s="37">
        <v>29.55</v>
      </c>
      <c r="U61" s="30" t="s">
        <v>163</v>
      </c>
      <c r="V61" s="30" t="s">
        <v>164</v>
      </c>
      <c r="W61" s="30" t="s">
        <v>165</v>
      </c>
      <c r="X61" s="28" t="s">
        <v>1537</v>
      </c>
      <c r="Y61" s="28" t="s">
        <v>1538</v>
      </c>
      <c r="Z61" s="40">
        <v>24</v>
      </c>
      <c r="AA61" s="30" t="s">
        <v>1539</v>
      </c>
      <c r="AB61" s="30" t="s">
        <v>151</v>
      </c>
      <c r="AC61" s="30" t="s">
        <v>151</v>
      </c>
      <c r="AD61" s="39">
        <v>2015</v>
      </c>
      <c r="AE61" s="30" t="s">
        <v>151</v>
      </c>
      <c r="AF61" s="35">
        <v>45595</v>
      </c>
      <c r="AG61" s="30" t="s">
        <v>151</v>
      </c>
      <c r="AH61" s="30" t="s">
        <v>151</v>
      </c>
      <c r="AI61" s="38" t="s">
        <v>151</v>
      </c>
      <c r="AJ61" s="32" t="s">
        <v>151</v>
      </c>
      <c r="AK61" s="38" t="s">
        <v>151</v>
      </c>
      <c r="AL61" s="38" t="s">
        <v>151</v>
      </c>
      <c r="AM61" s="38" t="s">
        <v>151</v>
      </c>
      <c r="AN61" s="38" t="s">
        <v>151</v>
      </c>
      <c r="AO61" s="38" t="s">
        <v>151</v>
      </c>
      <c r="AP61" s="38" t="s">
        <v>151</v>
      </c>
      <c r="AQ61" s="38" t="s">
        <v>151</v>
      </c>
      <c r="AR61" s="29" t="s">
        <v>151</v>
      </c>
      <c r="AS61" s="30" t="s">
        <v>1540</v>
      </c>
      <c r="AT61" s="30" t="s">
        <v>1541</v>
      </c>
      <c r="AU61" s="31">
        <v>49</v>
      </c>
      <c r="AV61" s="30" t="s">
        <v>151</v>
      </c>
      <c r="AW61" s="30" t="s">
        <v>151</v>
      </c>
      <c r="AX61" s="30" t="s">
        <v>151</v>
      </c>
      <c r="AY61" s="30" t="s">
        <v>1542</v>
      </c>
      <c r="AZ61" s="30" t="s">
        <v>151</v>
      </c>
      <c r="BA61" s="30" t="s">
        <v>151</v>
      </c>
      <c r="BB61" s="30" t="s">
        <v>151</v>
      </c>
      <c r="BC61" s="30" t="s">
        <v>343</v>
      </c>
      <c r="BD61" s="30" t="s">
        <v>1543</v>
      </c>
      <c r="BE61" s="30" t="s">
        <v>1544</v>
      </c>
      <c r="BF61" s="30" t="s">
        <v>493</v>
      </c>
      <c r="BG61" s="30" t="s">
        <v>1545</v>
      </c>
      <c r="BH61" s="30" t="s">
        <v>1546</v>
      </c>
      <c r="BI61" s="30" t="s">
        <v>906</v>
      </c>
      <c r="BJ61" s="30" t="s">
        <v>1547</v>
      </c>
      <c r="BK61" s="30" t="s">
        <v>1548</v>
      </c>
      <c r="BL61" s="30" t="s">
        <v>259</v>
      </c>
      <c r="BM61" s="30" t="s">
        <v>259</v>
      </c>
      <c r="BN61" s="29" t="s">
        <v>1549</v>
      </c>
      <c r="BO61" s="30" t="s">
        <v>186</v>
      </c>
      <c r="BP61" s="29" t="s">
        <v>1550</v>
      </c>
      <c r="BQ61" s="29" t="s">
        <v>151</v>
      </c>
      <c r="BR61" s="30" t="s">
        <v>1551</v>
      </c>
      <c r="BS61" s="30" t="s">
        <v>187</v>
      </c>
      <c r="BT61" s="30" t="s">
        <v>188</v>
      </c>
      <c r="BU61" s="35">
        <v>42370</v>
      </c>
      <c r="BV61" s="37">
        <v>0.51</v>
      </c>
      <c r="BW61" s="30" t="s">
        <v>192</v>
      </c>
      <c r="BX61" s="37" t="s">
        <v>151</v>
      </c>
      <c r="BY61" s="30" t="s">
        <v>151</v>
      </c>
      <c r="BZ61" s="30" t="s">
        <v>1075</v>
      </c>
      <c r="CA61" s="30" t="s">
        <v>1075</v>
      </c>
      <c r="CB61" s="30" t="s">
        <v>151</v>
      </c>
      <c r="CC61" s="30" t="s">
        <v>585</v>
      </c>
      <c r="CD61" s="30" t="s">
        <v>151</v>
      </c>
      <c r="CE61" s="30" t="s">
        <v>191</v>
      </c>
      <c r="CF61" s="35">
        <v>45376</v>
      </c>
      <c r="CG61" s="37">
        <v>24.6</v>
      </c>
      <c r="CH61" s="30" t="s">
        <v>192</v>
      </c>
      <c r="CI61" s="37">
        <v>68</v>
      </c>
      <c r="CJ61" s="30" t="s">
        <v>192</v>
      </c>
      <c r="CK61" s="29" t="s">
        <v>151</v>
      </c>
      <c r="CL61" s="30" t="s">
        <v>194</v>
      </c>
      <c r="CM61" s="30" t="s">
        <v>232</v>
      </c>
      <c r="CN61" s="30" t="s">
        <v>151</v>
      </c>
      <c r="CO61" s="30" t="s">
        <v>165</v>
      </c>
      <c r="CP61" s="35">
        <v>45376</v>
      </c>
      <c r="CQ61" s="37" t="s">
        <v>151</v>
      </c>
      <c r="CR61" s="30" t="s">
        <v>151</v>
      </c>
      <c r="CS61" s="30" t="s">
        <v>191</v>
      </c>
      <c r="CT61" s="29">
        <v>96</v>
      </c>
      <c r="CU61" s="30" t="s">
        <v>196</v>
      </c>
      <c r="CV61" s="32">
        <v>89</v>
      </c>
      <c r="CW61" s="32">
        <v>11</v>
      </c>
      <c r="CX61" s="30" t="s">
        <v>294</v>
      </c>
      <c r="CY61" s="32">
        <v>3</v>
      </c>
      <c r="CZ61" s="32">
        <v>86</v>
      </c>
      <c r="DA61" s="37">
        <v>68</v>
      </c>
      <c r="DB61" s="35">
        <v>45376</v>
      </c>
      <c r="DC61" s="30" t="s">
        <v>194</v>
      </c>
      <c r="DD61" s="29" t="s">
        <v>151</v>
      </c>
      <c r="DE61" s="32">
        <v>-0.41</v>
      </c>
      <c r="DF61" s="34">
        <v>8</v>
      </c>
      <c r="DG61" s="32">
        <v>0</v>
      </c>
      <c r="DH61" s="32">
        <v>0</v>
      </c>
      <c r="DI61" s="32">
        <v>-0.41</v>
      </c>
      <c r="DJ61" s="34">
        <v>7</v>
      </c>
      <c r="DK61" s="32" t="s">
        <v>151</v>
      </c>
      <c r="DL61" s="34" t="s">
        <v>151</v>
      </c>
      <c r="DM61" s="32">
        <v>-0.41</v>
      </c>
      <c r="DN61" s="34">
        <v>7</v>
      </c>
      <c r="DO61" s="36">
        <v>23.37</v>
      </c>
      <c r="DP61" s="34">
        <v>96</v>
      </c>
      <c r="DQ61" s="36">
        <v>0</v>
      </c>
      <c r="DR61" s="32">
        <v>0</v>
      </c>
      <c r="DS61" s="36">
        <v>23.37</v>
      </c>
      <c r="DT61" s="34">
        <v>96</v>
      </c>
      <c r="DU61" s="36" t="s">
        <v>151</v>
      </c>
      <c r="DV61" s="34" t="s">
        <v>151</v>
      </c>
      <c r="DW61" s="36">
        <v>23.37</v>
      </c>
      <c r="DX61" s="34">
        <v>96</v>
      </c>
      <c r="DY61" s="31" t="s">
        <v>151</v>
      </c>
      <c r="DZ61" s="35" t="s">
        <v>151</v>
      </c>
      <c r="EA61" s="35" t="s">
        <v>151</v>
      </c>
      <c r="EB61" s="34">
        <v>1113</v>
      </c>
      <c r="EC61" s="33">
        <v>-230</v>
      </c>
      <c r="ED61" s="32">
        <v>-17.13</v>
      </c>
      <c r="EE61" s="34">
        <v>444</v>
      </c>
      <c r="EF61" s="33">
        <v>0</v>
      </c>
      <c r="EG61" s="32">
        <v>0</v>
      </c>
      <c r="EH61" s="29" t="s">
        <v>198</v>
      </c>
      <c r="EI61" s="30" t="s">
        <v>151</v>
      </c>
      <c r="EJ61" s="30" t="s">
        <v>151</v>
      </c>
      <c r="EK61" s="31">
        <v>3</v>
      </c>
      <c r="EL61" s="31">
        <v>3</v>
      </c>
      <c r="EM61" s="31">
        <v>1</v>
      </c>
      <c r="EN61" s="31" t="s">
        <v>151</v>
      </c>
      <c r="EO61" s="31" t="s">
        <v>151</v>
      </c>
      <c r="EP61" s="30" t="s">
        <v>1552</v>
      </c>
      <c r="EQ61" s="29" t="s">
        <v>151</v>
      </c>
      <c r="ER61" s="29" t="s">
        <v>151</v>
      </c>
      <c r="ES61" s="4">
        <f>HYPERLINK("https://my.pitchbook.com?c=226161-19","View Company Online")</f>
      </c>
    </row>
    <row r="62">
      <c r="A62" s="17" t="s">
        <v>1553</v>
      </c>
      <c r="B62" s="17" t="s">
        <v>1554</v>
      </c>
      <c r="C62" s="18">
        <v>4</v>
      </c>
      <c r="D62" s="17" t="s">
        <v>151</v>
      </c>
      <c r="E62" s="17" t="s">
        <v>151</v>
      </c>
      <c r="F62" s="17" t="s">
        <v>1555</v>
      </c>
      <c r="G62" s="17" t="s">
        <v>151</v>
      </c>
      <c r="H62" s="17" t="s">
        <v>151</v>
      </c>
      <c r="I62" s="17" t="s">
        <v>1556</v>
      </c>
      <c r="J62" s="17" t="s">
        <v>1553</v>
      </c>
      <c r="K62" s="17" t="s">
        <v>1557</v>
      </c>
      <c r="L62" s="17" t="s">
        <v>205</v>
      </c>
      <c r="M62" s="17" t="s">
        <v>448</v>
      </c>
      <c r="N62" s="17" t="s">
        <v>478</v>
      </c>
      <c r="O62" s="17" t="s">
        <v>1558</v>
      </c>
      <c r="P62" s="17" t="s">
        <v>1559</v>
      </c>
      <c r="Q62" s="17" t="s">
        <v>1560</v>
      </c>
      <c r="R62" s="17" t="s">
        <v>1561</v>
      </c>
      <c r="S62" s="17" t="s">
        <v>162</v>
      </c>
      <c r="T62" s="24">
        <v>1.5</v>
      </c>
      <c r="U62" s="17" t="s">
        <v>163</v>
      </c>
      <c r="V62" s="17" t="s">
        <v>164</v>
      </c>
      <c r="W62" s="17" t="s">
        <v>165</v>
      </c>
      <c r="X62" s="15" t="s">
        <v>1562</v>
      </c>
      <c r="Y62" s="15" t="s">
        <v>1563</v>
      </c>
      <c r="Z62" s="27">
        <v>7</v>
      </c>
      <c r="AA62" s="17" t="s">
        <v>1564</v>
      </c>
      <c r="AB62" s="17" t="s">
        <v>151</v>
      </c>
      <c r="AC62" s="17" t="s">
        <v>151</v>
      </c>
      <c r="AD62" s="26">
        <v>2017</v>
      </c>
      <c r="AE62" s="17" t="s">
        <v>151</v>
      </c>
      <c r="AF62" s="22">
        <v>45555</v>
      </c>
      <c r="AG62" s="17" t="s">
        <v>151</v>
      </c>
      <c r="AH62" s="17" t="s">
        <v>151</v>
      </c>
      <c r="AI62" s="25" t="s">
        <v>151</v>
      </c>
      <c r="AJ62" s="19" t="s">
        <v>151</v>
      </c>
      <c r="AK62" s="25" t="s">
        <v>151</v>
      </c>
      <c r="AL62" s="25" t="s">
        <v>151</v>
      </c>
      <c r="AM62" s="25" t="s">
        <v>151</v>
      </c>
      <c r="AN62" s="25" t="s">
        <v>151</v>
      </c>
      <c r="AO62" s="25" t="s">
        <v>151</v>
      </c>
      <c r="AP62" s="25" t="s">
        <v>151</v>
      </c>
      <c r="AQ62" s="25" t="s">
        <v>151</v>
      </c>
      <c r="AR62" s="16" t="s">
        <v>151</v>
      </c>
      <c r="AS62" s="17" t="s">
        <v>1565</v>
      </c>
      <c r="AT62" s="17" t="s">
        <v>1566</v>
      </c>
      <c r="AU62" s="18">
        <v>12</v>
      </c>
      <c r="AV62" s="17" t="s">
        <v>151</v>
      </c>
      <c r="AW62" s="17" t="s">
        <v>151</v>
      </c>
      <c r="AX62" s="17" t="s">
        <v>151</v>
      </c>
      <c r="AY62" s="17" t="s">
        <v>1567</v>
      </c>
      <c r="AZ62" s="17" t="s">
        <v>151</v>
      </c>
      <c r="BA62" s="17" t="s">
        <v>151</v>
      </c>
      <c r="BB62" s="17" t="s">
        <v>151</v>
      </c>
      <c r="BC62" s="17" t="s">
        <v>151</v>
      </c>
      <c r="BD62" s="17" t="s">
        <v>1568</v>
      </c>
      <c r="BE62" s="17" t="s">
        <v>1569</v>
      </c>
      <c r="BF62" s="17" t="s">
        <v>493</v>
      </c>
      <c r="BG62" s="17" t="s">
        <v>1570</v>
      </c>
      <c r="BH62" s="17" t="s">
        <v>1571</v>
      </c>
      <c r="BI62" s="17" t="s">
        <v>1572</v>
      </c>
      <c r="BJ62" s="17" t="s">
        <v>1573</v>
      </c>
      <c r="BK62" s="17" t="s">
        <v>1574</v>
      </c>
      <c r="BL62" s="17" t="s">
        <v>1575</v>
      </c>
      <c r="BM62" s="17" t="s">
        <v>1576</v>
      </c>
      <c r="BN62" s="16" t="s">
        <v>1577</v>
      </c>
      <c r="BO62" s="17" t="s">
        <v>186</v>
      </c>
      <c r="BP62" s="16" t="s">
        <v>1571</v>
      </c>
      <c r="BQ62" s="16" t="s">
        <v>151</v>
      </c>
      <c r="BR62" s="17" t="s">
        <v>1578</v>
      </c>
      <c r="BS62" s="17" t="s">
        <v>187</v>
      </c>
      <c r="BT62" s="17" t="s">
        <v>188</v>
      </c>
      <c r="BU62" s="22">
        <v>42908</v>
      </c>
      <c r="BV62" s="24" t="s">
        <v>151</v>
      </c>
      <c r="BW62" s="17" t="s">
        <v>151</v>
      </c>
      <c r="BX62" s="24" t="s">
        <v>151</v>
      </c>
      <c r="BY62" s="17" t="s">
        <v>151</v>
      </c>
      <c r="BZ62" s="17" t="s">
        <v>660</v>
      </c>
      <c r="CA62" s="17" t="s">
        <v>151</v>
      </c>
      <c r="CB62" s="17" t="s">
        <v>151</v>
      </c>
      <c r="CC62" s="17" t="s">
        <v>385</v>
      </c>
      <c r="CD62" s="17" t="s">
        <v>151</v>
      </c>
      <c r="CE62" s="17" t="s">
        <v>191</v>
      </c>
      <c r="CF62" s="22">
        <v>45056</v>
      </c>
      <c r="CG62" s="24">
        <v>0.05</v>
      </c>
      <c r="CH62" s="17" t="s">
        <v>192</v>
      </c>
      <c r="CI62" s="24">
        <v>15</v>
      </c>
      <c r="CJ62" s="17" t="s">
        <v>192</v>
      </c>
      <c r="CK62" s="16" t="s">
        <v>151</v>
      </c>
      <c r="CL62" s="17" t="s">
        <v>189</v>
      </c>
      <c r="CM62" s="17" t="s">
        <v>151</v>
      </c>
      <c r="CN62" s="17" t="s">
        <v>151</v>
      </c>
      <c r="CO62" s="17" t="s">
        <v>190</v>
      </c>
      <c r="CP62" s="22">
        <v>45056</v>
      </c>
      <c r="CQ62" s="24">
        <v>0.05</v>
      </c>
      <c r="CR62" s="17" t="s">
        <v>355</v>
      </c>
      <c r="CS62" s="17" t="s">
        <v>191</v>
      </c>
      <c r="CT62" s="16">
        <v>40</v>
      </c>
      <c r="CU62" s="17" t="s">
        <v>263</v>
      </c>
      <c r="CV62" s="19">
        <v>39</v>
      </c>
      <c r="CW62" s="19">
        <v>61</v>
      </c>
      <c r="CX62" s="17" t="s">
        <v>263</v>
      </c>
      <c r="CY62" s="19">
        <v>1</v>
      </c>
      <c r="CZ62" s="19">
        <v>38</v>
      </c>
      <c r="DA62" s="24">
        <v>15</v>
      </c>
      <c r="DB62" s="22">
        <v>45056</v>
      </c>
      <c r="DC62" s="17" t="s">
        <v>189</v>
      </c>
      <c r="DD62" s="16" t="s">
        <v>151</v>
      </c>
      <c r="DE62" s="19">
        <v>1.2</v>
      </c>
      <c r="DF62" s="21">
        <v>97</v>
      </c>
      <c r="DG62" s="19">
        <v>0</v>
      </c>
      <c r="DH62" s="19">
        <v>0</v>
      </c>
      <c r="DI62" s="19">
        <v>0.31</v>
      </c>
      <c r="DJ62" s="21">
        <v>94</v>
      </c>
      <c r="DK62" s="19" t="s">
        <v>151</v>
      </c>
      <c r="DL62" s="21" t="s">
        <v>151</v>
      </c>
      <c r="DM62" s="19">
        <v>0.31</v>
      </c>
      <c r="DN62" s="21">
        <v>94</v>
      </c>
      <c r="DO62" s="23">
        <v>4.61</v>
      </c>
      <c r="DP62" s="21">
        <v>81</v>
      </c>
      <c r="DQ62" s="23">
        <v>0</v>
      </c>
      <c r="DR62" s="19">
        <v>0</v>
      </c>
      <c r="DS62" s="23">
        <v>8.68</v>
      </c>
      <c r="DT62" s="21">
        <v>89</v>
      </c>
      <c r="DU62" s="23" t="s">
        <v>151</v>
      </c>
      <c r="DV62" s="21" t="s">
        <v>151</v>
      </c>
      <c r="DW62" s="23">
        <v>8.68</v>
      </c>
      <c r="DX62" s="21">
        <v>88</v>
      </c>
      <c r="DY62" s="18" t="s">
        <v>151</v>
      </c>
      <c r="DZ62" s="22" t="s">
        <v>151</v>
      </c>
      <c r="EA62" s="22" t="s">
        <v>151</v>
      </c>
      <c r="EB62" s="21" t="s">
        <v>151</v>
      </c>
      <c r="EC62" s="20" t="s">
        <v>151</v>
      </c>
      <c r="ED62" s="19" t="s">
        <v>151</v>
      </c>
      <c r="EE62" s="21">
        <v>165</v>
      </c>
      <c r="EF62" s="20">
        <v>1</v>
      </c>
      <c r="EG62" s="19">
        <v>0.61</v>
      </c>
      <c r="EH62" s="16" t="s">
        <v>198</v>
      </c>
      <c r="EI62" s="17" t="s">
        <v>151</v>
      </c>
      <c r="EJ62" s="17" t="s">
        <v>151</v>
      </c>
      <c r="EK62" s="18">
        <v>2</v>
      </c>
      <c r="EL62" s="18">
        <v>4</v>
      </c>
      <c r="EM62" s="18" t="s">
        <v>151</v>
      </c>
      <c r="EN62" s="18" t="s">
        <v>151</v>
      </c>
      <c r="EO62" s="18" t="s">
        <v>151</v>
      </c>
      <c r="EP62" s="17" t="s">
        <v>1579</v>
      </c>
      <c r="EQ62" s="16" t="s">
        <v>151</v>
      </c>
      <c r="ER62" s="16" t="s">
        <v>151</v>
      </c>
      <c r="ES62" s="3">
        <f>HYPERLINK("https://my.pitchbook.com?c=264643-93","View Company Online")</f>
      </c>
    </row>
    <row r="63">
      <c r="A63" s="30" t="s">
        <v>1580</v>
      </c>
      <c r="B63" s="30" t="s">
        <v>1581</v>
      </c>
      <c r="C63" s="31">
        <v>4</v>
      </c>
      <c r="D63" s="30" t="s">
        <v>151</v>
      </c>
      <c r="E63" s="30" t="s">
        <v>151</v>
      </c>
      <c r="F63" s="30" t="s">
        <v>1582</v>
      </c>
      <c r="G63" s="30" t="s">
        <v>151</v>
      </c>
      <c r="H63" s="30" t="s">
        <v>151</v>
      </c>
      <c r="I63" s="30" t="s">
        <v>151</v>
      </c>
      <c r="J63" s="30" t="s">
        <v>1580</v>
      </c>
      <c r="K63" s="30" t="s">
        <v>1583</v>
      </c>
      <c r="L63" s="30" t="s">
        <v>205</v>
      </c>
      <c r="M63" s="30" t="s">
        <v>206</v>
      </c>
      <c r="N63" s="30" t="s">
        <v>917</v>
      </c>
      <c r="O63" s="30" t="s">
        <v>1584</v>
      </c>
      <c r="P63" s="30" t="s">
        <v>1346</v>
      </c>
      <c r="Q63" s="30" t="s">
        <v>1585</v>
      </c>
      <c r="R63" s="30" t="s">
        <v>151</v>
      </c>
      <c r="S63" s="30" t="s">
        <v>162</v>
      </c>
      <c r="T63" s="37">
        <v>3.5</v>
      </c>
      <c r="U63" s="30" t="s">
        <v>163</v>
      </c>
      <c r="V63" s="30" t="s">
        <v>164</v>
      </c>
      <c r="W63" s="30" t="s">
        <v>165</v>
      </c>
      <c r="X63" s="28" t="s">
        <v>1586</v>
      </c>
      <c r="Y63" s="28" t="s">
        <v>1587</v>
      </c>
      <c r="Z63" s="40" t="s">
        <v>151</v>
      </c>
      <c r="AA63" s="30" t="s">
        <v>151</v>
      </c>
      <c r="AB63" s="30" t="s">
        <v>151</v>
      </c>
      <c r="AC63" s="30" t="s">
        <v>151</v>
      </c>
      <c r="AD63" s="39">
        <v>2020</v>
      </c>
      <c r="AE63" s="30" t="s">
        <v>151</v>
      </c>
      <c r="AF63" s="35">
        <v>45509</v>
      </c>
      <c r="AG63" s="30" t="s">
        <v>151</v>
      </c>
      <c r="AH63" s="30" t="s">
        <v>151</v>
      </c>
      <c r="AI63" s="38" t="s">
        <v>151</v>
      </c>
      <c r="AJ63" s="32" t="s">
        <v>151</v>
      </c>
      <c r="AK63" s="38" t="s">
        <v>151</v>
      </c>
      <c r="AL63" s="38" t="s">
        <v>151</v>
      </c>
      <c r="AM63" s="38" t="s">
        <v>151</v>
      </c>
      <c r="AN63" s="38" t="s">
        <v>151</v>
      </c>
      <c r="AO63" s="38" t="s">
        <v>151</v>
      </c>
      <c r="AP63" s="38" t="s">
        <v>151</v>
      </c>
      <c r="AQ63" s="38" t="s">
        <v>151</v>
      </c>
      <c r="AR63" s="29" t="s">
        <v>151</v>
      </c>
      <c r="AS63" s="30" t="s">
        <v>1588</v>
      </c>
      <c r="AT63" s="30" t="s">
        <v>1589</v>
      </c>
      <c r="AU63" s="31">
        <v>1</v>
      </c>
      <c r="AV63" s="30" t="s">
        <v>151</v>
      </c>
      <c r="AW63" s="30" t="s">
        <v>151</v>
      </c>
      <c r="AX63" s="30" t="s">
        <v>151</v>
      </c>
      <c r="AY63" s="30" t="s">
        <v>1590</v>
      </c>
      <c r="AZ63" s="30" t="s">
        <v>151</v>
      </c>
      <c r="BA63" s="30" t="s">
        <v>151</v>
      </c>
      <c r="BB63" s="30" t="s">
        <v>151</v>
      </c>
      <c r="BC63" s="30" t="s">
        <v>151</v>
      </c>
      <c r="BD63" s="30" t="s">
        <v>1591</v>
      </c>
      <c r="BE63" s="30" t="s">
        <v>1592</v>
      </c>
      <c r="BF63" s="30" t="s">
        <v>1118</v>
      </c>
      <c r="BG63" s="30" t="s">
        <v>1593</v>
      </c>
      <c r="BH63" s="30" t="s">
        <v>1594</v>
      </c>
      <c r="BI63" s="30" t="s">
        <v>1595</v>
      </c>
      <c r="BJ63" s="30" t="s">
        <v>1596</v>
      </c>
      <c r="BK63" s="30" t="s">
        <v>1597</v>
      </c>
      <c r="BL63" s="30" t="s">
        <v>1598</v>
      </c>
      <c r="BM63" s="30" t="s">
        <v>184</v>
      </c>
      <c r="BN63" s="29" t="s">
        <v>1599</v>
      </c>
      <c r="BO63" s="30" t="s">
        <v>186</v>
      </c>
      <c r="BP63" s="29" t="s">
        <v>151</v>
      </c>
      <c r="BQ63" s="29" t="s">
        <v>151</v>
      </c>
      <c r="BR63" s="30" t="s">
        <v>1600</v>
      </c>
      <c r="BS63" s="30" t="s">
        <v>187</v>
      </c>
      <c r="BT63" s="30" t="s">
        <v>188</v>
      </c>
      <c r="BU63" s="35">
        <v>44682</v>
      </c>
      <c r="BV63" s="37">
        <v>1</v>
      </c>
      <c r="BW63" s="30" t="s">
        <v>192</v>
      </c>
      <c r="BX63" s="37" t="s">
        <v>151</v>
      </c>
      <c r="BY63" s="30" t="s">
        <v>151</v>
      </c>
      <c r="BZ63" s="30" t="s">
        <v>1075</v>
      </c>
      <c r="CA63" s="30" t="s">
        <v>1075</v>
      </c>
      <c r="CB63" s="30" t="s">
        <v>151</v>
      </c>
      <c r="CC63" s="30" t="s">
        <v>585</v>
      </c>
      <c r="CD63" s="30" t="s">
        <v>151</v>
      </c>
      <c r="CE63" s="30" t="s">
        <v>191</v>
      </c>
      <c r="CF63" s="35">
        <v>45292</v>
      </c>
      <c r="CG63" s="37">
        <v>2.5</v>
      </c>
      <c r="CH63" s="30" t="s">
        <v>192</v>
      </c>
      <c r="CI63" s="37">
        <v>9</v>
      </c>
      <c r="CJ63" s="30" t="s">
        <v>192</v>
      </c>
      <c r="CK63" s="29" t="s">
        <v>151</v>
      </c>
      <c r="CL63" s="30" t="s">
        <v>293</v>
      </c>
      <c r="CM63" s="30" t="s">
        <v>293</v>
      </c>
      <c r="CN63" s="30" t="s">
        <v>151</v>
      </c>
      <c r="CO63" s="30" t="s">
        <v>165</v>
      </c>
      <c r="CP63" s="35">
        <v>45292</v>
      </c>
      <c r="CQ63" s="37" t="s">
        <v>151</v>
      </c>
      <c r="CR63" s="30" t="s">
        <v>151</v>
      </c>
      <c r="CS63" s="30" t="s">
        <v>191</v>
      </c>
      <c r="CT63" s="29">
        <v>23</v>
      </c>
      <c r="CU63" s="30" t="s">
        <v>263</v>
      </c>
      <c r="CV63" s="32">
        <v>24</v>
      </c>
      <c r="CW63" s="32">
        <v>76</v>
      </c>
      <c r="CX63" s="30" t="s">
        <v>263</v>
      </c>
      <c r="CY63" s="32">
        <v>1</v>
      </c>
      <c r="CZ63" s="32">
        <v>23</v>
      </c>
      <c r="DA63" s="37">
        <v>9</v>
      </c>
      <c r="DB63" s="35">
        <v>45292</v>
      </c>
      <c r="DC63" s="30" t="s">
        <v>293</v>
      </c>
      <c r="DD63" s="29" t="s">
        <v>151</v>
      </c>
      <c r="DE63" s="32">
        <v>1.48</v>
      </c>
      <c r="DF63" s="34">
        <v>97</v>
      </c>
      <c r="DG63" s="32">
        <v>0</v>
      </c>
      <c r="DH63" s="32">
        <v>0</v>
      </c>
      <c r="DI63" s="32">
        <v>1.48</v>
      </c>
      <c r="DJ63" s="34">
        <v>97</v>
      </c>
      <c r="DK63" s="32" t="s">
        <v>151</v>
      </c>
      <c r="DL63" s="34" t="s">
        <v>151</v>
      </c>
      <c r="DM63" s="32">
        <v>1.48</v>
      </c>
      <c r="DN63" s="34">
        <v>98</v>
      </c>
      <c r="DO63" s="36">
        <v>10.95</v>
      </c>
      <c r="DP63" s="34">
        <v>91</v>
      </c>
      <c r="DQ63" s="36">
        <v>0</v>
      </c>
      <c r="DR63" s="32">
        <v>0</v>
      </c>
      <c r="DS63" s="36">
        <v>10.95</v>
      </c>
      <c r="DT63" s="34">
        <v>91</v>
      </c>
      <c r="DU63" s="36" t="s">
        <v>151</v>
      </c>
      <c r="DV63" s="34" t="s">
        <v>151</v>
      </c>
      <c r="DW63" s="36">
        <v>10.95</v>
      </c>
      <c r="DX63" s="34">
        <v>91</v>
      </c>
      <c r="DY63" s="31" t="s">
        <v>151</v>
      </c>
      <c r="DZ63" s="35" t="s">
        <v>151</v>
      </c>
      <c r="EA63" s="35" t="s">
        <v>151</v>
      </c>
      <c r="EB63" s="34">
        <v>12002</v>
      </c>
      <c r="EC63" s="33">
        <v>241</v>
      </c>
      <c r="ED63" s="32">
        <v>2.05</v>
      </c>
      <c r="EE63" s="34">
        <v>208</v>
      </c>
      <c r="EF63" s="33">
        <v>2</v>
      </c>
      <c r="EG63" s="32">
        <v>0.97</v>
      </c>
      <c r="EH63" s="29" t="s">
        <v>198</v>
      </c>
      <c r="EI63" s="30" t="s">
        <v>151</v>
      </c>
      <c r="EJ63" s="30" t="s">
        <v>151</v>
      </c>
      <c r="EK63" s="31">
        <v>2</v>
      </c>
      <c r="EL63" s="31">
        <v>2</v>
      </c>
      <c r="EM63" s="31">
        <v>2</v>
      </c>
      <c r="EN63" s="31" t="s">
        <v>151</v>
      </c>
      <c r="EO63" s="31" t="s">
        <v>151</v>
      </c>
      <c r="EP63" s="30" t="s">
        <v>940</v>
      </c>
      <c r="EQ63" s="29" t="s">
        <v>151</v>
      </c>
      <c r="ER63" s="29" t="s">
        <v>151</v>
      </c>
      <c r="ES63" s="4">
        <f>HYPERLINK("https://my.pitchbook.com?c=483639-94","View Company Online")</f>
      </c>
    </row>
    <row r="64">
      <c r="A64" s="17" t="s">
        <v>1601</v>
      </c>
      <c r="B64" s="17" t="s">
        <v>1602</v>
      </c>
      <c r="C64" s="18">
        <v>4</v>
      </c>
      <c r="D64" s="17" t="s">
        <v>1603</v>
      </c>
      <c r="E64" s="17" t="s">
        <v>151</v>
      </c>
      <c r="F64" s="17" t="s">
        <v>1604</v>
      </c>
      <c r="G64" s="17" t="s">
        <v>151</v>
      </c>
      <c r="H64" s="17" t="s">
        <v>151</v>
      </c>
      <c r="I64" s="17" t="s">
        <v>1605</v>
      </c>
      <c r="J64" s="17" t="s">
        <v>1601</v>
      </c>
      <c r="K64" s="17" t="s">
        <v>1606</v>
      </c>
      <c r="L64" s="17" t="s">
        <v>205</v>
      </c>
      <c r="M64" s="17" t="s">
        <v>206</v>
      </c>
      <c r="N64" s="17" t="s">
        <v>1082</v>
      </c>
      <c r="O64" s="17" t="s">
        <v>1607</v>
      </c>
      <c r="P64" s="17" t="s">
        <v>1608</v>
      </c>
      <c r="Q64" s="17" t="s">
        <v>1609</v>
      </c>
      <c r="R64" s="17" t="s">
        <v>151</v>
      </c>
      <c r="S64" s="17" t="s">
        <v>162</v>
      </c>
      <c r="T64" s="24">
        <v>3.6</v>
      </c>
      <c r="U64" s="17" t="s">
        <v>163</v>
      </c>
      <c r="V64" s="17" t="s">
        <v>164</v>
      </c>
      <c r="W64" s="17" t="s">
        <v>165</v>
      </c>
      <c r="X64" s="15" t="s">
        <v>1610</v>
      </c>
      <c r="Y64" s="15" t="s">
        <v>1611</v>
      </c>
      <c r="Z64" s="27">
        <v>17</v>
      </c>
      <c r="AA64" s="17" t="s">
        <v>1612</v>
      </c>
      <c r="AB64" s="17" t="s">
        <v>151</v>
      </c>
      <c r="AC64" s="17" t="s">
        <v>151</v>
      </c>
      <c r="AD64" s="26">
        <v>2018</v>
      </c>
      <c r="AE64" s="17" t="s">
        <v>151</v>
      </c>
      <c r="AF64" s="22">
        <v>45594</v>
      </c>
      <c r="AG64" s="17" t="s">
        <v>151</v>
      </c>
      <c r="AH64" s="17" t="s">
        <v>151</v>
      </c>
      <c r="AI64" s="25" t="s">
        <v>151</v>
      </c>
      <c r="AJ64" s="19" t="s">
        <v>151</v>
      </c>
      <c r="AK64" s="25" t="s">
        <v>151</v>
      </c>
      <c r="AL64" s="25" t="s">
        <v>151</v>
      </c>
      <c r="AM64" s="25" t="s">
        <v>151</v>
      </c>
      <c r="AN64" s="25" t="s">
        <v>151</v>
      </c>
      <c r="AO64" s="25" t="s">
        <v>151</v>
      </c>
      <c r="AP64" s="25" t="s">
        <v>151</v>
      </c>
      <c r="AQ64" s="25" t="s">
        <v>151</v>
      </c>
      <c r="AR64" s="16" t="s">
        <v>810</v>
      </c>
      <c r="AS64" s="17" t="s">
        <v>1613</v>
      </c>
      <c r="AT64" s="17" t="s">
        <v>1614</v>
      </c>
      <c r="AU64" s="18">
        <v>7</v>
      </c>
      <c r="AV64" s="17" t="s">
        <v>151</v>
      </c>
      <c r="AW64" s="17" t="s">
        <v>151</v>
      </c>
      <c r="AX64" s="17" t="s">
        <v>151</v>
      </c>
      <c r="AY64" s="17" t="s">
        <v>151</v>
      </c>
      <c r="AZ64" s="17" t="s">
        <v>151</v>
      </c>
      <c r="BA64" s="17" t="s">
        <v>151</v>
      </c>
      <c r="BB64" s="17" t="s">
        <v>151</v>
      </c>
      <c r="BC64" s="17" t="s">
        <v>151</v>
      </c>
      <c r="BD64" s="17" t="s">
        <v>1615</v>
      </c>
      <c r="BE64" s="17" t="s">
        <v>1616</v>
      </c>
      <c r="BF64" s="17" t="s">
        <v>546</v>
      </c>
      <c r="BG64" s="17" t="s">
        <v>1617</v>
      </c>
      <c r="BH64" s="17" t="s">
        <v>1618</v>
      </c>
      <c r="BI64" s="17" t="s">
        <v>1409</v>
      </c>
      <c r="BJ64" s="17" t="s">
        <v>1619</v>
      </c>
      <c r="BK64" s="17" t="s">
        <v>1620</v>
      </c>
      <c r="BL64" s="17" t="s">
        <v>1412</v>
      </c>
      <c r="BM64" s="17" t="s">
        <v>823</v>
      </c>
      <c r="BN64" s="16" t="s">
        <v>1621</v>
      </c>
      <c r="BO64" s="17" t="s">
        <v>186</v>
      </c>
      <c r="BP64" s="16" t="s">
        <v>1618</v>
      </c>
      <c r="BQ64" s="16" t="s">
        <v>151</v>
      </c>
      <c r="BR64" s="17" t="s">
        <v>1622</v>
      </c>
      <c r="BS64" s="17" t="s">
        <v>187</v>
      </c>
      <c r="BT64" s="17" t="s">
        <v>188</v>
      </c>
      <c r="BU64" s="22">
        <v>43800</v>
      </c>
      <c r="BV64" s="24">
        <v>0.8</v>
      </c>
      <c r="BW64" s="17" t="s">
        <v>192</v>
      </c>
      <c r="BX64" s="24">
        <v>5</v>
      </c>
      <c r="BY64" s="17" t="s">
        <v>192</v>
      </c>
      <c r="BZ64" s="17" t="s">
        <v>1075</v>
      </c>
      <c r="CA64" s="17" t="s">
        <v>1075</v>
      </c>
      <c r="CB64" s="17" t="s">
        <v>151</v>
      </c>
      <c r="CC64" s="17" t="s">
        <v>585</v>
      </c>
      <c r="CD64" s="17" t="s">
        <v>151</v>
      </c>
      <c r="CE64" s="17" t="s">
        <v>191</v>
      </c>
      <c r="CF64" s="22">
        <v>45536</v>
      </c>
      <c r="CG64" s="24">
        <v>1.5</v>
      </c>
      <c r="CH64" s="17" t="s">
        <v>192</v>
      </c>
      <c r="CI64" s="24">
        <v>11.5</v>
      </c>
      <c r="CJ64" s="17" t="s">
        <v>192</v>
      </c>
      <c r="CK64" s="16" t="s">
        <v>151</v>
      </c>
      <c r="CL64" s="17" t="s">
        <v>194</v>
      </c>
      <c r="CM64" s="17" t="s">
        <v>472</v>
      </c>
      <c r="CN64" s="17" t="s">
        <v>151</v>
      </c>
      <c r="CO64" s="17" t="s">
        <v>165</v>
      </c>
      <c r="CP64" s="22">
        <v>45536</v>
      </c>
      <c r="CQ64" s="24" t="s">
        <v>151</v>
      </c>
      <c r="CR64" s="17" t="s">
        <v>151</v>
      </c>
      <c r="CS64" s="17" t="s">
        <v>859</v>
      </c>
      <c r="CT64" s="16">
        <v>11</v>
      </c>
      <c r="CU64" s="17" t="s">
        <v>263</v>
      </c>
      <c r="CV64" s="19">
        <v>11</v>
      </c>
      <c r="CW64" s="19">
        <v>89</v>
      </c>
      <c r="CX64" s="17" t="s">
        <v>263</v>
      </c>
      <c r="CY64" s="19">
        <v>1</v>
      </c>
      <c r="CZ64" s="19">
        <v>10</v>
      </c>
      <c r="DA64" s="24">
        <v>11.5</v>
      </c>
      <c r="DB64" s="22">
        <v>45536</v>
      </c>
      <c r="DC64" s="17" t="s">
        <v>194</v>
      </c>
      <c r="DD64" s="16" t="s">
        <v>151</v>
      </c>
      <c r="DE64" s="19">
        <v>0</v>
      </c>
      <c r="DF64" s="21">
        <v>11</v>
      </c>
      <c r="DG64" s="19">
        <v>0</v>
      </c>
      <c r="DH64" s="19">
        <v>0</v>
      </c>
      <c r="DI64" s="19">
        <v>0</v>
      </c>
      <c r="DJ64" s="21">
        <v>10</v>
      </c>
      <c r="DK64" s="19" t="s">
        <v>151</v>
      </c>
      <c r="DL64" s="21" t="s">
        <v>151</v>
      </c>
      <c r="DM64" s="19">
        <v>0</v>
      </c>
      <c r="DN64" s="21">
        <v>10</v>
      </c>
      <c r="DO64" s="23">
        <v>0.94</v>
      </c>
      <c r="DP64" s="21">
        <v>48</v>
      </c>
      <c r="DQ64" s="23">
        <v>0</v>
      </c>
      <c r="DR64" s="19">
        <v>0</v>
      </c>
      <c r="DS64" s="23">
        <v>0.58</v>
      </c>
      <c r="DT64" s="21">
        <v>36</v>
      </c>
      <c r="DU64" s="23" t="s">
        <v>151</v>
      </c>
      <c r="DV64" s="21" t="s">
        <v>151</v>
      </c>
      <c r="DW64" s="23">
        <v>0.58</v>
      </c>
      <c r="DX64" s="21">
        <v>36</v>
      </c>
      <c r="DY64" s="18">
        <v>2</v>
      </c>
      <c r="DZ64" s="22">
        <v>45439</v>
      </c>
      <c r="EA64" s="22" t="s">
        <v>1623</v>
      </c>
      <c r="EB64" s="21">
        <v>472</v>
      </c>
      <c r="EC64" s="20">
        <v>-23</v>
      </c>
      <c r="ED64" s="19">
        <v>-4.65</v>
      </c>
      <c r="EE64" s="21">
        <v>11</v>
      </c>
      <c r="EF64" s="20">
        <v>0</v>
      </c>
      <c r="EG64" s="19">
        <v>0</v>
      </c>
      <c r="EH64" s="16" t="s">
        <v>198</v>
      </c>
      <c r="EI64" s="17" t="s">
        <v>151</v>
      </c>
      <c r="EJ64" s="17" t="s">
        <v>151</v>
      </c>
      <c r="EK64" s="18">
        <v>1</v>
      </c>
      <c r="EL64" s="18">
        <v>4</v>
      </c>
      <c r="EM64" s="18" t="s">
        <v>151</v>
      </c>
      <c r="EN64" s="18" t="s">
        <v>151</v>
      </c>
      <c r="EO64" s="18" t="s">
        <v>151</v>
      </c>
      <c r="EP64" s="17" t="s">
        <v>233</v>
      </c>
      <c r="EQ64" s="16" t="s">
        <v>151</v>
      </c>
      <c r="ER64" s="16" t="s">
        <v>151</v>
      </c>
      <c r="ES64" s="3">
        <f>HYPERLINK("https://my.pitchbook.com?c=519206-50","View Company Online")</f>
      </c>
    </row>
    <row r="65">
      <c r="A65" s="30" t="s">
        <v>1624</v>
      </c>
      <c r="B65" s="30" t="s">
        <v>1625</v>
      </c>
      <c r="C65" s="31">
        <v>4</v>
      </c>
      <c r="D65" s="30" t="s">
        <v>151</v>
      </c>
      <c r="E65" s="30" t="s">
        <v>151</v>
      </c>
      <c r="F65" s="30" t="s">
        <v>1626</v>
      </c>
      <c r="G65" s="30" t="s">
        <v>151</v>
      </c>
      <c r="H65" s="30" t="s">
        <v>151</v>
      </c>
      <c r="I65" s="30" t="s">
        <v>1627</v>
      </c>
      <c r="J65" s="30" t="s">
        <v>1624</v>
      </c>
      <c r="K65" s="30" t="s">
        <v>1628</v>
      </c>
      <c r="L65" s="30" t="s">
        <v>205</v>
      </c>
      <c r="M65" s="30" t="s">
        <v>206</v>
      </c>
      <c r="N65" s="30" t="s">
        <v>269</v>
      </c>
      <c r="O65" s="30" t="s">
        <v>563</v>
      </c>
      <c r="P65" s="30" t="s">
        <v>304</v>
      </c>
      <c r="Q65" s="30" t="s">
        <v>1629</v>
      </c>
      <c r="R65" s="30" t="s">
        <v>780</v>
      </c>
      <c r="S65" s="30" t="s">
        <v>162</v>
      </c>
      <c r="T65" s="37">
        <v>11.7</v>
      </c>
      <c r="U65" s="30" t="s">
        <v>163</v>
      </c>
      <c r="V65" s="30" t="s">
        <v>164</v>
      </c>
      <c r="W65" s="30" t="s">
        <v>165</v>
      </c>
      <c r="X65" s="28" t="s">
        <v>1630</v>
      </c>
      <c r="Y65" s="28" t="s">
        <v>1631</v>
      </c>
      <c r="Z65" s="40">
        <v>31</v>
      </c>
      <c r="AA65" s="30" t="s">
        <v>1632</v>
      </c>
      <c r="AB65" s="30" t="s">
        <v>151</v>
      </c>
      <c r="AC65" s="30" t="s">
        <v>151</v>
      </c>
      <c r="AD65" s="39">
        <v>2021</v>
      </c>
      <c r="AE65" s="30" t="s">
        <v>151</v>
      </c>
      <c r="AF65" s="35">
        <v>45586</v>
      </c>
      <c r="AG65" s="30" t="s">
        <v>151</v>
      </c>
      <c r="AH65" s="30" t="s">
        <v>151</v>
      </c>
      <c r="AI65" s="38" t="s">
        <v>151</v>
      </c>
      <c r="AJ65" s="32" t="s">
        <v>151</v>
      </c>
      <c r="AK65" s="38" t="s">
        <v>151</v>
      </c>
      <c r="AL65" s="38" t="s">
        <v>151</v>
      </c>
      <c r="AM65" s="38" t="s">
        <v>151</v>
      </c>
      <c r="AN65" s="38" t="s">
        <v>151</v>
      </c>
      <c r="AO65" s="38" t="s">
        <v>151</v>
      </c>
      <c r="AP65" s="38" t="s">
        <v>151</v>
      </c>
      <c r="AQ65" s="38" t="s">
        <v>151</v>
      </c>
      <c r="AR65" s="29" t="s">
        <v>151</v>
      </c>
      <c r="AS65" s="30" t="s">
        <v>1633</v>
      </c>
      <c r="AT65" s="30" t="s">
        <v>1634</v>
      </c>
      <c r="AU65" s="31">
        <v>10</v>
      </c>
      <c r="AV65" s="30" t="s">
        <v>151</v>
      </c>
      <c r="AW65" s="30" t="s">
        <v>151</v>
      </c>
      <c r="AX65" s="30" t="s">
        <v>151</v>
      </c>
      <c r="AY65" s="30" t="s">
        <v>1635</v>
      </c>
      <c r="AZ65" s="30" t="s">
        <v>151</v>
      </c>
      <c r="BA65" s="30" t="s">
        <v>151</v>
      </c>
      <c r="BB65" s="30" t="s">
        <v>151</v>
      </c>
      <c r="BC65" s="30" t="s">
        <v>1636</v>
      </c>
      <c r="BD65" s="30" t="s">
        <v>1637</v>
      </c>
      <c r="BE65" s="30" t="s">
        <v>1638</v>
      </c>
      <c r="BF65" s="30" t="s">
        <v>493</v>
      </c>
      <c r="BG65" s="30" t="s">
        <v>1639</v>
      </c>
      <c r="BH65" s="30" t="s">
        <v>1640</v>
      </c>
      <c r="BI65" s="30" t="s">
        <v>906</v>
      </c>
      <c r="BJ65" s="30" t="s">
        <v>1641</v>
      </c>
      <c r="BK65" s="30" t="s">
        <v>1642</v>
      </c>
      <c r="BL65" s="30" t="s">
        <v>259</v>
      </c>
      <c r="BM65" s="30" t="s">
        <v>259</v>
      </c>
      <c r="BN65" s="29" t="s">
        <v>1643</v>
      </c>
      <c r="BO65" s="30" t="s">
        <v>186</v>
      </c>
      <c r="BP65" s="29" t="s">
        <v>1640</v>
      </c>
      <c r="BQ65" s="29" t="s">
        <v>151</v>
      </c>
      <c r="BR65" s="30" t="s">
        <v>1644</v>
      </c>
      <c r="BS65" s="30" t="s">
        <v>187</v>
      </c>
      <c r="BT65" s="30" t="s">
        <v>188</v>
      </c>
      <c r="BU65" s="35">
        <v>44652</v>
      </c>
      <c r="BV65" s="37">
        <v>1.5</v>
      </c>
      <c r="BW65" s="30" t="s">
        <v>193</v>
      </c>
      <c r="BX65" s="37">
        <v>5.5</v>
      </c>
      <c r="BY65" s="30" t="s">
        <v>192</v>
      </c>
      <c r="BZ65" s="30" t="s">
        <v>293</v>
      </c>
      <c r="CA65" s="30" t="s">
        <v>293</v>
      </c>
      <c r="CB65" s="30" t="s">
        <v>151</v>
      </c>
      <c r="CC65" s="30" t="s">
        <v>165</v>
      </c>
      <c r="CD65" s="30" t="s">
        <v>151</v>
      </c>
      <c r="CE65" s="30" t="s">
        <v>191</v>
      </c>
      <c r="CF65" s="35">
        <v>45512</v>
      </c>
      <c r="CG65" s="37">
        <v>2</v>
      </c>
      <c r="CH65" s="30" t="s">
        <v>192</v>
      </c>
      <c r="CI65" s="37" t="s">
        <v>151</v>
      </c>
      <c r="CJ65" s="30" t="s">
        <v>151</v>
      </c>
      <c r="CK65" s="29" t="s">
        <v>151</v>
      </c>
      <c r="CL65" s="30" t="s">
        <v>231</v>
      </c>
      <c r="CM65" s="30" t="s">
        <v>151</v>
      </c>
      <c r="CN65" s="30" t="s">
        <v>151</v>
      </c>
      <c r="CO65" s="30" t="s">
        <v>165</v>
      </c>
      <c r="CP65" s="35">
        <v>45512</v>
      </c>
      <c r="CQ65" s="37">
        <v>2</v>
      </c>
      <c r="CR65" s="30" t="s">
        <v>151</v>
      </c>
      <c r="CS65" s="30" t="s">
        <v>191</v>
      </c>
      <c r="CT65" s="29">
        <v>71</v>
      </c>
      <c r="CU65" s="30" t="s">
        <v>196</v>
      </c>
      <c r="CV65" s="32">
        <v>66</v>
      </c>
      <c r="CW65" s="32">
        <v>34</v>
      </c>
      <c r="CX65" s="30" t="s">
        <v>294</v>
      </c>
      <c r="CY65" s="32">
        <v>1</v>
      </c>
      <c r="CZ65" s="32">
        <v>65</v>
      </c>
      <c r="DA65" s="37">
        <v>30</v>
      </c>
      <c r="DB65" s="35">
        <v>45079</v>
      </c>
      <c r="DC65" s="30" t="s">
        <v>293</v>
      </c>
      <c r="DD65" s="29">
        <v>1.78</v>
      </c>
      <c r="DE65" s="32">
        <v>0.42</v>
      </c>
      <c r="DF65" s="34">
        <v>93</v>
      </c>
      <c r="DG65" s="32">
        <v>0</v>
      </c>
      <c r="DH65" s="32">
        <v>0</v>
      </c>
      <c r="DI65" s="32" t="s">
        <v>151</v>
      </c>
      <c r="DJ65" s="34" t="s">
        <v>151</v>
      </c>
      <c r="DK65" s="32" t="s">
        <v>151</v>
      </c>
      <c r="DL65" s="34" t="s">
        <v>151</v>
      </c>
      <c r="DM65" s="32" t="s">
        <v>151</v>
      </c>
      <c r="DN65" s="34" t="s">
        <v>151</v>
      </c>
      <c r="DO65" s="36">
        <v>2.38</v>
      </c>
      <c r="DP65" s="34">
        <v>70</v>
      </c>
      <c r="DQ65" s="36">
        <v>0</v>
      </c>
      <c r="DR65" s="32">
        <v>0</v>
      </c>
      <c r="DS65" s="36" t="s">
        <v>151</v>
      </c>
      <c r="DT65" s="34" t="s">
        <v>151</v>
      </c>
      <c r="DU65" s="36" t="s">
        <v>151</v>
      </c>
      <c r="DV65" s="34" t="s">
        <v>151</v>
      </c>
      <c r="DW65" s="36" t="s">
        <v>151</v>
      </c>
      <c r="DX65" s="34" t="s">
        <v>151</v>
      </c>
      <c r="DY65" s="31" t="s">
        <v>151</v>
      </c>
      <c r="DZ65" s="35" t="s">
        <v>151</v>
      </c>
      <c r="EA65" s="35" t="s">
        <v>151</v>
      </c>
      <c r="EB65" s="34">
        <v>3900</v>
      </c>
      <c r="EC65" s="33">
        <v>-157</v>
      </c>
      <c r="ED65" s="32">
        <v>-3.87</v>
      </c>
      <c r="EE65" s="34" t="s">
        <v>151</v>
      </c>
      <c r="EF65" s="33" t="s">
        <v>151</v>
      </c>
      <c r="EG65" s="32" t="s">
        <v>151</v>
      </c>
      <c r="EH65" s="29" t="s">
        <v>198</v>
      </c>
      <c r="EI65" s="30" t="s">
        <v>151</v>
      </c>
      <c r="EJ65" s="30" t="s">
        <v>151</v>
      </c>
      <c r="EK65" s="31">
        <v>1</v>
      </c>
      <c r="EL65" s="31">
        <v>4</v>
      </c>
      <c r="EM65" s="31" t="s">
        <v>151</v>
      </c>
      <c r="EN65" s="31" t="s">
        <v>151</v>
      </c>
      <c r="EO65" s="31" t="s">
        <v>151</v>
      </c>
      <c r="EP65" s="30" t="s">
        <v>295</v>
      </c>
      <c r="EQ65" s="29" t="s">
        <v>151</v>
      </c>
      <c r="ER65" s="29" t="s">
        <v>151</v>
      </c>
      <c r="ES65" s="4">
        <f>HYPERLINK("https://my.pitchbook.com?c=491754-16","View Company Online")</f>
      </c>
    </row>
    <row r="66">
      <c r="A66" s="17" t="s">
        <v>1645</v>
      </c>
      <c r="B66" s="17" t="s">
        <v>1646</v>
      </c>
      <c r="C66" s="18">
        <v>4</v>
      </c>
      <c r="D66" s="17" t="s">
        <v>1647</v>
      </c>
      <c r="E66" s="17" t="s">
        <v>1648</v>
      </c>
      <c r="F66" s="17" t="s">
        <v>1649</v>
      </c>
      <c r="G66" s="17" t="s">
        <v>151</v>
      </c>
      <c r="H66" s="17" t="s">
        <v>151</v>
      </c>
      <c r="I66" s="17" t="s">
        <v>151</v>
      </c>
      <c r="J66" s="17" t="s">
        <v>1645</v>
      </c>
      <c r="K66" s="17" t="s">
        <v>1650</v>
      </c>
      <c r="L66" s="17" t="s">
        <v>205</v>
      </c>
      <c r="M66" s="17" t="s">
        <v>206</v>
      </c>
      <c r="N66" s="17" t="s">
        <v>269</v>
      </c>
      <c r="O66" s="17" t="s">
        <v>1651</v>
      </c>
      <c r="P66" s="17" t="s">
        <v>1652</v>
      </c>
      <c r="Q66" s="17" t="s">
        <v>1653</v>
      </c>
      <c r="R66" s="17" t="s">
        <v>151</v>
      </c>
      <c r="S66" s="17" t="s">
        <v>162</v>
      </c>
      <c r="T66" s="24">
        <v>0.99</v>
      </c>
      <c r="U66" s="17" t="s">
        <v>163</v>
      </c>
      <c r="V66" s="17" t="s">
        <v>164</v>
      </c>
      <c r="W66" s="17" t="s">
        <v>165</v>
      </c>
      <c r="X66" s="15" t="s">
        <v>1654</v>
      </c>
      <c r="Y66" s="15" t="s">
        <v>1655</v>
      </c>
      <c r="Z66" s="27">
        <v>5</v>
      </c>
      <c r="AA66" s="17" t="s">
        <v>1656</v>
      </c>
      <c r="AB66" s="17" t="s">
        <v>151</v>
      </c>
      <c r="AC66" s="17" t="s">
        <v>151</v>
      </c>
      <c r="AD66" s="26">
        <v>2016</v>
      </c>
      <c r="AE66" s="17" t="s">
        <v>151</v>
      </c>
      <c r="AF66" s="22">
        <v>45464</v>
      </c>
      <c r="AG66" s="17" t="s">
        <v>151</v>
      </c>
      <c r="AH66" s="17" t="s">
        <v>151</v>
      </c>
      <c r="AI66" s="25" t="s">
        <v>151</v>
      </c>
      <c r="AJ66" s="19" t="s">
        <v>151</v>
      </c>
      <c r="AK66" s="25" t="s">
        <v>151</v>
      </c>
      <c r="AL66" s="25" t="s">
        <v>151</v>
      </c>
      <c r="AM66" s="25" t="s">
        <v>151</v>
      </c>
      <c r="AN66" s="25" t="s">
        <v>151</v>
      </c>
      <c r="AO66" s="25" t="s">
        <v>151</v>
      </c>
      <c r="AP66" s="25" t="s">
        <v>151</v>
      </c>
      <c r="AQ66" s="25" t="s">
        <v>151</v>
      </c>
      <c r="AR66" s="16" t="s">
        <v>151</v>
      </c>
      <c r="AS66" s="17" t="s">
        <v>1657</v>
      </c>
      <c r="AT66" s="17" t="s">
        <v>1658</v>
      </c>
      <c r="AU66" s="18">
        <v>4</v>
      </c>
      <c r="AV66" s="17" t="s">
        <v>151</v>
      </c>
      <c r="AW66" s="17" t="s">
        <v>151</v>
      </c>
      <c r="AX66" s="17" t="s">
        <v>151</v>
      </c>
      <c r="AY66" s="17" t="s">
        <v>1659</v>
      </c>
      <c r="AZ66" s="17" t="s">
        <v>151</v>
      </c>
      <c r="BA66" s="17" t="s">
        <v>151</v>
      </c>
      <c r="BB66" s="17" t="s">
        <v>151</v>
      </c>
      <c r="BC66" s="17" t="s">
        <v>1660</v>
      </c>
      <c r="BD66" s="17" t="s">
        <v>1661</v>
      </c>
      <c r="BE66" s="17" t="s">
        <v>1662</v>
      </c>
      <c r="BF66" s="17" t="s">
        <v>1663</v>
      </c>
      <c r="BG66" s="17" t="s">
        <v>1664</v>
      </c>
      <c r="BH66" s="17" t="s">
        <v>1665</v>
      </c>
      <c r="BI66" s="17" t="s">
        <v>1666</v>
      </c>
      <c r="BJ66" s="17" t="s">
        <v>1667</v>
      </c>
      <c r="BK66" s="17" t="s">
        <v>151</v>
      </c>
      <c r="BL66" s="17" t="s">
        <v>1668</v>
      </c>
      <c r="BM66" s="17" t="s">
        <v>184</v>
      </c>
      <c r="BN66" s="16" t="s">
        <v>1669</v>
      </c>
      <c r="BO66" s="17" t="s">
        <v>186</v>
      </c>
      <c r="BP66" s="16" t="s">
        <v>151</v>
      </c>
      <c r="BQ66" s="16" t="s">
        <v>151</v>
      </c>
      <c r="BR66" s="17" t="s">
        <v>1670</v>
      </c>
      <c r="BS66" s="17" t="s">
        <v>187</v>
      </c>
      <c r="BT66" s="17" t="s">
        <v>188</v>
      </c>
      <c r="BU66" s="22">
        <v>44562</v>
      </c>
      <c r="BV66" s="24">
        <v>0.23</v>
      </c>
      <c r="BW66" s="17" t="s">
        <v>192</v>
      </c>
      <c r="BX66" s="24" t="s">
        <v>151</v>
      </c>
      <c r="BY66" s="17" t="s">
        <v>151</v>
      </c>
      <c r="BZ66" s="17" t="s">
        <v>1075</v>
      </c>
      <c r="CA66" s="17" t="s">
        <v>1075</v>
      </c>
      <c r="CB66" s="17" t="s">
        <v>151</v>
      </c>
      <c r="CC66" s="17" t="s">
        <v>585</v>
      </c>
      <c r="CD66" s="17" t="s">
        <v>151</v>
      </c>
      <c r="CE66" s="17" t="s">
        <v>191</v>
      </c>
      <c r="CF66" s="22">
        <v>44747</v>
      </c>
      <c r="CG66" s="24">
        <v>0.76</v>
      </c>
      <c r="CH66" s="17" t="s">
        <v>192</v>
      </c>
      <c r="CI66" s="24">
        <v>10.76</v>
      </c>
      <c r="CJ66" s="17" t="s">
        <v>192</v>
      </c>
      <c r="CK66" s="16" t="s">
        <v>151</v>
      </c>
      <c r="CL66" s="17" t="s">
        <v>293</v>
      </c>
      <c r="CM66" s="17" t="s">
        <v>293</v>
      </c>
      <c r="CN66" s="17" t="s">
        <v>151</v>
      </c>
      <c r="CO66" s="17" t="s">
        <v>165</v>
      </c>
      <c r="CP66" s="22">
        <v>44747</v>
      </c>
      <c r="CQ66" s="24" t="s">
        <v>151</v>
      </c>
      <c r="CR66" s="17" t="s">
        <v>151</v>
      </c>
      <c r="CS66" s="17" t="s">
        <v>191</v>
      </c>
      <c r="CT66" s="16">
        <v>7</v>
      </c>
      <c r="CU66" s="17" t="s">
        <v>263</v>
      </c>
      <c r="CV66" s="19">
        <v>7</v>
      </c>
      <c r="CW66" s="19">
        <v>93</v>
      </c>
      <c r="CX66" s="17" t="s">
        <v>263</v>
      </c>
      <c r="CY66" s="19">
        <v>1</v>
      </c>
      <c r="CZ66" s="19">
        <v>6</v>
      </c>
      <c r="DA66" s="24">
        <v>10.76</v>
      </c>
      <c r="DB66" s="22">
        <v>44747</v>
      </c>
      <c r="DC66" s="17" t="s">
        <v>293</v>
      </c>
      <c r="DD66" s="16" t="s">
        <v>151</v>
      </c>
      <c r="DE66" s="19">
        <v>0</v>
      </c>
      <c r="DF66" s="21">
        <v>11</v>
      </c>
      <c r="DG66" s="19">
        <v>0</v>
      </c>
      <c r="DH66" s="19">
        <v>0</v>
      </c>
      <c r="DI66" s="19">
        <v>0</v>
      </c>
      <c r="DJ66" s="21">
        <v>10</v>
      </c>
      <c r="DK66" s="19" t="s">
        <v>151</v>
      </c>
      <c r="DL66" s="21" t="s">
        <v>151</v>
      </c>
      <c r="DM66" s="19">
        <v>0</v>
      </c>
      <c r="DN66" s="21">
        <v>10</v>
      </c>
      <c r="DO66" s="23">
        <v>1.27</v>
      </c>
      <c r="DP66" s="21">
        <v>56</v>
      </c>
      <c r="DQ66" s="23">
        <v>0</v>
      </c>
      <c r="DR66" s="19">
        <v>0</v>
      </c>
      <c r="DS66" s="23">
        <v>2.16</v>
      </c>
      <c r="DT66" s="21">
        <v>68</v>
      </c>
      <c r="DU66" s="23" t="s">
        <v>151</v>
      </c>
      <c r="DV66" s="21" t="s">
        <v>151</v>
      </c>
      <c r="DW66" s="23">
        <v>2.16</v>
      </c>
      <c r="DX66" s="21">
        <v>67</v>
      </c>
      <c r="DY66" s="18">
        <v>5</v>
      </c>
      <c r="DZ66" s="22">
        <v>45161</v>
      </c>
      <c r="EA66" s="22" t="s">
        <v>151</v>
      </c>
      <c r="EB66" s="21" t="s">
        <v>151</v>
      </c>
      <c r="EC66" s="20" t="s">
        <v>151</v>
      </c>
      <c r="ED66" s="19" t="s">
        <v>151</v>
      </c>
      <c r="EE66" s="21">
        <v>41</v>
      </c>
      <c r="EF66" s="20">
        <v>1</v>
      </c>
      <c r="EG66" s="19">
        <v>2.5</v>
      </c>
      <c r="EH66" s="16" t="s">
        <v>198</v>
      </c>
      <c r="EI66" s="17" t="s">
        <v>151</v>
      </c>
      <c r="EJ66" s="17" t="s">
        <v>151</v>
      </c>
      <c r="EK66" s="18">
        <v>3</v>
      </c>
      <c r="EL66" s="18">
        <v>2</v>
      </c>
      <c r="EM66" s="18" t="s">
        <v>151</v>
      </c>
      <c r="EN66" s="18" t="s">
        <v>151</v>
      </c>
      <c r="EO66" s="18">
        <v>2</v>
      </c>
      <c r="EP66" s="17" t="s">
        <v>741</v>
      </c>
      <c r="EQ66" s="16" t="s">
        <v>151</v>
      </c>
      <c r="ER66" s="16" t="s">
        <v>151</v>
      </c>
      <c r="ES66" s="3">
        <f>HYPERLINK("https://my.pitchbook.com?c=234370-00","View Company Online")</f>
      </c>
    </row>
    <row r="67">
      <c r="A67" s="30" t="s">
        <v>1671</v>
      </c>
      <c r="B67" s="30" t="s">
        <v>1672</v>
      </c>
      <c r="C67" s="31">
        <v>4</v>
      </c>
      <c r="D67" s="30" t="s">
        <v>151</v>
      </c>
      <c r="E67" s="30" t="s">
        <v>1673</v>
      </c>
      <c r="F67" s="30" t="s">
        <v>1674</v>
      </c>
      <c r="G67" s="30" t="s">
        <v>151</v>
      </c>
      <c r="H67" s="30" t="s">
        <v>151</v>
      </c>
      <c r="I67" s="30" t="s">
        <v>151</v>
      </c>
      <c r="J67" s="30" t="s">
        <v>1671</v>
      </c>
      <c r="K67" s="30" t="s">
        <v>1675</v>
      </c>
      <c r="L67" s="30" t="s">
        <v>616</v>
      </c>
      <c r="M67" s="30" t="s">
        <v>834</v>
      </c>
      <c r="N67" s="30" t="s">
        <v>835</v>
      </c>
      <c r="O67" s="30" t="s">
        <v>1676</v>
      </c>
      <c r="P67" s="30" t="s">
        <v>1677</v>
      </c>
      <c r="Q67" s="30" t="s">
        <v>1678</v>
      </c>
      <c r="R67" s="30" t="s">
        <v>211</v>
      </c>
      <c r="S67" s="30" t="s">
        <v>162</v>
      </c>
      <c r="T67" s="37">
        <v>13.64</v>
      </c>
      <c r="U67" s="30" t="s">
        <v>163</v>
      </c>
      <c r="V67" s="30" t="s">
        <v>164</v>
      </c>
      <c r="W67" s="30" t="s">
        <v>165</v>
      </c>
      <c r="X67" s="28" t="s">
        <v>1679</v>
      </c>
      <c r="Y67" s="28" t="s">
        <v>1680</v>
      </c>
      <c r="Z67" s="40">
        <v>16</v>
      </c>
      <c r="AA67" s="30" t="s">
        <v>1681</v>
      </c>
      <c r="AB67" s="30" t="s">
        <v>151</v>
      </c>
      <c r="AC67" s="30" t="s">
        <v>151</v>
      </c>
      <c r="AD67" s="39">
        <v>2018</v>
      </c>
      <c r="AE67" s="30" t="s">
        <v>151</v>
      </c>
      <c r="AF67" s="35">
        <v>45524</v>
      </c>
      <c r="AG67" s="30" t="s">
        <v>151</v>
      </c>
      <c r="AH67" s="30" t="s">
        <v>151</v>
      </c>
      <c r="AI67" s="38" t="s">
        <v>151</v>
      </c>
      <c r="AJ67" s="32" t="s">
        <v>151</v>
      </c>
      <c r="AK67" s="38" t="s">
        <v>151</v>
      </c>
      <c r="AL67" s="38" t="s">
        <v>151</v>
      </c>
      <c r="AM67" s="38" t="s">
        <v>151</v>
      </c>
      <c r="AN67" s="38" t="s">
        <v>151</v>
      </c>
      <c r="AO67" s="38" t="s">
        <v>151</v>
      </c>
      <c r="AP67" s="38" t="s">
        <v>151</v>
      </c>
      <c r="AQ67" s="38" t="s">
        <v>151</v>
      </c>
      <c r="AR67" s="29" t="s">
        <v>151</v>
      </c>
      <c r="AS67" s="30" t="s">
        <v>1682</v>
      </c>
      <c r="AT67" s="30" t="s">
        <v>1683</v>
      </c>
      <c r="AU67" s="31">
        <v>1</v>
      </c>
      <c r="AV67" s="30" t="s">
        <v>151</v>
      </c>
      <c r="AW67" s="30" t="s">
        <v>151</v>
      </c>
      <c r="AX67" s="30" t="s">
        <v>151</v>
      </c>
      <c r="AY67" s="30" t="s">
        <v>1684</v>
      </c>
      <c r="AZ67" s="30" t="s">
        <v>151</v>
      </c>
      <c r="BA67" s="30" t="s">
        <v>151</v>
      </c>
      <c r="BB67" s="30" t="s">
        <v>151</v>
      </c>
      <c r="BC67" s="30" t="s">
        <v>151</v>
      </c>
      <c r="BD67" s="30" t="s">
        <v>1685</v>
      </c>
      <c r="BE67" s="30" t="s">
        <v>1686</v>
      </c>
      <c r="BF67" s="30" t="s">
        <v>931</v>
      </c>
      <c r="BG67" s="30" t="s">
        <v>151</v>
      </c>
      <c r="BH67" s="30" t="s">
        <v>1687</v>
      </c>
      <c r="BI67" s="30" t="s">
        <v>934</v>
      </c>
      <c r="BJ67" s="30" t="s">
        <v>1688</v>
      </c>
      <c r="BK67" s="30" t="s">
        <v>1689</v>
      </c>
      <c r="BL67" s="30" t="s">
        <v>937</v>
      </c>
      <c r="BM67" s="30" t="s">
        <v>184</v>
      </c>
      <c r="BN67" s="29" t="s">
        <v>1690</v>
      </c>
      <c r="BO67" s="30" t="s">
        <v>186</v>
      </c>
      <c r="BP67" s="29" t="s">
        <v>1687</v>
      </c>
      <c r="BQ67" s="29" t="s">
        <v>151</v>
      </c>
      <c r="BR67" s="30" t="s">
        <v>1691</v>
      </c>
      <c r="BS67" s="30" t="s">
        <v>187</v>
      </c>
      <c r="BT67" s="30" t="s">
        <v>188</v>
      </c>
      <c r="BU67" s="35">
        <v>44377</v>
      </c>
      <c r="BV67" s="37">
        <v>13.44</v>
      </c>
      <c r="BW67" s="30" t="s">
        <v>192</v>
      </c>
      <c r="BX67" s="37" t="s">
        <v>151</v>
      </c>
      <c r="BY67" s="30" t="s">
        <v>151</v>
      </c>
      <c r="BZ67" s="30" t="s">
        <v>293</v>
      </c>
      <c r="CA67" s="30" t="s">
        <v>293</v>
      </c>
      <c r="CB67" s="30" t="s">
        <v>151</v>
      </c>
      <c r="CC67" s="30" t="s">
        <v>165</v>
      </c>
      <c r="CD67" s="30" t="s">
        <v>151</v>
      </c>
      <c r="CE67" s="30" t="s">
        <v>191</v>
      </c>
      <c r="CF67" s="35">
        <v>44700</v>
      </c>
      <c r="CG67" s="37">
        <v>0.2</v>
      </c>
      <c r="CH67" s="30" t="s">
        <v>192</v>
      </c>
      <c r="CI67" s="37" t="s">
        <v>151</v>
      </c>
      <c r="CJ67" s="30" t="s">
        <v>151</v>
      </c>
      <c r="CK67" s="29" t="s">
        <v>151</v>
      </c>
      <c r="CL67" s="30" t="s">
        <v>231</v>
      </c>
      <c r="CM67" s="30" t="s">
        <v>151</v>
      </c>
      <c r="CN67" s="30" t="s">
        <v>151</v>
      </c>
      <c r="CO67" s="30" t="s">
        <v>165</v>
      </c>
      <c r="CP67" s="35">
        <v>44700</v>
      </c>
      <c r="CQ67" s="37" t="s">
        <v>151</v>
      </c>
      <c r="CR67" s="30" t="s">
        <v>151</v>
      </c>
      <c r="CS67" s="30" t="s">
        <v>191</v>
      </c>
      <c r="CT67" s="29">
        <v>18</v>
      </c>
      <c r="CU67" s="30" t="s">
        <v>263</v>
      </c>
      <c r="CV67" s="32">
        <v>19</v>
      </c>
      <c r="CW67" s="32">
        <v>81</v>
      </c>
      <c r="CX67" s="30" t="s">
        <v>263</v>
      </c>
      <c r="CY67" s="32">
        <v>2</v>
      </c>
      <c r="CZ67" s="32">
        <v>17</v>
      </c>
      <c r="DA67" s="37" t="s">
        <v>151</v>
      </c>
      <c r="DB67" s="35" t="s">
        <v>151</v>
      </c>
      <c r="DC67" s="30" t="s">
        <v>151</v>
      </c>
      <c r="DD67" s="29" t="s">
        <v>151</v>
      </c>
      <c r="DE67" s="32">
        <v>0</v>
      </c>
      <c r="DF67" s="34">
        <v>11</v>
      </c>
      <c r="DG67" s="32">
        <v>0</v>
      </c>
      <c r="DH67" s="32">
        <v>0</v>
      </c>
      <c r="DI67" s="32">
        <v>0</v>
      </c>
      <c r="DJ67" s="34">
        <v>10</v>
      </c>
      <c r="DK67" s="32" t="s">
        <v>151</v>
      </c>
      <c r="DL67" s="34" t="s">
        <v>151</v>
      </c>
      <c r="DM67" s="32">
        <v>0</v>
      </c>
      <c r="DN67" s="34">
        <v>10</v>
      </c>
      <c r="DO67" s="36">
        <v>1.11</v>
      </c>
      <c r="DP67" s="34">
        <v>52</v>
      </c>
      <c r="DQ67" s="36">
        <v>0</v>
      </c>
      <c r="DR67" s="32">
        <v>0</v>
      </c>
      <c r="DS67" s="36">
        <v>1.11</v>
      </c>
      <c r="DT67" s="34">
        <v>52</v>
      </c>
      <c r="DU67" s="36" t="s">
        <v>151</v>
      </c>
      <c r="DV67" s="34" t="s">
        <v>151</v>
      </c>
      <c r="DW67" s="36">
        <v>1.11</v>
      </c>
      <c r="DX67" s="34">
        <v>52</v>
      </c>
      <c r="DY67" s="31" t="s">
        <v>151</v>
      </c>
      <c r="DZ67" s="35" t="s">
        <v>151</v>
      </c>
      <c r="EA67" s="35" t="s">
        <v>151</v>
      </c>
      <c r="EB67" s="34">
        <v>0</v>
      </c>
      <c r="EC67" s="33">
        <v>0</v>
      </c>
      <c r="ED67" s="32">
        <v>0</v>
      </c>
      <c r="EE67" s="34">
        <v>21</v>
      </c>
      <c r="EF67" s="33">
        <v>0</v>
      </c>
      <c r="EG67" s="32">
        <v>0</v>
      </c>
      <c r="EH67" s="29" t="s">
        <v>198</v>
      </c>
      <c r="EI67" s="30" t="s">
        <v>151</v>
      </c>
      <c r="EJ67" s="30" t="s">
        <v>151</v>
      </c>
      <c r="EK67" s="31">
        <v>1</v>
      </c>
      <c r="EL67" s="31">
        <v>4</v>
      </c>
      <c r="EM67" s="31" t="s">
        <v>151</v>
      </c>
      <c r="EN67" s="31" t="s">
        <v>151</v>
      </c>
      <c r="EO67" s="31" t="s">
        <v>151</v>
      </c>
      <c r="EP67" s="30" t="s">
        <v>741</v>
      </c>
      <c r="EQ67" s="29" t="s">
        <v>151</v>
      </c>
      <c r="ER67" s="29" t="s">
        <v>151</v>
      </c>
      <c r="ES67" s="4">
        <f>HYPERLINK("https://my.pitchbook.com?c=471554-38","View Company Online")</f>
      </c>
    </row>
    <row r="68">
      <c r="A68" s="17" t="s">
        <v>1692</v>
      </c>
      <c r="B68" s="17" t="s">
        <v>1693</v>
      </c>
      <c r="C68" s="18">
        <v>4</v>
      </c>
      <c r="D68" s="17" t="s">
        <v>151</v>
      </c>
      <c r="E68" s="17" t="s">
        <v>151</v>
      </c>
      <c r="F68" s="17" t="s">
        <v>1694</v>
      </c>
      <c r="G68" s="17" t="s">
        <v>151</v>
      </c>
      <c r="H68" s="17" t="s">
        <v>151</v>
      </c>
      <c r="I68" s="17" t="s">
        <v>151</v>
      </c>
      <c r="J68" s="17" t="s">
        <v>1692</v>
      </c>
      <c r="K68" s="17" t="s">
        <v>1695</v>
      </c>
      <c r="L68" s="17" t="s">
        <v>155</v>
      </c>
      <c r="M68" s="17" t="s">
        <v>156</v>
      </c>
      <c r="N68" s="17" t="s">
        <v>157</v>
      </c>
      <c r="O68" s="17" t="s">
        <v>1696</v>
      </c>
      <c r="P68" s="17" t="s">
        <v>1697</v>
      </c>
      <c r="Q68" s="17" t="s">
        <v>1698</v>
      </c>
      <c r="R68" s="17" t="s">
        <v>151</v>
      </c>
      <c r="S68" s="17" t="s">
        <v>162</v>
      </c>
      <c r="T68" s="24">
        <v>16.05</v>
      </c>
      <c r="U68" s="17" t="s">
        <v>163</v>
      </c>
      <c r="V68" s="17" t="s">
        <v>164</v>
      </c>
      <c r="W68" s="17" t="s">
        <v>420</v>
      </c>
      <c r="X68" s="15" t="s">
        <v>1699</v>
      </c>
      <c r="Y68" s="15" t="s">
        <v>1700</v>
      </c>
      <c r="Z68" s="27">
        <v>211</v>
      </c>
      <c r="AA68" s="17" t="s">
        <v>1701</v>
      </c>
      <c r="AB68" s="17" t="s">
        <v>151</v>
      </c>
      <c r="AC68" s="17" t="s">
        <v>151</v>
      </c>
      <c r="AD68" s="26">
        <v>2017</v>
      </c>
      <c r="AE68" s="17" t="s">
        <v>151</v>
      </c>
      <c r="AF68" s="22">
        <v>45555</v>
      </c>
      <c r="AG68" s="17" t="s">
        <v>151</v>
      </c>
      <c r="AH68" s="17" t="s">
        <v>151</v>
      </c>
      <c r="AI68" s="25" t="s">
        <v>151</v>
      </c>
      <c r="AJ68" s="19" t="s">
        <v>151</v>
      </c>
      <c r="AK68" s="25" t="s">
        <v>151</v>
      </c>
      <c r="AL68" s="25" t="s">
        <v>151</v>
      </c>
      <c r="AM68" s="25" t="s">
        <v>151</v>
      </c>
      <c r="AN68" s="25" t="s">
        <v>151</v>
      </c>
      <c r="AO68" s="25" t="s">
        <v>151</v>
      </c>
      <c r="AP68" s="25" t="s">
        <v>151</v>
      </c>
      <c r="AQ68" s="25" t="s">
        <v>151</v>
      </c>
      <c r="AR68" s="16" t="s">
        <v>151</v>
      </c>
      <c r="AS68" s="17" t="s">
        <v>1702</v>
      </c>
      <c r="AT68" s="17" t="s">
        <v>1703</v>
      </c>
      <c r="AU68" s="18">
        <v>7</v>
      </c>
      <c r="AV68" s="17" t="s">
        <v>151</v>
      </c>
      <c r="AW68" s="17" t="s">
        <v>151</v>
      </c>
      <c r="AX68" s="17" t="s">
        <v>151</v>
      </c>
      <c r="AY68" s="17" t="s">
        <v>1704</v>
      </c>
      <c r="AZ68" s="17" t="s">
        <v>151</v>
      </c>
      <c r="BA68" s="17" t="s">
        <v>151</v>
      </c>
      <c r="BB68" s="17" t="s">
        <v>1705</v>
      </c>
      <c r="BC68" s="17" t="s">
        <v>374</v>
      </c>
      <c r="BD68" s="17" t="s">
        <v>1706</v>
      </c>
      <c r="BE68" s="17" t="s">
        <v>1707</v>
      </c>
      <c r="BF68" s="17" t="s">
        <v>1431</v>
      </c>
      <c r="BG68" s="17" t="s">
        <v>1708</v>
      </c>
      <c r="BH68" s="17" t="s">
        <v>1709</v>
      </c>
      <c r="BI68" s="17" t="s">
        <v>1710</v>
      </c>
      <c r="BJ68" s="17" t="s">
        <v>1711</v>
      </c>
      <c r="BK68" s="17" t="s">
        <v>1712</v>
      </c>
      <c r="BL68" s="17" t="s">
        <v>1713</v>
      </c>
      <c r="BM68" s="17" t="s">
        <v>184</v>
      </c>
      <c r="BN68" s="16" t="s">
        <v>1714</v>
      </c>
      <c r="BO68" s="17" t="s">
        <v>186</v>
      </c>
      <c r="BP68" s="16" t="s">
        <v>1715</v>
      </c>
      <c r="BQ68" s="16" t="s">
        <v>151</v>
      </c>
      <c r="BR68" s="17" t="s">
        <v>1716</v>
      </c>
      <c r="BS68" s="17" t="s">
        <v>187</v>
      </c>
      <c r="BT68" s="17" t="s">
        <v>188</v>
      </c>
      <c r="BU68" s="22">
        <v>43951</v>
      </c>
      <c r="BV68" s="24">
        <v>0.57</v>
      </c>
      <c r="BW68" s="17" t="s">
        <v>151</v>
      </c>
      <c r="BX68" s="24" t="s">
        <v>151</v>
      </c>
      <c r="BY68" s="17" t="s">
        <v>151</v>
      </c>
      <c r="BZ68" s="17" t="s">
        <v>438</v>
      </c>
      <c r="CA68" s="17" t="s">
        <v>151</v>
      </c>
      <c r="CB68" s="17" t="s">
        <v>151</v>
      </c>
      <c r="CC68" s="17" t="s">
        <v>439</v>
      </c>
      <c r="CD68" s="17" t="s">
        <v>151</v>
      </c>
      <c r="CE68" s="17" t="s">
        <v>191</v>
      </c>
      <c r="CF68" s="22">
        <v>44365</v>
      </c>
      <c r="CG68" s="24">
        <v>16.05</v>
      </c>
      <c r="CH68" s="17" t="s">
        <v>192</v>
      </c>
      <c r="CI68" s="24">
        <v>61.52</v>
      </c>
      <c r="CJ68" s="17" t="s">
        <v>192</v>
      </c>
      <c r="CK68" s="16" t="s">
        <v>151</v>
      </c>
      <c r="CL68" s="17" t="s">
        <v>231</v>
      </c>
      <c r="CM68" s="17" t="s">
        <v>232</v>
      </c>
      <c r="CN68" s="17" t="s">
        <v>151</v>
      </c>
      <c r="CO68" s="17" t="s">
        <v>165</v>
      </c>
      <c r="CP68" s="22">
        <v>44365</v>
      </c>
      <c r="CQ68" s="24">
        <v>4.53</v>
      </c>
      <c r="CR68" s="17" t="s">
        <v>1717</v>
      </c>
      <c r="CS68" s="17" t="s">
        <v>191</v>
      </c>
      <c r="CT68" s="16" t="s">
        <v>151</v>
      </c>
      <c r="CU68" s="17" t="s">
        <v>151</v>
      </c>
      <c r="CV68" s="19" t="s">
        <v>151</v>
      </c>
      <c r="CW68" s="19" t="s">
        <v>151</v>
      </c>
      <c r="CX68" s="17" t="s">
        <v>151</v>
      </c>
      <c r="CY68" s="19" t="s">
        <v>151</v>
      </c>
      <c r="CZ68" s="19" t="s">
        <v>151</v>
      </c>
      <c r="DA68" s="24">
        <v>61.52</v>
      </c>
      <c r="DB68" s="22">
        <v>44365</v>
      </c>
      <c r="DC68" s="17" t="s">
        <v>231</v>
      </c>
      <c r="DD68" s="16" t="s">
        <v>151</v>
      </c>
      <c r="DE68" s="19">
        <v>0.42</v>
      </c>
      <c r="DF68" s="21">
        <v>93</v>
      </c>
      <c r="DG68" s="19">
        <v>0</v>
      </c>
      <c r="DH68" s="19">
        <v>-1.06</v>
      </c>
      <c r="DI68" s="19">
        <v>0.46</v>
      </c>
      <c r="DJ68" s="21">
        <v>95</v>
      </c>
      <c r="DK68" s="19" t="s">
        <v>151</v>
      </c>
      <c r="DL68" s="21" t="s">
        <v>151</v>
      </c>
      <c r="DM68" s="19">
        <v>0.46</v>
      </c>
      <c r="DN68" s="21">
        <v>95</v>
      </c>
      <c r="DO68" s="23">
        <v>976.76</v>
      </c>
      <c r="DP68" s="21">
        <v>100</v>
      </c>
      <c r="DQ68" s="23">
        <v>6.1</v>
      </c>
      <c r="DR68" s="19">
        <v>0.63</v>
      </c>
      <c r="DS68" s="23">
        <v>26.53</v>
      </c>
      <c r="DT68" s="21">
        <v>96</v>
      </c>
      <c r="DU68" s="23" t="s">
        <v>151</v>
      </c>
      <c r="DV68" s="21" t="s">
        <v>151</v>
      </c>
      <c r="DW68" s="23">
        <v>26.53</v>
      </c>
      <c r="DX68" s="21">
        <v>96</v>
      </c>
      <c r="DY68" s="18">
        <v>1</v>
      </c>
      <c r="DZ68" s="22">
        <v>45021</v>
      </c>
      <c r="EA68" s="22" t="s">
        <v>151</v>
      </c>
      <c r="EB68" s="21">
        <v>4738</v>
      </c>
      <c r="EC68" s="20">
        <v>-133</v>
      </c>
      <c r="ED68" s="19">
        <v>-2.73</v>
      </c>
      <c r="EE68" s="21">
        <v>504</v>
      </c>
      <c r="EF68" s="20">
        <v>2</v>
      </c>
      <c r="EG68" s="19">
        <v>0.4</v>
      </c>
      <c r="EH68" s="16" t="s">
        <v>198</v>
      </c>
      <c r="EI68" s="17" t="s">
        <v>151</v>
      </c>
      <c r="EJ68" s="17" t="s">
        <v>151</v>
      </c>
      <c r="EK68" s="18">
        <v>3</v>
      </c>
      <c r="EL68" s="18">
        <v>4</v>
      </c>
      <c r="EM68" s="18" t="s">
        <v>151</v>
      </c>
      <c r="EN68" s="18" t="s">
        <v>151</v>
      </c>
      <c r="EO68" s="18" t="s">
        <v>151</v>
      </c>
      <c r="EP68" s="17" t="s">
        <v>1718</v>
      </c>
      <c r="EQ68" s="16" t="s">
        <v>151</v>
      </c>
      <c r="ER68" s="16" t="s">
        <v>151</v>
      </c>
      <c r="ES68" s="3">
        <f>HYPERLINK("https://my.pitchbook.com?c=223055-29","View Company Online")</f>
      </c>
    </row>
    <row r="69">
      <c r="A69" s="30" t="s">
        <v>1719</v>
      </c>
      <c r="B69" s="30" t="s">
        <v>1720</v>
      </c>
      <c r="C69" s="31">
        <v>4</v>
      </c>
      <c r="D69" s="30" t="s">
        <v>151</v>
      </c>
      <c r="E69" s="30" t="s">
        <v>151</v>
      </c>
      <c r="F69" s="30" t="s">
        <v>1721</v>
      </c>
      <c r="G69" s="30" t="s">
        <v>151</v>
      </c>
      <c r="H69" s="30" t="s">
        <v>151</v>
      </c>
      <c r="I69" s="30" t="s">
        <v>151</v>
      </c>
      <c r="J69" s="30" t="s">
        <v>1719</v>
      </c>
      <c r="K69" s="30" t="s">
        <v>1722</v>
      </c>
      <c r="L69" s="30" t="s">
        <v>616</v>
      </c>
      <c r="M69" s="30" t="s">
        <v>834</v>
      </c>
      <c r="N69" s="30" t="s">
        <v>1723</v>
      </c>
      <c r="O69" s="30" t="s">
        <v>1724</v>
      </c>
      <c r="P69" s="30" t="s">
        <v>1725</v>
      </c>
      <c r="Q69" s="30" t="s">
        <v>1726</v>
      </c>
      <c r="R69" s="30" t="s">
        <v>151</v>
      </c>
      <c r="S69" s="30" t="s">
        <v>162</v>
      </c>
      <c r="T69" s="37">
        <v>51.45</v>
      </c>
      <c r="U69" s="30" t="s">
        <v>1727</v>
      </c>
      <c r="V69" s="30" t="s">
        <v>164</v>
      </c>
      <c r="W69" s="30" t="s">
        <v>165</v>
      </c>
      <c r="X69" s="28" t="s">
        <v>1728</v>
      </c>
      <c r="Y69" s="28" t="s">
        <v>1729</v>
      </c>
      <c r="Z69" s="40">
        <v>77</v>
      </c>
      <c r="AA69" s="30" t="s">
        <v>1730</v>
      </c>
      <c r="AB69" s="30" t="s">
        <v>151</v>
      </c>
      <c r="AC69" s="30" t="s">
        <v>151</v>
      </c>
      <c r="AD69" s="39">
        <v>2021</v>
      </c>
      <c r="AE69" s="30" t="s">
        <v>151</v>
      </c>
      <c r="AF69" s="35">
        <v>45559</v>
      </c>
      <c r="AG69" s="30" t="s">
        <v>151</v>
      </c>
      <c r="AH69" s="30" t="s">
        <v>151</v>
      </c>
      <c r="AI69" s="38" t="s">
        <v>151</v>
      </c>
      <c r="AJ69" s="32" t="s">
        <v>151</v>
      </c>
      <c r="AK69" s="38" t="s">
        <v>151</v>
      </c>
      <c r="AL69" s="38" t="s">
        <v>151</v>
      </c>
      <c r="AM69" s="38" t="s">
        <v>151</v>
      </c>
      <c r="AN69" s="38" t="s">
        <v>151</v>
      </c>
      <c r="AO69" s="38" t="s">
        <v>151</v>
      </c>
      <c r="AP69" s="38" t="s">
        <v>151</v>
      </c>
      <c r="AQ69" s="38" t="s">
        <v>151</v>
      </c>
      <c r="AR69" s="29" t="s">
        <v>151</v>
      </c>
      <c r="AS69" s="30" t="s">
        <v>1731</v>
      </c>
      <c r="AT69" s="30" t="s">
        <v>1732</v>
      </c>
      <c r="AU69" s="31">
        <v>3</v>
      </c>
      <c r="AV69" s="30" t="s">
        <v>151</v>
      </c>
      <c r="AW69" s="30" t="s">
        <v>151</v>
      </c>
      <c r="AX69" s="30" t="s">
        <v>151</v>
      </c>
      <c r="AY69" s="30" t="s">
        <v>1733</v>
      </c>
      <c r="AZ69" s="30" t="s">
        <v>151</v>
      </c>
      <c r="BA69" s="30" t="s">
        <v>151</v>
      </c>
      <c r="BB69" s="30" t="s">
        <v>151</v>
      </c>
      <c r="BC69" s="30" t="s">
        <v>343</v>
      </c>
      <c r="BD69" s="30" t="s">
        <v>1734</v>
      </c>
      <c r="BE69" s="30" t="s">
        <v>1735</v>
      </c>
      <c r="BF69" s="30" t="s">
        <v>493</v>
      </c>
      <c r="BG69" s="30" t="s">
        <v>1736</v>
      </c>
      <c r="BH69" s="30" t="s">
        <v>1737</v>
      </c>
      <c r="BI69" s="30" t="s">
        <v>906</v>
      </c>
      <c r="BJ69" s="30" t="s">
        <v>1738</v>
      </c>
      <c r="BK69" s="30" t="s">
        <v>151</v>
      </c>
      <c r="BL69" s="30" t="s">
        <v>259</v>
      </c>
      <c r="BM69" s="30" t="s">
        <v>259</v>
      </c>
      <c r="BN69" s="29" t="s">
        <v>1123</v>
      </c>
      <c r="BO69" s="30" t="s">
        <v>186</v>
      </c>
      <c r="BP69" s="29" t="s">
        <v>1737</v>
      </c>
      <c r="BQ69" s="29" t="s">
        <v>151</v>
      </c>
      <c r="BR69" s="30" t="s">
        <v>1739</v>
      </c>
      <c r="BS69" s="30" t="s">
        <v>187</v>
      </c>
      <c r="BT69" s="30" t="s">
        <v>188</v>
      </c>
      <c r="BU69" s="35">
        <v>44572</v>
      </c>
      <c r="BV69" s="37">
        <v>51.45</v>
      </c>
      <c r="BW69" s="30" t="s">
        <v>192</v>
      </c>
      <c r="BX69" s="37">
        <v>151.45</v>
      </c>
      <c r="BY69" s="30" t="s">
        <v>192</v>
      </c>
      <c r="BZ69" s="30" t="s">
        <v>231</v>
      </c>
      <c r="CA69" s="30" t="s">
        <v>232</v>
      </c>
      <c r="CB69" s="30" t="s">
        <v>151</v>
      </c>
      <c r="CC69" s="30" t="s">
        <v>165</v>
      </c>
      <c r="CD69" s="30" t="s">
        <v>151</v>
      </c>
      <c r="CE69" s="30" t="s">
        <v>191</v>
      </c>
      <c r="CF69" s="35">
        <v>44572</v>
      </c>
      <c r="CG69" s="37">
        <v>51.45</v>
      </c>
      <c r="CH69" s="30" t="s">
        <v>192</v>
      </c>
      <c r="CI69" s="37">
        <v>151.45</v>
      </c>
      <c r="CJ69" s="30" t="s">
        <v>192</v>
      </c>
      <c r="CK69" s="29" t="s">
        <v>151</v>
      </c>
      <c r="CL69" s="30" t="s">
        <v>231</v>
      </c>
      <c r="CM69" s="30" t="s">
        <v>232</v>
      </c>
      <c r="CN69" s="30" t="s">
        <v>151</v>
      </c>
      <c r="CO69" s="30" t="s">
        <v>165</v>
      </c>
      <c r="CP69" s="35">
        <v>44572</v>
      </c>
      <c r="CQ69" s="37" t="s">
        <v>151</v>
      </c>
      <c r="CR69" s="30" t="s">
        <v>151</v>
      </c>
      <c r="CS69" s="30" t="s">
        <v>191</v>
      </c>
      <c r="CT69" s="29" t="s">
        <v>151</v>
      </c>
      <c r="CU69" s="30" t="s">
        <v>151</v>
      </c>
      <c r="CV69" s="32" t="s">
        <v>151</v>
      </c>
      <c r="CW69" s="32" t="s">
        <v>151</v>
      </c>
      <c r="CX69" s="30" t="s">
        <v>151</v>
      </c>
      <c r="CY69" s="32" t="s">
        <v>151</v>
      </c>
      <c r="CZ69" s="32" t="s">
        <v>151</v>
      </c>
      <c r="DA69" s="37">
        <v>151.45</v>
      </c>
      <c r="DB69" s="35">
        <v>44572</v>
      </c>
      <c r="DC69" s="30" t="s">
        <v>231</v>
      </c>
      <c r="DD69" s="29" t="s">
        <v>151</v>
      </c>
      <c r="DE69" s="32">
        <v>0.38</v>
      </c>
      <c r="DF69" s="34">
        <v>93</v>
      </c>
      <c r="DG69" s="32">
        <v>0</v>
      </c>
      <c r="DH69" s="32">
        <v>0</v>
      </c>
      <c r="DI69" s="32">
        <v>0.08</v>
      </c>
      <c r="DJ69" s="34">
        <v>92</v>
      </c>
      <c r="DK69" s="32" t="s">
        <v>151</v>
      </c>
      <c r="DL69" s="34" t="s">
        <v>151</v>
      </c>
      <c r="DM69" s="32">
        <v>0.08</v>
      </c>
      <c r="DN69" s="34">
        <v>92</v>
      </c>
      <c r="DO69" s="36">
        <v>10.8</v>
      </c>
      <c r="DP69" s="34">
        <v>91</v>
      </c>
      <c r="DQ69" s="36">
        <v>0</v>
      </c>
      <c r="DR69" s="32">
        <v>0</v>
      </c>
      <c r="DS69" s="36">
        <v>15.68</v>
      </c>
      <c r="DT69" s="34">
        <v>93</v>
      </c>
      <c r="DU69" s="36" t="s">
        <v>151</v>
      </c>
      <c r="DV69" s="34" t="s">
        <v>151</v>
      </c>
      <c r="DW69" s="36">
        <v>15.68</v>
      </c>
      <c r="DX69" s="34">
        <v>93</v>
      </c>
      <c r="DY69" s="31" t="s">
        <v>151</v>
      </c>
      <c r="DZ69" s="35" t="s">
        <v>151</v>
      </c>
      <c r="EA69" s="35" t="s">
        <v>151</v>
      </c>
      <c r="EB69" s="34">
        <v>1166</v>
      </c>
      <c r="EC69" s="33">
        <v>-173</v>
      </c>
      <c r="ED69" s="32">
        <v>-12.92</v>
      </c>
      <c r="EE69" s="34">
        <v>298</v>
      </c>
      <c r="EF69" s="33">
        <v>0</v>
      </c>
      <c r="EG69" s="32">
        <v>0</v>
      </c>
      <c r="EH69" s="29" t="s">
        <v>198</v>
      </c>
      <c r="EI69" s="30" t="s">
        <v>151</v>
      </c>
      <c r="EJ69" s="30" t="s">
        <v>151</v>
      </c>
      <c r="EK69" s="31">
        <v>2</v>
      </c>
      <c r="EL69" s="31">
        <v>2</v>
      </c>
      <c r="EM69" s="31">
        <v>1</v>
      </c>
      <c r="EN69" s="31" t="s">
        <v>151</v>
      </c>
      <c r="EO69" s="31">
        <v>1</v>
      </c>
      <c r="EP69" s="30" t="s">
        <v>741</v>
      </c>
      <c r="EQ69" s="29" t="s">
        <v>151</v>
      </c>
      <c r="ER69" s="29" t="s">
        <v>151</v>
      </c>
      <c r="ES69" s="4">
        <f>HYPERLINK("https://my.pitchbook.com?c=482180-59","View Company Online")</f>
      </c>
    </row>
    <row r="70">
      <c r="A70" s="17" t="s">
        <v>1740</v>
      </c>
      <c r="B70" s="17" t="s">
        <v>1741</v>
      </c>
      <c r="C70" s="18">
        <v>4</v>
      </c>
      <c r="D70" s="17" t="s">
        <v>151</v>
      </c>
      <c r="E70" s="17" t="s">
        <v>1742</v>
      </c>
      <c r="F70" s="17" t="s">
        <v>1743</v>
      </c>
      <c r="G70" s="17" t="s">
        <v>151</v>
      </c>
      <c r="H70" s="17" t="s">
        <v>151</v>
      </c>
      <c r="I70" s="17" t="s">
        <v>1744</v>
      </c>
      <c r="J70" s="17" t="s">
        <v>1740</v>
      </c>
      <c r="K70" s="17" t="s">
        <v>1745</v>
      </c>
      <c r="L70" s="17" t="s">
        <v>205</v>
      </c>
      <c r="M70" s="17" t="s">
        <v>206</v>
      </c>
      <c r="N70" s="17" t="s">
        <v>269</v>
      </c>
      <c r="O70" s="17" t="s">
        <v>1746</v>
      </c>
      <c r="P70" s="17" t="s">
        <v>1747</v>
      </c>
      <c r="Q70" s="17" t="s">
        <v>1748</v>
      </c>
      <c r="R70" s="17" t="s">
        <v>151</v>
      </c>
      <c r="S70" s="17" t="s">
        <v>162</v>
      </c>
      <c r="T70" s="24">
        <v>15</v>
      </c>
      <c r="U70" s="17" t="s">
        <v>163</v>
      </c>
      <c r="V70" s="17" t="s">
        <v>164</v>
      </c>
      <c r="W70" s="17" t="s">
        <v>165</v>
      </c>
      <c r="X70" s="15" t="s">
        <v>1749</v>
      </c>
      <c r="Y70" s="15" t="s">
        <v>1750</v>
      </c>
      <c r="Z70" s="27">
        <v>28</v>
      </c>
      <c r="AA70" s="17" t="s">
        <v>1751</v>
      </c>
      <c r="AB70" s="17" t="s">
        <v>151</v>
      </c>
      <c r="AC70" s="17" t="s">
        <v>151</v>
      </c>
      <c r="AD70" s="26">
        <v>2021</v>
      </c>
      <c r="AE70" s="17" t="s">
        <v>151</v>
      </c>
      <c r="AF70" s="22">
        <v>45379</v>
      </c>
      <c r="AG70" s="17" t="s">
        <v>151</v>
      </c>
      <c r="AH70" s="17" t="s">
        <v>151</v>
      </c>
      <c r="AI70" s="25" t="s">
        <v>151</v>
      </c>
      <c r="AJ70" s="19" t="s">
        <v>151</v>
      </c>
      <c r="AK70" s="25" t="s">
        <v>151</v>
      </c>
      <c r="AL70" s="25" t="s">
        <v>151</v>
      </c>
      <c r="AM70" s="25" t="s">
        <v>151</v>
      </c>
      <c r="AN70" s="25" t="s">
        <v>151</v>
      </c>
      <c r="AO70" s="25" t="s">
        <v>151</v>
      </c>
      <c r="AP70" s="25" t="s">
        <v>151</v>
      </c>
      <c r="AQ70" s="25" t="s">
        <v>151</v>
      </c>
      <c r="AR70" s="16" t="s">
        <v>151</v>
      </c>
      <c r="AS70" s="17" t="s">
        <v>1752</v>
      </c>
      <c r="AT70" s="17" t="s">
        <v>1753</v>
      </c>
      <c r="AU70" s="18">
        <v>2</v>
      </c>
      <c r="AV70" s="17" t="s">
        <v>151</v>
      </c>
      <c r="AW70" s="17" t="s">
        <v>151</v>
      </c>
      <c r="AX70" s="17" t="s">
        <v>151</v>
      </c>
      <c r="AY70" s="17" t="s">
        <v>1754</v>
      </c>
      <c r="AZ70" s="17" t="s">
        <v>151</v>
      </c>
      <c r="BA70" s="17" t="s">
        <v>151</v>
      </c>
      <c r="BB70" s="17" t="s">
        <v>151</v>
      </c>
      <c r="BC70" s="17" t="s">
        <v>151</v>
      </c>
      <c r="BD70" s="17" t="s">
        <v>1755</v>
      </c>
      <c r="BE70" s="17" t="s">
        <v>1756</v>
      </c>
      <c r="BF70" s="17" t="s">
        <v>1118</v>
      </c>
      <c r="BG70" s="17" t="s">
        <v>1757</v>
      </c>
      <c r="BH70" s="17" t="s">
        <v>151</v>
      </c>
      <c r="BI70" s="17" t="s">
        <v>934</v>
      </c>
      <c r="BJ70" s="17" t="s">
        <v>1758</v>
      </c>
      <c r="BK70" s="17" t="s">
        <v>151</v>
      </c>
      <c r="BL70" s="17" t="s">
        <v>937</v>
      </c>
      <c r="BM70" s="17" t="s">
        <v>184</v>
      </c>
      <c r="BN70" s="16" t="s">
        <v>1759</v>
      </c>
      <c r="BO70" s="17" t="s">
        <v>186</v>
      </c>
      <c r="BP70" s="16" t="s">
        <v>151</v>
      </c>
      <c r="BQ70" s="16" t="s">
        <v>151</v>
      </c>
      <c r="BR70" s="17" t="s">
        <v>1760</v>
      </c>
      <c r="BS70" s="17" t="s">
        <v>187</v>
      </c>
      <c r="BT70" s="17" t="s">
        <v>188</v>
      </c>
      <c r="BU70" s="22">
        <v>45236</v>
      </c>
      <c r="BV70" s="24">
        <v>15</v>
      </c>
      <c r="BW70" s="17" t="s">
        <v>192</v>
      </c>
      <c r="BX70" s="24">
        <v>100</v>
      </c>
      <c r="BY70" s="17" t="s">
        <v>192</v>
      </c>
      <c r="BZ70" s="17" t="s">
        <v>231</v>
      </c>
      <c r="CA70" s="17" t="s">
        <v>232</v>
      </c>
      <c r="CB70" s="17" t="s">
        <v>151</v>
      </c>
      <c r="CC70" s="17" t="s">
        <v>165</v>
      </c>
      <c r="CD70" s="17" t="s">
        <v>151</v>
      </c>
      <c r="CE70" s="17" t="s">
        <v>191</v>
      </c>
      <c r="CF70" s="22">
        <v>45236</v>
      </c>
      <c r="CG70" s="24">
        <v>15</v>
      </c>
      <c r="CH70" s="17" t="s">
        <v>192</v>
      </c>
      <c r="CI70" s="24">
        <v>100</v>
      </c>
      <c r="CJ70" s="17" t="s">
        <v>192</v>
      </c>
      <c r="CK70" s="16" t="s">
        <v>151</v>
      </c>
      <c r="CL70" s="17" t="s">
        <v>231</v>
      </c>
      <c r="CM70" s="17" t="s">
        <v>232</v>
      </c>
      <c r="CN70" s="17" t="s">
        <v>151</v>
      </c>
      <c r="CO70" s="17" t="s">
        <v>165</v>
      </c>
      <c r="CP70" s="22">
        <v>45236</v>
      </c>
      <c r="CQ70" s="24" t="s">
        <v>151</v>
      </c>
      <c r="CR70" s="17" t="s">
        <v>151</v>
      </c>
      <c r="CS70" s="17" t="s">
        <v>191</v>
      </c>
      <c r="CT70" s="16" t="s">
        <v>151</v>
      </c>
      <c r="CU70" s="17" t="s">
        <v>151</v>
      </c>
      <c r="CV70" s="19" t="s">
        <v>151</v>
      </c>
      <c r="CW70" s="19" t="s">
        <v>151</v>
      </c>
      <c r="CX70" s="17" t="s">
        <v>151</v>
      </c>
      <c r="CY70" s="19" t="s">
        <v>151</v>
      </c>
      <c r="CZ70" s="19" t="s">
        <v>151</v>
      </c>
      <c r="DA70" s="24">
        <v>100</v>
      </c>
      <c r="DB70" s="22">
        <v>45236</v>
      </c>
      <c r="DC70" s="17" t="s">
        <v>231</v>
      </c>
      <c r="DD70" s="16" t="s">
        <v>151</v>
      </c>
      <c r="DE70" s="19">
        <v>0.32</v>
      </c>
      <c r="DF70" s="21">
        <v>93</v>
      </c>
      <c r="DG70" s="19">
        <v>0</v>
      </c>
      <c r="DH70" s="19">
        <v>0</v>
      </c>
      <c r="DI70" s="19">
        <v>0</v>
      </c>
      <c r="DJ70" s="21">
        <v>10</v>
      </c>
      <c r="DK70" s="19" t="s">
        <v>151</v>
      </c>
      <c r="DL70" s="21" t="s">
        <v>151</v>
      </c>
      <c r="DM70" s="19">
        <v>0</v>
      </c>
      <c r="DN70" s="21">
        <v>10</v>
      </c>
      <c r="DO70" s="23">
        <v>2.79</v>
      </c>
      <c r="DP70" s="21">
        <v>73</v>
      </c>
      <c r="DQ70" s="23">
        <v>0</v>
      </c>
      <c r="DR70" s="19">
        <v>0</v>
      </c>
      <c r="DS70" s="23">
        <v>2.42</v>
      </c>
      <c r="DT70" s="21">
        <v>70</v>
      </c>
      <c r="DU70" s="23" t="s">
        <v>151</v>
      </c>
      <c r="DV70" s="21" t="s">
        <v>151</v>
      </c>
      <c r="DW70" s="23">
        <v>2.42</v>
      </c>
      <c r="DX70" s="21">
        <v>70</v>
      </c>
      <c r="DY70" s="18" t="s">
        <v>151</v>
      </c>
      <c r="DZ70" s="22" t="s">
        <v>151</v>
      </c>
      <c r="EA70" s="22" t="s">
        <v>151</v>
      </c>
      <c r="EB70" s="21">
        <v>412</v>
      </c>
      <c r="EC70" s="20">
        <v>-6</v>
      </c>
      <c r="ED70" s="19">
        <v>-1.44</v>
      </c>
      <c r="EE70" s="21">
        <v>46</v>
      </c>
      <c r="EF70" s="20">
        <v>2</v>
      </c>
      <c r="EG70" s="19">
        <v>4.55</v>
      </c>
      <c r="EH70" s="16" t="s">
        <v>198</v>
      </c>
      <c r="EI70" s="17" t="s">
        <v>151</v>
      </c>
      <c r="EJ70" s="17" t="s">
        <v>151</v>
      </c>
      <c r="EK70" s="18">
        <v>2</v>
      </c>
      <c r="EL70" s="18">
        <v>2</v>
      </c>
      <c r="EM70" s="18">
        <v>2</v>
      </c>
      <c r="EN70" s="18" t="s">
        <v>151</v>
      </c>
      <c r="EO70" s="18" t="s">
        <v>151</v>
      </c>
      <c r="EP70" s="17" t="s">
        <v>1761</v>
      </c>
      <c r="EQ70" s="16" t="s">
        <v>151</v>
      </c>
      <c r="ER70" s="16" t="s">
        <v>151</v>
      </c>
      <c r="ES70" s="3">
        <f>HYPERLINK("https://my.pitchbook.com?c=537974-11","View Company Online")</f>
      </c>
    </row>
    <row r="71">
      <c r="A71" s="30" t="s">
        <v>1762</v>
      </c>
      <c r="B71" s="30" t="s">
        <v>1763</v>
      </c>
      <c r="C71" s="31">
        <v>4</v>
      </c>
      <c r="D71" s="30" t="s">
        <v>1764</v>
      </c>
      <c r="E71" s="30" t="s">
        <v>151</v>
      </c>
      <c r="F71" s="30" t="s">
        <v>1765</v>
      </c>
      <c r="G71" s="30" t="s">
        <v>151</v>
      </c>
      <c r="H71" s="30" t="s">
        <v>151</v>
      </c>
      <c r="I71" s="30" t="s">
        <v>1766</v>
      </c>
      <c r="J71" s="30" t="s">
        <v>1762</v>
      </c>
      <c r="K71" s="30" t="s">
        <v>1767</v>
      </c>
      <c r="L71" s="30" t="s">
        <v>205</v>
      </c>
      <c r="M71" s="30" t="s">
        <v>206</v>
      </c>
      <c r="N71" s="30" t="s">
        <v>998</v>
      </c>
      <c r="O71" s="30" t="s">
        <v>1768</v>
      </c>
      <c r="P71" s="30" t="s">
        <v>1769</v>
      </c>
      <c r="Q71" s="30" t="s">
        <v>1770</v>
      </c>
      <c r="R71" s="30" t="s">
        <v>151</v>
      </c>
      <c r="S71" s="30" t="s">
        <v>162</v>
      </c>
      <c r="T71" s="37">
        <v>5.5</v>
      </c>
      <c r="U71" s="30" t="s">
        <v>163</v>
      </c>
      <c r="V71" s="30" t="s">
        <v>164</v>
      </c>
      <c r="W71" s="30" t="s">
        <v>165</v>
      </c>
      <c r="X71" s="28" t="s">
        <v>1771</v>
      </c>
      <c r="Y71" s="28" t="s">
        <v>1772</v>
      </c>
      <c r="Z71" s="40">
        <v>19</v>
      </c>
      <c r="AA71" s="30" t="s">
        <v>1773</v>
      </c>
      <c r="AB71" s="30" t="s">
        <v>151</v>
      </c>
      <c r="AC71" s="30" t="s">
        <v>151</v>
      </c>
      <c r="AD71" s="39">
        <v>2021</v>
      </c>
      <c r="AE71" s="30" t="s">
        <v>151</v>
      </c>
      <c r="AF71" s="35">
        <v>45558</v>
      </c>
      <c r="AG71" s="30" t="s">
        <v>151</v>
      </c>
      <c r="AH71" s="30" t="s">
        <v>151</v>
      </c>
      <c r="AI71" s="38" t="s">
        <v>151</v>
      </c>
      <c r="AJ71" s="32" t="s">
        <v>151</v>
      </c>
      <c r="AK71" s="38" t="s">
        <v>151</v>
      </c>
      <c r="AL71" s="38" t="s">
        <v>151</v>
      </c>
      <c r="AM71" s="38" t="s">
        <v>151</v>
      </c>
      <c r="AN71" s="38" t="s">
        <v>151</v>
      </c>
      <c r="AO71" s="38" t="s">
        <v>151</v>
      </c>
      <c r="AP71" s="38" t="s">
        <v>151</v>
      </c>
      <c r="AQ71" s="38" t="s">
        <v>151</v>
      </c>
      <c r="AR71" s="29" t="s">
        <v>151</v>
      </c>
      <c r="AS71" s="30" t="s">
        <v>1774</v>
      </c>
      <c r="AT71" s="30" t="s">
        <v>1775</v>
      </c>
      <c r="AU71" s="31">
        <v>10</v>
      </c>
      <c r="AV71" s="30" t="s">
        <v>151</v>
      </c>
      <c r="AW71" s="30" t="s">
        <v>151</v>
      </c>
      <c r="AX71" s="30" t="s">
        <v>151</v>
      </c>
      <c r="AY71" s="30" t="s">
        <v>1776</v>
      </c>
      <c r="AZ71" s="30" t="s">
        <v>151</v>
      </c>
      <c r="BA71" s="30" t="s">
        <v>151</v>
      </c>
      <c r="BB71" s="30" t="s">
        <v>1777</v>
      </c>
      <c r="BC71" s="30" t="s">
        <v>343</v>
      </c>
      <c r="BD71" s="30" t="s">
        <v>1778</v>
      </c>
      <c r="BE71" s="30" t="s">
        <v>1779</v>
      </c>
      <c r="BF71" s="30" t="s">
        <v>1780</v>
      </c>
      <c r="BG71" s="30" t="s">
        <v>1781</v>
      </c>
      <c r="BH71" s="30" t="s">
        <v>1782</v>
      </c>
      <c r="BI71" s="30" t="s">
        <v>1783</v>
      </c>
      <c r="BJ71" s="30" t="s">
        <v>1784</v>
      </c>
      <c r="BK71" s="30" t="s">
        <v>1785</v>
      </c>
      <c r="BL71" s="30" t="s">
        <v>1786</v>
      </c>
      <c r="BM71" s="30" t="s">
        <v>184</v>
      </c>
      <c r="BN71" s="29" t="s">
        <v>1787</v>
      </c>
      <c r="BO71" s="30" t="s">
        <v>186</v>
      </c>
      <c r="BP71" s="29" t="s">
        <v>1782</v>
      </c>
      <c r="BQ71" s="29" t="s">
        <v>151</v>
      </c>
      <c r="BR71" s="30" t="s">
        <v>151</v>
      </c>
      <c r="BS71" s="30" t="s">
        <v>187</v>
      </c>
      <c r="BT71" s="30" t="s">
        <v>188</v>
      </c>
      <c r="BU71" s="35">
        <v>44366</v>
      </c>
      <c r="BV71" s="37">
        <v>0.5</v>
      </c>
      <c r="BW71" s="30" t="s">
        <v>193</v>
      </c>
      <c r="BX71" s="37">
        <v>5</v>
      </c>
      <c r="BY71" s="30" t="s">
        <v>192</v>
      </c>
      <c r="BZ71" s="30" t="s">
        <v>293</v>
      </c>
      <c r="CA71" s="30" t="s">
        <v>293</v>
      </c>
      <c r="CB71" s="30" t="s">
        <v>151</v>
      </c>
      <c r="CC71" s="30" t="s">
        <v>165</v>
      </c>
      <c r="CD71" s="30" t="s">
        <v>151</v>
      </c>
      <c r="CE71" s="30" t="s">
        <v>191</v>
      </c>
      <c r="CF71" s="35">
        <v>45107</v>
      </c>
      <c r="CG71" s="37">
        <v>5</v>
      </c>
      <c r="CH71" s="30" t="s">
        <v>192</v>
      </c>
      <c r="CI71" s="37">
        <v>30</v>
      </c>
      <c r="CJ71" s="30" t="s">
        <v>192</v>
      </c>
      <c r="CK71" s="29">
        <v>5</v>
      </c>
      <c r="CL71" s="30" t="s">
        <v>231</v>
      </c>
      <c r="CM71" s="30" t="s">
        <v>151</v>
      </c>
      <c r="CN71" s="30" t="s">
        <v>151</v>
      </c>
      <c r="CO71" s="30" t="s">
        <v>165</v>
      </c>
      <c r="CP71" s="35">
        <v>45107</v>
      </c>
      <c r="CQ71" s="37" t="s">
        <v>151</v>
      </c>
      <c r="CR71" s="30" t="s">
        <v>151</v>
      </c>
      <c r="CS71" s="30" t="s">
        <v>191</v>
      </c>
      <c r="CT71" s="29">
        <v>73</v>
      </c>
      <c r="CU71" s="30" t="s">
        <v>196</v>
      </c>
      <c r="CV71" s="32">
        <v>68</v>
      </c>
      <c r="CW71" s="32">
        <v>32</v>
      </c>
      <c r="CX71" s="30" t="s">
        <v>294</v>
      </c>
      <c r="CY71" s="32">
        <v>1</v>
      </c>
      <c r="CZ71" s="32">
        <v>67</v>
      </c>
      <c r="DA71" s="37">
        <v>30</v>
      </c>
      <c r="DB71" s="35">
        <v>45107</v>
      </c>
      <c r="DC71" s="30" t="s">
        <v>231</v>
      </c>
      <c r="DD71" s="29">
        <v>5</v>
      </c>
      <c r="DE71" s="32">
        <v>0.63</v>
      </c>
      <c r="DF71" s="34">
        <v>95</v>
      </c>
      <c r="DG71" s="32">
        <v>0</v>
      </c>
      <c r="DH71" s="32">
        <v>0</v>
      </c>
      <c r="DI71" s="32">
        <v>0.63</v>
      </c>
      <c r="DJ71" s="34">
        <v>95</v>
      </c>
      <c r="DK71" s="32" t="s">
        <v>151</v>
      </c>
      <c r="DL71" s="34" t="s">
        <v>151</v>
      </c>
      <c r="DM71" s="32">
        <v>0.63</v>
      </c>
      <c r="DN71" s="34">
        <v>95</v>
      </c>
      <c r="DO71" s="36">
        <v>10.68</v>
      </c>
      <c r="DP71" s="34">
        <v>91</v>
      </c>
      <c r="DQ71" s="36">
        <v>0</v>
      </c>
      <c r="DR71" s="32">
        <v>0</v>
      </c>
      <c r="DS71" s="36">
        <v>10.68</v>
      </c>
      <c r="DT71" s="34">
        <v>91</v>
      </c>
      <c r="DU71" s="36" t="s">
        <v>151</v>
      </c>
      <c r="DV71" s="34" t="s">
        <v>151</v>
      </c>
      <c r="DW71" s="36">
        <v>10.68</v>
      </c>
      <c r="DX71" s="34">
        <v>90</v>
      </c>
      <c r="DY71" s="31" t="s">
        <v>151</v>
      </c>
      <c r="DZ71" s="35" t="s">
        <v>151</v>
      </c>
      <c r="EA71" s="35" t="s">
        <v>151</v>
      </c>
      <c r="EB71" s="34">
        <v>19121</v>
      </c>
      <c r="EC71" s="33">
        <v>2468</v>
      </c>
      <c r="ED71" s="32">
        <v>14.82</v>
      </c>
      <c r="EE71" s="34">
        <v>203</v>
      </c>
      <c r="EF71" s="33">
        <v>1</v>
      </c>
      <c r="EG71" s="32">
        <v>0.5</v>
      </c>
      <c r="EH71" s="29" t="s">
        <v>198</v>
      </c>
      <c r="EI71" s="30" t="s">
        <v>151</v>
      </c>
      <c r="EJ71" s="30" t="s">
        <v>151</v>
      </c>
      <c r="EK71" s="31">
        <v>1</v>
      </c>
      <c r="EL71" s="31" t="s">
        <v>151</v>
      </c>
      <c r="EM71" s="31">
        <v>4</v>
      </c>
      <c r="EN71" s="31" t="s">
        <v>151</v>
      </c>
      <c r="EO71" s="31" t="s">
        <v>151</v>
      </c>
      <c r="EP71" s="30" t="s">
        <v>295</v>
      </c>
      <c r="EQ71" s="29" t="s">
        <v>151</v>
      </c>
      <c r="ER71" s="29" t="s">
        <v>151</v>
      </c>
      <c r="ES71" s="4">
        <f>HYPERLINK("https://my.pitchbook.com?c=495775-90","View Company Online")</f>
      </c>
    </row>
    <row r="72">
      <c r="A72" s="17" t="s">
        <v>1788</v>
      </c>
      <c r="B72" s="17" t="s">
        <v>1789</v>
      </c>
      <c r="C72" s="18">
        <v>3</v>
      </c>
      <c r="D72" s="17" t="s">
        <v>151</v>
      </c>
      <c r="E72" s="17" t="s">
        <v>151</v>
      </c>
      <c r="F72" s="17" t="s">
        <v>1790</v>
      </c>
      <c r="G72" s="17" t="s">
        <v>151</v>
      </c>
      <c r="H72" s="17" t="s">
        <v>151</v>
      </c>
      <c r="I72" s="17" t="s">
        <v>151</v>
      </c>
      <c r="J72" s="17" t="s">
        <v>1788</v>
      </c>
      <c r="K72" s="17" t="s">
        <v>1791</v>
      </c>
      <c r="L72" s="17" t="s">
        <v>1792</v>
      </c>
      <c r="M72" s="17" t="s">
        <v>1793</v>
      </c>
      <c r="N72" s="17" t="s">
        <v>1794</v>
      </c>
      <c r="O72" s="17" t="s">
        <v>1795</v>
      </c>
      <c r="P72" s="17" t="s">
        <v>1796</v>
      </c>
      <c r="Q72" s="17" t="s">
        <v>1797</v>
      </c>
      <c r="R72" s="17" t="s">
        <v>151</v>
      </c>
      <c r="S72" s="17" t="s">
        <v>162</v>
      </c>
      <c r="T72" s="24">
        <v>2.85</v>
      </c>
      <c r="U72" s="17" t="s">
        <v>163</v>
      </c>
      <c r="V72" s="17" t="s">
        <v>164</v>
      </c>
      <c r="W72" s="17" t="s">
        <v>165</v>
      </c>
      <c r="X72" s="15" t="s">
        <v>1798</v>
      </c>
      <c r="Y72" s="15" t="s">
        <v>1799</v>
      </c>
      <c r="Z72" s="27">
        <v>5</v>
      </c>
      <c r="AA72" s="17" t="s">
        <v>1800</v>
      </c>
      <c r="AB72" s="17" t="s">
        <v>151</v>
      </c>
      <c r="AC72" s="17" t="s">
        <v>151</v>
      </c>
      <c r="AD72" s="26">
        <v>2016</v>
      </c>
      <c r="AE72" s="17" t="s">
        <v>151</v>
      </c>
      <c r="AF72" s="22">
        <v>45595</v>
      </c>
      <c r="AG72" s="17" t="s">
        <v>151</v>
      </c>
      <c r="AH72" s="17" t="s">
        <v>151</v>
      </c>
      <c r="AI72" s="25" t="s">
        <v>151</v>
      </c>
      <c r="AJ72" s="19" t="s">
        <v>151</v>
      </c>
      <c r="AK72" s="25" t="s">
        <v>151</v>
      </c>
      <c r="AL72" s="25" t="s">
        <v>151</v>
      </c>
      <c r="AM72" s="25" t="s">
        <v>151</v>
      </c>
      <c r="AN72" s="25" t="s">
        <v>151</v>
      </c>
      <c r="AO72" s="25" t="s">
        <v>151</v>
      </c>
      <c r="AP72" s="25" t="s">
        <v>151</v>
      </c>
      <c r="AQ72" s="25" t="s">
        <v>151</v>
      </c>
      <c r="AR72" s="16" t="s">
        <v>151</v>
      </c>
      <c r="AS72" s="17" t="s">
        <v>1801</v>
      </c>
      <c r="AT72" s="17" t="s">
        <v>1802</v>
      </c>
      <c r="AU72" s="18">
        <v>13</v>
      </c>
      <c r="AV72" s="17" t="s">
        <v>151</v>
      </c>
      <c r="AW72" s="17" t="s">
        <v>151</v>
      </c>
      <c r="AX72" s="17" t="s">
        <v>151</v>
      </c>
      <c r="AY72" s="17" t="s">
        <v>1803</v>
      </c>
      <c r="AZ72" s="17" t="s">
        <v>151</v>
      </c>
      <c r="BA72" s="17" t="s">
        <v>151</v>
      </c>
      <c r="BB72" s="17" t="s">
        <v>151</v>
      </c>
      <c r="BC72" s="17" t="s">
        <v>151</v>
      </c>
      <c r="BD72" s="17" t="s">
        <v>1804</v>
      </c>
      <c r="BE72" s="17" t="s">
        <v>1805</v>
      </c>
      <c r="BF72" s="17" t="s">
        <v>493</v>
      </c>
      <c r="BG72" s="17" t="s">
        <v>1806</v>
      </c>
      <c r="BH72" s="17" t="s">
        <v>1807</v>
      </c>
      <c r="BI72" s="17" t="s">
        <v>1808</v>
      </c>
      <c r="BJ72" s="17" t="s">
        <v>1809</v>
      </c>
      <c r="BK72" s="17" t="s">
        <v>1810</v>
      </c>
      <c r="BL72" s="17" t="s">
        <v>1811</v>
      </c>
      <c r="BM72" s="17" t="s">
        <v>525</v>
      </c>
      <c r="BN72" s="16" t="s">
        <v>1812</v>
      </c>
      <c r="BO72" s="17" t="s">
        <v>186</v>
      </c>
      <c r="BP72" s="16" t="s">
        <v>1807</v>
      </c>
      <c r="BQ72" s="16" t="s">
        <v>151</v>
      </c>
      <c r="BR72" s="17" t="s">
        <v>1813</v>
      </c>
      <c r="BS72" s="17" t="s">
        <v>187</v>
      </c>
      <c r="BT72" s="17" t="s">
        <v>188</v>
      </c>
      <c r="BU72" s="22">
        <v>43355</v>
      </c>
      <c r="BV72" s="24">
        <v>0.74</v>
      </c>
      <c r="BW72" s="17" t="s">
        <v>192</v>
      </c>
      <c r="BX72" s="24" t="s">
        <v>151</v>
      </c>
      <c r="BY72" s="17" t="s">
        <v>151</v>
      </c>
      <c r="BZ72" s="17" t="s">
        <v>501</v>
      </c>
      <c r="CA72" s="17" t="s">
        <v>151</v>
      </c>
      <c r="CB72" s="17" t="s">
        <v>151</v>
      </c>
      <c r="CC72" s="17" t="s">
        <v>190</v>
      </c>
      <c r="CD72" s="17" t="s">
        <v>151</v>
      </c>
      <c r="CE72" s="17" t="s">
        <v>191</v>
      </c>
      <c r="CF72" s="22">
        <v>44986</v>
      </c>
      <c r="CG72" s="24">
        <v>4.73</v>
      </c>
      <c r="CH72" s="17" t="s">
        <v>192</v>
      </c>
      <c r="CI72" s="24" t="s">
        <v>151</v>
      </c>
      <c r="CJ72" s="17" t="s">
        <v>151</v>
      </c>
      <c r="CK72" s="16" t="s">
        <v>151</v>
      </c>
      <c r="CL72" s="17" t="s">
        <v>501</v>
      </c>
      <c r="CM72" s="17" t="s">
        <v>151</v>
      </c>
      <c r="CN72" s="17" t="s">
        <v>151</v>
      </c>
      <c r="CO72" s="17" t="s">
        <v>190</v>
      </c>
      <c r="CP72" s="22">
        <v>44986</v>
      </c>
      <c r="CQ72" s="24" t="s">
        <v>151</v>
      </c>
      <c r="CR72" s="17" t="s">
        <v>151</v>
      </c>
      <c r="CS72" s="17" t="s">
        <v>191</v>
      </c>
      <c r="CT72" s="16" t="s">
        <v>151</v>
      </c>
      <c r="CU72" s="17" t="s">
        <v>151</v>
      </c>
      <c r="CV72" s="19" t="s">
        <v>151</v>
      </c>
      <c r="CW72" s="19" t="s">
        <v>151</v>
      </c>
      <c r="CX72" s="17" t="s">
        <v>151</v>
      </c>
      <c r="CY72" s="19" t="s">
        <v>151</v>
      </c>
      <c r="CZ72" s="19" t="s">
        <v>151</v>
      </c>
      <c r="DA72" s="24">
        <v>9.9</v>
      </c>
      <c r="DB72" s="22">
        <v>44831</v>
      </c>
      <c r="DC72" s="17" t="s">
        <v>293</v>
      </c>
      <c r="DD72" s="16" t="s">
        <v>151</v>
      </c>
      <c r="DE72" s="19">
        <v>0</v>
      </c>
      <c r="DF72" s="21">
        <v>11</v>
      </c>
      <c r="DG72" s="19">
        <v>0</v>
      </c>
      <c r="DH72" s="19">
        <v>0</v>
      </c>
      <c r="DI72" s="19">
        <v>0</v>
      </c>
      <c r="DJ72" s="21">
        <v>10</v>
      </c>
      <c r="DK72" s="19" t="s">
        <v>151</v>
      </c>
      <c r="DL72" s="21" t="s">
        <v>151</v>
      </c>
      <c r="DM72" s="19">
        <v>0</v>
      </c>
      <c r="DN72" s="21">
        <v>10</v>
      </c>
      <c r="DO72" s="23">
        <v>5.16</v>
      </c>
      <c r="DP72" s="21">
        <v>83</v>
      </c>
      <c r="DQ72" s="23">
        <v>0</v>
      </c>
      <c r="DR72" s="19">
        <v>0</v>
      </c>
      <c r="DS72" s="23">
        <v>5.16</v>
      </c>
      <c r="DT72" s="21">
        <v>83</v>
      </c>
      <c r="DU72" s="23" t="s">
        <v>151</v>
      </c>
      <c r="DV72" s="21" t="s">
        <v>151</v>
      </c>
      <c r="DW72" s="23">
        <v>5.16</v>
      </c>
      <c r="DX72" s="21">
        <v>82</v>
      </c>
      <c r="DY72" s="18" t="s">
        <v>151</v>
      </c>
      <c r="DZ72" s="22" t="s">
        <v>151</v>
      </c>
      <c r="EA72" s="22" t="s">
        <v>151</v>
      </c>
      <c r="EB72" s="21">
        <v>322</v>
      </c>
      <c r="EC72" s="20">
        <v>-34</v>
      </c>
      <c r="ED72" s="19">
        <v>-9.55</v>
      </c>
      <c r="EE72" s="21">
        <v>98</v>
      </c>
      <c r="EF72" s="20">
        <v>0</v>
      </c>
      <c r="EG72" s="19">
        <v>0</v>
      </c>
      <c r="EH72" s="16" t="s">
        <v>198</v>
      </c>
      <c r="EI72" s="17" t="s">
        <v>151</v>
      </c>
      <c r="EJ72" s="17" t="s">
        <v>151</v>
      </c>
      <c r="EK72" s="18">
        <v>2</v>
      </c>
      <c r="EL72" s="18" t="s">
        <v>151</v>
      </c>
      <c r="EM72" s="18">
        <v>3</v>
      </c>
      <c r="EN72" s="18" t="s">
        <v>151</v>
      </c>
      <c r="EO72" s="18" t="s">
        <v>151</v>
      </c>
      <c r="EP72" s="17" t="s">
        <v>1479</v>
      </c>
      <c r="EQ72" s="16">
        <v>1</v>
      </c>
      <c r="ER72" s="16">
        <v>1</v>
      </c>
      <c r="ES72" s="3">
        <f>HYPERLINK("https://my.pitchbook.com?c=481581-91","View Company Online")</f>
      </c>
    </row>
    <row r="73">
      <c r="A73" s="30" t="s">
        <v>1814</v>
      </c>
      <c r="B73" s="30" t="s">
        <v>1815</v>
      </c>
      <c r="C73" s="31">
        <v>3</v>
      </c>
      <c r="D73" s="30" t="s">
        <v>151</v>
      </c>
      <c r="E73" s="30" t="s">
        <v>151</v>
      </c>
      <c r="F73" s="30" t="s">
        <v>1816</v>
      </c>
      <c r="G73" s="30" t="s">
        <v>151</v>
      </c>
      <c r="H73" s="30" t="s">
        <v>151</v>
      </c>
      <c r="I73" s="30" t="s">
        <v>1817</v>
      </c>
      <c r="J73" s="30" t="s">
        <v>1814</v>
      </c>
      <c r="K73" s="30" t="s">
        <v>1818</v>
      </c>
      <c r="L73" s="30" t="s">
        <v>205</v>
      </c>
      <c r="M73" s="30" t="s">
        <v>206</v>
      </c>
      <c r="N73" s="30" t="s">
        <v>269</v>
      </c>
      <c r="O73" s="30" t="s">
        <v>1819</v>
      </c>
      <c r="P73" s="30" t="s">
        <v>1820</v>
      </c>
      <c r="Q73" s="30" t="s">
        <v>1821</v>
      </c>
      <c r="R73" s="30" t="s">
        <v>151</v>
      </c>
      <c r="S73" s="30" t="s">
        <v>162</v>
      </c>
      <c r="T73" s="37">
        <v>9</v>
      </c>
      <c r="U73" s="30" t="s">
        <v>163</v>
      </c>
      <c r="V73" s="30" t="s">
        <v>164</v>
      </c>
      <c r="W73" s="30" t="s">
        <v>165</v>
      </c>
      <c r="X73" s="28" t="s">
        <v>1822</v>
      </c>
      <c r="Y73" s="28" t="s">
        <v>1823</v>
      </c>
      <c r="Z73" s="40">
        <v>30</v>
      </c>
      <c r="AA73" s="30" t="s">
        <v>1824</v>
      </c>
      <c r="AB73" s="30" t="s">
        <v>151</v>
      </c>
      <c r="AC73" s="30" t="s">
        <v>151</v>
      </c>
      <c r="AD73" s="39">
        <v>2018</v>
      </c>
      <c r="AE73" s="30" t="s">
        <v>151</v>
      </c>
      <c r="AF73" s="35">
        <v>45519</v>
      </c>
      <c r="AG73" s="30" t="s">
        <v>151</v>
      </c>
      <c r="AH73" s="30" t="s">
        <v>151</v>
      </c>
      <c r="AI73" s="38" t="s">
        <v>151</v>
      </c>
      <c r="AJ73" s="32" t="s">
        <v>151</v>
      </c>
      <c r="AK73" s="38" t="s">
        <v>151</v>
      </c>
      <c r="AL73" s="38" t="s">
        <v>151</v>
      </c>
      <c r="AM73" s="38" t="s">
        <v>151</v>
      </c>
      <c r="AN73" s="38" t="s">
        <v>151</v>
      </c>
      <c r="AO73" s="38" t="s">
        <v>151</v>
      </c>
      <c r="AP73" s="38" t="s">
        <v>151</v>
      </c>
      <c r="AQ73" s="38" t="s">
        <v>151</v>
      </c>
      <c r="AR73" s="29" t="s">
        <v>151</v>
      </c>
      <c r="AS73" s="30" t="s">
        <v>1825</v>
      </c>
      <c r="AT73" s="30" t="s">
        <v>1826</v>
      </c>
      <c r="AU73" s="31">
        <v>7</v>
      </c>
      <c r="AV73" s="30" t="s">
        <v>151</v>
      </c>
      <c r="AW73" s="30" t="s">
        <v>151</v>
      </c>
      <c r="AX73" s="30" t="s">
        <v>151</v>
      </c>
      <c r="AY73" s="30" t="s">
        <v>1827</v>
      </c>
      <c r="AZ73" s="30" t="s">
        <v>151</v>
      </c>
      <c r="BA73" s="30" t="s">
        <v>151</v>
      </c>
      <c r="BB73" s="30" t="s">
        <v>151</v>
      </c>
      <c r="BC73" s="30" t="s">
        <v>490</v>
      </c>
      <c r="BD73" s="30" t="s">
        <v>1828</v>
      </c>
      <c r="BE73" s="30" t="s">
        <v>1829</v>
      </c>
      <c r="BF73" s="30" t="s">
        <v>493</v>
      </c>
      <c r="BG73" s="30" t="s">
        <v>1830</v>
      </c>
      <c r="BH73" s="30" t="s">
        <v>151</v>
      </c>
      <c r="BI73" s="30" t="s">
        <v>707</v>
      </c>
      <c r="BJ73" s="30" t="s">
        <v>1831</v>
      </c>
      <c r="BK73" s="30" t="s">
        <v>1832</v>
      </c>
      <c r="BL73" s="30" t="s">
        <v>709</v>
      </c>
      <c r="BM73" s="30" t="s">
        <v>184</v>
      </c>
      <c r="BN73" s="29" t="s">
        <v>710</v>
      </c>
      <c r="BO73" s="30" t="s">
        <v>186</v>
      </c>
      <c r="BP73" s="29" t="s">
        <v>151</v>
      </c>
      <c r="BQ73" s="29" t="s">
        <v>151</v>
      </c>
      <c r="BR73" s="30" t="s">
        <v>1833</v>
      </c>
      <c r="BS73" s="30" t="s">
        <v>187</v>
      </c>
      <c r="BT73" s="30" t="s">
        <v>188</v>
      </c>
      <c r="BU73" s="35">
        <v>43466</v>
      </c>
      <c r="BV73" s="37">
        <v>0.22</v>
      </c>
      <c r="BW73" s="30" t="s">
        <v>192</v>
      </c>
      <c r="BX73" s="37" t="s">
        <v>151</v>
      </c>
      <c r="BY73" s="30" t="s">
        <v>151</v>
      </c>
      <c r="BZ73" s="30" t="s">
        <v>501</v>
      </c>
      <c r="CA73" s="30" t="s">
        <v>151</v>
      </c>
      <c r="CB73" s="30" t="s">
        <v>151</v>
      </c>
      <c r="CC73" s="30" t="s">
        <v>190</v>
      </c>
      <c r="CD73" s="30" t="s">
        <v>151</v>
      </c>
      <c r="CE73" s="30" t="s">
        <v>191</v>
      </c>
      <c r="CF73" s="35">
        <v>44866</v>
      </c>
      <c r="CG73" s="37">
        <v>0.05</v>
      </c>
      <c r="CH73" s="30" t="s">
        <v>192</v>
      </c>
      <c r="CI73" s="37" t="s">
        <v>151</v>
      </c>
      <c r="CJ73" s="30" t="s">
        <v>151</v>
      </c>
      <c r="CK73" s="29" t="s">
        <v>151</v>
      </c>
      <c r="CL73" s="30" t="s">
        <v>501</v>
      </c>
      <c r="CM73" s="30" t="s">
        <v>151</v>
      </c>
      <c r="CN73" s="30" t="s">
        <v>151</v>
      </c>
      <c r="CO73" s="30" t="s">
        <v>190</v>
      </c>
      <c r="CP73" s="35">
        <v>44866</v>
      </c>
      <c r="CQ73" s="37" t="s">
        <v>151</v>
      </c>
      <c r="CR73" s="30" t="s">
        <v>151</v>
      </c>
      <c r="CS73" s="30" t="s">
        <v>191</v>
      </c>
      <c r="CT73" s="29">
        <v>85</v>
      </c>
      <c r="CU73" s="30" t="s">
        <v>196</v>
      </c>
      <c r="CV73" s="32">
        <v>78</v>
      </c>
      <c r="CW73" s="32">
        <v>22</v>
      </c>
      <c r="CX73" s="30" t="s">
        <v>294</v>
      </c>
      <c r="CY73" s="32">
        <v>1</v>
      </c>
      <c r="CZ73" s="32">
        <v>77</v>
      </c>
      <c r="DA73" s="37">
        <v>27</v>
      </c>
      <c r="DB73" s="35">
        <v>43894</v>
      </c>
      <c r="DC73" s="30" t="s">
        <v>231</v>
      </c>
      <c r="DD73" s="29" t="s">
        <v>151</v>
      </c>
      <c r="DE73" s="32">
        <v>4.26</v>
      </c>
      <c r="DF73" s="34">
        <v>100</v>
      </c>
      <c r="DG73" s="32">
        <v>0</v>
      </c>
      <c r="DH73" s="32">
        <v>0</v>
      </c>
      <c r="DI73" s="32">
        <v>8.52</v>
      </c>
      <c r="DJ73" s="34">
        <v>100</v>
      </c>
      <c r="DK73" s="32">
        <v>16</v>
      </c>
      <c r="DL73" s="34">
        <v>100</v>
      </c>
      <c r="DM73" s="32">
        <v>1.04</v>
      </c>
      <c r="DN73" s="34">
        <v>97</v>
      </c>
      <c r="DO73" s="36">
        <v>6.87</v>
      </c>
      <c r="DP73" s="34">
        <v>86</v>
      </c>
      <c r="DQ73" s="36">
        <v>0</v>
      </c>
      <c r="DR73" s="32">
        <v>0</v>
      </c>
      <c r="DS73" s="36">
        <v>11.44</v>
      </c>
      <c r="DT73" s="34">
        <v>91</v>
      </c>
      <c r="DU73" s="36">
        <v>14.93</v>
      </c>
      <c r="DV73" s="34">
        <v>89</v>
      </c>
      <c r="DW73" s="36">
        <v>7.95</v>
      </c>
      <c r="DX73" s="34">
        <v>87</v>
      </c>
      <c r="DY73" s="31" t="s">
        <v>151</v>
      </c>
      <c r="DZ73" s="35" t="s">
        <v>151</v>
      </c>
      <c r="EA73" s="35" t="s">
        <v>151</v>
      </c>
      <c r="EB73" s="34">
        <v>3076</v>
      </c>
      <c r="EC73" s="33">
        <v>294</v>
      </c>
      <c r="ED73" s="32">
        <v>10.57</v>
      </c>
      <c r="EE73" s="34">
        <v>151</v>
      </c>
      <c r="EF73" s="33">
        <v>1</v>
      </c>
      <c r="EG73" s="32">
        <v>0.67</v>
      </c>
      <c r="EH73" s="29" t="s">
        <v>198</v>
      </c>
      <c r="EI73" s="30" t="s">
        <v>151</v>
      </c>
      <c r="EJ73" s="30" t="s">
        <v>151</v>
      </c>
      <c r="EK73" s="31">
        <v>2</v>
      </c>
      <c r="EL73" s="31" t="s">
        <v>151</v>
      </c>
      <c r="EM73" s="31">
        <v>2</v>
      </c>
      <c r="EN73" s="31" t="s">
        <v>151</v>
      </c>
      <c r="EO73" s="31">
        <v>1</v>
      </c>
      <c r="EP73" s="30" t="s">
        <v>741</v>
      </c>
      <c r="EQ73" s="29" t="s">
        <v>151</v>
      </c>
      <c r="ER73" s="29" t="s">
        <v>151</v>
      </c>
      <c r="ES73" s="4">
        <f>HYPERLINK("https://my.pitchbook.com?c=432988-48","View Company Online")</f>
      </c>
    </row>
    <row r="74">
      <c r="A74" s="17" t="s">
        <v>1834</v>
      </c>
      <c r="B74" s="17" t="s">
        <v>1835</v>
      </c>
      <c r="C74" s="18">
        <v>3</v>
      </c>
      <c r="D74" s="17" t="s">
        <v>1836</v>
      </c>
      <c r="E74" s="17" t="s">
        <v>1837</v>
      </c>
      <c r="F74" s="17" t="s">
        <v>1838</v>
      </c>
      <c r="G74" s="17" t="s">
        <v>151</v>
      </c>
      <c r="H74" s="17" t="s">
        <v>151</v>
      </c>
      <c r="I74" s="17" t="s">
        <v>151</v>
      </c>
      <c r="J74" s="17" t="s">
        <v>1834</v>
      </c>
      <c r="K74" s="17" t="s">
        <v>1839</v>
      </c>
      <c r="L74" s="17" t="s">
        <v>616</v>
      </c>
      <c r="M74" s="17" t="s">
        <v>834</v>
      </c>
      <c r="N74" s="17" t="s">
        <v>835</v>
      </c>
      <c r="O74" s="17" t="s">
        <v>1840</v>
      </c>
      <c r="P74" s="17" t="s">
        <v>1841</v>
      </c>
      <c r="Q74" s="17" t="s">
        <v>1842</v>
      </c>
      <c r="R74" s="17" t="s">
        <v>151</v>
      </c>
      <c r="S74" s="17" t="s">
        <v>162</v>
      </c>
      <c r="T74" s="24">
        <v>6</v>
      </c>
      <c r="U74" s="17" t="s">
        <v>163</v>
      </c>
      <c r="V74" s="17" t="s">
        <v>164</v>
      </c>
      <c r="W74" s="17" t="s">
        <v>165</v>
      </c>
      <c r="X74" s="15" t="s">
        <v>1843</v>
      </c>
      <c r="Y74" s="15" t="s">
        <v>1844</v>
      </c>
      <c r="Z74" s="27">
        <v>119</v>
      </c>
      <c r="AA74" s="17" t="s">
        <v>1845</v>
      </c>
      <c r="AB74" s="17" t="s">
        <v>151</v>
      </c>
      <c r="AC74" s="17" t="s">
        <v>151</v>
      </c>
      <c r="AD74" s="26">
        <v>2007</v>
      </c>
      <c r="AE74" s="17" t="s">
        <v>151</v>
      </c>
      <c r="AF74" s="22">
        <v>45548</v>
      </c>
      <c r="AG74" s="17" t="s">
        <v>151</v>
      </c>
      <c r="AH74" s="17" t="s">
        <v>151</v>
      </c>
      <c r="AI74" s="25" t="s">
        <v>151</v>
      </c>
      <c r="AJ74" s="19" t="s">
        <v>151</v>
      </c>
      <c r="AK74" s="25" t="s">
        <v>151</v>
      </c>
      <c r="AL74" s="25" t="s">
        <v>151</v>
      </c>
      <c r="AM74" s="25" t="s">
        <v>151</v>
      </c>
      <c r="AN74" s="25" t="s">
        <v>151</v>
      </c>
      <c r="AO74" s="25" t="s">
        <v>151</v>
      </c>
      <c r="AP74" s="25" t="s">
        <v>151</v>
      </c>
      <c r="AQ74" s="25" t="s">
        <v>151</v>
      </c>
      <c r="AR74" s="16" t="s">
        <v>151</v>
      </c>
      <c r="AS74" s="17" t="s">
        <v>1846</v>
      </c>
      <c r="AT74" s="17" t="s">
        <v>1847</v>
      </c>
      <c r="AU74" s="18">
        <v>3</v>
      </c>
      <c r="AV74" s="17" t="s">
        <v>151</v>
      </c>
      <c r="AW74" s="17" t="s">
        <v>151</v>
      </c>
      <c r="AX74" s="17" t="s">
        <v>151</v>
      </c>
      <c r="AY74" s="17" t="s">
        <v>1848</v>
      </c>
      <c r="AZ74" s="17" t="s">
        <v>151</v>
      </c>
      <c r="BA74" s="17" t="s">
        <v>151</v>
      </c>
      <c r="BB74" s="17" t="s">
        <v>151</v>
      </c>
      <c r="BC74" s="17" t="s">
        <v>1849</v>
      </c>
      <c r="BD74" s="17" t="s">
        <v>1850</v>
      </c>
      <c r="BE74" s="17" t="s">
        <v>1851</v>
      </c>
      <c r="BF74" s="17" t="s">
        <v>1852</v>
      </c>
      <c r="BG74" s="17" t="s">
        <v>1853</v>
      </c>
      <c r="BH74" s="17" t="s">
        <v>1854</v>
      </c>
      <c r="BI74" s="17" t="s">
        <v>1855</v>
      </c>
      <c r="BJ74" s="17" t="s">
        <v>1856</v>
      </c>
      <c r="BK74" s="17" t="s">
        <v>1857</v>
      </c>
      <c r="BL74" s="17" t="s">
        <v>1858</v>
      </c>
      <c r="BM74" s="17" t="s">
        <v>184</v>
      </c>
      <c r="BN74" s="16" t="s">
        <v>1859</v>
      </c>
      <c r="BO74" s="17" t="s">
        <v>186</v>
      </c>
      <c r="BP74" s="16" t="s">
        <v>1854</v>
      </c>
      <c r="BQ74" s="16" t="s">
        <v>151</v>
      </c>
      <c r="BR74" s="17" t="s">
        <v>151</v>
      </c>
      <c r="BS74" s="17" t="s">
        <v>187</v>
      </c>
      <c r="BT74" s="17" t="s">
        <v>188</v>
      </c>
      <c r="BU74" s="22">
        <v>44306</v>
      </c>
      <c r="BV74" s="24">
        <v>6</v>
      </c>
      <c r="BW74" s="17" t="s">
        <v>192</v>
      </c>
      <c r="BX74" s="24" t="s">
        <v>151</v>
      </c>
      <c r="BY74" s="17" t="s">
        <v>151</v>
      </c>
      <c r="BZ74" s="17" t="s">
        <v>194</v>
      </c>
      <c r="CA74" s="17" t="s">
        <v>232</v>
      </c>
      <c r="CB74" s="17" t="s">
        <v>151</v>
      </c>
      <c r="CC74" s="17" t="s">
        <v>165</v>
      </c>
      <c r="CD74" s="17" t="s">
        <v>151</v>
      </c>
      <c r="CE74" s="17" t="s">
        <v>191</v>
      </c>
      <c r="CF74" s="22">
        <v>44306</v>
      </c>
      <c r="CG74" s="24">
        <v>6</v>
      </c>
      <c r="CH74" s="17" t="s">
        <v>192</v>
      </c>
      <c r="CI74" s="24" t="s">
        <v>151</v>
      </c>
      <c r="CJ74" s="17" t="s">
        <v>151</v>
      </c>
      <c r="CK74" s="16" t="s">
        <v>151</v>
      </c>
      <c r="CL74" s="17" t="s">
        <v>194</v>
      </c>
      <c r="CM74" s="17" t="s">
        <v>232</v>
      </c>
      <c r="CN74" s="17" t="s">
        <v>151</v>
      </c>
      <c r="CO74" s="17" t="s">
        <v>165</v>
      </c>
      <c r="CP74" s="22">
        <v>44306</v>
      </c>
      <c r="CQ74" s="24" t="s">
        <v>151</v>
      </c>
      <c r="CR74" s="17" t="s">
        <v>151</v>
      </c>
      <c r="CS74" s="17" t="s">
        <v>191</v>
      </c>
      <c r="CT74" s="16" t="s">
        <v>151</v>
      </c>
      <c r="CU74" s="17" t="s">
        <v>151</v>
      </c>
      <c r="CV74" s="19" t="s">
        <v>151</v>
      </c>
      <c r="CW74" s="19" t="s">
        <v>151</v>
      </c>
      <c r="CX74" s="17" t="s">
        <v>151</v>
      </c>
      <c r="CY74" s="19" t="s">
        <v>151</v>
      </c>
      <c r="CZ74" s="19" t="s">
        <v>151</v>
      </c>
      <c r="DA74" s="24" t="s">
        <v>151</v>
      </c>
      <c r="DB74" s="22" t="s">
        <v>151</v>
      </c>
      <c r="DC74" s="17" t="s">
        <v>151</v>
      </c>
      <c r="DD74" s="16" t="s">
        <v>151</v>
      </c>
      <c r="DE74" s="19">
        <v>0</v>
      </c>
      <c r="DF74" s="21">
        <v>11</v>
      </c>
      <c r="DG74" s="19">
        <v>0</v>
      </c>
      <c r="DH74" s="19">
        <v>0</v>
      </c>
      <c r="DI74" s="19">
        <v>0</v>
      </c>
      <c r="DJ74" s="21">
        <v>10</v>
      </c>
      <c r="DK74" s="19">
        <v>0</v>
      </c>
      <c r="DL74" s="21">
        <v>11</v>
      </c>
      <c r="DM74" s="19" t="s">
        <v>151</v>
      </c>
      <c r="DN74" s="21" t="s">
        <v>151</v>
      </c>
      <c r="DO74" s="23">
        <v>3.93</v>
      </c>
      <c r="DP74" s="21">
        <v>79</v>
      </c>
      <c r="DQ74" s="23">
        <v>0</v>
      </c>
      <c r="DR74" s="19">
        <v>0</v>
      </c>
      <c r="DS74" s="23">
        <v>3.93</v>
      </c>
      <c r="DT74" s="21">
        <v>79</v>
      </c>
      <c r="DU74" s="23">
        <v>3.93</v>
      </c>
      <c r="DV74" s="21">
        <v>79</v>
      </c>
      <c r="DW74" s="23" t="s">
        <v>151</v>
      </c>
      <c r="DX74" s="21" t="s">
        <v>151</v>
      </c>
      <c r="DY74" s="18">
        <v>49</v>
      </c>
      <c r="DZ74" s="22">
        <v>45551</v>
      </c>
      <c r="EA74" s="22" t="s">
        <v>1860</v>
      </c>
      <c r="EB74" s="21">
        <v>809</v>
      </c>
      <c r="EC74" s="20">
        <v>8</v>
      </c>
      <c r="ED74" s="19">
        <v>1</v>
      </c>
      <c r="EE74" s="21" t="s">
        <v>151</v>
      </c>
      <c r="EF74" s="20" t="s">
        <v>151</v>
      </c>
      <c r="EG74" s="19" t="s">
        <v>151</v>
      </c>
      <c r="EH74" s="16" t="s">
        <v>198</v>
      </c>
      <c r="EI74" s="17" t="s">
        <v>151</v>
      </c>
      <c r="EJ74" s="17" t="s">
        <v>151</v>
      </c>
      <c r="EK74" s="18">
        <v>2</v>
      </c>
      <c r="EL74" s="18">
        <v>2</v>
      </c>
      <c r="EM74" s="18" t="s">
        <v>151</v>
      </c>
      <c r="EN74" s="18" t="s">
        <v>151</v>
      </c>
      <c r="EO74" s="18">
        <v>1</v>
      </c>
      <c r="EP74" s="17" t="s">
        <v>741</v>
      </c>
      <c r="EQ74" s="16" t="s">
        <v>151</v>
      </c>
      <c r="ER74" s="16" t="s">
        <v>151</v>
      </c>
      <c r="ES74" s="3">
        <f>HYPERLINK("https://my.pitchbook.com?c=234603-82","View Company Online")</f>
      </c>
    </row>
    <row r="75">
      <c r="A75" s="30" t="s">
        <v>1861</v>
      </c>
      <c r="B75" s="30" t="s">
        <v>1862</v>
      </c>
      <c r="C75" s="31">
        <v>3</v>
      </c>
      <c r="D75" s="30" t="s">
        <v>151</v>
      </c>
      <c r="E75" s="30" t="s">
        <v>1863</v>
      </c>
      <c r="F75" s="30" t="s">
        <v>1864</v>
      </c>
      <c r="G75" s="30" t="s">
        <v>151</v>
      </c>
      <c r="H75" s="30" t="s">
        <v>151</v>
      </c>
      <c r="I75" s="30" t="s">
        <v>1865</v>
      </c>
      <c r="J75" s="30" t="s">
        <v>1861</v>
      </c>
      <c r="K75" s="30" t="s">
        <v>1866</v>
      </c>
      <c r="L75" s="30" t="s">
        <v>205</v>
      </c>
      <c r="M75" s="30" t="s">
        <v>206</v>
      </c>
      <c r="N75" s="30" t="s">
        <v>207</v>
      </c>
      <c r="O75" s="30" t="s">
        <v>1867</v>
      </c>
      <c r="P75" s="30" t="s">
        <v>1868</v>
      </c>
      <c r="Q75" s="30" t="s">
        <v>1869</v>
      </c>
      <c r="R75" s="30" t="s">
        <v>151</v>
      </c>
      <c r="S75" s="30" t="s">
        <v>162</v>
      </c>
      <c r="T75" s="37">
        <v>2.61</v>
      </c>
      <c r="U75" s="30" t="s">
        <v>1870</v>
      </c>
      <c r="V75" s="30" t="s">
        <v>164</v>
      </c>
      <c r="W75" s="30" t="s">
        <v>165</v>
      </c>
      <c r="X75" s="28" t="s">
        <v>1871</v>
      </c>
      <c r="Y75" s="28" t="s">
        <v>1872</v>
      </c>
      <c r="Z75" s="40">
        <v>18</v>
      </c>
      <c r="AA75" s="30" t="s">
        <v>1873</v>
      </c>
      <c r="AB75" s="30" t="s">
        <v>151</v>
      </c>
      <c r="AC75" s="30" t="s">
        <v>151</v>
      </c>
      <c r="AD75" s="39">
        <v>2021</v>
      </c>
      <c r="AE75" s="30" t="s">
        <v>151</v>
      </c>
      <c r="AF75" s="35">
        <v>45579</v>
      </c>
      <c r="AG75" s="30" t="s">
        <v>151</v>
      </c>
      <c r="AH75" s="30" t="s">
        <v>151</v>
      </c>
      <c r="AI75" s="38" t="s">
        <v>151</v>
      </c>
      <c r="AJ75" s="32" t="s">
        <v>151</v>
      </c>
      <c r="AK75" s="38" t="s">
        <v>151</v>
      </c>
      <c r="AL75" s="38">
        <v>-0.5</v>
      </c>
      <c r="AM75" s="38" t="s">
        <v>151</v>
      </c>
      <c r="AN75" s="38" t="s">
        <v>151</v>
      </c>
      <c r="AO75" s="38" t="s">
        <v>151</v>
      </c>
      <c r="AP75" s="38" t="s">
        <v>151</v>
      </c>
      <c r="AQ75" s="38" t="s">
        <v>151</v>
      </c>
      <c r="AR75" s="29" t="s">
        <v>810</v>
      </c>
      <c r="AS75" s="30" t="s">
        <v>1874</v>
      </c>
      <c r="AT75" s="30" t="s">
        <v>1875</v>
      </c>
      <c r="AU75" s="31">
        <v>16</v>
      </c>
      <c r="AV75" s="30" t="s">
        <v>151</v>
      </c>
      <c r="AW75" s="30" t="s">
        <v>151</v>
      </c>
      <c r="AX75" s="30" t="s">
        <v>151</v>
      </c>
      <c r="AY75" s="30" t="s">
        <v>1876</v>
      </c>
      <c r="AZ75" s="30" t="s">
        <v>151</v>
      </c>
      <c r="BA75" s="30" t="s">
        <v>151</v>
      </c>
      <c r="BB75" s="30" t="s">
        <v>151</v>
      </c>
      <c r="BC75" s="30" t="s">
        <v>1214</v>
      </c>
      <c r="BD75" s="30" t="s">
        <v>1877</v>
      </c>
      <c r="BE75" s="30" t="s">
        <v>1878</v>
      </c>
      <c r="BF75" s="30" t="s">
        <v>1879</v>
      </c>
      <c r="BG75" s="30" t="s">
        <v>1880</v>
      </c>
      <c r="BH75" s="30" t="s">
        <v>1881</v>
      </c>
      <c r="BI75" s="30" t="s">
        <v>1882</v>
      </c>
      <c r="BJ75" s="30" t="s">
        <v>1883</v>
      </c>
      <c r="BK75" s="30" t="s">
        <v>151</v>
      </c>
      <c r="BL75" s="30" t="s">
        <v>1884</v>
      </c>
      <c r="BM75" s="30" t="s">
        <v>525</v>
      </c>
      <c r="BN75" s="29" t="s">
        <v>1885</v>
      </c>
      <c r="BO75" s="30" t="s">
        <v>186</v>
      </c>
      <c r="BP75" s="29" t="s">
        <v>1881</v>
      </c>
      <c r="BQ75" s="29" t="s">
        <v>151</v>
      </c>
      <c r="BR75" s="30" t="s">
        <v>1886</v>
      </c>
      <c r="BS75" s="30" t="s">
        <v>187</v>
      </c>
      <c r="BT75" s="30" t="s">
        <v>188</v>
      </c>
      <c r="BU75" s="35">
        <v>44197</v>
      </c>
      <c r="BV75" s="37">
        <v>0.05</v>
      </c>
      <c r="BW75" s="30" t="s">
        <v>192</v>
      </c>
      <c r="BX75" s="37" t="s">
        <v>151</v>
      </c>
      <c r="BY75" s="30" t="s">
        <v>151</v>
      </c>
      <c r="BZ75" s="30" t="s">
        <v>189</v>
      </c>
      <c r="CA75" s="30" t="s">
        <v>151</v>
      </c>
      <c r="CB75" s="30" t="s">
        <v>151</v>
      </c>
      <c r="CC75" s="30" t="s">
        <v>190</v>
      </c>
      <c r="CD75" s="30" t="s">
        <v>151</v>
      </c>
      <c r="CE75" s="30" t="s">
        <v>191</v>
      </c>
      <c r="CF75" s="35" t="s">
        <v>151</v>
      </c>
      <c r="CG75" s="37" t="s">
        <v>151</v>
      </c>
      <c r="CH75" s="30" t="s">
        <v>151</v>
      </c>
      <c r="CI75" s="37" t="s">
        <v>151</v>
      </c>
      <c r="CJ75" s="30" t="s">
        <v>151</v>
      </c>
      <c r="CK75" s="29" t="s">
        <v>151</v>
      </c>
      <c r="CL75" s="30" t="s">
        <v>194</v>
      </c>
      <c r="CM75" s="30" t="s">
        <v>232</v>
      </c>
      <c r="CN75" s="30" t="s">
        <v>151</v>
      </c>
      <c r="CO75" s="30" t="s">
        <v>165</v>
      </c>
      <c r="CP75" s="35" t="s">
        <v>151</v>
      </c>
      <c r="CQ75" s="37" t="s">
        <v>151</v>
      </c>
      <c r="CR75" s="30" t="s">
        <v>151</v>
      </c>
      <c r="CS75" s="30" t="s">
        <v>1887</v>
      </c>
      <c r="CT75" s="29" t="s">
        <v>151</v>
      </c>
      <c r="CU75" s="30" t="s">
        <v>151</v>
      </c>
      <c r="CV75" s="32" t="s">
        <v>151</v>
      </c>
      <c r="CW75" s="32" t="s">
        <v>151</v>
      </c>
      <c r="CX75" s="30" t="s">
        <v>151</v>
      </c>
      <c r="CY75" s="32" t="s">
        <v>151</v>
      </c>
      <c r="CZ75" s="32" t="s">
        <v>151</v>
      </c>
      <c r="DA75" s="37">
        <v>40</v>
      </c>
      <c r="DB75" s="35">
        <v>44718</v>
      </c>
      <c r="DC75" s="30" t="s">
        <v>293</v>
      </c>
      <c r="DD75" s="29" t="s">
        <v>151</v>
      </c>
      <c r="DE75" s="32">
        <v>-0.49</v>
      </c>
      <c r="DF75" s="34">
        <v>7</v>
      </c>
      <c r="DG75" s="32">
        <v>0</v>
      </c>
      <c r="DH75" s="32">
        <v>0</v>
      </c>
      <c r="DI75" s="32">
        <v>-0.99</v>
      </c>
      <c r="DJ75" s="34">
        <v>4</v>
      </c>
      <c r="DK75" s="32" t="s">
        <v>151</v>
      </c>
      <c r="DL75" s="34" t="s">
        <v>151</v>
      </c>
      <c r="DM75" s="32">
        <v>-0.99</v>
      </c>
      <c r="DN75" s="34">
        <v>4</v>
      </c>
      <c r="DO75" s="36">
        <v>3.56</v>
      </c>
      <c r="DP75" s="34">
        <v>77</v>
      </c>
      <c r="DQ75" s="36">
        <v>0</v>
      </c>
      <c r="DR75" s="32">
        <v>0</v>
      </c>
      <c r="DS75" s="36">
        <v>5.74</v>
      </c>
      <c r="DT75" s="34">
        <v>84</v>
      </c>
      <c r="DU75" s="36" t="s">
        <v>151</v>
      </c>
      <c r="DV75" s="34" t="s">
        <v>151</v>
      </c>
      <c r="DW75" s="36">
        <v>5.74</v>
      </c>
      <c r="DX75" s="34">
        <v>83</v>
      </c>
      <c r="DY75" s="31" t="s">
        <v>151</v>
      </c>
      <c r="DZ75" s="35" t="s">
        <v>151</v>
      </c>
      <c r="EA75" s="35" t="s">
        <v>151</v>
      </c>
      <c r="EB75" s="34">
        <v>1555</v>
      </c>
      <c r="EC75" s="33">
        <v>-15</v>
      </c>
      <c r="ED75" s="32">
        <v>-0.96</v>
      </c>
      <c r="EE75" s="34">
        <v>109</v>
      </c>
      <c r="EF75" s="33">
        <v>-1</v>
      </c>
      <c r="EG75" s="32">
        <v>-0.91</v>
      </c>
      <c r="EH75" s="29" t="s">
        <v>198</v>
      </c>
      <c r="EI75" s="30" t="s">
        <v>151</v>
      </c>
      <c r="EJ75" s="30" t="s">
        <v>151</v>
      </c>
      <c r="EK75" s="31">
        <v>1</v>
      </c>
      <c r="EL75" s="31">
        <v>2</v>
      </c>
      <c r="EM75" s="31">
        <v>1</v>
      </c>
      <c r="EN75" s="31" t="s">
        <v>151</v>
      </c>
      <c r="EO75" s="31" t="s">
        <v>151</v>
      </c>
      <c r="EP75" s="30" t="s">
        <v>1888</v>
      </c>
      <c r="EQ75" s="29" t="s">
        <v>151</v>
      </c>
      <c r="ER75" s="29" t="s">
        <v>151</v>
      </c>
      <c r="ES75" s="4">
        <f>HYPERLINK("https://my.pitchbook.com?c=464065-48","View Company Online")</f>
      </c>
    </row>
    <row r="76">
      <c r="A76" s="17" t="s">
        <v>1889</v>
      </c>
      <c r="B76" s="17" t="s">
        <v>1890</v>
      </c>
      <c r="C76" s="18">
        <v>3</v>
      </c>
      <c r="D76" s="17" t="s">
        <v>151</v>
      </c>
      <c r="E76" s="17" t="s">
        <v>1891</v>
      </c>
      <c r="F76" s="17" t="s">
        <v>1892</v>
      </c>
      <c r="G76" s="17" t="s">
        <v>151</v>
      </c>
      <c r="H76" s="17" t="s">
        <v>151</v>
      </c>
      <c r="I76" s="17" t="s">
        <v>1893</v>
      </c>
      <c r="J76" s="17" t="s">
        <v>1889</v>
      </c>
      <c r="K76" s="17" t="s">
        <v>1894</v>
      </c>
      <c r="L76" s="17" t="s">
        <v>205</v>
      </c>
      <c r="M76" s="17" t="s">
        <v>206</v>
      </c>
      <c r="N76" s="17" t="s">
        <v>269</v>
      </c>
      <c r="O76" s="17" t="s">
        <v>1420</v>
      </c>
      <c r="P76" s="17" t="s">
        <v>1895</v>
      </c>
      <c r="Q76" s="17" t="s">
        <v>1896</v>
      </c>
      <c r="R76" s="17" t="s">
        <v>151</v>
      </c>
      <c r="S76" s="17" t="s">
        <v>162</v>
      </c>
      <c r="T76" s="24">
        <v>31.06</v>
      </c>
      <c r="U76" s="17" t="s">
        <v>163</v>
      </c>
      <c r="V76" s="17" t="s">
        <v>164</v>
      </c>
      <c r="W76" s="17" t="s">
        <v>165</v>
      </c>
      <c r="X76" s="15" t="s">
        <v>1897</v>
      </c>
      <c r="Y76" s="15" t="s">
        <v>1898</v>
      </c>
      <c r="Z76" s="27">
        <v>34</v>
      </c>
      <c r="AA76" s="17" t="s">
        <v>1899</v>
      </c>
      <c r="AB76" s="17" t="s">
        <v>151</v>
      </c>
      <c r="AC76" s="17" t="s">
        <v>151</v>
      </c>
      <c r="AD76" s="26">
        <v>2018</v>
      </c>
      <c r="AE76" s="17" t="s">
        <v>151</v>
      </c>
      <c r="AF76" s="22">
        <v>45552</v>
      </c>
      <c r="AG76" s="17" t="s">
        <v>151</v>
      </c>
      <c r="AH76" s="17" t="s">
        <v>151</v>
      </c>
      <c r="AI76" s="25" t="s">
        <v>151</v>
      </c>
      <c r="AJ76" s="19" t="s">
        <v>151</v>
      </c>
      <c r="AK76" s="25" t="s">
        <v>151</v>
      </c>
      <c r="AL76" s="25" t="s">
        <v>151</v>
      </c>
      <c r="AM76" s="25" t="s">
        <v>151</v>
      </c>
      <c r="AN76" s="25" t="s">
        <v>151</v>
      </c>
      <c r="AO76" s="25" t="s">
        <v>151</v>
      </c>
      <c r="AP76" s="25" t="s">
        <v>151</v>
      </c>
      <c r="AQ76" s="25" t="s">
        <v>151</v>
      </c>
      <c r="AR76" s="16" t="s">
        <v>151</v>
      </c>
      <c r="AS76" s="17" t="s">
        <v>1900</v>
      </c>
      <c r="AT76" s="17" t="s">
        <v>1901</v>
      </c>
      <c r="AU76" s="18">
        <v>4</v>
      </c>
      <c r="AV76" s="17" t="s">
        <v>151</v>
      </c>
      <c r="AW76" s="17" t="s">
        <v>151</v>
      </c>
      <c r="AX76" s="17" t="s">
        <v>151</v>
      </c>
      <c r="AY76" s="17" t="s">
        <v>1902</v>
      </c>
      <c r="AZ76" s="17" t="s">
        <v>151</v>
      </c>
      <c r="BA76" s="17" t="s">
        <v>151</v>
      </c>
      <c r="BB76" s="17" t="s">
        <v>151</v>
      </c>
      <c r="BC76" s="17" t="s">
        <v>1903</v>
      </c>
      <c r="BD76" s="17" t="s">
        <v>1904</v>
      </c>
      <c r="BE76" s="17" t="s">
        <v>1905</v>
      </c>
      <c r="BF76" s="17" t="s">
        <v>1906</v>
      </c>
      <c r="BG76" s="17" t="s">
        <v>1907</v>
      </c>
      <c r="BH76" s="17" t="s">
        <v>1908</v>
      </c>
      <c r="BI76" s="17" t="s">
        <v>1909</v>
      </c>
      <c r="BJ76" s="17" t="s">
        <v>1910</v>
      </c>
      <c r="BK76" s="17" t="s">
        <v>1911</v>
      </c>
      <c r="BL76" s="17" t="s">
        <v>1912</v>
      </c>
      <c r="BM76" s="17" t="s">
        <v>1072</v>
      </c>
      <c r="BN76" s="16" t="s">
        <v>1913</v>
      </c>
      <c r="BO76" s="17" t="s">
        <v>186</v>
      </c>
      <c r="BP76" s="16" t="s">
        <v>1908</v>
      </c>
      <c r="BQ76" s="16" t="s">
        <v>151</v>
      </c>
      <c r="BR76" s="17" t="s">
        <v>1914</v>
      </c>
      <c r="BS76" s="17" t="s">
        <v>187</v>
      </c>
      <c r="BT76" s="17" t="s">
        <v>188</v>
      </c>
      <c r="BU76" s="22">
        <v>44426</v>
      </c>
      <c r="BV76" s="24">
        <v>13.06</v>
      </c>
      <c r="BW76" s="17" t="s">
        <v>192</v>
      </c>
      <c r="BX76" s="24">
        <v>33.06</v>
      </c>
      <c r="BY76" s="17" t="s">
        <v>192</v>
      </c>
      <c r="BZ76" s="17" t="s">
        <v>231</v>
      </c>
      <c r="CA76" s="17" t="s">
        <v>232</v>
      </c>
      <c r="CB76" s="17" t="s">
        <v>151</v>
      </c>
      <c r="CC76" s="17" t="s">
        <v>165</v>
      </c>
      <c r="CD76" s="17" t="s">
        <v>151</v>
      </c>
      <c r="CE76" s="17" t="s">
        <v>191</v>
      </c>
      <c r="CF76" s="22">
        <v>45327</v>
      </c>
      <c r="CG76" s="24">
        <v>8</v>
      </c>
      <c r="CH76" s="17" t="s">
        <v>193</v>
      </c>
      <c r="CI76" s="24">
        <v>16.2</v>
      </c>
      <c r="CJ76" s="17" t="s">
        <v>193</v>
      </c>
      <c r="CK76" s="16">
        <v>0.25</v>
      </c>
      <c r="CL76" s="17" t="s">
        <v>194</v>
      </c>
      <c r="CM76" s="17" t="s">
        <v>326</v>
      </c>
      <c r="CN76" s="17" t="s">
        <v>151</v>
      </c>
      <c r="CO76" s="17" t="s">
        <v>165</v>
      </c>
      <c r="CP76" s="22">
        <v>45327</v>
      </c>
      <c r="CQ76" s="24" t="s">
        <v>151</v>
      </c>
      <c r="CR76" s="17" t="s">
        <v>151</v>
      </c>
      <c r="CS76" s="17" t="s">
        <v>191</v>
      </c>
      <c r="CT76" s="16">
        <v>68</v>
      </c>
      <c r="CU76" s="17" t="s">
        <v>196</v>
      </c>
      <c r="CV76" s="19">
        <v>79</v>
      </c>
      <c r="CW76" s="19">
        <v>21</v>
      </c>
      <c r="CX76" s="17" t="s">
        <v>294</v>
      </c>
      <c r="CY76" s="19">
        <v>1</v>
      </c>
      <c r="CZ76" s="19">
        <v>78</v>
      </c>
      <c r="DA76" s="24">
        <v>16.2</v>
      </c>
      <c r="DB76" s="22">
        <v>45327</v>
      </c>
      <c r="DC76" s="17" t="s">
        <v>194</v>
      </c>
      <c r="DD76" s="16">
        <v>0.25</v>
      </c>
      <c r="DE76" s="19">
        <v>0.38</v>
      </c>
      <c r="DF76" s="21">
        <v>93</v>
      </c>
      <c r="DG76" s="19">
        <v>0</v>
      </c>
      <c r="DH76" s="19">
        <v>0</v>
      </c>
      <c r="DI76" s="19" t="s">
        <v>151</v>
      </c>
      <c r="DJ76" s="21" t="s">
        <v>151</v>
      </c>
      <c r="DK76" s="19" t="s">
        <v>151</v>
      </c>
      <c r="DL76" s="21" t="s">
        <v>151</v>
      </c>
      <c r="DM76" s="19" t="s">
        <v>151</v>
      </c>
      <c r="DN76" s="21" t="s">
        <v>151</v>
      </c>
      <c r="DO76" s="23">
        <v>2.62</v>
      </c>
      <c r="DP76" s="21">
        <v>72</v>
      </c>
      <c r="DQ76" s="23">
        <v>0</v>
      </c>
      <c r="DR76" s="19">
        <v>0</v>
      </c>
      <c r="DS76" s="23" t="s">
        <v>151</v>
      </c>
      <c r="DT76" s="21" t="s">
        <v>151</v>
      </c>
      <c r="DU76" s="23" t="s">
        <v>151</v>
      </c>
      <c r="DV76" s="21" t="s">
        <v>151</v>
      </c>
      <c r="DW76" s="23" t="s">
        <v>151</v>
      </c>
      <c r="DX76" s="21" t="s">
        <v>151</v>
      </c>
      <c r="DY76" s="18">
        <v>1</v>
      </c>
      <c r="DZ76" s="22">
        <v>44637</v>
      </c>
      <c r="EA76" s="22" t="s">
        <v>151</v>
      </c>
      <c r="EB76" s="21">
        <v>250</v>
      </c>
      <c r="EC76" s="20">
        <v>-97</v>
      </c>
      <c r="ED76" s="19">
        <v>-27.95</v>
      </c>
      <c r="EE76" s="21" t="s">
        <v>151</v>
      </c>
      <c r="EF76" s="20" t="s">
        <v>151</v>
      </c>
      <c r="EG76" s="19" t="s">
        <v>151</v>
      </c>
      <c r="EH76" s="16" t="s">
        <v>198</v>
      </c>
      <c r="EI76" s="17" t="s">
        <v>151</v>
      </c>
      <c r="EJ76" s="17" t="s">
        <v>151</v>
      </c>
      <c r="EK76" s="18">
        <v>1</v>
      </c>
      <c r="EL76" s="18">
        <v>1</v>
      </c>
      <c r="EM76" s="18">
        <v>2</v>
      </c>
      <c r="EN76" s="18" t="s">
        <v>151</v>
      </c>
      <c r="EO76" s="18" t="s">
        <v>151</v>
      </c>
      <c r="EP76" s="17" t="s">
        <v>741</v>
      </c>
      <c r="EQ76" s="16" t="s">
        <v>151</v>
      </c>
      <c r="ER76" s="16" t="s">
        <v>151</v>
      </c>
      <c r="ES76" s="3">
        <f>HYPERLINK("https://my.pitchbook.com?c=432914-05","View Company Online")</f>
      </c>
    </row>
    <row r="77">
      <c r="A77" s="30" t="s">
        <v>1915</v>
      </c>
      <c r="B77" s="30" t="s">
        <v>1916</v>
      </c>
      <c r="C77" s="31">
        <v>3</v>
      </c>
      <c r="D77" s="30" t="s">
        <v>151</v>
      </c>
      <c r="E77" s="30" t="s">
        <v>1917</v>
      </c>
      <c r="F77" s="30" t="s">
        <v>1918</v>
      </c>
      <c r="G77" s="30" t="s">
        <v>151</v>
      </c>
      <c r="H77" s="30" t="s">
        <v>151</v>
      </c>
      <c r="I77" s="30" t="s">
        <v>151</v>
      </c>
      <c r="J77" s="30" t="s">
        <v>1915</v>
      </c>
      <c r="K77" s="30" t="s">
        <v>1919</v>
      </c>
      <c r="L77" s="30" t="s">
        <v>205</v>
      </c>
      <c r="M77" s="30" t="s">
        <v>206</v>
      </c>
      <c r="N77" s="30" t="s">
        <v>269</v>
      </c>
      <c r="O77" s="30" t="s">
        <v>563</v>
      </c>
      <c r="P77" s="30" t="s">
        <v>866</v>
      </c>
      <c r="Q77" s="30" t="s">
        <v>1920</v>
      </c>
      <c r="R77" s="30" t="s">
        <v>151</v>
      </c>
      <c r="S77" s="30" t="s">
        <v>162</v>
      </c>
      <c r="T77" s="37">
        <v>2.3</v>
      </c>
      <c r="U77" s="30" t="s">
        <v>163</v>
      </c>
      <c r="V77" s="30" t="s">
        <v>164</v>
      </c>
      <c r="W77" s="30" t="s">
        <v>165</v>
      </c>
      <c r="X77" s="28" t="s">
        <v>1921</v>
      </c>
      <c r="Y77" s="28" t="s">
        <v>1922</v>
      </c>
      <c r="Z77" s="40">
        <v>16</v>
      </c>
      <c r="AA77" s="30" t="s">
        <v>1923</v>
      </c>
      <c r="AB77" s="30" t="s">
        <v>151</v>
      </c>
      <c r="AC77" s="30" t="s">
        <v>151</v>
      </c>
      <c r="AD77" s="39">
        <v>2018</v>
      </c>
      <c r="AE77" s="30" t="s">
        <v>151</v>
      </c>
      <c r="AF77" s="35">
        <v>45462</v>
      </c>
      <c r="AG77" s="30" t="s">
        <v>151</v>
      </c>
      <c r="AH77" s="30" t="s">
        <v>151</v>
      </c>
      <c r="AI77" s="38" t="s">
        <v>151</v>
      </c>
      <c r="AJ77" s="32" t="s">
        <v>151</v>
      </c>
      <c r="AK77" s="38" t="s">
        <v>151</v>
      </c>
      <c r="AL77" s="38" t="s">
        <v>151</v>
      </c>
      <c r="AM77" s="38" t="s">
        <v>151</v>
      </c>
      <c r="AN77" s="38" t="s">
        <v>151</v>
      </c>
      <c r="AO77" s="38" t="s">
        <v>151</v>
      </c>
      <c r="AP77" s="38" t="s">
        <v>151</v>
      </c>
      <c r="AQ77" s="38" t="s">
        <v>151</v>
      </c>
      <c r="AR77" s="29" t="s">
        <v>151</v>
      </c>
      <c r="AS77" s="30" t="s">
        <v>1924</v>
      </c>
      <c r="AT77" s="30" t="s">
        <v>1925</v>
      </c>
      <c r="AU77" s="31">
        <v>11</v>
      </c>
      <c r="AV77" s="30" t="s">
        <v>151</v>
      </c>
      <c r="AW77" s="30" t="s">
        <v>151</v>
      </c>
      <c r="AX77" s="30" t="s">
        <v>151</v>
      </c>
      <c r="AY77" s="30" t="s">
        <v>1926</v>
      </c>
      <c r="AZ77" s="30" t="s">
        <v>151</v>
      </c>
      <c r="BA77" s="30" t="s">
        <v>151</v>
      </c>
      <c r="BB77" s="30" t="s">
        <v>151</v>
      </c>
      <c r="BC77" s="30" t="s">
        <v>151</v>
      </c>
      <c r="BD77" s="30" t="s">
        <v>1927</v>
      </c>
      <c r="BE77" s="30" t="s">
        <v>1928</v>
      </c>
      <c r="BF77" s="30" t="s">
        <v>1929</v>
      </c>
      <c r="BG77" s="30" t="s">
        <v>1930</v>
      </c>
      <c r="BH77" s="30" t="s">
        <v>1931</v>
      </c>
      <c r="BI77" s="30" t="s">
        <v>906</v>
      </c>
      <c r="BJ77" s="30" t="s">
        <v>1932</v>
      </c>
      <c r="BK77" s="30" t="s">
        <v>151</v>
      </c>
      <c r="BL77" s="30" t="s">
        <v>259</v>
      </c>
      <c r="BM77" s="30" t="s">
        <v>259</v>
      </c>
      <c r="BN77" s="29" t="s">
        <v>1933</v>
      </c>
      <c r="BO77" s="30" t="s">
        <v>186</v>
      </c>
      <c r="BP77" s="29" t="s">
        <v>1931</v>
      </c>
      <c r="BQ77" s="29" t="s">
        <v>151</v>
      </c>
      <c r="BR77" s="30" t="s">
        <v>1934</v>
      </c>
      <c r="BS77" s="30" t="s">
        <v>187</v>
      </c>
      <c r="BT77" s="30" t="s">
        <v>188</v>
      </c>
      <c r="BU77" s="35">
        <v>44183</v>
      </c>
      <c r="BV77" s="37">
        <v>0.53</v>
      </c>
      <c r="BW77" s="30" t="s">
        <v>192</v>
      </c>
      <c r="BX77" s="37" t="s">
        <v>151</v>
      </c>
      <c r="BY77" s="30" t="s">
        <v>151</v>
      </c>
      <c r="BZ77" s="30" t="s">
        <v>293</v>
      </c>
      <c r="CA77" s="30" t="s">
        <v>293</v>
      </c>
      <c r="CB77" s="30" t="s">
        <v>151</v>
      </c>
      <c r="CC77" s="30" t="s">
        <v>165</v>
      </c>
      <c r="CD77" s="30" t="s">
        <v>151</v>
      </c>
      <c r="CE77" s="30" t="s">
        <v>191</v>
      </c>
      <c r="CF77" s="35">
        <v>44927</v>
      </c>
      <c r="CG77" s="37" t="s">
        <v>151</v>
      </c>
      <c r="CH77" s="30" t="s">
        <v>151</v>
      </c>
      <c r="CI77" s="37" t="s">
        <v>151</v>
      </c>
      <c r="CJ77" s="30" t="s">
        <v>151</v>
      </c>
      <c r="CK77" s="29" t="s">
        <v>151</v>
      </c>
      <c r="CL77" s="30" t="s">
        <v>189</v>
      </c>
      <c r="CM77" s="30" t="s">
        <v>151</v>
      </c>
      <c r="CN77" s="30" t="s">
        <v>151</v>
      </c>
      <c r="CO77" s="30" t="s">
        <v>190</v>
      </c>
      <c r="CP77" s="35">
        <v>44927</v>
      </c>
      <c r="CQ77" s="37" t="s">
        <v>151</v>
      </c>
      <c r="CR77" s="30" t="s">
        <v>151</v>
      </c>
      <c r="CS77" s="30" t="s">
        <v>191</v>
      </c>
      <c r="CT77" s="29">
        <v>24</v>
      </c>
      <c r="CU77" s="30" t="s">
        <v>263</v>
      </c>
      <c r="CV77" s="32">
        <v>25</v>
      </c>
      <c r="CW77" s="32">
        <v>75</v>
      </c>
      <c r="CX77" s="30" t="s">
        <v>263</v>
      </c>
      <c r="CY77" s="32">
        <v>1</v>
      </c>
      <c r="CZ77" s="32">
        <v>24</v>
      </c>
      <c r="DA77" s="37">
        <v>0.33</v>
      </c>
      <c r="DB77" s="35">
        <v>44221</v>
      </c>
      <c r="DC77" s="30" t="s">
        <v>189</v>
      </c>
      <c r="DD77" s="29" t="s">
        <v>151</v>
      </c>
      <c r="DE77" s="32">
        <v>0</v>
      </c>
      <c r="DF77" s="34">
        <v>11</v>
      </c>
      <c r="DG77" s="32">
        <v>0</v>
      </c>
      <c r="DH77" s="32">
        <v>0</v>
      </c>
      <c r="DI77" s="32">
        <v>0</v>
      </c>
      <c r="DJ77" s="34">
        <v>10</v>
      </c>
      <c r="DK77" s="32" t="s">
        <v>151</v>
      </c>
      <c r="DL77" s="34" t="s">
        <v>151</v>
      </c>
      <c r="DM77" s="32">
        <v>0</v>
      </c>
      <c r="DN77" s="34">
        <v>10</v>
      </c>
      <c r="DO77" s="36">
        <v>2.74</v>
      </c>
      <c r="DP77" s="34">
        <v>73</v>
      </c>
      <c r="DQ77" s="36">
        <v>0</v>
      </c>
      <c r="DR77" s="32">
        <v>0</v>
      </c>
      <c r="DS77" s="36">
        <v>2.74</v>
      </c>
      <c r="DT77" s="34">
        <v>72</v>
      </c>
      <c r="DU77" s="36" t="s">
        <v>151</v>
      </c>
      <c r="DV77" s="34" t="s">
        <v>151</v>
      </c>
      <c r="DW77" s="36">
        <v>2.74</v>
      </c>
      <c r="DX77" s="34">
        <v>72</v>
      </c>
      <c r="DY77" s="31" t="s">
        <v>151</v>
      </c>
      <c r="DZ77" s="35" t="s">
        <v>151</v>
      </c>
      <c r="EA77" s="35" t="s">
        <v>151</v>
      </c>
      <c r="EB77" s="34">
        <v>7</v>
      </c>
      <c r="EC77" s="33">
        <v>-36</v>
      </c>
      <c r="ED77" s="32">
        <v>-83.72</v>
      </c>
      <c r="EE77" s="34">
        <v>52</v>
      </c>
      <c r="EF77" s="33">
        <v>0</v>
      </c>
      <c r="EG77" s="32">
        <v>0</v>
      </c>
      <c r="EH77" s="29" t="s">
        <v>198</v>
      </c>
      <c r="EI77" s="30" t="s">
        <v>151</v>
      </c>
      <c r="EJ77" s="30" t="s">
        <v>151</v>
      </c>
      <c r="EK77" s="31">
        <v>2</v>
      </c>
      <c r="EL77" s="31">
        <v>2</v>
      </c>
      <c r="EM77" s="31">
        <v>1</v>
      </c>
      <c r="EN77" s="31" t="s">
        <v>151</v>
      </c>
      <c r="EO77" s="31" t="s">
        <v>151</v>
      </c>
      <c r="EP77" s="30" t="s">
        <v>1935</v>
      </c>
      <c r="EQ77" s="29" t="s">
        <v>151</v>
      </c>
      <c r="ER77" s="29" t="s">
        <v>151</v>
      </c>
      <c r="ES77" s="4">
        <f>HYPERLINK("https://my.pitchbook.com?c=459521-29","View Company Online")</f>
      </c>
    </row>
    <row r="78">
      <c r="A78" s="17" t="s">
        <v>1936</v>
      </c>
      <c r="B78" s="17" t="s">
        <v>1937</v>
      </c>
      <c r="C78" s="18">
        <v>3</v>
      </c>
      <c r="D78" s="17" t="s">
        <v>151</v>
      </c>
      <c r="E78" s="17" t="s">
        <v>151</v>
      </c>
      <c r="F78" s="17" t="s">
        <v>1938</v>
      </c>
      <c r="G78" s="17" t="s">
        <v>151</v>
      </c>
      <c r="H78" s="17" t="s">
        <v>151</v>
      </c>
      <c r="I78" s="17" t="s">
        <v>151</v>
      </c>
      <c r="J78" s="17" t="s">
        <v>1936</v>
      </c>
      <c r="K78" s="17" t="s">
        <v>1939</v>
      </c>
      <c r="L78" s="17" t="s">
        <v>205</v>
      </c>
      <c r="M78" s="17" t="s">
        <v>206</v>
      </c>
      <c r="N78" s="17" t="s">
        <v>1940</v>
      </c>
      <c r="O78" s="17" t="s">
        <v>1941</v>
      </c>
      <c r="P78" s="17" t="s">
        <v>1942</v>
      </c>
      <c r="Q78" s="17" t="s">
        <v>1943</v>
      </c>
      <c r="R78" s="17" t="s">
        <v>151</v>
      </c>
      <c r="S78" s="17" t="s">
        <v>162</v>
      </c>
      <c r="T78" s="24">
        <v>0.15</v>
      </c>
      <c r="U78" s="17" t="s">
        <v>163</v>
      </c>
      <c r="V78" s="17" t="s">
        <v>164</v>
      </c>
      <c r="W78" s="17" t="s">
        <v>165</v>
      </c>
      <c r="X78" s="15" t="s">
        <v>1944</v>
      </c>
      <c r="Y78" s="15" t="s">
        <v>1945</v>
      </c>
      <c r="Z78" s="27" t="s">
        <v>151</v>
      </c>
      <c r="AA78" s="17" t="s">
        <v>151</v>
      </c>
      <c r="AB78" s="17" t="s">
        <v>151</v>
      </c>
      <c r="AC78" s="17" t="s">
        <v>151</v>
      </c>
      <c r="AD78" s="26">
        <v>2022</v>
      </c>
      <c r="AE78" s="17" t="s">
        <v>151</v>
      </c>
      <c r="AF78" s="22">
        <v>45446</v>
      </c>
      <c r="AG78" s="17" t="s">
        <v>151</v>
      </c>
      <c r="AH78" s="17" t="s">
        <v>151</v>
      </c>
      <c r="AI78" s="25" t="s">
        <v>151</v>
      </c>
      <c r="AJ78" s="19" t="s">
        <v>151</v>
      </c>
      <c r="AK78" s="25" t="s">
        <v>151</v>
      </c>
      <c r="AL78" s="25" t="s">
        <v>151</v>
      </c>
      <c r="AM78" s="25" t="s">
        <v>151</v>
      </c>
      <c r="AN78" s="25" t="s">
        <v>151</v>
      </c>
      <c r="AO78" s="25" t="s">
        <v>151</v>
      </c>
      <c r="AP78" s="25" t="s">
        <v>151</v>
      </c>
      <c r="AQ78" s="25" t="s">
        <v>151</v>
      </c>
      <c r="AR78" s="16" t="s">
        <v>151</v>
      </c>
      <c r="AS78" s="17" t="s">
        <v>1946</v>
      </c>
      <c r="AT78" s="17" t="s">
        <v>1947</v>
      </c>
      <c r="AU78" s="18">
        <v>6</v>
      </c>
      <c r="AV78" s="17" t="s">
        <v>151</v>
      </c>
      <c r="AW78" s="17" t="s">
        <v>151</v>
      </c>
      <c r="AX78" s="17" t="s">
        <v>151</v>
      </c>
      <c r="AY78" s="17" t="s">
        <v>1948</v>
      </c>
      <c r="AZ78" s="17" t="s">
        <v>151</v>
      </c>
      <c r="BA78" s="17" t="s">
        <v>151</v>
      </c>
      <c r="BB78" s="17" t="s">
        <v>151</v>
      </c>
      <c r="BC78" s="17" t="s">
        <v>151</v>
      </c>
      <c r="BD78" s="17" t="s">
        <v>1949</v>
      </c>
      <c r="BE78" s="17" t="s">
        <v>1950</v>
      </c>
      <c r="BF78" s="17" t="s">
        <v>1951</v>
      </c>
      <c r="BG78" s="17" t="s">
        <v>1952</v>
      </c>
      <c r="BH78" s="17" t="s">
        <v>1953</v>
      </c>
      <c r="BI78" s="17" t="s">
        <v>1954</v>
      </c>
      <c r="BJ78" s="17" t="s">
        <v>1955</v>
      </c>
      <c r="BK78" s="17" t="s">
        <v>151</v>
      </c>
      <c r="BL78" s="17" t="s">
        <v>1956</v>
      </c>
      <c r="BM78" s="17" t="s">
        <v>1957</v>
      </c>
      <c r="BN78" s="16" t="s">
        <v>1958</v>
      </c>
      <c r="BO78" s="17" t="s">
        <v>186</v>
      </c>
      <c r="BP78" s="16" t="s">
        <v>1953</v>
      </c>
      <c r="BQ78" s="16" t="s">
        <v>151</v>
      </c>
      <c r="BR78" s="17" t="s">
        <v>1959</v>
      </c>
      <c r="BS78" s="17" t="s">
        <v>187</v>
      </c>
      <c r="BT78" s="17" t="s">
        <v>188</v>
      </c>
      <c r="BU78" s="22">
        <v>44804</v>
      </c>
      <c r="BV78" s="24">
        <v>0.05</v>
      </c>
      <c r="BW78" s="17" t="s">
        <v>192</v>
      </c>
      <c r="BX78" s="24" t="s">
        <v>151</v>
      </c>
      <c r="BY78" s="17" t="s">
        <v>151</v>
      </c>
      <c r="BZ78" s="17" t="s">
        <v>293</v>
      </c>
      <c r="CA78" s="17" t="s">
        <v>293</v>
      </c>
      <c r="CB78" s="17" t="s">
        <v>151</v>
      </c>
      <c r="CC78" s="17" t="s">
        <v>165</v>
      </c>
      <c r="CD78" s="17" t="s">
        <v>151</v>
      </c>
      <c r="CE78" s="17" t="s">
        <v>191</v>
      </c>
      <c r="CF78" s="22">
        <v>45108</v>
      </c>
      <c r="CG78" s="24">
        <v>0.1</v>
      </c>
      <c r="CH78" s="17" t="s">
        <v>193</v>
      </c>
      <c r="CI78" s="24" t="s">
        <v>151</v>
      </c>
      <c r="CJ78" s="17" t="s">
        <v>151</v>
      </c>
      <c r="CK78" s="16" t="s">
        <v>151</v>
      </c>
      <c r="CL78" s="17" t="s">
        <v>293</v>
      </c>
      <c r="CM78" s="17" t="s">
        <v>293</v>
      </c>
      <c r="CN78" s="17" t="s">
        <v>151</v>
      </c>
      <c r="CO78" s="17" t="s">
        <v>165</v>
      </c>
      <c r="CP78" s="22">
        <v>45108</v>
      </c>
      <c r="CQ78" s="24" t="s">
        <v>151</v>
      </c>
      <c r="CR78" s="17" t="s">
        <v>151</v>
      </c>
      <c r="CS78" s="17" t="s">
        <v>191</v>
      </c>
      <c r="CT78" s="16">
        <v>38</v>
      </c>
      <c r="CU78" s="17" t="s">
        <v>263</v>
      </c>
      <c r="CV78" s="19">
        <v>38</v>
      </c>
      <c r="CW78" s="19">
        <v>62</v>
      </c>
      <c r="CX78" s="17" t="s">
        <v>263</v>
      </c>
      <c r="CY78" s="19">
        <v>1</v>
      </c>
      <c r="CZ78" s="19">
        <v>37</v>
      </c>
      <c r="DA78" s="24" t="s">
        <v>151</v>
      </c>
      <c r="DB78" s="22" t="s">
        <v>151</v>
      </c>
      <c r="DC78" s="17" t="s">
        <v>151</v>
      </c>
      <c r="DD78" s="16" t="s">
        <v>151</v>
      </c>
      <c r="DE78" s="19">
        <v>0</v>
      </c>
      <c r="DF78" s="21">
        <v>11</v>
      </c>
      <c r="DG78" s="19">
        <v>0</v>
      </c>
      <c r="DH78" s="19">
        <v>0</v>
      </c>
      <c r="DI78" s="19">
        <v>0</v>
      </c>
      <c r="DJ78" s="21">
        <v>10</v>
      </c>
      <c r="DK78" s="19" t="s">
        <v>151</v>
      </c>
      <c r="DL78" s="21" t="s">
        <v>151</v>
      </c>
      <c r="DM78" s="19">
        <v>0</v>
      </c>
      <c r="DN78" s="21">
        <v>10</v>
      </c>
      <c r="DO78" s="23">
        <v>1.63</v>
      </c>
      <c r="DP78" s="21">
        <v>61</v>
      </c>
      <c r="DQ78" s="23">
        <v>0</v>
      </c>
      <c r="DR78" s="19">
        <v>0</v>
      </c>
      <c r="DS78" s="23">
        <v>1.63</v>
      </c>
      <c r="DT78" s="21">
        <v>61</v>
      </c>
      <c r="DU78" s="23" t="s">
        <v>151</v>
      </c>
      <c r="DV78" s="21" t="s">
        <v>151</v>
      </c>
      <c r="DW78" s="23">
        <v>1.63</v>
      </c>
      <c r="DX78" s="21">
        <v>61</v>
      </c>
      <c r="DY78" s="18" t="s">
        <v>151</v>
      </c>
      <c r="DZ78" s="22" t="s">
        <v>151</v>
      </c>
      <c r="EA78" s="22" t="s">
        <v>151</v>
      </c>
      <c r="EB78" s="21">
        <v>94</v>
      </c>
      <c r="EC78" s="20">
        <v>17</v>
      </c>
      <c r="ED78" s="19">
        <v>22.08</v>
      </c>
      <c r="EE78" s="21">
        <v>31</v>
      </c>
      <c r="EF78" s="20">
        <v>0</v>
      </c>
      <c r="EG78" s="19">
        <v>0</v>
      </c>
      <c r="EH78" s="16" t="s">
        <v>198</v>
      </c>
      <c r="EI78" s="17" t="s">
        <v>151</v>
      </c>
      <c r="EJ78" s="17" t="s">
        <v>151</v>
      </c>
      <c r="EK78" s="18">
        <v>1</v>
      </c>
      <c r="EL78" s="18">
        <v>2</v>
      </c>
      <c r="EM78" s="18">
        <v>1</v>
      </c>
      <c r="EN78" s="18" t="s">
        <v>151</v>
      </c>
      <c r="EO78" s="18" t="s">
        <v>151</v>
      </c>
      <c r="EP78" s="17" t="s">
        <v>295</v>
      </c>
      <c r="EQ78" s="16" t="s">
        <v>151</v>
      </c>
      <c r="ER78" s="16" t="s">
        <v>151</v>
      </c>
      <c r="ES78" s="3">
        <f>HYPERLINK("https://my.pitchbook.com?c=506806-93","View Company Online")</f>
      </c>
    </row>
    <row r="79">
      <c r="A79" s="30" t="s">
        <v>1960</v>
      </c>
      <c r="B79" s="30" t="s">
        <v>1961</v>
      </c>
      <c r="C79" s="31">
        <v>3</v>
      </c>
      <c r="D79" s="30" t="s">
        <v>151</v>
      </c>
      <c r="E79" s="30" t="s">
        <v>151</v>
      </c>
      <c r="F79" s="30" t="s">
        <v>1962</v>
      </c>
      <c r="G79" s="30" t="s">
        <v>151</v>
      </c>
      <c r="H79" s="30" t="s">
        <v>151</v>
      </c>
      <c r="I79" s="30" t="s">
        <v>151</v>
      </c>
      <c r="J79" s="30" t="s">
        <v>1960</v>
      </c>
      <c r="K79" s="30" t="s">
        <v>1963</v>
      </c>
      <c r="L79" s="30" t="s">
        <v>205</v>
      </c>
      <c r="M79" s="30" t="s">
        <v>448</v>
      </c>
      <c r="N79" s="30" t="s">
        <v>449</v>
      </c>
      <c r="O79" s="30" t="s">
        <v>1964</v>
      </c>
      <c r="P79" s="30" t="s">
        <v>1965</v>
      </c>
      <c r="Q79" s="30" t="s">
        <v>1966</v>
      </c>
      <c r="R79" s="30" t="s">
        <v>151</v>
      </c>
      <c r="S79" s="30" t="s">
        <v>162</v>
      </c>
      <c r="T79" s="37">
        <v>14.94</v>
      </c>
      <c r="U79" s="30" t="s">
        <v>163</v>
      </c>
      <c r="V79" s="30" t="s">
        <v>164</v>
      </c>
      <c r="W79" s="30" t="s">
        <v>165</v>
      </c>
      <c r="X79" s="28" t="s">
        <v>1967</v>
      </c>
      <c r="Y79" s="28" t="s">
        <v>1968</v>
      </c>
      <c r="Z79" s="40">
        <v>35</v>
      </c>
      <c r="AA79" s="30" t="s">
        <v>1969</v>
      </c>
      <c r="AB79" s="30" t="s">
        <v>151</v>
      </c>
      <c r="AC79" s="30" t="s">
        <v>151</v>
      </c>
      <c r="AD79" s="39">
        <v>2017</v>
      </c>
      <c r="AE79" s="30" t="s">
        <v>151</v>
      </c>
      <c r="AF79" s="35">
        <v>45614</v>
      </c>
      <c r="AG79" s="30" t="s">
        <v>151</v>
      </c>
      <c r="AH79" s="30" t="s">
        <v>151</v>
      </c>
      <c r="AI79" s="38" t="s">
        <v>151</v>
      </c>
      <c r="AJ79" s="32" t="s">
        <v>151</v>
      </c>
      <c r="AK79" s="38" t="s">
        <v>151</v>
      </c>
      <c r="AL79" s="38" t="s">
        <v>151</v>
      </c>
      <c r="AM79" s="38" t="s">
        <v>151</v>
      </c>
      <c r="AN79" s="38" t="s">
        <v>151</v>
      </c>
      <c r="AO79" s="38" t="s">
        <v>151</v>
      </c>
      <c r="AP79" s="38" t="s">
        <v>151</v>
      </c>
      <c r="AQ79" s="38" t="s">
        <v>151</v>
      </c>
      <c r="AR79" s="29" t="s">
        <v>151</v>
      </c>
      <c r="AS79" s="30" t="s">
        <v>1970</v>
      </c>
      <c r="AT79" s="30" t="s">
        <v>1971</v>
      </c>
      <c r="AU79" s="31">
        <v>16</v>
      </c>
      <c r="AV79" s="30" t="s">
        <v>151</v>
      </c>
      <c r="AW79" s="30" t="s">
        <v>151</v>
      </c>
      <c r="AX79" s="30" t="s">
        <v>151</v>
      </c>
      <c r="AY79" s="30" t="s">
        <v>1972</v>
      </c>
      <c r="AZ79" s="30" t="s">
        <v>151</v>
      </c>
      <c r="BA79" s="30" t="s">
        <v>151</v>
      </c>
      <c r="BB79" s="30" t="s">
        <v>1973</v>
      </c>
      <c r="BC79" s="30" t="s">
        <v>1974</v>
      </c>
      <c r="BD79" s="30" t="s">
        <v>1975</v>
      </c>
      <c r="BE79" s="30" t="s">
        <v>1976</v>
      </c>
      <c r="BF79" s="30" t="s">
        <v>1977</v>
      </c>
      <c r="BG79" s="30" t="s">
        <v>1978</v>
      </c>
      <c r="BH79" s="30" t="s">
        <v>1979</v>
      </c>
      <c r="BI79" s="30" t="s">
        <v>1980</v>
      </c>
      <c r="BJ79" s="30" t="s">
        <v>1981</v>
      </c>
      <c r="BK79" s="30" t="s">
        <v>151</v>
      </c>
      <c r="BL79" s="30" t="s">
        <v>1982</v>
      </c>
      <c r="BM79" s="30" t="s">
        <v>1983</v>
      </c>
      <c r="BN79" s="29" t="s">
        <v>1984</v>
      </c>
      <c r="BO79" s="30" t="s">
        <v>186</v>
      </c>
      <c r="BP79" s="29" t="s">
        <v>1979</v>
      </c>
      <c r="BQ79" s="29" t="s">
        <v>151</v>
      </c>
      <c r="BR79" s="30" t="s">
        <v>1985</v>
      </c>
      <c r="BS79" s="30" t="s">
        <v>187</v>
      </c>
      <c r="BT79" s="30" t="s">
        <v>188</v>
      </c>
      <c r="BU79" s="35">
        <v>43160</v>
      </c>
      <c r="BV79" s="37" t="s">
        <v>151</v>
      </c>
      <c r="BW79" s="30" t="s">
        <v>151</v>
      </c>
      <c r="BX79" s="37" t="s">
        <v>151</v>
      </c>
      <c r="BY79" s="30" t="s">
        <v>151</v>
      </c>
      <c r="BZ79" s="30" t="s">
        <v>189</v>
      </c>
      <c r="CA79" s="30" t="s">
        <v>151</v>
      </c>
      <c r="CB79" s="30" t="s">
        <v>151</v>
      </c>
      <c r="CC79" s="30" t="s">
        <v>190</v>
      </c>
      <c r="CD79" s="30" t="s">
        <v>151</v>
      </c>
      <c r="CE79" s="30" t="s">
        <v>191</v>
      </c>
      <c r="CF79" s="35">
        <v>45462</v>
      </c>
      <c r="CG79" s="37">
        <v>14.94</v>
      </c>
      <c r="CH79" s="30" t="s">
        <v>192</v>
      </c>
      <c r="CI79" s="37" t="s">
        <v>151</v>
      </c>
      <c r="CJ79" s="30" t="s">
        <v>151</v>
      </c>
      <c r="CK79" s="29" t="s">
        <v>151</v>
      </c>
      <c r="CL79" s="30" t="s">
        <v>194</v>
      </c>
      <c r="CM79" s="30" t="s">
        <v>232</v>
      </c>
      <c r="CN79" s="30" t="s">
        <v>151</v>
      </c>
      <c r="CO79" s="30" t="s">
        <v>165</v>
      </c>
      <c r="CP79" s="35">
        <v>45462</v>
      </c>
      <c r="CQ79" s="37" t="s">
        <v>151</v>
      </c>
      <c r="CR79" s="30" t="s">
        <v>151</v>
      </c>
      <c r="CS79" s="30" t="s">
        <v>191</v>
      </c>
      <c r="CT79" s="29" t="s">
        <v>151</v>
      </c>
      <c r="CU79" s="30" t="s">
        <v>151</v>
      </c>
      <c r="CV79" s="32" t="s">
        <v>151</v>
      </c>
      <c r="CW79" s="32" t="s">
        <v>151</v>
      </c>
      <c r="CX79" s="30" t="s">
        <v>151</v>
      </c>
      <c r="CY79" s="32" t="s">
        <v>151</v>
      </c>
      <c r="CZ79" s="32" t="s">
        <v>151</v>
      </c>
      <c r="DA79" s="37" t="s">
        <v>151</v>
      </c>
      <c r="DB79" s="35" t="s">
        <v>151</v>
      </c>
      <c r="DC79" s="30" t="s">
        <v>151</v>
      </c>
      <c r="DD79" s="29" t="s">
        <v>151</v>
      </c>
      <c r="DE79" s="32">
        <v>0.59</v>
      </c>
      <c r="DF79" s="34">
        <v>94</v>
      </c>
      <c r="DG79" s="32">
        <v>0</v>
      </c>
      <c r="DH79" s="32">
        <v>0</v>
      </c>
      <c r="DI79" s="32">
        <v>0.82</v>
      </c>
      <c r="DJ79" s="34">
        <v>96</v>
      </c>
      <c r="DK79" s="32" t="s">
        <v>151</v>
      </c>
      <c r="DL79" s="34" t="s">
        <v>151</v>
      </c>
      <c r="DM79" s="32">
        <v>0.82</v>
      </c>
      <c r="DN79" s="34">
        <v>96</v>
      </c>
      <c r="DO79" s="36">
        <v>6.77</v>
      </c>
      <c r="DP79" s="34">
        <v>86</v>
      </c>
      <c r="DQ79" s="36">
        <v>0</v>
      </c>
      <c r="DR79" s="32">
        <v>0</v>
      </c>
      <c r="DS79" s="36">
        <v>10.84</v>
      </c>
      <c r="DT79" s="34">
        <v>91</v>
      </c>
      <c r="DU79" s="36" t="s">
        <v>151</v>
      </c>
      <c r="DV79" s="34" t="s">
        <v>151</v>
      </c>
      <c r="DW79" s="36">
        <v>10.84</v>
      </c>
      <c r="DX79" s="34">
        <v>91</v>
      </c>
      <c r="DY79" s="31">
        <v>4</v>
      </c>
      <c r="DZ79" s="35">
        <v>45363</v>
      </c>
      <c r="EA79" s="35" t="s">
        <v>151</v>
      </c>
      <c r="EB79" s="34" t="s">
        <v>151</v>
      </c>
      <c r="EC79" s="33" t="s">
        <v>151</v>
      </c>
      <c r="ED79" s="32" t="s">
        <v>151</v>
      </c>
      <c r="EE79" s="34">
        <v>206</v>
      </c>
      <c r="EF79" s="33">
        <v>2</v>
      </c>
      <c r="EG79" s="32">
        <v>0.98</v>
      </c>
      <c r="EH79" s="29" t="s">
        <v>198</v>
      </c>
      <c r="EI79" s="30" t="s">
        <v>151</v>
      </c>
      <c r="EJ79" s="30" t="s">
        <v>151</v>
      </c>
      <c r="EK79" s="31">
        <v>1</v>
      </c>
      <c r="EL79" s="31">
        <v>2</v>
      </c>
      <c r="EM79" s="31" t="s">
        <v>151</v>
      </c>
      <c r="EN79" s="31" t="s">
        <v>151</v>
      </c>
      <c r="EO79" s="31">
        <v>1</v>
      </c>
      <c r="EP79" s="30" t="s">
        <v>1986</v>
      </c>
      <c r="EQ79" s="29" t="s">
        <v>151</v>
      </c>
      <c r="ER79" s="29" t="s">
        <v>151</v>
      </c>
      <c r="ES79" s="4">
        <f>HYPERLINK("https://my.pitchbook.com?c=227275-66","View Company Online")</f>
      </c>
    </row>
    <row r="80">
      <c r="A80" s="17" t="s">
        <v>1987</v>
      </c>
      <c r="B80" s="17" t="s">
        <v>1988</v>
      </c>
      <c r="C80" s="18">
        <v>3</v>
      </c>
      <c r="D80" s="17" t="s">
        <v>151</v>
      </c>
      <c r="E80" s="17" t="s">
        <v>151</v>
      </c>
      <c r="F80" s="17" t="s">
        <v>1989</v>
      </c>
      <c r="G80" s="17" t="s">
        <v>151</v>
      </c>
      <c r="H80" s="17" t="s">
        <v>151</v>
      </c>
      <c r="I80" s="17" t="s">
        <v>1990</v>
      </c>
      <c r="J80" s="17" t="s">
        <v>1987</v>
      </c>
      <c r="K80" s="17" t="s">
        <v>1991</v>
      </c>
      <c r="L80" s="17" t="s">
        <v>616</v>
      </c>
      <c r="M80" s="17" t="s">
        <v>834</v>
      </c>
      <c r="N80" s="17" t="s">
        <v>835</v>
      </c>
      <c r="O80" s="17" t="s">
        <v>1992</v>
      </c>
      <c r="P80" s="17" t="s">
        <v>1993</v>
      </c>
      <c r="Q80" s="17" t="s">
        <v>1994</v>
      </c>
      <c r="R80" s="17" t="s">
        <v>151</v>
      </c>
      <c r="S80" s="17" t="s">
        <v>162</v>
      </c>
      <c r="T80" s="24">
        <v>0.12</v>
      </c>
      <c r="U80" s="17" t="s">
        <v>163</v>
      </c>
      <c r="V80" s="17" t="s">
        <v>164</v>
      </c>
      <c r="W80" s="17" t="s">
        <v>165</v>
      </c>
      <c r="X80" s="15" t="s">
        <v>1995</v>
      </c>
      <c r="Y80" s="15" t="s">
        <v>1996</v>
      </c>
      <c r="Z80" s="27">
        <v>12</v>
      </c>
      <c r="AA80" s="17" t="s">
        <v>1997</v>
      </c>
      <c r="AB80" s="17" t="s">
        <v>151</v>
      </c>
      <c r="AC80" s="17" t="s">
        <v>151</v>
      </c>
      <c r="AD80" s="26">
        <v>2018</v>
      </c>
      <c r="AE80" s="17" t="s">
        <v>151</v>
      </c>
      <c r="AF80" s="22">
        <v>45595</v>
      </c>
      <c r="AG80" s="17" t="s">
        <v>151</v>
      </c>
      <c r="AH80" s="17" t="s">
        <v>151</v>
      </c>
      <c r="AI80" s="25">
        <v>0.28</v>
      </c>
      <c r="AJ80" s="19" t="s">
        <v>151</v>
      </c>
      <c r="AK80" s="25" t="s">
        <v>151</v>
      </c>
      <c r="AL80" s="25" t="s">
        <v>151</v>
      </c>
      <c r="AM80" s="25" t="s">
        <v>151</v>
      </c>
      <c r="AN80" s="25" t="s">
        <v>151</v>
      </c>
      <c r="AO80" s="25" t="s">
        <v>151</v>
      </c>
      <c r="AP80" s="25" t="s">
        <v>151</v>
      </c>
      <c r="AQ80" s="25" t="s">
        <v>151</v>
      </c>
      <c r="AR80" s="16" t="s">
        <v>456</v>
      </c>
      <c r="AS80" s="17" t="s">
        <v>1998</v>
      </c>
      <c r="AT80" s="17" t="s">
        <v>1999</v>
      </c>
      <c r="AU80" s="18">
        <v>5</v>
      </c>
      <c r="AV80" s="17" t="s">
        <v>151</v>
      </c>
      <c r="AW80" s="17" t="s">
        <v>151</v>
      </c>
      <c r="AX80" s="17" t="s">
        <v>151</v>
      </c>
      <c r="AY80" s="17" t="s">
        <v>2000</v>
      </c>
      <c r="AZ80" s="17" t="s">
        <v>151</v>
      </c>
      <c r="BA80" s="17" t="s">
        <v>151</v>
      </c>
      <c r="BB80" s="17" t="s">
        <v>151</v>
      </c>
      <c r="BC80" s="17" t="s">
        <v>151</v>
      </c>
      <c r="BD80" s="17" t="s">
        <v>2001</v>
      </c>
      <c r="BE80" s="17" t="s">
        <v>2002</v>
      </c>
      <c r="BF80" s="17" t="s">
        <v>221</v>
      </c>
      <c r="BG80" s="17" t="s">
        <v>2003</v>
      </c>
      <c r="BH80" s="17" t="s">
        <v>2004</v>
      </c>
      <c r="BI80" s="17" t="s">
        <v>906</v>
      </c>
      <c r="BJ80" s="17" t="s">
        <v>2005</v>
      </c>
      <c r="BK80" s="17" t="s">
        <v>2006</v>
      </c>
      <c r="BL80" s="17" t="s">
        <v>259</v>
      </c>
      <c r="BM80" s="17" t="s">
        <v>259</v>
      </c>
      <c r="BN80" s="16" t="s">
        <v>1933</v>
      </c>
      <c r="BO80" s="17" t="s">
        <v>186</v>
      </c>
      <c r="BP80" s="16" t="s">
        <v>2004</v>
      </c>
      <c r="BQ80" s="16" t="s">
        <v>151</v>
      </c>
      <c r="BR80" s="17" t="s">
        <v>2007</v>
      </c>
      <c r="BS80" s="17" t="s">
        <v>187</v>
      </c>
      <c r="BT80" s="17" t="s">
        <v>188</v>
      </c>
      <c r="BU80" s="22">
        <v>44105</v>
      </c>
      <c r="BV80" s="24" t="s">
        <v>151</v>
      </c>
      <c r="BW80" s="17" t="s">
        <v>151</v>
      </c>
      <c r="BX80" s="24" t="s">
        <v>151</v>
      </c>
      <c r="BY80" s="17" t="s">
        <v>151</v>
      </c>
      <c r="BZ80" s="17" t="s">
        <v>189</v>
      </c>
      <c r="CA80" s="17" t="s">
        <v>151</v>
      </c>
      <c r="CB80" s="17" t="s">
        <v>151</v>
      </c>
      <c r="CC80" s="17" t="s">
        <v>190</v>
      </c>
      <c r="CD80" s="17" t="s">
        <v>151</v>
      </c>
      <c r="CE80" s="17" t="s">
        <v>191</v>
      </c>
      <c r="CF80" s="22">
        <v>44687</v>
      </c>
      <c r="CG80" s="24">
        <v>1.2</v>
      </c>
      <c r="CH80" s="17" t="s">
        <v>192</v>
      </c>
      <c r="CI80" s="24" t="s">
        <v>151</v>
      </c>
      <c r="CJ80" s="17" t="s">
        <v>151</v>
      </c>
      <c r="CK80" s="16" t="s">
        <v>151</v>
      </c>
      <c r="CL80" s="17" t="s">
        <v>293</v>
      </c>
      <c r="CM80" s="17" t="s">
        <v>293</v>
      </c>
      <c r="CN80" s="17" t="s">
        <v>151</v>
      </c>
      <c r="CO80" s="17" t="s">
        <v>165</v>
      </c>
      <c r="CP80" s="22">
        <v>44687</v>
      </c>
      <c r="CQ80" s="24" t="s">
        <v>151</v>
      </c>
      <c r="CR80" s="17" t="s">
        <v>151</v>
      </c>
      <c r="CS80" s="17" t="s">
        <v>1887</v>
      </c>
      <c r="CT80" s="16" t="s">
        <v>151</v>
      </c>
      <c r="CU80" s="17" t="s">
        <v>151</v>
      </c>
      <c r="CV80" s="19" t="s">
        <v>151</v>
      </c>
      <c r="CW80" s="19" t="s">
        <v>151</v>
      </c>
      <c r="CX80" s="17" t="s">
        <v>151</v>
      </c>
      <c r="CY80" s="19" t="s">
        <v>151</v>
      </c>
      <c r="CZ80" s="19" t="s">
        <v>151</v>
      </c>
      <c r="DA80" s="24" t="s">
        <v>151</v>
      </c>
      <c r="DB80" s="22" t="s">
        <v>151</v>
      </c>
      <c r="DC80" s="17" t="s">
        <v>151</v>
      </c>
      <c r="DD80" s="16" t="s">
        <v>151</v>
      </c>
      <c r="DE80" s="19">
        <v>0.57</v>
      </c>
      <c r="DF80" s="21">
        <v>94</v>
      </c>
      <c r="DG80" s="19">
        <v>0</v>
      </c>
      <c r="DH80" s="19">
        <v>0</v>
      </c>
      <c r="DI80" s="19">
        <v>0</v>
      </c>
      <c r="DJ80" s="21">
        <v>10</v>
      </c>
      <c r="DK80" s="19" t="s">
        <v>151</v>
      </c>
      <c r="DL80" s="21" t="s">
        <v>151</v>
      </c>
      <c r="DM80" s="19">
        <v>0</v>
      </c>
      <c r="DN80" s="21">
        <v>10</v>
      </c>
      <c r="DO80" s="23">
        <v>1.17</v>
      </c>
      <c r="DP80" s="21">
        <v>54</v>
      </c>
      <c r="DQ80" s="23">
        <v>0</v>
      </c>
      <c r="DR80" s="19">
        <v>0</v>
      </c>
      <c r="DS80" s="23">
        <v>1.42</v>
      </c>
      <c r="DT80" s="21">
        <v>58</v>
      </c>
      <c r="DU80" s="23" t="s">
        <v>151</v>
      </c>
      <c r="DV80" s="21" t="s">
        <v>151</v>
      </c>
      <c r="DW80" s="23">
        <v>1.42</v>
      </c>
      <c r="DX80" s="21">
        <v>57</v>
      </c>
      <c r="DY80" s="18" t="s">
        <v>151</v>
      </c>
      <c r="DZ80" s="22" t="s">
        <v>151</v>
      </c>
      <c r="EA80" s="22" t="s">
        <v>151</v>
      </c>
      <c r="EB80" s="21" t="s">
        <v>151</v>
      </c>
      <c r="EC80" s="20" t="s">
        <v>151</v>
      </c>
      <c r="ED80" s="19" t="s">
        <v>151</v>
      </c>
      <c r="EE80" s="21">
        <v>27</v>
      </c>
      <c r="EF80" s="20">
        <v>0</v>
      </c>
      <c r="EG80" s="19">
        <v>0</v>
      </c>
      <c r="EH80" s="16" t="s">
        <v>198</v>
      </c>
      <c r="EI80" s="17" t="s">
        <v>151</v>
      </c>
      <c r="EJ80" s="17" t="s">
        <v>151</v>
      </c>
      <c r="EK80" s="18">
        <v>2</v>
      </c>
      <c r="EL80" s="18" t="s">
        <v>151</v>
      </c>
      <c r="EM80" s="18">
        <v>1</v>
      </c>
      <c r="EN80" s="18" t="s">
        <v>151</v>
      </c>
      <c r="EO80" s="18">
        <v>2</v>
      </c>
      <c r="EP80" s="17" t="s">
        <v>741</v>
      </c>
      <c r="EQ80" s="16" t="s">
        <v>151</v>
      </c>
      <c r="ER80" s="16" t="s">
        <v>151</v>
      </c>
      <c r="ES80" s="3">
        <f>HYPERLINK("https://my.pitchbook.com?c=433731-07","View Company Online")</f>
      </c>
    </row>
    <row r="81">
      <c r="A81" s="30" t="s">
        <v>2008</v>
      </c>
      <c r="B81" s="30" t="s">
        <v>2009</v>
      </c>
      <c r="C81" s="31">
        <v>3</v>
      </c>
      <c r="D81" s="30" t="s">
        <v>151</v>
      </c>
      <c r="E81" s="30" t="s">
        <v>151</v>
      </c>
      <c r="F81" s="30" t="s">
        <v>2010</v>
      </c>
      <c r="G81" s="30" t="s">
        <v>151</v>
      </c>
      <c r="H81" s="30" t="s">
        <v>151</v>
      </c>
      <c r="I81" s="30" t="s">
        <v>151</v>
      </c>
      <c r="J81" s="30" t="s">
        <v>2008</v>
      </c>
      <c r="K81" s="30" t="s">
        <v>2011</v>
      </c>
      <c r="L81" s="30" t="s">
        <v>205</v>
      </c>
      <c r="M81" s="30" t="s">
        <v>206</v>
      </c>
      <c r="N81" s="30" t="s">
        <v>269</v>
      </c>
      <c r="O81" s="30" t="s">
        <v>1819</v>
      </c>
      <c r="P81" s="30" t="s">
        <v>919</v>
      </c>
      <c r="Q81" s="30" t="s">
        <v>2012</v>
      </c>
      <c r="R81" s="30" t="s">
        <v>151</v>
      </c>
      <c r="S81" s="30" t="s">
        <v>162</v>
      </c>
      <c r="T81" s="37">
        <v>0.87</v>
      </c>
      <c r="U81" s="30" t="s">
        <v>163</v>
      </c>
      <c r="V81" s="30" t="s">
        <v>164</v>
      </c>
      <c r="W81" s="30" t="s">
        <v>165</v>
      </c>
      <c r="X81" s="28" t="s">
        <v>2013</v>
      </c>
      <c r="Y81" s="28" t="s">
        <v>2014</v>
      </c>
      <c r="Z81" s="40">
        <v>10</v>
      </c>
      <c r="AA81" s="30" t="s">
        <v>2015</v>
      </c>
      <c r="AB81" s="30" t="s">
        <v>151</v>
      </c>
      <c r="AC81" s="30" t="s">
        <v>151</v>
      </c>
      <c r="AD81" s="39">
        <v>2019</v>
      </c>
      <c r="AE81" s="30" t="s">
        <v>151</v>
      </c>
      <c r="AF81" s="35">
        <v>45565</v>
      </c>
      <c r="AG81" s="30" t="s">
        <v>151</v>
      </c>
      <c r="AH81" s="30" t="s">
        <v>151</v>
      </c>
      <c r="AI81" s="38" t="s">
        <v>151</v>
      </c>
      <c r="AJ81" s="32" t="s">
        <v>151</v>
      </c>
      <c r="AK81" s="38" t="s">
        <v>151</v>
      </c>
      <c r="AL81" s="38" t="s">
        <v>151</v>
      </c>
      <c r="AM81" s="38" t="s">
        <v>151</v>
      </c>
      <c r="AN81" s="38" t="s">
        <v>151</v>
      </c>
      <c r="AO81" s="38" t="s">
        <v>151</v>
      </c>
      <c r="AP81" s="38" t="s">
        <v>151</v>
      </c>
      <c r="AQ81" s="38" t="s">
        <v>151</v>
      </c>
      <c r="AR81" s="29" t="s">
        <v>151</v>
      </c>
      <c r="AS81" s="30" t="s">
        <v>2016</v>
      </c>
      <c r="AT81" s="30" t="s">
        <v>2017</v>
      </c>
      <c r="AU81" s="31">
        <v>1</v>
      </c>
      <c r="AV81" s="30" t="s">
        <v>151</v>
      </c>
      <c r="AW81" s="30" t="s">
        <v>151</v>
      </c>
      <c r="AX81" s="30" t="s">
        <v>151</v>
      </c>
      <c r="AY81" s="30" t="s">
        <v>2018</v>
      </c>
      <c r="AZ81" s="30" t="s">
        <v>151</v>
      </c>
      <c r="BA81" s="30" t="s">
        <v>151</v>
      </c>
      <c r="BB81" s="30" t="s">
        <v>151</v>
      </c>
      <c r="BC81" s="30" t="s">
        <v>151</v>
      </c>
      <c r="BD81" s="30" t="s">
        <v>2019</v>
      </c>
      <c r="BE81" s="30" t="s">
        <v>2020</v>
      </c>
      <c r="BF81" s="30" t="s">
        <v>2021</v>
      </c>
      <c r="BG81" s="30" t="s">
        <v>2022</v>
      </c>
      <c r="BH81" s="30" t="s">
        <v>151</v>
      </c>
      <c r="BI81" s="30" t="s">
        <v>2023</v>
      </c>
      <c r="BJ81" s="30" t="s">
        <v>2024</v>
      </c>
      <c r="BK81" s="30" t="s">
        <v>151</v>
      </c>
      <c r="BL81" s="30" t="s">
        <v>2025</v>
      </c>
      <c r="BM81" s="30" t="s">
        <v>855</v>
      </c>
      <c r="BN81" s="29" t="s">
        <v>2026</v>
      </c>
      <c r="BO81" s="30" t="s">
        <v>186</v>
      </c>
      <c r="BP81" s="29" t="s">
        <v>151</v>
      </c>
      <c r="BQ81" s="29" t="s">
        <v>151</v>
      </c>
      <c r="BR81" s="30" t="s">
        <v>151</v>
      </c>
      <c r="BS81" s="30" t="s">
        <v>187</v>
      </c>
      <c r="BT81" s="30" t="s">
        <v>188</v>
      </c>
      <c r="BU81" s="35">
        <v>44044</v>
      </c>
      <c r="BV81" s="37">
        <v>0.14</v>
      </c>
      <c r="BW81" s="30" t="s">
        <v>192</v>
      </c>
      <c r="BX81" s="37" t="s">
        <v>151</v>
      </c>
      <c r="BY81" s="30" t="s">
        <v>151</v>
      </c>
      <c r="BZ81" s="30" t="s">
        <v>1075</v>
      </c>
      <c r="CA81" s="30" t="s">
        <v>1075</v>
      </c>
      <c r="CB81" s="30" t="s">
        <v>151</v>
      </c>
      <c r="CC81" s="30" t="s">
        <v>585</v>
      </c>
      <c r="CD81" s="30" t="s">
        <v>151</v>
      </c>
      <c r="CE81" s="30" t="s">
        <v>191</v>
      </c>
      <c r="CF81" s="35">
        <v>45352</v>
      </c>
      <c r="CG81" s="37" t="s">
        <v>151</v>
      </c>
      <c r="CH81" s="30" t="s">
        <v>151</v>
      </c>
      <c r="CI81" s="37" t="s">
        <v>151</v>
      </c>
      <c r="CJ81" s="30" t="s">
        <v>151</v>
      </c>
      <c r="CK81" s="29" t="s">
        <v>151</v>
      </c>
      <c r="CL81" s="30" t="s">
        <v>194</v>
      </c>
      <c r="CM81" s="30" t="s">
        <v>151</v>
      </c>
      <c r="CN81" s="30" t="s">
        <v>151</v>
      </c>
      <c r="CO81" s="30" t="s">
        <v>165</v>
      </c>
      <c r="CP81" s="35">
        <v>45352</v>
      </c>
      <c r="CQ81" s="37" t="s">
        <v>151</v>
      </c>
      <c r="CR81" s="30" t="s">
        <v>355</v>
      </c>
      <c r="CS81" s="30" t="s">
        <v>191</v>
      </c>
      <c r="CT81" s="29">
        <v>29</v>
      </c>
      <c r="CU81" s="30" t="s">
        <v>263</v>
      </c>
      <c r="CV81" s="32">
        <v>30</v>
      </c>
      <c r="CW81" s="32">
        <v>70</v>
      </c>
      <c r="CX81" s="30" t="s">
        <v>263</v>
      </c>
      <c r="CY81" s="32">
        <v>1</v>
      </c>
      <c r="CZ81" s="32">
        <v>29</v>
      </c>
      <c r="DA81" s="37" t="s">
        <v>151</v>
      </c>
      <c r="DB81" s="35" t="s">
        <v>151</v>
      </c>
      <c r="DC81" s="30" t="s">
        <v>151</v>
      </c>
      <c r="DD81" s="29" t="s">
        <v>151</v>
      </c>
      <c r="DE81" s="32">
        <v>0</v>
      </c>
      <c r="DF81" s="34">
        <v>11</v>
      </c>
      <c r="DG81" s="32">
        <v>0</v>
      </c>
      <c r="DH81" s="32">
        <v>0</v>
      </c>
      <c r="DI81" s="32">
        <v>0</v>
      </c>
      <c r="DJ81" s="34">
        <v>10</v>
      </c>
      <c r="DK81" s="32" t="s">
        <v>151</v>
      </c>
      <c r="DL81" s="34" t="s">
        <v>151</v>
      </c>
      <c r="DM81" s="32">
        <v>0</v>
      </c>
      <c r="DN81" s="34">
        <v>10</v>
      </c>
      <c r="DO81" s="36">
        <v>0.21</v>
      </c>
      <c r="DP81" s="34">
        <v>13</v>
      </c>
      <c r="DQ81" s="36">
        <v>0</v>
      </c>
      <c r="DR81" s="32">
        <v>0</v>
      </c>
      <c r="DS81" s="36">
        <v>0.21</v>
      </c>
      <c r="DT81" s="34">
        <v>14</v>
      </c>
      <c r="DU81" s="36" t="s">
        <v>151</v>
      </c>
      <c r="DV81" s="34" t="s">
        <v>151</v>
      </c>
      <c r="DW81" s="36">
        <v>0.21</v>
      </c>
      <c r="DX81" s="34">
        <v>14</v>
      </c>
      <c r="DY81" s="31" t="s">
        <v>151</v>
      </c>
      <c r="DZ81" s="35" t="s">
        <v>151</v>
      </c>
      <c r="EA81" s="35" t="s">
        <v>151</v>
      </c>
      <c r="EB81" s="34">
        <v>0</v>
      </c>
      <c r="EC81" s="33">
        <v>0</v>
      </c>
      <c r="ED81" s="32">
        <v>0</v>
      </c>
      <c r="EE81" s="34">
        <v>4</v>
      </c>
      <c r="EF81" s="33">
        <v>0</v>
      </c>
      <c r="EG81" s="32">
        <v>0</v>
      </c>
      <c r="EH81" s="29" t="s">
        <v>198</v>
      </c>
      <c r="EI81" s="30" t="s">
        <v>151</v>
      </c>
      <c r="EJ81" s="30" t="s">
        <v>151</v>
      </c>
      <c r="EK81" s="31">
        <v>1</v>
      </c>
      <c r="EL81" s="31">
        <v>2</v>
      </c>
      <c r="EM81" s="31">
        <v>1</v>
      </c>
      <c r="EN81" s="31" t="s">
        <v>151</v>
      </c>
      <c r="EO81" s="31" t="s">
        <v>151</v>
      </c>
      <c r="EP81" s="30" t="s">
        <v>2027</v>
      </c>
      <c r="EQ81" s="29" t="s">
        <v>151</v>
      </c>
      <c r="ER81" s="29" t="s">
        <v>151</v>
      </c>
      <c r="ES81" s="4">
        <f>HYPERLINK("https://my.pitchbook.com?c=491592-61","View Company Online")</f>
      </c>
    </row>
    <row r="82">
      <c r="A82" s="17" t="s">
        <v>2028</v>
      </c>
      <c r="B82" s="17" t="s">
        <v>2029</v>
      </c>
      <c r="C82" s="18">
        <v>3</v>
      </c>
      <c r="D82" s="17" t="s">
        <v>2030</v>
      </c>
      <c r="E82" s="17" t="s">
        <v>151</v>
      </c>
      <c r="F82" s="17" t="s">
        <v>2031</v>
      </c>
      <c r="G82" s="17" t="s">
        <v>151</v>
      </c>
      <c r="H82" s="17" t="s">
        <v>151</v>
      </c>
      <c r="I82" s="17" t="s">
        <v>151</v>
      </c>
      <c r="J82" s="17" t="s">
        <v>2028</v>
      </c>
      <c r="K82" s="17" t="s">
        <v>2032</v>
      </c>
      <c r="L82" s="17" t="s">
        <v>205</v>
      </c>
      <c r="M82" s="17" t="s">
        <v>206</v>
      </c>
      <c r="N82" s="17" t="s">
        <v>269</v>
      </c>
      <c r="O82" s="17" t="s">
        <v>2033</v>
      </c>
      <c r="P82" s="17" t="s">
        <v>2034</v>
      </c>
      <c r="Q82" s="17" t="s">
        <v>2035</v>
      </c>
      <c r="R82" s="17" t="s">
        <v>151</v>
      </c>
      <c r="S82" s="17" t="s">
        <v>162</v>
      </c>
      <c r="T82" s="24">
        <v>4.74</v>
      </c>
      <c r="U82" s="17" t="s">
        <v>163</v>
      </c>
      <c r="V82" s="17" t="s">
        <v>164</v>
      </c>
      <c r="W82" s="17" t="s">
        <v>165</v>
      </c>
      <c r="X82" s="15" t="s">
        <v>2036</v>
      </c>
      <c r="Y82" s="15" t="s">
        <v>2037</v>
      </c>
      <c r="Z82" s="27">
        <v>31</v>
      </c>
      <c r="AA82" s="17" t="s">
        <v>2038</v>
      </c>
      <c r="AB82" s="17" t="s">
        <v>151</v>
      </c>
      <c r="AC82" s="17" t="s">
        <v>151</v>
      </c>
      <c r="AD82" s="26">
        <v>2013</v>
      </c>
      <c r="AE82" s="17" t="s">
        <v>151</v>
      </c>
      <c r="AF82" s="22">
        <v>45560</v>
      </c>
      <c r="AG82" s="17" t="s">
        <v>151</v>
      </c>
      <c r="AH82" s="17" t="s">
        <v>151</v>
      </c>
      <c r="AI82" s="25" t="s">
        <v>151</v>
      </c>
      <c r="AJ82" s="19" t="s">
        <v>151</v>
      </c>
      <c r="AK82" s="25" t="s">
        <v>151</v>
      </c>
      <c r="AL82" s="25" t="s">
        <v>151</v>
      </c>
      <c r="AM82" s="25" t="s">
        <v>151</v>
      </c>
      <c r="AN82" s="25" t="s">
        <v>151</v>
      </c>
      <c r="AO82" s="25" t="s">
        <v>151</v>
      </c>
      <c r="AP82" s="25" t="s">
        <v>151</v>
      </c>
      <c r="AQ82" s="25" t="s">
        <v>151</v>
      </c>
      <c r="AR82" s="16" t="s">
        <v>151</v>
      </c>
      <c r="AS82" s="17" t="s">
        <v>2039</v>
      </c>
      <c r="AT82" s="17" t="s">
        <v>2040</v>
      </c>
      <c r="AU82" s="18">
        <v>26</v>
      </c>
      <c r="AV82" s="17" t="s">
        <v>151</v>
      </c>
      <c r="AW82" s="17" t="s">
        <v>151</v>
      </c>
      <c r="AX82" s="17" t="s">
        <v>151</v>
      </c>
      <c r="AY82" s="17" t="s">
        <v>2041</v>
      </c>
      <c r="AZ82" s="17" t="s">
        <v>151</v>
      </c>
      <c r="BA82" s="17" t="s">
        <v>151</v>
      </c>
      <c r="BB82" s="17" t="s">
        <v>2042</v>
      </c>
      <c r="BC82" s="17" t="s">
        <v>2043</v>
      </c>
      <c r="BD82" s="17" t="s">
        <v>2044</v>
      </c>
      <c r="BE82" s="17" t="s">
        <v>2045</v>
      </c>
      <c r="BF82" s="17" t="s">
        <v>221</v>
      </c>
      <c r="BG82" s="17" t="s">
        <v>2046</v>
      </c>
      <c r="BH82" s="17" t="s">
        <v>2047</v>
      </c>
      <c r="BI82" s="17" t="s">
        <v>2048</v>
      </c>
      <c r="BJ82" s="17" t="s">
        <v>2049</v>
      </c>
      <c r="BK82" s="17" t="s">
        <v>2050</v>
      </c>
      <c r="BL82" s="17" t="s">
        <v>2051</v>
      </c>
      <c r="BM82" s="17" t="s">
        <v>184</v>
      </c>
      <c r="BN82" s="16" t="s">
        <v>2052</v>
      </c>
      <c r="BO82" s="17" t="s">
        <v>186</v>
      </c>
      <c r="BP82" s="16" t="s">
        <v>2053</v>
      </c>
      <c r="BQ82" s="16" t="s">
        <v>151</v>
      </c>
      <c r="BR82" s="17" t="s">
        <v>2054</v>
      </c>
      <c r="BS82" s="17" t="s">
        <v>187</v>
      </c>
      <c r="BT82" s="17" t="s">
        <v>188</v>
      </c>
      <c r="BU82" s="22" t="s">
        <v>151</v>
      </c>
      <c r="BV82" s="24" t="s">
        <v>151</v>
      </c>
      <c r="BW82" s="17" t="s">
        <v>151</v>
      </c>
      <c r="BX82" s="24" t="s">
        <v>151</v>
      </c>
      <c r="BY82" s="17" t="s">
        <v>151</v>
      </c>
      <c r="BZ82" s="17" t="s">
        <v>189</v>
      </c>
      <c r="CA82" s="17" t="s">
        <v>151</v>
      </c>
      <c r="CB82" s="17" t="s">
        <v>151</v>
      </c>
      <c r="CC82" s="17" t="s">
        <v>190</v>
      </c>
      <c r="CD82" s="17" t="s">
        <v>151</v>
      </c>
      <c r="CE82" s="17" t="s">
        <v>191</v>
      </c>
      <c r="CF82" s="22">
        <v>45209</v>
      </c>
      <c r="CG82" s="24">
        <v>4.11</v>
      </c>
      <c r="CH82" s="17" t="s">
        <v>193</v>
      </c>
      <c r="CI82" s="24">
        <v>18.14</v>
      </c>
      <c r="CJ82" s="17" t="s">
        <v>192</v>
      </c>
      <c r="CK82" s="16">
        <v>9.29</v>
      </c>
      <c r="CL82" s="17" t="s">
        <v>293</v>
      </c>
      <c r="CM82" s="17" t="s">
        <v>293</v>
      </c>
      <c r="CN82" s="17" t="s">
        <v>151</v>
      </c>
      <c r="CO82" s="17" t="s">
        <v>165</v>
      </c>
      <c r="CP82" s="22">
        <v>45209</v>
      </c>
      <c r="CQ82" s="24" t="s">
        <v>151</v>
      </c>
      <c r="CR82" s="17" t="s">
        <v>151</v>
      </c>
      <c r="CS82" s="17" t="s">
        <v>191</v>
      </c>
      <c r="CT82" s="16">
        <v>90</v>
      </c>
      <c r="CU82" s="17" t="s">
        <v>196</v>
      </c>
      <c r="CV82" s="19">
        <v>82</v>
      </c>
      <c r="CW82" s="19">
        <v>18</v>
      </c>
      <c r="CX82" s="17" t="s">
        <v>294</v>
      </c>
      <c r="CY82" s="19">
        <v>1</v>
      </c>
      <c r="CZ82" s="19">
        <v>81</v>
      </c>
      <c r="DA82" s="24">
        <v>18.14</v>
      </c>
      <c r="DB82" s="22">
        <v>45209</v>
      </c>
      <c r="DC82" s="17" t="s">
        <v>293</v>
      </c>
      <c r="DD82" s="16">
        <v>9.29</v>
      </c>
      <c r="DE82" s="19">
        <v>-1.42</v>
      </c>
      <c r="DF82" s="21">
        <v>3</v>
      </c>
      <c r="DG82" s="19">
        <v>0</v>
      </c>
      <c r="DH82" s="19">
        <v>0</v>
      </c>
      <c r="DI82" s="19">
        <v>-2.85</v>
      </c>
      <c r="DJ82" s="21">
        <v>1</v>
      </c>
      <c r="DK82" s="19" t="s">
        <v>151</v>
      </c>
      <c r="DL82" s="21" t="s">
        <v>151</v>
      </c>
      <c r="DM82" s="19">
        <v>-2.85</v>
      </c>
      <c r="DN82" s="21">
        <v>1</v>
      </c>
      <c r="DO82" s="23">
        <v>5.82</v>
      </c>
      <c r="DP82" s="21">
        <v>84</v>
      </c>
      <c r="DQ82" s="23">
        <v>0</v>
      </c>
      <c r="DR82" s="19">
        <v>0</v>
      </c>
      <c r="DS82" s="23">
        <v>9.26</v>
      </c>
      <c r="DT82" s="21">
        <v>89</v>
      </c>
      <c r="DU82" s="23" t="s">
        <v>151</v>
      </c>
      <c r="DV82" s="21" t="s">
        <v>151</v>
      </c>
      <c r="DW82" s="23">
        <v>9.26</v>
      </c>
      <c r="DX82" s="21">
        <v>89</v>
      </c>
      <c r="DY82" s="18" t="s">
        <v>151</v>
      </c>
      <c r="DZ82" s="22" t="s">
        <v>151</v>
      </c>
      <c r="EA82" s="22" t="s">
        <v>151</v>
      </c>
      <c r="EB82" s="21">
        <v>3578</v>
      </c>
      <c r="EC82" s="20">
        <v>80</v>
      </c>
      <c r="ED82" s="19">
        <v>2.29</v>
      </c>
      <c r="EE82" s="21">
        <v>176</v>
      </c>
      <c r="EF82" s="20">
        <v>-5</v>
      </c>
      <c r="EG82" s="19">
        <v>-2.76</v>
      </c>
      <c r="EH82" s="16" t="s">
        <v>198</v>
      </c>
      <c r="EI82" s="17" t="s">
        <v>151</v>
      </c>
      <c r="EJ82" s="17" t="s">
        <v>151</v>
      </c>
      <c r="EK82" s="18">
        <v>1</v>
      </c>
      <c r="EL82" s="18">
        <v>2</v>
      </c>
      <c r="EM82" s="18" t="s">
        <v>151</v>
      </c>
      <c r="EN82" s="18" t="s">
        <v>151</v>
      </c>
      <c r="EO82" s="18">
        <v>1</v>
      </c>
      <c r="EP82" s="17" t="s">
        <v>295</v>
      </c>
      <c r="EQ82" s="16" t="s">
        <v>151</v>
      </c>
      <c r="ER82" s="16" t="s">
        <v>151</v>
      </c>
      <c r="ES82" s="3">
        <f>HYPERLINK("https://my.pitchbook.com?c=96724-36","View Company Online")</f>
      </c>
    </row>
    <row r="83">
      <c r="A83" s="30" t="s">
        <v>2055</v>
      </c>
      <c r="B83" s="30" t="s">
        <v>2056</v>
      </c>
      <c r="C83" s="31">
        <v>3</v>
      </c>
      <c r="D83" s="30" t="s">
        <v>151</v>
      </c>
      <c r="E83" s="30" t="s">
        <v>151</v>
      </c>
      <c r="F83" s="30" t="s">
        <v>2057</v>
      </c>
      <c r="G83" s="30" t="s">
        <v>151</v>
      </c>
      <c r="H83" s="30" t="s">
        <v>151</v>
      </c>
      <c r="I83" s="30" t="s">
        <v>151</v>
      </c>
      <c r="J83" s="30" t="s">
        <v>2055</v>
      </c>
      <c r="K83" s="30" t="s">
        <v>2058</v>
      </c>
      <c r="L83" s="30" t="s">
        <v>616</v>
      </c>
      <c r="M83" s="30" t="s">
        <v>834</v>
      </c>
      <c r="N83" s="30" t="s">
        <v>2059</v>
      </c>
      <c r="O83" s="30" t="s">
        <v>2060</v>
      </c>
      <c r="P83" s="30" t="s">
        <v>1153</v>
      </c>
      <c r="Q83" s="30" t="s">
        <v>2061</v>
      </c>
      <c r="R83" s="30" t="s">
        <v>151</v>
      </c>
      <c r="S83" s="30" t="s">
        <v>162</v>
      </c>
      <c r="T83" s="37">
        <v>1.43</v>
      </c>
      <c r="U83" s="30" t="s">
        <v>163</v>
      </c>
      <c r="V83" s="30" t="s">
        <v>164</v>
      </c>
      <c r="W83" s="30" t="s">
        <v>165</v>
      </c>
      <c r="X83" s="28" t="s">
        <v>2062</v>
      </c>
      <c r="Y83" s="28" t="s">
        <v>2063</v>
      </c>
      <c r="Z83" s="40">
        <v>19</v>
      </c>
      <c r="AA83" s="30" t="s">
        <v>2064</v>
      </c>
      <c r="AB83" s="30" t="s">
        <v>151</v>
      </c>
      <c r="AC83" s="30" t="s">
        <v>151</v>
      </c>
      <c r="AD83" s="39">
        <v>2018</v>
      </c>
      <c r="AE83" s="30" t="s">
        <v>151</v>
      </c>
      <c r="AF83" s="35">
        <v>45565</v>
      </c>
      <c r="AG83" s="30" t="s">
        <v>151</v>
      </c>
      <c r="AH83" s="30" t="s">
        <v>151</v>
      </c>
      <c r="AI83" s="38" t="s">
        <v>151</v>
      </c>
      <c r="AJ83" s="32" t="s">
        <v>151</v>
      </c>
      <c r="AK83" s="38" t="s">
        <v>151</v>
      </c>
      <c r="AL83" s="38" t="s">
        <v>151</v>
      </c>
      <c r="AM83" s="38" t="s">
        <v>151</v>
      </c>
      <c r="AN83" s="38" t="s">
        <v>151</v>
      </c>
      <c r="AO83" s="38" t="s">
        <v>151</v>
      </c>
      <c r="AP83" s="38" t="s">
        <v>151</v>
      </c>
      <c r="AQ83" s="38" t="s">
        <v>151</v>
      </c>
      <c r="AR83" s="29" t="s">
        <v>151</v>
      </c>
      <c r="AS83" s="30" t="s">
        <v>2065</v>
      </c>
      <c r="AT83" s="30" t="s">
        <v>2066</v>
      </c>
      <c r="AU83" s="31">
        <v>9</v>
      </c>
      <c r="AV83" s="30" t="s">
        <v>151</v>
      </c>
      <c r="AW83" s="30" t="s">
        <v>151</v>
      </c>
      <c r="AX83" s="30" t="s">
        <v>151</v>
      </c>
      <c r="AY83" s="30" t="s">
        <v>2067</v>
      </c>
      <c r="AZ83" s="30" t="s">
        <v>151</v>
      </c>
      <c r="BA83" s="30" t="s">
        <v>151</v>
      </c>
      <c r="BB83" s="30" t="s">
        <v>151</v>
      </c>
      <c r="BC83" s="30" t="s">
        <v>151</v>
      </c>
      <c r="BD83" s="30" t="s">
        <v>2068</v>
      </c>
      <c r="BE83" s="30" t="s">
        <v>2069</v>
      </c>
      <c r="BF83" s="30" t="s">
        <v>403</v>
      </c>
      <c r="BG83" s="30" t="s">
        <v>2070</v>
      </c>
      <c r="BH83" s="30" t="s">
        <v>2071</v>
      </c>
      <c r="BI83" s="30" t="s">
        <v>549</v>
      </c>
      <c r="BJ83" s="30" t="s">
        <v>2072</v>
      </c>
      <c r="BK83" s="30" t="s">
        <v>2073</v>
      </c>
      <c r="BL83" s="30" t="s">
        <v>552</v>
      </c>
      <c r="BM83" s="30" t="s">
        <v>322</v>
      </c>
      <c r="BN83" s="29" t="s">
        <v>2074</v>
      </c>
      <c r="BO83" s="30" t="s">
        <v>186</v>
      </c>
      <c r="BP83" s="29" t="s">
        <v>2075</v>
      </c>
      <c r="BQ83" s="29" t="s">
        <v>151</v>
      </c>
      <c r="BR83" s="30" t="s">
        <v>2076</v>
      </c>
      <c r="BS83" s="30" t="s">
        <v>187</v>
      </c>
      <c r="BT83" s="30" t="s">
        <v>188</v>
      </c>
      <c r="BU83" s="35">
        <v>43101</v>
      </c>
      <c r="BV83" s="37">
        <v>0.02</v>
      </c>
      <c r="BW83" s="30" t="s">
        <v>192</v>
      </c>
      <c r="BX83" s="37" t="s">
        <v>151</v>
      </c>
      <c r="BY83" s="30" t="s">
        <v>151</v>
      </c>
      <c r="BZ83" s="30" t="s">
        <v>501</v>
      </c>
      <c r="CA83" s="30" t="s">
        <v>151</v>
      </c>
      <c r="CB83" s="30" t="s">
        <v>151</v>
      </c>
      <c r="CC83" s="30" t="s">
        <v>190</v>
      </c>
      <c r="CD83" s="30" t="s">
        <v>151</v>
      </c>
      <c r="CE83" s="30" t="s">
        <v>191</v>
      </c>
      <c r="CF83" s="35">
        <v>45181</v>
      </c>
      <c r="CG83" s="37">
        <v>0.2</v>
      </c>
      <c r="CH83" s="30" t="s">
        <v>192</v>
      </c>
      <c r="CI83" s="37" t="s">
        <v>151</v>
      </c>
      <c r="CJ83" s="30" t="s">
        <v>151</v>
      </c>
      <c r="CK83" s="29" t="s">
        <v>151</v>
      </c>
      <c r="CL83" s="30" t="s">
        <v>293</v>
      </c>
      <c r="CM83" s="30" t="s">
        <v>293</v>
      </c>
      <c r="CN83" s="30" t="s">
        <v>151</v>
      </c>
      <c r="CO83" s="30" t="s">
        <v>165</v>
      </c>
      <c r="CP83" s="35">
        <v>45181</v>
      </c>
      <c r="CQ83" s="37" t="s">
        <v>151</v>
      </c>
      <c r="CR83" s="30" t="s">
        <v>151</v>
      </c>
      <c r="CS83" s="30" t="s">
        <v>191</v>
      </c>
      <c r="CT83" s="29">
        <v>23</v>
      </c>
      <c r="CU83" s="30" t="s">
        <v>263</v>
      </c>
      <c r="CV83" s="32">
        <v>24</v>
      </c>
      <c r="CW83" s="32">
        <v>76</v>
      </c>
      <c r="CX83" s="30" t="s">
        <v>263</v>
      </c>
      <c r="CY83" s="32">
        <v>1</v>
      </c>
      <c r="CZ83" s="32">
        <v>23</v>
      </c>
      <c r="DA83" s="37" t="s">
        <v>151</v>
      </c>
      <c r="DB83" s="35" t="s">
        <v>151</v>
      </c>
      <c r="DC83" s="30" t="s">
        <v>151</v>
      </c>
      <c r="DD83" s="29" t="s">
        <v>151</v>
      </c>
      <c r="DE83" s="32" t="s">
        <v>151</v>
      </c>
      <c r="DF83" s="34" t="s">
        <v>151</v>
      </c>
      <c r="DG83" s="32" t="s">
        <v>151</v>
      </c>
      <c r="DH83" s="32" t="s">
        <v>151</v>
      </c>
      <c r="DI83" s="32" t="s">
        <v>151</v>
      </c>
      <c r="DJ83" s="34" t="s">
        <v>151</v>
      </c>
      <c r="DK83" s="32" t="s">
        <v>151</v>
      </c>
      <c r="DL83" s="34" t="s">
        <v>151</v>
      </c>
      <c r="DM83" s="32" t="s">
        <v>151</v>
      </c>
      <c r="DN83" s="34" t="s">
        <v>151</v>
      </c>
      <c r="DO83" s="36" t="s">
        <v>151</v>
      </c>
      <c r="DP83" s="34" t="s">
        <v>151</v>
      </c>
      <c r="DQ83" s="36" t="s">
        <v>151</v>
      </c>
      <c r="DR83" s="32" t="s">
        <v>151</v>
      </c>
      <c r="DS83" s="36" t="s">
        <v>151</v>
      </c>
      <c r="DT83" s="34" t="s">
        <v>151</v>
      </c>
      <c r="DU83" s="36" t="s">
        <v>151</v>
      </c>
      <c r="DV83" s="34" t="s">
        <v>151</v>
      </c>
      <c r="DW83" s="36" t="s">
        <v>151</v>
      </c>
      <c r="DX83" s="34" t="s">
        <v>151</v>
      </c>
      <c r="DY83" s="31" t="s">
        <v>151</v>
      </c>
      <c r="DZ83" s="35" t="s">
        <v>151</v>
      </c>
      <c r="EA83" s="35" t="s">
        <v>151</v>
      </c>
      <c r="EB83" s="34" t="s">
        <v>151</v>
      </c>
      <c r="EC83" s="33" t="s">
        <v>151</v>
      </c>
      <c r="ED83" s="32" t="s">
        <v>151</v>
      </c>
      <c r="EE83" s="34" t="s">
        <v>151</v>
      </c>
      <c r="EF83" s="33" t="s">
        <v>151</v>
      </c>
      <c r="EG83" s="32" t="s">
        <v>151</v>
      </c>
      <c r="EH83" s="29" t="s">
        <v>198</v>
      </c>
      <c r="EI83" s="30" t="s">
        <v>151</v>
      </c>
      <c r="EJ83" s="30" t="s">
        <v>151</v>
      </c>
      <c r="EK83" s="31">
        <v>2</v>
      </c>
      <c r="EL83" s="31">
        <v>2</v>
      </c>
      <c r="EM83" s="31">
        <v>1</v>
      </c>
      <c r="EN83" s="31" t="s">
        <v>151</v>
      </c>
      <c r="EO83" s="31" t="s">
        <v>151</v>
      </c>
      <c r="EP83" s="30" t="s">
        <v>2077</v>
      </c>
      <c r="EQ83" s="29" t="s">
        <v>151</v>
      </c>
      <c r="ER83" s="29" t="s">
        <v>151</v>
      </c>
      <c r="ES83" s="4">
        <f>HYPERLINK("https://my.pitchbook.com?c=266403-52","View Company Online")</f>
      </c>
    </row>
    <row r="84">
      <c r="A84" s="17" t="s">
        <v>2078</v>
      </c>
      <c r="B84" s="17" t="s">
        <v>2079</v>
      </c>
      <c r="C84" s="18">
        <v>2</v>
      </c>
      <c r="D84" s="17" t="s">
        <v>151</v>
      </c>
      <c r="E84" s="17" t="s">
        <v>151</v>
      </c>
      <c r="F84" s="17" t="s">
        <v>2080</v>
      </c>
      <c r="G84" s="17" t="s">
        <v>151</v>
      </c>
      <c r="H84" s="17" t="s">
        <v>151</v>
      </c>
      <c r="I84" s="17" t="s">
        <v>151</v>
      </c>
      <c r="J84" s="17" t="s">
        <v>2078</v>
      </c>
      <c r="K84" s="17" t="s">
        <v>2081</v>
      </c>
      <c r="L84" s="17" t="s">
        <v>616</v>
      </c>
      <c r="M84" s="17" t="s">
        <v>834</v>
      </c>
      <c r="N84" s="17" t="s">
        <v>835</v>
      </c>
      <c r="O84" s="17" t="s">
        <v>2082</v>
      </c>
      <c r="P84" s="17" t="s">
        <v>1181</v>
      </c>
      <c r="Q84" s="17" t="s">
        <v>2083</v>
      </c>
      <c r="R84" s="17" t="s">
        <v>151</v>
      </c>
      <c r="S84" s="17" t="s">
        <v>162</v>
      </c>
      <c r="T84" s="24">
        <v>5</v>
      </c>
      <c r="U84" s="17" t="s">
        <v>163</v>
      </c>
      <c r="V84" s="17" t="s">
        <v>164</v>
      </c>
      <c r="W84" s="17" t="s">
        <v>165</v>
      </c>
      <c r="X84" s="15" t="s">
        <v>2084</v>
      </c>
      <c r="Y84" s="15" t="s">
        <v>2085</v>
      </c>
      <c r="Z84" s="27">
        <v>34</v>
      </c>
      <c r="AA84" s="17" t="s">
        <v>2086</v>
      </c>
      <c r="AB84" s="17" t="s">
        <v>151</v>
      </c>
      <c r="AC84" s="17" t="s">
        <v>151</v>
      </c>
      <c r="AD84" s="26">
        <v>2022</v>
      </c>
      <c r="AE84" s="17" t="s">
        <v>151</v>
      </c>
      <c r="AF84" s="22">
        <v>45398</v>
      </c>
      <c r="AG84" s="17" t="s">
        <v>151</v>
      </c>
      <c r="AH84" s="17" t="s">
        <v>151</v>
      </c>
      <c r="AI84" s="25" t="s">
        <v>151</v>
      </c>
      <c r="AJ84" s="19" t="s">
        <v>151</v>
      </c>
      <c r="AK84" s="25" t="s">
        <v>151</v>
      </c>
      <c r="AL84" s="25" t="s">
        <v>151</v>
      </c>
      <c r="AM84" s="25" t="s">
        <v>151</v>
      </c>
      <c r="AN84" s="25" t="s">
        <v>151</v>
      </c>
      <c r="AO84" s="25" t="s">
        <v>151</v>
      </c>
      <c r="AP84" s="25" t="s">
        <v>151</v>
      </c>
      <c r="AQ84" s="25" t="s">
        <v>151</v>
      </c>
      <c r="AR84" s="16" t="s">
        <v>151</v>
      </c>
      <c r="AS84" s="17" t="s">
        <v>2087</v>
      </c>
      <c r="AT84" s="17" t="s">
        <v>2088</v>
      </c>
      <c r="AU84" s="18">
        <v>2</v>
      </c>
      <c r="AV84" s="17" t="s">
        <v>151</v>
      </c>
      <c r="AW84" s="17" t="s">
        <v>151</v>
      </c>
      <c r="AX84" s="17" t="s">
        <v>151</v>
      </c>
      <c r="AY84" s="17" t="s">
        <v>2089</v>
      </c>
      <c r="AZ84" s="17" t="s">
        <v>151</v>
      </c>
      <c r="BA84" s="17" t="s">
        <v>151</v>
      </c>
      <c r="BB84" s="17" t="s">
        <v>151</v>
      </c>
      <c r="BC84" s="17" t="s">
        <v>151</v>
      </c>
      <c r="BD84" s="17" t="s">
        <v>2090</v>
      </c>
      <c r="BE84" s="17" t="s">
        <v>2091</v>
      </c>
      <c r="BF84" s="17" t="s">
        <v>2092</v>
      </c>
      <c r="BG84" s="17" t="s">
        <v>2093</v>
      </c>
      <c r="BH84" s="17" t="s">
        <v>2094</v>
      </c>
      <c r="BI84" s="17" t="s">
        <v>1710</v>
      </c>
      <c r="BJ84" s="17" t="s">
        <v>2095</v>
      </c>
      <c r="BK84" s="17" t="s">
        <v>151</v>
      </c>
      <c r="BL84" s="17" t="s">
        <v>1713</v>
      </c>
      <c r="BM84" s="17" t="s">
        <v>184</v>
      </c>
      <c r="BN84" s="16" t="s">
        <v>2096</v>
      </c>
      <c r="BO84" s="17" t="s">
        <v>186</v>
      </c>
      <c r="BP84" s="16" t="s">
        <v>2094</v>
      </c>
      <c r="BQ84" s="16" t="s">
        <v>151</v>
      </c>
      <c r="BR84" s="17" t="s">
        <v>151</v>
      </c>
      <c r="BS84" s="17" t="s">
        <v>187</v>
      </c>
      <c r="BT84" s="17" t="s">
        <v>188</v>
      </c>
      <c r="BU84" s="22">
        <v>44622</v>
      </c>
      <c r="BV84" s="24">
        <v>5</v>
      </c>
      <c r="BW84" s="17" t="s">
        <v>192</v>
      </c>
      <c r="BX84" s="24">
        <v>25</v>
      </c>
      <c r="BY84" s="17" t="s">
        <v>192</v>
      </c>
      <c r="BZ84" s="17" t="s">
        <v>293</v>
      </c>
      <c r="CA84" s="17" t="s">
        <v>293</v>
      </c>
      <c r="CB84" s="17" t="s">
        <v>151</v>
      </c>
      <c r="CC84" s="17" t="s">
        <v>165</v>
      </c>
      <c r="CD84" s="17" t="s">
        <v>151</v>
      </c>
      <c r="CE84" s="17" t="s">
        <v>191</v>
      </c>
      <c r="CF84" s="22">
        <v>44622</v>
      </c>
      <c r="CG84" s="24">
        <v>5</v>
      </c>
      <c r="CH84" s="17" t="s">
        <v>192</v>
      </c>
      <c r="CI84" s="24">
        <v>25</v>
      </c>
      <c r="CJ84" s="17" t="s">
        <v>192</v>
      </c>
      <c r="CK84" s="16" t="s">
        <v>151</v>
      </c>
      <c r="CL84" s="17" t="s">
        <v>293</v>
      </c>
      <c r="CM84" s="17" t="s">
        <v>293</v>
      </c>
      <c r="CN84" s="17" t="s">
        <v>151</v>
      </c>
      <c r="CO84" s="17" t="s">
        <v>165</v>
      </c>
      <c r="CP84" s="22">
        <v>44622</v>
      </c>
      <c r="CQ84" s="24" t="s">
        <v>151</v>
      </c>
      <c r="CR84" s="17" t="s">
        <v>151</v>
      </c>
      <c r="CS84" s="17" t="s">
        <v>191</v>
      </c>
      <c r="CT84" s="16" t="s">
        <v>151</v>
      </c>
      <c r="CU84" s="17" t="s">
        <v>151</v>
      </c>
      <c r="CV84" s="19" t="s">
        <v>151</v>
      </c>
      <c r="CW84" s="19" t="s">
        <v>151</v>
      </c>
      <c r="CX84" s="17" t="s">
        <v>151</v>
      </c>
      <c r="CY84" s="19" t="s">
        <v>151</v>
      </c>
      <c r="CZ84" s="19" t="s">
        <v>151</v>
      </c>
      <c r="DA84" s="24">
        <v>25</v>
      </c>
      <c r="DB84" s="22">
        <v>44622</v>
      </c>
      <c r="DC84" s="17" t="s">
        <v>293</v>
      </c>
      <c r="DD84" s="16" t="s">
        <v>151</v>
      </c>
      <c r="DE84" s="19">
        <v>1.99</v>
      </c>
      <c r="DF84" s="21">
        <v>98</v>
      </c>
      <c r="DG84" s="19">
        <v>0</v>
      </c>
      <c r="DH84" s="19">
        <v>0</v>
      </c>
      <c r="DI84" s="19">
        <v>3.6</v>
      </c>
      <c r="DJ84" s="21">
        <v>100</v>
      </c>
      <c r="DK84" s="19" t="s">
        <v>151</v>
      </c>
      <c r="DL84" s="21" t="s">
        <v>151</v>
      </c>
      <c r="DM84" s="19">
        <v>3.6</v>
      </c>
      <c r="DN84" s="21">
        <v>100</v>
      </c>
      <c r="DO84" s="23">
        <v>6.99</v>
      </c>
      <c r="DP84" s="21">
        <v>86</v>
      </c>
      <c r="DQ84" s="23">
        <v>0</v>
      </c>
      <c r="DR84" s="19">
        <v>0</v>
      </c>
      <c r="DS84" s="23">
        <v>11.37</v>
      </c>
      <c r="DT84" s="21">
        <v>91</v>
      </c>
      <c r="DU84" s="23" t="s">
        <v>151</v>
      </c>
      <c r="DV84" s="21" t="s">
        <v>151</v>
      </c>
      <c r="DW84" s="23">
        <v>11.37</v>
      </c>
      <c r="DX84" s="21">
        <v>91</v>
      </c>
      <c r="DY84" s="18" t="s">
        <v>151</v>
      </c>
      <c r="DZ84" s="22" t="s">
        <v>151</v>
      </c>
      <c r="EA84" s="22" t="s">
        <v>151</v>
      </c>
      <c r="EB84" s="21">
        <v>2085</v>
      </c>
      <c r="EC84" s="20">
        <v>99</v>
      </c>
      <c r="ED84" s="19">
        <v>4.98</v>
      </c>
      <c r="EE84" s="21">
        <v>216</v>
      </c>
      <c r="EF84" s="20">
        <v>3</v>
      </c>
      <c r="EG84" s="19">
        <v>1.41</v>
      </c>
      <c r="EH84" s="16" t="s">
        <v>198</v>
      </c>
      <c r="EI84" s="17" t="s">
        <v>151</v>
      </c>
      <c r="EJ84" s="17" t="s">
        <v>151</v>
      </c>
      <c r="EK84" s="18">
        <v>1</v>
      </c>
      <c r="EL84" s="18">
        <v>1</v>
      </c>
      <c r="EM84" s="18" t="s">
        <v>151</v>
      </c>
      <c r="EN84" s="18" t="s">
        <v>151</v>
      </c>
      <c r="EO84" s="18">
        <v>1</v>
      </c>
      <c r="EP84" s="17" t="s">
        <v>2097</v>
      </c>
      <c r="EQ84" s="16" t="s">
        <v>151</v>
      </c>
      <c r="ER84" s="16" t="s">
        <v>151</v>
      </c>
      <c r="ES84" s="3">
        <f>HYPERLINK("https://my.pitchbook.com?c=498016-63","View Company Online")</f>
      </c>
    </row>
    <row r="85">
      <c r="A85" s="30" t="s">
        <v>2098</v>
      </c>
      <c r="B85" s="30" t="s">
        <v>2099</v>
      </c>
      <c r="C85" s="31">
        <v>2</v>
      </c>
      <c r="D85" s="30" t="s">
        <v>151</v>
      </c>
      <c r="E85" s="30" t="s">
        <v>151</v>
      </c>
      <c r="F85" s="30" t="s">
        <v>2100</v>
      </c>
      <c r="G85" s="30" t="s">
        <v>151</v>
      </c>
      <c r="H85" s="30" t="s">
        <v>151</v>
      </c>
      <c r="I85" s="30" t="s">
        <v>2101</v>
      </c>
      <c r="J85" s="30" t="s">
        <v>2098</v>
      </c>
      <c r="K85" s="30" t="s">
        <v>2102</v>
      </c>
      <c r="L85" s="30" t="s">
        <v>205</v>
      </c>
      <c r="M85" s="30" t="s">
        <v>206</v>
      </c>
      <c r="N85" s="30" t="s">
        <v>269</v>
      </c>
      <c r="O85" s="30" t="s">
        <v>2103</v>
      </c>
      <c r="P85" s="30" t="s">
        <v>2104</v>
      </c>
      <c r="Q85" s="30" t="s">
        <v>2105</v>
      </c>
      <c r="R85" s="30" t="s">
        <v>151</v>
      </c>
      <c r="S85" s="30" t="s">
        <v>162</v>
      </c>
      <c r="T85" s="37">
        <v>5.16</v>
      </c>
      <c r="U85" s="30" t="s">
        <v>163</v>
      </c>
      <c r="V85" s="30" t="s">
        <v>164</v>
      </c>
      <c r="W85" s="30" t="s">
        <v>165</v>
      </c>
      <c r="X85" s="28" t="s">
        <v>2106</v>
      </c>
      <c r="Y85" s="28" t="s">
        <v>2107</v>
      </c>
      <c r="Z85" s="40">
        <v>35</v>
      </c>
      <c r="AA85" s="30" t="s">
        <v>2108</v>
      </c>
      <c r="AB85" s="30" t="s">
        <v>151</v>
      </c>
      <c r="AC85" s="30" t="s">
        <v>151</v>
      </c>
      <c r="AD85" s="39">
        <v>2017</v>
      </c>
      <c r="AE85" s="30" t="s">
        <v>151</v>
      </c>
      <c r="AF85" s="35">
        <v>45603</v>
      </c>
      <c r="AG85" s="30" t="s">
        <v>151</v>
      </c>
      <c r="AH85" s="30" t="s">
        <v>151</v>
      </c>
      <c r="AI85" s="38">
        <v>1.3</v>
      </c>
      <c r="AJ85" s="32">
        <v>103.13</v>
      </c>
      <c r="AK85" s="38" t="s">
        <v>151</v>
      </c>
      <c r="AL85" s="38" t="s">
        <v>151</v>
      </c>
      <c r="AM85" s="38">
        <v>12</v>
      </c>
      <c r="AN85" s="38" t="s">
        <v>151</v>
      </c>
      <c r="AO85" s="38" t="s">
        <v>151</v>
      </c>
      <c r="AP85" s="38" t="s">
        <v>151</v>
      </c>
      <c r="AQ85" s="38" t="s">
        <v>151</v>
      </c>
      <c r="AR85" s="29" t="s">
        <v>810</v>
      </c>
      <c r="AS85" s="30" t="s">
        <v>2109</v>
      </c>
      <c r="AT85" s="30" t="s">
        <v>2110</v>
      </c>
      <c r="AU85" s="31">
        <v>26</v>
      </c>
      <c r="AV85" s="30" t="s">
        <v>151</v>
      </c>
      <c r="AW85" s="30" t="s">
        <v>151</v>
      </c>
      <c r="AX85" s="30" t="s">
        <v>151</v>
      </c>
      <c r="AY85" s="30" t="s">
        <v>2111</v>
      </c>
      <c r="AZ85" s="30" t="s">
        <v>151</v>
      </c>
      <c r="BA85" s="30" t="s">
        <v>151</v>
      </c>
      <c r="BB85" s="30" t="s">
        <v>2112</v>
      </c>
      <c r="BC85" s="30" t="s">
        <v>374</v>
      </c>
      <c r="BD85" s="30" t="s">
        <v>2113</v>
      </c>
      <c r="BE85" s="30" t="s">
        <v>2114</v>
      </c>
      <c r="BF85" s="30" t="s">
        <v>2115</v>
      </c>
      <c r="BG85" s="30" t="s">
        <v>2116</v>
      </c>
      <c r="BH85" s="30" t="s">
        <v>2117</v>
      </c>
      <c r="BI85" s="30" t="s">
        <v>2118</v>
      </c>
      <c r="BJ85" s="30" t="s">
        <v>2119</v>
      </c>
      <c r="BK85" s="30" t="s">
        <v>2120</v>
      </c>
      <c r="BL85" s="30" t="s">
        <v>2121</v>
      </c>
      <c r="BM85" s="30" t="s">
        <v>184</v>
      </c>
      <c r="BN85" s="29" t="s">
        <v>2122</v>
      </c>
      <c r="BO85" s="30" t="s">
        <v>186</v>
      </c>
      <c r="BP85" s="29" t="s">
        <v>2123</v>
      </c>
      <c r="BQ85" s="29" t="s">
        <v>151</v>
      </c>
      <c r="BR85" s="30" t="s">
        <v>2124</v>
      </c>
      <c r="BS85" s="30" t="s">
        <v>187</v>
      </c>
      <c r="BT85" s="30" t="s">
        <v>188</v>
      </c>
      <c r="BU85" s="35" t="s">
        <v>151</v>
      </c>
      <c r="BV85" s="37" t="s">
        <v>151</v>
      </c>
      <c r="BW85" s="30" t="s">
        <v>151</v>
      </c>
      <c r="BX85" s="37" t="s">
        <v>151</v>
      </c>
      <c r="BY85" s="30" t="s">
        <v>151</v>
      </c>
      <c r="BZ85" s="30" t="s">
        <v>189</v>
      </c>
      <c r="CA85" s="30" t="s">
        <v>151</v>
      </c>
      <c r="CB85" s="30" t="s">
        <v>151</v>
      </c>
      <c r="CC85" s="30" t="s">
        <v>190</v>
      </c>
      <c r="CD85" s="30" t="s">
        <v>151</v>
      </c>
      <c r="CE85" s="30" t="s">
        <v>191</v>
      </c>
      <c r="CF85" s="35" t="s">
        <v>151</v>
      </c>
      <c r="CG85" s="37" t="s">
        <v>151</v>
      </c>
      <c r="CH85" s="30" t="s">
        <v>151</v>
      </c>
      <c r="CI85" s="37" t="s">
        <v>151</v>
      </c>
      <c r="CJ85" s="30" t="s">
        <v>151</v>
      </c>
      <c r="CK85" s="29" t="s">
        <v>151</v>
      </c>
      <c r="CL85" s="30" t="s">
        <v>189</v>
      </c>
      <c r="CM85" s="30" t="s">
        <v>151</v>
      </c>
      <c r="CN85" s="30" t="s">
        <v>151</v>
      </c>
      <c r="CO85" s="30" t="s">
        <v>190</v>
      </c>
      <c r="CP85" s="35" t="s">
        <v>151</v>
      </c>
      <c r="CQ85" s="37" t="s">
        <v>151</v>
      </c>
      <c r="CR85" s="30" t="s">
        <v>151</v>
      </c>
      <c r="CS85" s="30" t="s">
        <v>191</v>
      </c>
      <c r="CT85" s="29">
        <v>59</v>
      </c>
      <c r="CU85" s="30" t="s">
        <v>196</v>
      </c>
      <c r="CV85" s="32">
        <v>56</v>
      </c>
      <c r="CW85" s="32">
        <v>44</v>
      </c>
      <c r="CX85" s="30" t="s">
        <v>294</v>
      </c>
      <c r="CY85" s="32">
        <v>1</v>
      </c>
      <c r="CZ85" s="32">
        <v>55</v>
      </c>
      <c r="DA85" s="37">
        <v>25</v>
      </c>
      <c r="DB85" s="35">
        <v>44993</v>
      </c>
      <c r="DC85" s="30" t="s">
        <v>194</v>
      </c>
      <c r="DD85" s="29" t="s">
        <v>151</v>
      </c>
      <c r="DE85" s="32">
        <v>-0.56</v>
      </c>
      <c r="DF85" s="34">
        <v>7</v>
      </c>
      <c r="DG85" s="32">
        <v>0</v>
      </c>
      <c r="DH85" s="32">
        <v>0</v>
      </c>
      <c r="DI85" s="32">
        <v>-0.44</v>
      </c>
      <c r="DJ85" s="34">
        <v>7</v>
      </c>
      <c r="DK85" s="32" t="s">
        <v>151</v>
      </c>
      <c r="DL85" s="34" t="s">
        <v>151</v>
      </c>
      <c r="DM85" s="32">
        <v>-0.44</v>
      </c>
      <c r="DN85" s="34">
        <v>7</v>
      </c>
      <c r="DO85" s="36">
        <v>5.69</v>
      </c>
      <c r="DP85" s="34">
        <v>84</v>
      </c>
      <c r="DQ85" s="36">
        <v>0</v>
      </c>
      <c r="DR85" s="32">
        <v>0</v>
      </c>
      <c r="DS85" s="36">
        <v>8.68</v>
      </c>
      <c r="DT85" s="34">
        <v>89</v>
      </c>
      <c r="DU85" s="36" t="s">
        <v>151</v>
      </c>
      <c r="DV85" s="34" t="s">
        <v>151</v>
      </c>
      <c r="DW85" s="36">
        <v>8.68</v>
      </c>
      <c r="DX85" s="34">
        <v>88</v>
      </c>
      <c r="DY85" s="31">
        <v>1</v>
      </c>
      <c r="DZ85" s="35">
        <v>44855</v>
      </c>
      <c r="EA85" s="35" t="s">
        <v>151</v>
      </c>
      <c r="EB85" s="34" t="s">
        <v>151</v>
      </c>
      <c r="EC85" s="33" t="s">
        <v>151</v>
      </c>
      <c r="ED85" s="32" t="s">
        <v>151</v>
      </c>
      <c r="EE85" s="34">
        <v>165</v>
      </c>
      <c r="EF85" s="33">
        <v>0</v>
      </c>
      <c r="EG85" s="32">
        <v>0</v>
      </c>
      <c r="EH85" s="29" t="s">
        <v>198</v>
      </c>
      <c r="EI85" s="30" t="s">
        <v>151</v>
      </c>
      <c r="EJ85" s="30" t="s">
        <v>151</v>
      </c>
      <c r="EK85" s="31">
        <v>1</v>
      </c>
      <c r="EL85" s="31">
        <v>2</v>
      </c>
      <c r="EM85" s="31" t="s">
        <v>151</v>
      </c>
      <c r="EN85" s="31" t="s">
        <v>151</v>
      </c>
      <c r="EO85" s="31" t="s">
        <v>151</v>
      </c>
      <c r="EP85" s="30" t="s">
        <v>741</v>
      </c>
      <c r="EQ85" s="29" t="s">
        <v>151</v>
      </c>
      <c r="ER85" s="29" t="s">
        <v>151</v>
      </c>
      <c r="ES85" s="4">
        <f>HYPERLINK("https://my.pitchbook.com?c=266088-43","View Company Online")</f>
      </c>
    </row>
    <row r="86">
      <c r="A86" s="17" t="s">
        <v>2125</v>
      </c>
      <c r="B86" s="17" t="s">
        <v>2126</v>
      </c>
      <c r="C86" s="18">
        <v>2</v>
      </c>
      <c r="D86" s="17" t="s">
        <v>151</v>
      </c>
      <c r="E86" s="17" t="s">
        <v>151</v>
      </c>
      <c r="F86" s="17" t="s">
        <v>2127</v>
      </c>
      <c r="G86" s="17" t="s">
        <v>151</v>
      </c>
      <c r="H86" s="17" t="s">
        <v>151</v>
      </c>
      <c r="I86" s="17" t="s">
        <v>151</v>
      </c>
      <c r="J86" s="17" t="s">
        <v>2125</v>
      </c>
      <c r="K86" s="17" t="s">
        <v>2128</v>
      </c>
      <c r="L86" s="17" t="s">
        <v>205</v>
      </c>
      <c r="M86" s="17" t="s">
        <v>206</v>
      </c>
      <c r="N86" s="17" t="s">
        <v>1268</v>
      </c>
      <c r="O86" s="17" t="s">
        <v>2129</v>
      </c>
      <c r="P86" s="17" t="s">
        <v>2130</v>
      </c>
      <c r="Q86" s="17" t="s">
        <v>2131</v>
      </c>
      <c r="R86" s="17" t="s">
        <v>151</v>
      </c>
      <c r="S86" s="17" t="s">
        <v>162</v>
      </c>
      <c r="T86" s="24">
        <v>5.5</v>
      </c>
      <c r="U86" s="17" t="s">
        <v>163</v>
      </c>
      <c r="V86" s="17" t="s">
        <v>164</v>
      </c>
      <c r="W86" s="17" t="s">
        <v>165</v>
      </c>
      <c r="X86" s="15" t="s">
        <v>2132</v>
      </c>
      <c r="Y86" s="15" t="s">
        <v>2133</v>
      </c>
      <c r="Z86" s="27">
        <v>16</v>
      </c>
      <c r="AA86" s="17" t="s">
        <v>2134</v>
      </c>
      <c r="AB86" s="17" t="s">
        <v>151</v>
      </c>
      <c r="AC86" s="17" t="s">
        <v>151</v>
      </c>
      <c r="AD86" s="26">
        <v>2020</v>
      </c>
      <c r="AE86" s="17" t="s">
        <v>151</v>
      </c>
      <c r="AF86" s="22">
        <v>45562</v>
      </c>
      <c r="AG86" s="17" t="s">
        <v>151</v>
      </c>
      <c r="AH86" s="17" t="s">
        <v>151</v>
      </c>
      <c r="AI86" s="25" t="s">
        <v>151</v>
      </c>
      <c r="AJ86" s="19" t="s">
        <v>151</v>
      </c>
      <c r="AK86" s="25" t="s">
        <v>151</v>
      </c>
      <c r="AL86" s="25" t="s">
        <v>151</v>
      </c>
      <c r="AM86" s="25" t="s">
        <v>151</v>
      </c>
      <c r="AN86" s="25" t="s">
        <v>151</v>
      </c>
      <c r="AO86" s="25" t="s">
        <v>151</v>
      </c>
      <c r="AP86" s="25" t="s">
        <v>151</v>
      </c>
      <c r="AQ86" s="25" t="s">
        <v>151</v>
      </c>
      <c r="AR86" s="16" t="s">
        <v>151</v>
      </c>
      <c r="AS86" s="17" t="s">
        <v>2135</v>
      </c>
      <c r="AT86" s="17" t="s">
        <v>2136</v>
      </c>
      <c r="AU86" s="18">
        <v>4</v>
      </c>
      <c r="AV86" s="17" t="s">
        <v>151</v>
      </c>
      <c r="AW86" s="17" t="s">
        <v>151</v>
      </c>
      <c r="AX86" s="17" t="s">
        <v>151</v>
      </c>
      <c r="AY86" s="17" t="s">
        <v>2137</v>
      </c>
      <c r="AZ86" s="17" t="s">
        <v>151</v>
      </c>
      <c r="BA86" s="17" t="s">
        <v>151</v>
      </c>
      <c r="BB86" s="17" t="s">
        <v>151</v>
      </c>
      <c r="BC86" s="17" t="s">
        <v>151</v>
      </c>
      <c r="BD86" s="17" t="s">
        <v>2138</v>
      </c>
      <c r="BE86" s="17" t="s">
        <v>2139</v>
      </c>
      <c r="BF86" s="17" t="s">
        <v>2140</v>
      </c>
      <c r="BG86" s="17" t="s">
        <v>2141</v>
      </c>
      <c r="BH86" s="17" t="s">
        <v>2142</v>
      </c>
      <c r="BI86" s="17" t="s">
        <v>1409</v>
      </c>
      <c r="BJ86" s="17" t="s">
        <v>2143</v>
      </c>
      <c r="BK86" s="17" t="s">
        <v>151</v>
      </c>
      <c r="BL86" s="17" t="s">
        <v>1412</v>
      </c>
      <c r="BM86" s="17" t="s">
        <v>823</v>
      </c>
      <c r="BN86" s="16" t="s">
        <v>1621</v>
      </c>
      <c r="BO86" s="17" t="s">
        <v>186</v>
      </c>
      <c r="BP86" s="16" t="s">
        <v>2142</v>
      </c>
      <c r="BQ86" s="16" t="s">
        <v>151</v>
      </c>
      <c r="BR86" s="17" t="s">
        <v>151</v>
      </c>
      <c r="BS86" s="17" t="s">
        <v>187</v>
      </c>
      <c r="BT86" s="17" t="s">
        <v>188</v>
      </c>
      <c r="BU86" s="22">
        <v>44733</v>
      </c>
      <c r="BV86" s="24">
        <v>5.5</v>
      </c>
      <c r="BW86" s="17" t="s">
        <v>192</v>
      </c>
      <c r="BX86" s="24" t="s">
        <v>151</v>
      </c>
      <c r="BY86" s="17" t="s">
        <v>151</v>
      </c>
      <c r="BZ86" s="17" t="s">
        <v>293</v>
      </c>
      <c r="CA86" s="17" t="s">
        <v>293</v>
      </c>
      <c r="CB86" s="17" t="s">
        <v>151</v>
      </c>
      <c r="CC86" s="17" t="s">
        <v>165</v>
      </c>
      <c r="CD86" s="17" t="s">
        <v>151</v>
      </c>
      <c r="CE86" s="17" t="s">
        <v>191</v>
      </c>
      <c r="CF86" s="22">
        <v>44733</v>
      </c>
      <c r="CG86" s="24">
        <v>5.5</v>
      </c>
      <c r="CH86" s="17" t="s">
        <v>192</v>
      </c>
      <c r="CI86" s="24" t="s">
        <v>151</v>
      </c>
      <c r="CJ86" s="17" t="s">
        <v>151</v>
      </c>
      <c r="CK86" s="16" t="s">
        <v>151</v>
      </c>
      <c r="CL86" s="17" t="s">
        <v>293</v>
      </c>
      <c r="CM86" s="17" t="s">
        <v>293</v>
      </c>
      <c r="CN86" s="17" t="s">
        <v>151</v>
      </c>
      <c r="CO86" s="17" t="s">
        <v>165</v>
      </c>
      <c r="CP86" s="22">
        <v>44733</v>
      </c>
      <c r="CQ86" s="24" t="s">
        <v>151</v>
      </c>
      <c r="CR86" s="17" t="s">
        <v>151</v>
      </c>
      <c r="CS86" s="17" t="s">
        <v>191</v>
      </c>
      <c r="CT86" s="16" t="s">
        <v>151</v>
      </c>
      <c r="CU86" s="17" t="s">
        <v>151</v>
      </c>
      <c r="CV86" s="19" t="s">
        <v>151</v>
      </c>
      <c r="CW86" s="19" t="s">
        <v>151</v>
      </c>
      <c r="CX86" s="17" t="s">
        <v>151</v>
      </c>
      <c r="CY86" s="19" t="s">
        <v>151</v>
      </c>
      <c r="CZ86" s="19" t="s">
        <v>151</v>
      </c>
      <c r="DA86" s="24" t="s">
        <v>151</v>
      </c>
      <c r="DB86" s="22" t="s">
        <v>151</v>
      </c>
      <c r="DC86" s="17" t="s">
        <v>151</v>
      </c>
      <c r="DD86" s="16" t="s">
        <v>151</v>
      </c>
      <c r="DE86" s="19">
        <v>1.18</v>
      </c>
      <c r="DF86" s="21">
        <v>97</v>
      </c>
      <c r="DG86" s="19">
        <v>0</v>
      </c>
      <c r="DH86" s="19">
        <v>0</v>
      </c>
      <c r="DI86" s="19">
        <v>2.35</v>
      </c>
      <c r="DJ86" s="21">
        <v>99</v>
      </c>
      <c r="DK86" s="19" t="s">
        <v>151</v>
      </c>
      <c r="DL86" s="21" t="s">
        <v>151</v>
      </c>
      <c r="DM86" s="19">
        <v>2.35</v>
      </c>
      <c r="DN86" s="21">
        <v>99</v>
      </c>
      <c r="DO86" s="23">
        <v>9.01</v>
      </c>
      <c r="DP86" s="21">
        <v>89</v>
      </c>
      <c r="DQ86" s="23">
        <v>0</v>
      </c>
      <c r="DR86" s="19">
        <v>0</v>
      </c>
      <c r="DS86" s="23">
        <v>16.79</v>
      </c>
      <c r="DT86" s="21">
        <v>94</v>
      </c>
      <c r="DU86" s="23" t="s">
        <v>151</v>
      </c>
      <c r="DV86" s="21" t="s">
        <v>151</v>
      </c>
      <c r="DW86" s="23">
        <v>16.79</v>
      </c>
      <c r="DX86" s="21">
        <v>94</v>
      </c>
      <c r="DY86" s="18" t="s">
        <v>151</v>
      </c>
      <c r="DZ86" s="22" t="s">
        <v>151</v>
      </c>
      <c r="EA86" s="22" t="s">
        <v>151</v>
      </c>
      <c r="EB86" s="21">
        <v>4668</v>
      </c>
      <c r="EC86" s="20">
        <v>97</v>
      </c>
      <c r="ED86" s="19">
        <v>2.12</v>
      </c>
      <c r="EE86" s="21">
        <v>319</v>
      </c>
      <c r="EF86" s="20">
        <v>4</v>
      </c>
      <c r="EG86" s="19">
        <v>1.27</v>
      </c>
      <c r="EH86" s="16" t="s">
        <v>198</v>
      </c>
      <c r="EI86" s="17" t="s">
        <v>151</v>
      </c>
      <c r="EJ86" s="17" t="s">
        <v>151</v>
      </c>
      <c r="EK86" s="18">
        <v>1</v>
      </c>
      <c r="EL86" s="18" t="s">
        <v>151</v>
      </c>
      <c r="EM86" s="18" t="s">
        <v>151</v>
      </c>
      <c r="EN86" s="18" t="s">
        <v>151</v>
      </c>
      <c r="EO86" s="18">
        <v>2</v>
      </c>
      <c r="EP86" s="17" t="s">
        <v>151</v>
      </c>
      <c r="EQ86" s="16" t="s">
        <v>151</v>
      </c>
      <c r="ER86" s="16" t="s">
        <v>151</v>
      </c>
      <c r="ES86" s="3">
        <f>HYPERLINK("https://my.pitchbook.com?c=501885-01","View Company Online")</f>
      </c>
    </row>
    <row r="87">
      <c r="A87" s="30" t="s">
        <v>2144</v>
      </c>
      <c r="B87" s="30" t="s">
        <v>2145</v>
      </c>
      <c r="C87" s="31">
        <v>2</v>
      </c>
      <c r="D87" s="30" t="s">
        <v>151</v>
      </c>
      <c r="E87" s="30" t="s">
        <v>151</v>
      </c>
      <c r="F87" s="30" t="s">
        <v>2146</v>
      </c>
      <c r="G87" s="30" t="s">
        <v>151</v>
      </c>
      <c r="H87" s="30" t="s">
        <v>151</v>
      </c>
      <c r="I87" s="30" t="s">
        <v>2147</v>
      </c>
      <c r="J87" s="30" t="s">
        <v>2144</v>
      </c>
      <c r="K87" s="30" t="s">
        <v>2148</v>
      </c>
      <c r="L87" s="30" t="s">
        <v>205</v>
      </c>
      <c r="M87" s="30" t="s">
        <v>206</v>
      </c>
      <c r="N87" s="30" t="s">
        <v>269</v>
      </c>
      <c r="O87" s="30" t="s">
        <v>508</v>
      </c>
      <c r="P87" s="30" t="s">
        <v>2149</v>
      </c>
      <c r="Q87" s="30" t="s">
        <v>2150</v>
      </c>
      <c r="R87" s="30" t="s">
        <v>151</v>
      </c>
      <c r="S87" s="30" t="s">
        <v>162</v>
      </c>
      <c r="T87" s="37">
        <v>16.32</v>
      </c>
      <c r="U87" s="30" t="s">
        <v>163</v>
      </c>
      <c r="V87" s="30" t="s">
        <v>164</v>
      </c>
      <c r="W87" s="30" t="s">
        <v>165</v>
      </c>
      <c r="X87" s="28" t="s">
        <v>2151</v>
      </c>
      <c r="Y87" s="28" t="s">
        <v>2152</v>
      </c>
      <c r="Z87" s="40">
        <v>27</v>
      </c>
      <c r="AA87" s="30" t="s">
        <v>2153</v>
      </c>
      <c r="AB87" s="30" t="s">
        <v>151</v>
      </c>
      <c r="AC87" s="30" t="s">
        <v>151</v>
      </c>
      <c r="AD87" s="39">
        <v>2017</v>
      </c>
      <c r="AE87" s="30" t="s">
        <v>151</v>
      </c>
      <c r="AF87" s="35">
        <v>45539</v>
      </c>
      <c r="AG87" s="30" t="s">
        <v>151</v>
      </c>
      <c r="AH87" s="30" t="s">
        <v>151</v>
      </c>
      <c r="AI87" s="38" t="s">
        <v>151</v>
      </c>
      <c r="AJ87" s="32" t="s">
        <v>151</v>
      </c>
      <c r="AK87" s="38" t="s">
        <v>151</v>
      </c>
      <c r="AL87" s="38" t="s">
        <v>151</v>
      </c>
      <c r="AM87" s="38" t="s">
        <v>151</v>
      </c>
      <c r="AN87" s="38" t="s">
        <v>151</v>
      </c>
      <c r="AO87" s="38" t="s">
        <v>151</v>
      </c>
      <c r="AP87" s="38" t="s">
        <v>151</v>
      </c>
      <c r="AQ87" s="38" t="s">
        <v>151</v>
      </c>
      <c r="AR87" s="29" t="s">
        <v>151</v>
      </c>
      <c r="AS87" s="30" t="s">
        <v>2154</v>
      </c>
      <c r="AT87" s="30" t="s">
        <v>2155</v>
      </c>
      <c r="AU87" s="31">
        <v>17</v>
      </c>
      <c r="AV87" s="30" t="s">
        <v>151</v>
      </c>
      <c r="AW87" s="30" t="s">
        <v>2156</v>
      </c>
      <c r="AX87" s="30" t="s">
        <v>151</v>
      </c>
      <c r="AY87" s="30" t="s">
        <v>2157</v>
      </c>
      <c r="AZ87" s="30" t="s">
        <v>2158</v>
      </c>
      <c r="BA87" s="30" t="s">
        <v>151</v>
      </c>
      <c r="BB87" s="30" t="s">
        <v>151</v>
      </c>
      <c r="BC87" s="30" t="s">
        <v>2159</v>
      </c>
      <c r="BD87" s="30" t="s">
        <v>2160</v>
      </c>
      <c r="BE87" s="30" t="s">
        <v>2161</v>
      </c>
      <c r="BF87" s="30" t="s">
        <v>2115</v>
      </c>
      <c r="BG87" s="30" t="s">
        <v>151</v>
      </c>
      <c r="BH87" s="30" t="s">
        <v>151</v>
      </c>
      <c r="BI87" s="30" t="s">
        <v>2162</v>
      </c>
      <c r="BJ87" s="30" t="s">
        <v>2163</v>
      </c>
      <c r="BK87" s="30" t="s">
        <v>2164</v>
      </c>
      <c r="BL87" s="30" t="s">
        <v>289</v>
      </c>
      <c r="BM87" s="30" t="s">
        <v>2165</v>
      </c>
      <c r="BN87" s="29" t="s">
        <v>2166</v>
      </c>
      <c r="BO87" s="30" t="s">
        <v>186</v>
      </c>
      <c r="BP87" s="29" t="s">
        <v>151</v>
      </c>
      <c r="BQ87" s="29" t="s">
        <v>151</v>
      </c>
      <c r="BR87" s="30" t="s">
        <v>2167</v>
      </c>
      <c r="BS87" s="30" t="s">
        <v>187</v>
      </c>
      <c r="BT87" s="30" t="s">
        <v>188</v>
      </c>
      <c r="BU87" s="35">
        <v>42887</v>
      </c>
      <c r="BV87" s="37" t="s">
        <v>151</v>
      </c>
      <c r="BW87" s="30" t="s">
        <v>151</v>
      </c>
      <c r="BX87" s="37" t="s">
        <v>151</v>
      </c>
      <c r="BY87" s="30" t="s">
        <v>151</v>
      </c>
      <c r="BZ87" s="30" t="s">
        <v>189</v>
      </c>
      <c r="CA87" s="30" t="s">
        <v>151</v>
      </c>
      <c r="CB87" s="30" t="s">
        <v>151</v>
      </c>
      <c r="CC87" s="30" t="s">
        <v>190</v>
      </c>
      <c r="CD87" s="30" t="s">
        <v>151</v>
      </c>
      <c r="CE87" s="30" t="s">
        <v>191</v>
      </c>
      <c r="CF87" s="35">
        <v>45281</v>
      </c>
      <c r="CG87" s="37">
        <v>14.1</v>
      </c>
      <c r="CH87" s="30" t="s">
        <v>192</v>
      </c>
      <c r="CI87" s="37">
        <v>36.1</v>
      </c>
      <c r="CJ87" s="30" t="s">
        <v>192</v>
      </c>
      <c r="CK87" s="29">
        <v>3.06</v>
      </c>
      <c r="CL87" s="30" t="s">
        <v>194</v>
      </c>
      <c r="CM87" s="30" t="s">
        <v>232</v>
      </c>
      <c r="CN87" s="30" t="s">
        <v>151</v>
      </c>
      <c r="CO87" s="30" t="s">
        <v>165</v>
      </c>
      <c r="CP87" s="35">
        <v>45281</v>
      </c>
      <c r="CQ87" s="37" t="s">
        <v>151</v>
      </c>
      <c r="CR87" s="30" t="s">
        <v>151</v>
      </c>
      <c r="CS87" s="30" t="s">
        <v>191</v>
      </c>
      <c r="CT87" s="29">
        <v>96</v>
      </c>
      <c r="CU87" s="30" t="s">
        <v>196</v>
      </c>
      <c r="CV87" s="32">
        <v>90</v>
      </c>
      <c r="CW87" s="32">
        <v>10</v>
      </c>
      <c r="CX87" s="30" t="s">
        <v>294</v>
      </c>
      <c r="CY87" s="32">
        <v>1</v>
      </c>
      <c r="CZ87" s="32">
        <v>89</v>
      </c>
      <c r="DA87" s="37">
        <v>36.1</v>
      </c>
      <c r="DB87" s="35">
        <v>45281</v>
      </c>
      <c r="DC87" s="30" t="s">
        <v>194</v>
      </c>
      <c r="DD87" s="29">
        <v>3.06</v>
      </c>
      <c r="DE87" s="32">
        <v>-0.22</v>
      </c>
      <c r="DF87" s="34">
        <v>9</v>
      </c>
      <c r="DG87" s="32">
        <v>0</v>
      </c>
      <c r="DH87" s="32">
        <v>0</v>
      </c>
      <c r="DI87" s="32">
        <v>0</v>
      </c>
      <c r="DJ87" s="34">
        <v>10</v>
      </c>
      <c r="DK87" s="32" t="s">
        <v>151</v>
      </c>
      <c r="DL87" s="34" t="s">
        <v>151</v>
      </c>
      <c r="DM87" s="32">
        <v>0</v>
      </c>
      <c r="DN87" s="34">
        <v>10</v>
      </c>
      <c r="DO87" s="36">
        <v>2.59</v>
      </c>
      <c r="DP87" s="34">
        <v>72</v>
      </c>
      <c r="DQ87" s="36">
        <v>0</v>
      </c>
      <c r="DR87" s="32">
        <v>0</v>
      </c>
      <c r="DS87" s="36">
        <v>3.11</v>
      </c>
      <c r="DT87" s="34">
        <v>75</v>
      </c>
      <c r="DU87" s="36" t="s">
        <v>151</v>
      </c>
      <c r="DV87" s="34" t="s">
        <v>151</v>
      </c>
      <c r="DW87" s="36">
        <v>3.11</v>
      </c>
      <c r="DX87" s="34">
        <v>74</v>
      </c>
      <c r="DY87" s="31" t="s">
        <v>151</v>
      </c>
      <c r="DZ87" s="35" t="s">
        <v>151</v>
      </c>
      <c r="EA87" s="35" t="s">
        <v>151</v>
      </c>
      <c r="EB87" s="34">
        <v>461</v>
      </c>
      <c r="EC87" s="33">
        <v>67</v>
      </c>
      <c r="ED87" s="32">
        <v>17.01</v>
      </c>
      <c r="EE87" s="34">
        <v>59</v>
      </c>
      <c r="EF87" s="33">
        <v>0</v>
      </c>
      <c r="EG87" s="32">
        <v>0</v>
      </c>
      <c r="EH87" s="29" t="s">
        <v>198</v>
      </c>
      <c r="EI87" s="30" t="s">
        <v>151</v>
      </c>
      <c r="EJ87" s="30" t="s">
        <v>151</v>
      </c>
      <c r="EK87" s="31">
        <v>1</v>
      </c>
      <c r="EL87" s="31">
        <v>2</v>
      </c>
      <c r="EM87" s="31" t="s">
        <v>151</v>
      </c>
      <c r="EN87" s="31" t="s">
        <v>151</v>
      </c>
      <c r="EO87" s="31" t="s">
        <v>151</v>
      </c>
      <c r="EP87" s="30" t="s">
        <v>2168</v>
      </c>
      <c r="EQ87" s="29" t="s">
        <v>151</v>
      </c>
      <c r="ER87" s="29" t="s">
        <v>151</v>
      </c>
      <c r="ES87" s="4">
        <f>HYPERLINK("https://my.pitchbook.com?c=229611-43","View Company Online")</f>
      </c>
    </row>
    <row r="88">
      <c r="A88" s="17" t="s">
        <v>2169</v>
      </c>
      <c r="B88" s="17" t="s">
        <v>2170</v>
      </c>
      <c r="C88" s="18">
        <v>2</v>
      </c>
      <c r="D88" s="17" t="s">
        <v>151</v>
      </c>
      <c r="E88" s="17" t="s">
        <v>2171</v>
      </c>
      <c r="F88" s="17" t="s">
        <v>2172</v>
      </c>
      <c r="G88" s="17" t="s">
        <v>151</v>
      </c>
      <c r="H88" s="17" t="s">
        <v>151</v>
      </c>
      <c r="I88" s="17" t="s">
        <v>151</v>
      </c>
      <c r="J88" s="17" t="s">
        <v>2169</v>
      </c>
      <c r="K88" s="17" t="s">
        <v>2173</v>
      </c>
      <c r="L88" s="17" t="s">
        <v>205</v>
      </c>
      <c r="M88" s="17" t="s">
        <v>206</v>
      </c>
      <c r="N88" s="17" t="s">
        <v>1940</v>
      </c>
      <c r="O88" s="17" t="s">
        <v>1941</v>
      </c>
      <c r="P88" s="17" t="s">
        <v>2174</v>
      </c>
      <c r="Q88" s="17" t="s">
        <v>2175</v>
      </c>
      <c r="R88" s="17" t="s">
        <v>151</v>
      </c>
      <c r="S88" s="17" t="s">
        <v>162</v>
      </c>
      <c r="T88" s="24">
        <v>0.43</v>
      </c>
      <c r="U88" s="17" t="s">
        <v>163</v>
      </c>
      <c r="V88" s="17" t="s">
        <v>164</v>
      </c>
      <c r="W88" s="17" t="s">
        <v>165</v>
      </c>
      <c r="X88" s="15" t="s">
        <v>2176</v>
      </c>
      <c r="Y88" s="15" t="s">
        <v>2177</v>
      </c>
      <c r="Z88" s="27">
        <v>2</v>
      </c>
      <c r="AA88" s="17" t="s">
        <v>2178</v>
      </c>
      <c r="AB88" s="17" t="s">
        <v>151</v>
      </c>
      <c r="AC88" s="17" t="s">
        <v>151</v>
      </c>
      <c r="AD88" s="26">
        <v>2016</v>
      </c>
      <c r="AE88" s="17" t="s">
        <v>151</v>
      </c>
      <c r="AF88" s="22">
        <v>45586</v>
      </c>
      <c r="AG88" s="17" t="s">
        <v>151</v>
      </c>
      <c r="AH88" s="17" t="s">
        <v>151</v>
      </c>
      <c r="AI88" s="25" t="s">
        <v>151</v>
      </c>
      <c r="AJ88" s="19" t="s">
        <v>151</v>
      </c>
      <c r="AK88" s="25" t="s">
        <v>151</v>
      </c>
      <c r="AL88" s="25" t="s">
        <v>151</v>
      </c>
      <c r="AM88" s="25" t="s">
        <v>151</v>
      </c>
      <c r="AN88" s="25" t="s">
        <v>151</v>
      </c>
      <c r="AO88" s="25" t="s">
        <v>151</v>
      </c>
      <c r="AP88" s="25" t="s">
        <v>151</v>
      </c>
      <c r="AQ88" s="25" t="s">
        <v>151</v>
      </c>
      <c r="AR88" s="16" t="s">
        <v>151</v>
      </c>
      <c r="AS88" s="17" t="s">
        <v>2179</v>
      </c>
      <c r="AT88" s="17" t="s">
        <v>2180</v>
      </c>
      <c r="AU88" s="18">
        <v>6</v>
      </c>
      <c r="AV88" s="17" t="s">
        <v>151</v>
      </c>
      <c r="AW88" s="17" t="s">
        <v>151</v>
      </c>
      <c r="AX88" s="17" t="s">
        <v>151</v>
      </c>
      <c r="AY88" s="17" t="s">
        <v>2181</v>
      </c>
      <c r="AZ88" s="17" t="s">
        <v>151</v>
      </c>
      <c r="BA88" s="17" t="s">
        <v>151</v>
      </c>
      <c r="BB88" s="17" t="s">
        <v>151</v>
      </c>
      <c r="BC88" s="17" t="s">
        <v>151</v>
      </c>
      <c r="BD88" s="17" t="s">
        <v>2182</v>
      </c>
      <c r="BE88" s="17" t="s">
        <v>2183</v>
      </c>
      <c r="BF88" s="17" t="s">
        <v>2184</v>
      </c>
      <c r="BG88" s="17" t="s">
        <v>2185</v>
      </c>
      <c r="BH88" s="17" t="s">
        <v>2186</v>
      </c>
      <c r="BI88" s="17" t="s">
        <v>2187</v>
      </c>
      <c r="BJ88" s="17" t="s">
        <v>2188</v>
      </c>
      <c r="BK88" s="17" t="s">
        <v>2189</v>
      </c>
      <c r="BL88" s="17" t="s">
        <v>2189</v>
      </c>
      <c r="BM88" s="17" t="s">
        <v>2190</v>
      </c>
      <c r="BN88" s="16" t="s">
        <v>2191</v>
      </c>
      <c r="BO88" s="17" t="s">
        <v>186</v>
      </c>
      <c r="BP88" s="16" t="s">
        <v>2186</v>
      </c>
      <c r="BQ88" s="16" t="s">
        <v>151</v>
      </c>
      <c r="BR88" s="17" t="s">
        <v>2192</v>
      </c>
      <c r="BS88" s="17" t="s">
        <v>187</v>
      </c>
      <c r="BT88" s="17" t="s">
        <v>188</v>
      </c>
      <c r="BU88" s="22">
        <v>42628</v>
      </c>
      <c r="BV88" s="24" t="s">
        <v>151</v>
      </c>
      <c r="BW88" s="17" t="s">
        <v>151</v>
      </c>
      <c r="BX88" s="24" t="s">
        <v>151</v>
      </c>
      <c r="BY88" s="17" t="s">
        <v>151</v>
      </c>
      <c r="BZ88" s="17" t="s">
        <v>189</v>
      </c>
      <c r="CA88" s="17" t="s">
        <v>151</v>
      </c>
      <c r="CB88" s="17" t="s">
        <v>151</v>
      </c>
      <c r="CC88" s="17" t="s">
        <v>190</v>
      </c>
      <c r="CD88" s="17" t="s">
        <v>151</v>
      </c>
      <c r="CE88" s="17" t="s">
        <v>191</v>
      </c>
      <c r="CF88" s="22">
        <v>43871</v>
      </c>
      <c r="CG88" s="24">
        <v>0.12</v>
      </c>
      <c r="CH88" s="17" t="s">
        <v>192</v>
      </c>
      <c r="CI88" s="24">
        <v>0.33</v>
      </c>
      <c r="CJ88" s="17" t="s">
        <v>192</v>
      </c>
      <c r="CK88" s="16" t="s">
        <v>151</v>
      </c>
      <c r="CL88" s="17" t="s">
        <v>189</v>
      </c>
      <c r="CM88" s="17" t="s">
        <v>151</v>
      </c>
      <c r="CN88" s="17" t="s">
        <v>151</v>
      </c>
      <c r="CO88" s="17" t="s">
        <v>190</v>
      </c>
      <c r="CP88" s="22">
        <v>43871</v>
      </c>
      <c r="CQ88" s="24">
        <v>0.1</v>
      </c>
      <c r="CR88" s="17" t="s">
        <v>2193</v>
      </c>
      <c r="CS88" s="17" t="s">
        <v>191</v>
      </c>
      <c r="CT88" s="16" t="s">
        <v>151</v>
      </c>
      <c r="CU88" s="17" t="s">
        <v>151</v>
      </c>
      <c r="CV88" s="19" t="s">
        <v>151</v>
      </c>
      <c r="CW88" s="19" t="s">
        <v>151</v>
      </c>
      <c r="CX88" s="17" t="s">
        <v>151</v>
      </c>
      <c r="CY88" s="19" t="s">
        <v>151</v>
      </c>
      <c r="CZ88" s="19" t="s">
        <v>151</v>
      </c>
      <c r="DA88" s="24">
        <v>0.33</v>
      </c>
      <c r="DB88" s="22">
        <v>43871</v>
      </c>
      <c r="DC88" s="17" t="s">
        <v>189</v>
      </c>
      <c r="DD88" s="16" t="s">
        <v>151</v>
      </c>
      <c r="DE88" s="19" t="s">
        <v>151</v>
      </c>
      <c r="DF88" s="21" t="s">
        <v>151</v>
      </c>
      <c r="DG88" s="19" t="s">
        <v>151</v>
      </c>
      <c r="DH88" s="19" t="s">
        <v>151</v>
      </c>
      <c r="DI88" s="19" t="s">
        <v>151</v>
      </c>
      <c r="DJ88" s="21" t="s">
        <v>151</v>
      </c>
      <c r="DK88" s="19" t="s">
        <v>151</v>
      </c>
      <c r="DL88" s="21" t="s">
        <v>151</v>
      </c>
      <c r="DM88" s="19" t="s">
        <v>151</v>
      </c>
      <c r="DN88" s="21" t="s">
        <v>151</v>
      </c>
      <c r="DO88" s="23" t="s">
        <v>151</v>
      </c>
      <c r="DP88" s="21" t="s">
        <v>151</v>
      </c>
      <c r="DQ88" s="23" t="s">
        <v>151</v>
      </c>
      <c r="DR88" s="19" t="s">
        <v>151</v>
      </c>
      <c r="DS88" s="23" t="s">
        <v>151</v>
      </c>
      <c r="DT88" s="21" t="s">
        <v>151</v>
      </c>
      <c r="DU88" s="23" t="s">
        <v>151</v>
      </c>
      <c r="DV88" s="21" t="s">
        <v>151</v>
      </c>
      <c r="DW88" s="23" t="s">
        <v>151</v>
      </c>
      <c r="DX88" s="21" t="s">
        <v>151</v>
      </c>
      <c r="DY88" s="18" t="s">
        <v>151</v>
      </c>
      <c r="DZ88" s="22" t="s">
        <v>151</v>
      </c>
      <c r="EA88" s="22" t="s">
        <v>151</v>
      </c>
      <c r="EB88" s="21" t="s">
        <v>151</v>
      </c>
      <c r="EC88" s="20" t="s">
        <v>151</v>
      </c>
      <c r="ED88" s="19" t="s">
        <v>151</v>
      </c>
      <c r="EE88" s="21" t="s">
        <v>151</v>
      </c>
      <c r="EF88" s="20" t="s">
        <v>151</v>
      </c>
      <c r="EG88" s="19" t="s">
        <v>151</v>
      </c>
      <c r="EH88" s="16" t="s">
        <v>198</v>
      </c>
      <c r="EI88" s="17" t="s">
        <v>151</v>
      </c>
      <c r="EJ88" s="17" t="s">
        <v>151</v>
      </c>
      <c r="EK88" s="18">
        <v>1</v>
      </c>
      <c r="EL88" s="18" t="s">
        <v>151</v>
      </c>
      <c r="EM88" s="18" t="s">
        <v>151</v>
      </c>
      <c r="EN88" s="18" t="s">
        <v>151</v>
      </c>
      <c r="EO88" s="18">
        <v>2</v>
      </c>
      <c r="EP88" s="17" t="s">
        <v>151</v>
      </c>
      <c r="EQ88" s="16" t="s">
        <v>151</v>
      </c>
      <c r="ER88" s="16" t="s">
        <v>151</v>
      </c>
      <c r="ES88" s="3">
        <f>HYPERLINK("https://my.pitchbook.com?c=234712-45","View Company Online")</f>
      </c>
    </row>
    <row r="89">
      <c r="A89" s="30" t="s">
        <v>2194</v>
      </c>
      <c r="B89" s="30" t="s">
        <v>2195</v>
      </c>
      <c r="C89" s="31">
        <v>2</v>
      </c>
      <c r="D89" s="30" t="s">
        <v>151</v>
      </c>
      <c r="E89" s="30" t="s">
        <v>2196</v>
      </c>
      <c r="F89" s="30" t="s">
        <v>2197</v>
      </c>
      <c r="G89" s="30" t="s">
        <v>151</v>
      </c>
      <c r="H89" s="30" t="s">
        <v>151</v>
      </c>
      <c r="I89" s="30" t="s">
        <v>151</v>
      </c>
      <c r="J89" s="30" t="s">
        <v>2194</v>
      </c>
      <c r="K89" s="30" t="s">
        <v>2198</v>
      </c>
      <c r="L89" s="30" t="s">
        <v>1792</v>
      </c>
      <c r="M89" s="30" t="s">
        <v>2199</v>
      </c>
      <c r="N89" s="30" t="s">
        <v>2200</v>
      </c>
      <c r="O89" s="30" t="s">
        <v>2201</v>
      </c>
      <c r="P89" s="30" t="s">
        <v>2202</v>
      </c>
      <c r="Q89" s="30" t="s">
        <v>2203</v>
      </c>
      <c r="R89" s="30" t="s">
        <v>151</v>
      </c>
      <c r="S89" s="30" t="s">
        <v>162</v>
      </c>
      <c r="T89" s="37">
        <v>12.75</v>
      </c>
      <c r="U89" s="30" t="s">
        <v>163</v>
      </c>
      <c r="V89" s="30" t="s">
        <v>164</v>
      </c>
      <c r="W89" s="30" t="s">
        <v>165</v>
      </c>
      <c r="X89" s="28" t="s">
        <v>2204</v>
      </c>
      <c r="Y89" s="28" t="s">
        <v>2205</v>
      </c>
      <c r="Z89" s="40">
        <v>26</v>
      </c>
      <c r="AA89" s="30" t="s">
        <v>2206</v>
      </c>
      <c r="AB89" s="30" t="s">
        <v>151</v>
      </c>
      <c r="AC89" s="30" t="s">
        <v>151</v>
      </c>
      <c r="AD89" s="39">
        <v>2020</v>
      </c>
      <c r="AE89" s="30" t="s">
        <v>151</v>
      </c>
      <c r="AF89" s="35">
        <v>45600</v>
      </c>
      <c r="AG89" s="30" t="s">
        <v>151</v>
      </c>
      <c r="AH89" s="30" t="s">
        <v>151</v>
      </c>
      <c r="AI89" s="38">
        <v>1</v>
      </c>
      <c r="AJ89" s="32">
        <v>100</v>
      </c>
      <c r="AK89" s="38" t="s">
        <v>151</v>
      </c>
      <c r="AL89" s="38" t="s">
        <v>151</v>
      </c>
      <c r="AM89" s="38" t="s">
        <v>151</v>
      </c>
      <c r="AN89" s="38" t="s">
        <v>151</v>
      </c>
      <c r="AO89" s="38" t="s">
        <v>151</v>
      </c>
      <c r="AP89" s="38" t="s">
        <v>151</v>
      </c>
      <c r="AQ89" s="38" t="s">
        <v>151</v>
      </c>
      <c r="AR89" s="29" t="s">
        <v>170</v>
      </c>
      <c r="AS89" s="30" t="s">
        <v>2207</v>
      </c>
      <c r="AT89" s="30" t="s">
        <v>2208</v>
      </c>
      <c r="AU89" s="31">
        <v>10</v>
      </c>
      <c r="AV89" s="30" t="s">
        <v>151</v>
      </c>
      <c r="AW89" s="30" t="s">
        <v>151</v>
      </c>
      <c r="AX89" s="30" t="s">
        <v>151</v>
      </c>
      <c r="AY89" s="30" t="s">
        <v>2209</v>
      </c>
      <c r="AZ89" s="30" t="s">
        <v>151</v>
      </c>
      <c r="BA89" s="30" t="s">
        <v>151</v>
      </c>
      <c r="BB89" s="30" t="s">
        <v>151</v>
      </c>
      <c r="BC89" s="30" t="s">
        <v>151</v>
      </c>
      <c r="BD89" s="30" t="s">
        <v>2210</v>
      </c>
      <c r="BE89" s="30" t="s">
        <v>2211</v>
      </c>
      <c r="BF89" s="30" t="s">
        <v>403</v>
      </c>
      <c r="BG89" s="30" t="s">
        <v>2212</v>
      </c>
      <c r="BH89" s="30" t="s">
        <v>2213</v>
      </c>
      <c r="BI89" s="30" t="s">
        <v>1954</v>
      </c>
      <c r="BJ89" s="30" t="s">
        <v>2214</v>
      </c>
      <c r="BK89" s="30" t="s">
        <v>1122</v>
      </c>
      <c r="BL89" s="30" t="s">
        <v>1956</v>
      </c>
      <c r="BM89" s="30" t="s">
        <v>1957</v>
      </c>
      <c r="BN89" s="29" t="s">
        <v>1958</v>
      </c>
      <c r="BO89" s="30" t="s">
        <v>186</v>
      </c>
      <c r="BP89" s="29" t="s">
        <v>2213</v>
      </c>
      <c r="BQ89" s="29" t="s">
        <v>151</v>
      </c>
      <c r="BR89" s="30" t="s">
        <v>2215</v>
      </c>
      <c r="BS89" s="30" t="s">
        <v>187</v>
      </c>
      <c r="BT89" s="30" t="s">
        <v>188</v>
      </c>
      <c r="BU89" s="35">
        <v>44438</v>
      </c>
      <c r="BV89" s="37">
        <v>2.5</v>
      </c>
      <c r="BW89" s="30" t="s">
        <v>192</v>
      </c>
      <c r="BX89" s="37">
        <v>14.5</v>
      </c>
      <c r="BY89" s="30" t="s">
        <v>192</v>
      </c>
      <c r="BZ89" s="30" t="s">
        <v>293</v>
      </c>
      <c r="CA89" s="30" t="s">
        <v>293</v>
      </c>
      <c r="CB89" s="30" t="s">
        <v>151</v>
      </c>
      <c r="CC89" s="30" t="s">
        <v>165</v>
      </c>
      <c r="CD89" s="30" t="s">
        <v>151</v>
      </c>
      <c r="CE89" s="30" t="s">
        <v>191</v>
      </c>
      <c r="CF89" s="35">
        <v>45532</v>
      </c>
      <c r="CG89" s="37" t="s">
        <v>151</v>
      </c>
      <c r="CH89" s="30" t="s">
        <v>151</v>
      </c>
      <c r="CI89" s="37" t="s">
        <v>151</v>
      </c>
      <c r="CJ89" s="30" t="s">
        <v>151</v>
      </c>
      <c r="CK89" s="29" t="s">
        <v>151</v>
      </c>
      <c r="CL89" s="30" t="s">
        <v>231</v>
      </c>
      <c r="CM89" s="30" t="s">
        <v>151</v>
      </c>
      <c r="CN89" s="30" t="s">
        <v>151</v>
      </c>
      <c r="CO89" s="30" t="s">
        <v>165</v>
      </c>
      <c r="CP89" s="35">
        <v>45532</v>
      </c>
      <c r="CQ89" s="37" t="s">
        <v>151</v>
      </c>
      <c r="CR89" s="30" t="s">
        <v>151</v>
      </c>
      <c r="CS89" s="30" t="s">
        <v>191</v>
      </c>
      <c r="CT89" s="29">
        <v>77</v>
      </c>
      <c r="CU89" s="30" t="s">
        <v>196</v>
      </c>
      <c r="CV89" s="32">
        <v>68</v>
      </c>
      <c r="CW89" s="32">
        <v>32</v>
      </c>
      <c r="CX89" s="30" t="s">
        <v>294</v>
      </c>
      <c r="CY89" s="32">
        <v>6</v>
      </c>
      <c r="CZ89" s="32">
        <v>62</v>
      </c>
      <c r="DA89" s="37">
        <v>43</v>
      </c>
      <c r="DB89" s="35">
        <v>45272</v>
      </c>
      <c r="DC89" s="30" t="s">
        <v>231</v>
      </c>
      <c r="DD89" s="29" t="s">
        <v>151</v>
      </c>
      <c r="DE89" s="32">
        <v>-0.44</v>
      </c>
      <c r="DF89" s="34">
        <v>7</v>
      </c>
      <c r="DG89" s="32">
        <v>0</v>
      </c>
      <c r="DH89" s="32">
        <v>0</v>
      </c>
      <c r="DI89" s="32">
        <v>0</v>
      </c>
      <c r="DJ89" s="34">
        <v>10</v>
      </c>
      <c r="DK89" s="32" t="s">
        <v>151</v>
      </c>
      <c r="DL89" s="34" t="s">
        <v>151</v>
      </c>
      <c r="DM89" s="32">
        <v>0</v>
      </c>
      <c r="DN89" s="34">
        <v>10</v>
      </c>
      <c r="DO89" s="36">
        <v>1.06</v>
      </c>
      <c r="DP89" s="34">
        <v>52</v>
      </c>
      <c r="DQ89" s="36">
        <v>0</v>
      </c>
      <c r="DR89" s="32">
        <v>0</v>
      </c>
      <c r="DS89" s="36">
        <v>0.05</v>
      </c>
      <c r="DT89" s="34">
        <v>1</v>
      </c>
      <c r="DU89" s="36" t="s">
        <v>151</v>
      </c>
      <c r="DV89" s="34" t="s">
        <v>151</v>
      </c>
      <c r="DW89" s="36">
        <v>0.05</v>
      </c>
      <c r="DX89" s="34">
        <v>1</v>
      </c>
      <c r="DY89" s="31" t="s">
        <v>151</v>
      </c>
      <c r="DZ89" s="35" t="s">
        <v>151</v>
      </c>
      <c r="EA89" s="35" t="s">
        <v>151</v>
      </c>
      <c r="EB89" s="34" t="s">
        <v>151</v>
      </c>
      <c r="EC89" s="33" t="s">
        <v>151</v>
      </c>
      <c r="ED89" s="32" t="s">
        <v>151</v>
      </c>
      <c r="EE89" s="34">
        <v>1</v>
      </c>
      <c r="EF89" s="33">
        <v>0</v>
      </c>
      <c r="EG89" s="32">
        <v>0</v>
      </c>
      <c r="EH89" s="29" t="s">
        <v>198</v>
      </c>
      <c r="EI89" s="30" t="s">
        <v>151</v>
      </c>
      <c r="EJ89" s="30" t="s">
        <v>151</v>
      </c>
      <c r="EK89" s="31">
        <v>1</v>
      </c>
      <c r="EL89" s="31" t="s">
        <v>151</v>
      </c>
      <c r="EM89" s="31">
        <v>2</v>
      </c>
      <c r="EN89" s="31" t="s">
        <v>151</v>
      </c>
      <c r="EO89" s="31" t="s">
        <v>151</v>
      </c>
      <c r="EP89" s="30" t="s">
        <v>2216</v>
      </c>
      <c r="EQ89" s="29">
        <v>2</v>
      </c>
      <c r="ER89" s="29">
        <v>2</v>
      </c>
      <c r="ES89" s="4">
        <f>HYPERLINK("https://my.pitchbook.com?c=483188-95","View Company Online")</f>
      </c>
    </row>
    <row r="90">
      <c r="A90" s="17" t="s">
        <v>2217</v>
      </c>
      <c r="B90" s="17" t="s">
        <v>2218</v>
      </c>
      <c r="C90" s="18">
        <v>2</v>
      </c>
      <c r="D90" s="17" t="s">
        <v>151</v>
      </c>
      <c r="E90" s="17" t="s">
        <v>2219</v>
      </c>
      <c r="F90" s="17" t="s">
        <v>2220</v>
      </c>
      <c r="G90" s="17" t="s">
        <v>151</v>
      </c>
      <c r="H90" s="17" t="s">
        <v>151</v>
      </c>
      <c r="I90" s="17" t="s">
        <v>2221</v>
      </c>
      <c r="J90" s="17" t="s">
        <v>2217</v>
      </c>
      <c r="K90" s="17" t="s">
        <v>2222</v>
      </c>
      <c r="L90" s="17" t="s">
        <v>1792</v>
      </c>
      <c r="M90" s="17" t="s">
        <v>2199</v>
      </c>
      <c r="N90" s="17" t="s">
        <v>2200</v>
      </c>
      <c r="O90" s="17" t="s">
        <v>2223</v>
      </c>
      <c r="P90" s="17" t="s">
        <v>2224</v>
      </c>
      <c r="Q90" s="17" t="s">
        <v>2225</v>
      </c>
      <c r="R90" s="17" t="s">
        <v>151</v>
      </c>
      <c r="S90" s="17" t="s">
        <v>162</v>
      </c>
      <c r="T90" s="24">
        <v>31.04</v>
      </c>
      <c r="U90" s="17" t="s">
        <v>163</v>
      </c>
      <c r="V90" s="17" t="s">
        <v>164</v>
      </c>
      <c r="W90" s="17" t="s">
        <v>165</v>
      </c>
      <c r="X90" s="15" t="s">
        <v>2226</v>
      </c>
      <c r="Y90" s="15" t="s">
        <v>2227</v>
      </c>
      <c r="Z90" s="27">
        <v>23</v>
      </c>
      <c r="AA90" s="17" t="s">
        <v>2228</v>
      </c>
      <c r="AB90" s="17" t="s">
        <v>151</v>
      </c>
      <c r="AC90" s="17" t="s">
        <v>151</v>
      </c>
      <c r="AD90" s="26">
        <v>2021</v>
      </c>
      <c r="AE90" s="17" t="s">
        <v>151</v>
      </c>
      <c r="AF90" s="22">
        <v>45616</v>
      </c>
      <c r="AG90" s="17" t="s">
        <v>151</v>
      </c>
      <c r="AH90" s="17" t="s">
        <v>151</v>
      </c>
      <c r="AI90" s="25" t="s">
        <v>151</v>
      </c>
      <c r="AJ90" s="19" t="s">
        <v>151</v>
      </c>
      <c r="AK90" s="25" t="s">
        <v>151</v>
      </c>
      <c r="AL90" s="25" t="s">
        <v>151</v>
      </c>
      <c r="AM90" s="25" t="s">
        <v>151</v>
      </c>
      <c r="AN90" s="25" t="s">
        <v>151</v>
      </c>
      <c r="AO90" s="25" t="s">
        <v>151</v>
      </c>
      <c r="AP90" s="25" t="s">
        <v>151</v>
      </c>
      <c r="AQ90" s="25" t="s">
        <v>151</v>
      </c>
      <c r="AR90" s="16" t="s">
        <v>151</v>
      </c>
      <c r="AS90" s="17" t="s">
        <v>2229</v>
      </c>
      <c r="AT90" s="17" t="s">
        <v>2230</v>
      </c>
      <c r="AU90" s="18">
        <v>6</v>
      </c>
      <c r="AV90" s="17" t="s">
        <v>151</v>
      </c>
      <c r="AW90" s="17" t="s">
        <v>151</v>
      </c>
      <c r="AX90" s="17" t="s">
        <v>151</v>
      </c>
      <c r="AY90" s="17" t="s">
        <v>2231</v>
      </c>
      <c r="AZ90" s="17" t="s">
        <v>151</v>
      </c>
      <c r="BA90" s="17" t="s">
        <v>151</v>
      </c>
      <c r="BB90" s="17" t="s">
        <v>151</v>
      </c>
      <c r="BC90" s="17" t="s">
        <v>1115</v>
      </c>
      <c r="BD90" s="17" t="s">
        <v>2232</v>
      </c>
      <c r="BE90" s="17" t="s">
        <v>2233</v>
      </c>
      <c r="BF90" s="17" t="s">
        <v>2234</v>
      </c>
      <c r="BG90" s="17" t="s">
        <v>2235</v>
      </c>
      <c r="BH90" s="17" t="s">
        <v>2236</v>
      </c>
      <c r="BI90" s="17" t="s">
        <v>2237</v>
      </c>
      <c r="BJ90" s="17" t="s">
        <v>2238</v>
      </c>
      <c r="BK90" s="17" t="s">
        <v>151</v>
      </c>
      <c r="BL90" s="17" t="s">
        <v>2239</v>
      </c>
      <c r="BM90" s="17" t="s">
        <v>823</v>
      </c>
      <c r="BN90" s="16" t="s">
        <v>2240</v>
      </c>
      <c r="BO90" s="17" t="s">
        <v>186</v>
      </c>
      <c r="BP90" s="16" t="s">
        <v>2241</v>
      </c>
      <c r="BQ90" s="16" t="s">
        <v>151</v>
      </c>
      <c r="BR90" s="17" t="s">
        <v>151</v>
      </c>
      <c r="BS90" s="17" t="s">
        <v>187</v>
      </c>
      <c r="BT90" s="17" t="s">
        <v>188</v>
      </c>
      <c r="BU90" s="22">
        <v>44453</v>
      </c>
      <c r="BV90" s="24">
        <v>7.24</v>
      </c>
      <c r="BW90" s="17" t="s">
        <v>192</v>
      </c>
      <c r="BX90" s="24">
        <v>19.24</v>
      </c>
      <c r="BY90" s="17" t="s">
        <v>192</v>
      </c>
      <c r="BZ90" s="17" t="s">
        <v>293</v>
      </c>
      <c r="CA90" s="17" t="s">
        <v>293</v>
      </c>
      <c r="CB90" s="17" t="s">
        <v>151</v>
      </c>
      <c r="CC90" s="17" t="s">
        <v>165</v>
      </c>
      <c r="CD90" s="17" t="s">
        <v>151</v>
      </c>
      <c r="CE90" s="17" t="s">
        <v>191</v>
      </c>
      <c r="CF90" s="22">
        <v>45526</v>
      </c>
      <c r="CG90" s="24" t="s">
        <v>151</v>
      </c>
      <c r="CH90" s="17" t="s">
        <v>151</v>
      </c>
      <c r="CI90" s="24" t="s">
        <v>151</v>
      </c>
      <c r="CJ90" s="17" t="s">
        <v>151</v>
      </c>
      <c r="CK90" s="16" t="s">
        <v>151</v>
      </c>
      <c r="CL90" s="17" t="s">
        <v>231</v>
      </c>
      <c r="CM90" s="17" t="s">
        <v>232</v>
      </c>
      <c r="CN90" s="17" t="s">
        <v>151</v>
      </c>
      <c r="CO90" s="17" t="s">
        <v>165</v>
      </c>
      <c r="CP90" s="22">
        <v>45526</v>
      </c>
      <c r="CQ90" s="24" t="s">
        <v>151</v>
      </c>
      <c r="CR90" s="17" t="s">
        <v>151</v>
      </c>
      <c r="CS90" s="17" t="s">
        <v>2242</v>
      </c>
      <c r="CT90" s="16">
        <v>94</v>
      </c>
      <c r="CU90" s="17" t="s">
        <v>196</v>
      </c>
      <c r="CV90" s="19">
        <v>84</v>
      </c>
      <c r="CW90" s="19">
        <v>16</v>
      </c>
      <c r="CX90" s="17" t="s">
        <v>294</v>
      </c>
      <c r="CY90" s="19">
        <v>7</v>
      </c>
      <c r="CZ90" s="19">
        <v>77</v>
      </c>
      <c r="DA90" s="24">
        <v>19.7</v>
      </c>
      <c r="DB90" s="22">
        <v>44895</v>
      </c>
      <c r="DC90" s="17" t="s">
        <v>293</v>
      </c>
      <c r="DD90" s="16">
        <v>0.7</v>
      </c>
      <c r="DE90" s="19">
        <v>0.24</v>
      </c>
      <c r="DF90" s="21">
        <v>92</v>
      </c>
      <c r="DG90" s="19">
        <v>0</v>
      </c>
      <c r="DH90" s="19">
        <v>0</v>
      </c>
      <c r="DI90" s="19">
        <v>0.24</v>
      </c>
      <c r="DJ90" s="21">
        <v>93</v>
      </c>
      <c r="DK90" s="19" t="s">
        <v>151</v>
      </c>
      <c r="DL90" s="21" t="s">
        <v>151</v>
      </c>
      <c r="DM90" s="19">
        <v>0.24</v>
      </c>
      <c r="DN90" s="21">
        <v>94</v>
      </c>
      <c r="DO90" s="23">
        <v>19.63</v>
      </c>
      <c r="DP90" s="21">
        <v>95</v>
      </c>
      <c r="DQ90" s="23">
        <v>0</v>
      </c>
      <c r="DR90" s="19">
        <v>0</v>
      </c>
      <c r="DS90" s="23">
        <v>19.63</v>
      </c>
      <c r="DT90" s="21">
        <v>95</v>
      </c>
      <c r="DU90" s="23" t="s">
        <v>151</v>
      </c>
      <c r="DV90" s="21" t="s">
        <v>151</v>
      </c>
      <c r="DW90" s="23">
        <v>19.63</v>
      </c>
      <c r="DX90" s="21">
        <v>95</v>
      </c>
      <c r="DY90" s="18" t="s">
        <v>151</v>
      </c>
      <c r="DZ90" s="22" t="s">
        <v>151</v>
      </c>
      <c r="EA90" s="22" t="s">
        <v>151</v>
      </c>
      <c r="EB90" s="21">
        <v>1636</v>
      </c>
      <c r="EC90" s="20">
        <v>0</v>
      </c>
      <c r="ED90" s="19">
        <v>0</v>
      </c>
      <c r="EE90" s="21">
        <v>373</v>
      </c>
      <c r="EF90" s="20">
        <v>0</v>
      </c>
      <c r="EG90" s="19">
        <v>0</v>
      </c>
      <c r="EH90" s="16" t="s">
        <v>198</v>
      </c>
      <c r="EI90" s="17" t="s">
        <v>151</v>
      </c>
      <c r="EJ90" s="17" t="s">
        <v>151</v>
      </c>
      <c r="EK90" s="18">
        <v>1</v>
      </c>
      <c r="EL90" s="18" t="s">
        <v>151</v>
      </c>
      <c r="EM90" s="18">
        <v>2</v>
      </c>
      <c r="EN90" s="18" t="s">
        <v>151</v>
      </c>
      <c r="EO90" s="18" t="s">
        <v>151</v>
      </c>
      <c r="EP90" s="17" t="s">
        <v>2243</v>
      </c>
      <c r="EQ90" s="16" t="s">
        <v>151</v>
      </c>
      <c r="ER90" s="16" t="s">
        <v>151</v>
      </c>
      <c r="ES90" s="3">
        <f>HYPERLINK("https://my.pitchbook.com?c=481748-50","View Company Online")</f>
      </c>
    </row>
    <row r="91">
      <c r="A91" s="30" t="s">
        <v>2244</v>
      </c>
      <c r="B91" s="30" t="s">
        <v>2245</v>
      </c>
      <c r="C91" s="31">
        <v>2</v>
      </c>
      <c r="D91" s="30" t="s">
        <v>151</v>
      </c>
      <c r="E91" s="30" t="s">
        <v>2246</v>
      </c>
      <c r="F91" s="30" t="s">
        <v>2247</v>
      </c>
      <c r="G91" s="30" t="s">
        <v>151</v>
      </c>
      <c r="H91" s="30" t="s">
        <v>151</v>
      </c>
      <c r="I91" s="30" t="s">
        <v>151</v>
      </c>
      <c r="J91" s="30" t="s">
        <v>2244</v>
      </c>
      <c r="K91" s="30" t="s">
        <v>2248</v>
      </c>
      <c r="L91" s="30" t="s">
        <v>155</v>
      </c>
      <c r="M91" s="30" t="s">
        <v>239</v>
      </c>
      <c r="N91" s="30" t="s">
        <v>670</v>
      </c>
      <c r="O91" s="30" t="s">
        <v>2249</v>
      </c>
      <c r="P91" s="30" t="s">
        <v>2250</v>
      </c>
      <c r="Q91" s="30" t="s">
        <v>2251</v>
      </c>
      <c r="R91" s="30" t="s">
        <v>151</v>
      </c>
      <c r="S91" s="30" t="s">
        <v>162</v>
      </c>
      <c r="T91" s="37">
        <v>5.44</v>
      </c>
      <c r="U91" s="30" t="s">
        <v>163</v>
      </c>
      <c r="V91" s="30" t="s">
        <v>164</v>
      </c>
      <c r="W91" s="30" t="s">
        <v>165</v>
      </c>
      <c r="X91" s="28" t="s">
        <v>2252</v>
      </c>
      <c r="Y91" s="28" t="s">
        <v>2253</v>
      </c>
      <c r="Z91" s="40">
        <v>11</v>
      </c>
      <c r="AA91" s="30" t="s">
        <v>2254</v>
      </c>
      <c r="AB91" s="30" t="s">
        <v>151</v>
      </c>
      <c r="AC91" s="30" t="s">
        <v>151</v>
      </c>
      <c r="AD91" s="39">
        <v>2018</v>
      </c>
      <c r="AE91" s="30" t="s">
        <v>151</v>
      </c>
      <c r="AF91" s="35">
        <v>45596</v>
      </c>
      <c r="AG91" s="30" t="s">
        <v>151</v>
      </c>
      <c r="AH91" s="30" t="s">
        <v>151</v>
      </c>
      <c r="AI91" s="38" t="s">
        <v>151</v>
      </c>
      <c r="AJ91" s="32" t="s">
        <v>151</v>
      </c>
      <c r="AK91" s="38" t="s">
        <v>151</v>
      </c>
      <c r="AL91" s="38" t="s">
        <v>151</v>
      </c>
      <c r="AM91" s="38" t="s">
        <v>151</v>
      </c>
      <c r="AN91" s="38" t="s">
        <v>151</v>
      </c>
      <c r="AO91" s="38" t="s">
        <v>151</v>
      </c>
      <c r="AP91" s="38" t="s">
        <v>151</v>
      </c>
      <c r="AQ91" s="38" t="s">
        <v>151</v>
      </c>
      <c r="AR91" s="29" t="s">
        <v>151</v>
      </c>
      <c r="AS91" s="30" t="s">
        <v>2255</v>
      </c>
      <c r="AT91" s="30" t="s">
        <v>2256</v>
      </c>
      <c r="AU91" s="31">
        <v>15</v>
      </c>
      <c r="AV91" s="30" t="s">
        <v>151</v>
      </c>
      <c r="AW91" s="30" t="s">
        <v>2257</v>
      </c>
      <c r="AX91" s="30" t="s">
        <v>151</v>
      </c>
      <c r="AY91" s="30" t="s">
        <v>2258</v>
      </c>
      <c r="AZ91" s="30" t="s">
        <v>2259</v>
      </c>
      <c r="BA91" s="30" t="s">
        <v>151</v>
      </c>
      <c r="BB91" s="30" t="s">
        <v>151</v>
      </c>
      <c r="BC91" s="30" t="s">
        <v>2260</v>
      </c>
      <c r="BD91" s="30" t="s">
        <v>2261</v>
      </c>
      <c r="BE91" s="30" t="s">
        <v>2262</v>
      </c>
      <c r="BF91" s="30" t="s">
        <v>493</v>
      </c>
      <c r="BG91" s="30" t="s">
        <v>2263</v>
      </c>
      <c r="BH91" s="30" t="s">
        <v>2264</v>
      </c>
      <c r="BI91" s="30" t="s">
        <v>2265</v>
      </c>
      <c r="BJ91" s="30" t="s">
        <v>2266</v>
      </c>
      <c r="BK91" s="30" t="s">
        <v>1597</v>
      </c>
      <c r="BL91" s="30" t="s">
        <v>2267</v>
      </c>
      <c r="BM91" s="30" t="s">
        <v>855</v>
      </c>
      <c r="BN91" s="29" t="s">
        <v>2268</v>
      </c>
      <c r="BO91" s="30" t="s">
        <v>186</v>
      </c>
      <c r="BP91" s="29" t="s">
        <v>2269</v>
      </c>
      <c r="BQ91" s="29" t="s">
        <v>151</v>
      </c>
      <c r="BR91" s="30" t="s">
        <v>2270</v>
      </c>
      <c r="BS91" s="30" t="s">
        <v>187</v>
      </c>
      <c r="BT91" s="30" t="s">
        <v>188</v>
      </c>
      <c r="BU91" s="35" t="s">
        <v>151</v>
      </c>
      <c r="BV91" s="37" t="s">
        <v>151</v>
      </c>
      <c r="BW91" s="30" t="s">
        <v>151</v>
      </c>
      <c r="BX91" s="37" t="s">
        <v>151</v>
      </c>
      <c r="BY91" s="30" t="s">
        <v>151</v>
      </c>
      <c r="BZ91" s="30" t="s">
        <v>189</v>
      </c>
      <c r="CA91" s="30" t="s">
        <v>151</v>
      </c>
      <c r="CB91" s="30" t="s">
        <v>151</v>
      </c>
      <c r="CC91" s="30" t="s">
        <v>190</v>
      </c>
      <c r="CD91" s="30" t="s">
        <v>151</v>
      </c>
      <c r="CE91" s="30" t="s">
        <v>191</v>
      </c>
      <c r="CF91" s="35">
        <v>45290</v>
      </c>
      <c r="CG91" s="37" t="s">
        <v>151</v>
      </c>
      <c r="CH91" s="30" t="s">
        <v>151</v>
      </c>
      <c r="CI91" s="37" t="s">
        <v>151</v>
      </c>
      <c r="CJ91" s="30" t="s">
        <v>151</v>
      </c>
      <c r="CK91" s="29" t="s">
        <v>151</v>
      </c>
      <c r="CL91" s="30" t="s">
        <v>189</v>
      </c>
      <c r="CM91" s="30" t="s">
        <v>151</v>
      </c>
      <c r="CN91" s="30" t="s">
        <v>151</v>
      </c>
      <c r="CO91" s="30" t="s">
        <v>190</v>
      </c>
      <c r="CP91" s="35">
        <v>45290</v>
      </c>
      <c r="CQ91" s="37" t="s">
        <v>151</v>
      </c>
      <c r="CR91" s="30" t="s">
        <v>151</v>
      </c>
      <c r="CS91" s="30" t="s">
        <v>191</v>
      </c>
      <c r="CT91" s="29">
        <v>37</v>
      </c>
      <c r="CU91" s="30" t="s">
        <v>263</v>
      </c>
      <c r="CV91" s="32">
        <v>37</v>
      </c>
      <c r="CW91" s="32">
        <v>63</v>
      </c>
      <c r="CX91" s="30" t="s">
        <v>263</v>
      </c>
      <c r="CY91" s="32">
        <v>1</v>
      </c>
      <c r="CZ91" s="32">
        <v>36</v>
      </c>
      <c r="DA91" s="37">
        <v>14.41</v>
      </c>
      <c r="DB91" s="35">
        <v>44334</v>
      </c>
      <c r="DC91" s="30" t="s">
        <v>293</v>
      </c>
      <c r="DD91" s="29" t="s">
        <v>151</v>
      </c>
      <c r="DE91" s="32">
        <v>-0.14</v>
      </c>
      <c r="DF91" s="34">
        <v>10</v>
      </c>
      <c r="DG91" s="32">
        <v>0</v>
      </c>
      <c r="DH91" s="32">
        <v>0</v>
      </c>
      <c r="DI91" s="32">
        <v>-0.14</v>
      </c>
      <c r="DJ91" s="34">
        <v>9</v>
      </c>
      <c r="DK91" s="32" t="s">
        <v>151</v>
      </c>
      <c r="DL91" s="34" t="s">
        <v>151</v>
      </c>
      <c r="DM91" s="32">
        <v>-0.14</v>
      </c>
      <c r="DN91" s="34">
        <v>9</v>
      </c>
      <c r="DO91" s="36">
        <v>14.21</v>
      </c>
      <c r="DP91" s="34">
        <v>93</v>
      </c>
      <c r="DQ91" s="36">
        <v>0</v>
      </c>
      <c r="DR91" s="32">
        <v>0</v>
      </c>
      <c r="DS91" s="36">
        <v>14.21</v>
      </c>
      <c r="DT91" s="34">
        <v>93</v>
      </c>
      <c r="DU91" s="36" t="s">
        <v>151</v>
      </c>
      <c r="DV91" s="34" t="s">
        <v>151</v>
      </c>
      <c r="DW91" s="36">
        <v>14.21</v>
      </c>
      <c r="DX91" s="34">
        <v>93</v>
      </c>
      <c r="DY91" s="31" t="s">
        <v>151</v>
      </c>
      <c r="DZ91" s="35" t="s">
        <v>151</v>
      </c>
      <c r="EA91" s="35" t="s">
        <v>151</v>
      </c>
      <c r="EB91" s="34">
        <v>599</v>
      </c>
      <c r="EC91" s="33">
        <v>-153</v>
      </c>
      <c r="ED91" s="32">
        <v>-20.35</v>
      </c>
      <c r="EE91" s="34">
        <v>270</v>
      </c>
      <c r="EF91" s="33">
        <v>0</v>
      </c>
      <c r="EG91" s="32">
        <v>0</v>
      </c>
      <c r="EH91" s="29" t="s">
        <v>198</v>
      </c>
      <c r="EI91" s="30" t="s">
        <v>151</v>
      </c>
      <c r="EJ91" s="30" t="s">
        <v>151</v>
      </c>
      <c r="EK91" s="31">
        <v>2</v>
      </c>
      <c r="EL91" s="31">
        <v>1</v>
      </c>
      <c r="EM91" s="31">
        <v>1</v>
      </c>
      <c r="EN91" s="31" t="s">
        <v>151</v>
      </c>
      <c r="EO91" s="31" t="s">
        <v>151</v>
      </c>
      <c r="EP91" s="30" t="s">
        <v>2271</v>
      </c>
      <c r="EQ91" s="29" t="s">
        <v>151</v>
      </c>
      <c r="ER91" s="29" t="s">
        <v>151</v>
      </c>
      <c r="ES91" s="4">
        <f>HYPERLINK("https://my.pitchbook.com?c=442271-62","View Company Online")</f>
      </c>
    </row>
    <row r="92">
      <c r="A92" s="17" t="s">
        <v>2272</v>
      </c>
      <c r="B92" s="17" t="s">
        <v>2273</v>
      </c>
      <c r="C92" s="18">
        <v>2</v>
      </c>
      <c r="D92" s="17" t="s">
        <v>151</v>
      </c>
      <c r="E92" s="17" t="s">
        <v>2274</v>
      </c>
      <c r="F92" s="17" t="s">
        <v>2275</v>
      </c>
      <c r="G92" s="17" t="s">
        <v>151</v>
      </c>
      <c r="H92" s="17" t="s">
        <v>151</v>
      </c>
      <c r="I92" s="17" t="s">
        <v>2276</v>
      </c>
      <c r="J92" s="17" t="s">
        <v>2272</v>
      </c>
      <c r="K92" s="17" t="s">
        <v>2277</v>
      </c>
      <c r="L92" s="17" t="s">
        <v>205</v>
      </c>
      <c r="M92" s="17" t="s">
        <v>206</v>
      </c>
      <c r="N92" s="17" t="s">
        <v>269</v>
      </c>
      <c r="O92" s="17" t="s">
        <v>2278</v>
      </c>
      <c r="P92" s="17" t="s">
        <v>2279</v>
      </c>
      <c r="Q92" s="17" t="s">
        <v>2280</v>
      </c>
      <c r="R92" s="17" t="s">
        <v>151</v>
      </c>
      <c r="S92" s="17" t="s">
        <v>162</v>
      </c>
      <c r="T92" s="24">
        <v>1.15</v>
      </c>
      <c r="U92" s="17" t="s">
        <v>163</v>
      </c>
      <c r="V92" s="17" t="s">
        <v>164</v>
      </c>
      <c r="W92" s="17" t="s">
        <v>165</v>
      </c>
      <c r="X92" s="15" t="s">
        <v>2281</v>
      </c>
      <c r="Y92" s="15" t="s">
        <v>2282</v>
      </c>
      <c r="Z92" s="27">
        <v>8</v>
      </c>
      <c r="AA92" s="17" t="s">
        <v>2283</v>
      </c>
      <c r="AB92" s="17" t="s">
        <v>151</v>
      </c>
      <c r="AC92" s="17" t="s">
        <v>151</v>
      </c>
      <c r="AD92" s="26">
        <v>2021</v>
      </c>
      <c r="AE92" s="17" t="s">
        <v>151</v>
      </c>
      <c r="AF92" s="22">
        <v>45595</v>
      </c>
      <c r="AG92" s="17" t="s">
        <v>151</v>
      </c>
      <c r="AH92" s="17" t="s">
        <v>151</v>
      </c>
      <c r="AI92" s="25">
        <v>0.1</v>
      </c>
      <c r="AJ92" s="19" t="s">
        <v>151</v>
      </c>
      <c r="AK92" s="25" t="s">
        <v>151</v>
      </c>
      <c r="AL92" s="25" t="s">
        <v>151</v>
      </c>
      <c r="AM92" s="25" t="s">
        <v>151</v>
      </c>
      <c r="AN92" s="25" t="s">
        <v>151</v>
      </c>
      <c r="AO92" s="25" t="s">
        <v>151</v>
      </c>
      <c r="AP92" s="25" t="s">
        <v>151</v>
      </c>
      <c r="AQ92" s="25" t="s">
        <v>151</v>
      </c>
      <c r="AR92" s="16" t="s">
        <v>810</v>
      </c>
      <c r="AS92" s="17" t="s">
        <v>2284</v>
      </c>
      <c r="AT92" s="17" t="s">
        <v>2285</v>
      </c>
      <c r="AU92" s="18">
        <v>17</v>
      </c>
      <c r="AV92" s="17" t="s">
        <v>151</v>
      </c>
      <c r="AW92" s="17" t="s">
        <v>2286</v>
      </c>
      <c r="AX92" s="17" t="s">
        <v>151</v>
      </c>
      <c r="AY92" s="17" t="s">
        <v>2287</v>
      </c>
      <c r="AZ92" s="17" t="s">
        <v>151</v>
      </c>
      <c r="BA92" s="17" t="s">
        <v>151</v>
      </c>
      <c r="BB92" s="17" t="s">
        <v>2288</v>
      </c>
      <c r="BC92" s="17" t="s">
        <v>151</v>
      </c>
      <c r="BD92" s="17" t="s">
        <v>151</v>
      </c>
      <c r="BE92" s="17" t="s">
        <v>151</v>
      </c>
      <c r="BF92" s="17" t="s">
        <v>151</v>
      </c>
      <c r="BG92" s="17" t="s">
        <v>151</v>
      </c>
      <c r="BH92" s="17" t="s">
        <v>151</v>
      </c>
      <c r="BI92" s="17" t="s">
        <v>2289</v>
      </c>
      <c r="BJ92" s="17" t="s">
        <v>2290</v>
      </c>
      <c r="BK92" s="17" t="s">
        <v>151</v>
      </c>
      <c r="BL92" s="17" t="s">
        <v>2291</v>
      </c>
      <c r="BM92" s="17" t="s">
        <v>1043</v>
      </c>
      <c r="BN92" s="16" t="s">
        <v>2292</v>
      </c>
      <c r="BO92" s="17" t="s">
        <v>186</v>
      </c>
      <c r="BP92" s="16" t="s">
        <v>2293</v>
      </c>
      <c r="BQ92" s="16" t="s">
        <v>151</v>
      </c>
      <c r="BR92" s="17" t="s">
        <v>2294</v>
      </c>
      <c r="BS92" s="17" t="s">
        <v>187</v>
      </c>
      <c r="BT92" s="17" t="s">
        <v>188</v>
      </c>
      <c r="BU92" s="22">
        <v>44538</v>
      </c>
      <c r="BV92" s="24" t="s">
        <v>151</v>
      </c>
      <c r="BW92" s="17" t="s">
        <v>151</v>
      </c>
      <c r="BX92" s="24" t="s">
        <v>151</v>
      </c>
      <c r="BY92" s="17" t="s">
        <v>151</v>
      </c>
      <c r="BZ92" s="17" t="s">
        <v>189</v>
      </c>
      <c r="CA92" s="17" t="s">
        <v>151</v>
      </c>
      <c r="CB92" s="17" t="s">
        <v>151</v>
      </c>
      <c r="CC92" s="17" t="s">
        <v>190</v>
      </c>
      <c r="CD92" s="17" t="s">
        <v>151</v>
      </c>
      <c r="CE92" s="17" t="s">
        <v>191</v>
      </c>
      <c r="CF92" s="22" t="s">
        <v>151</v>
      </c>
      <c r="CG92" s="24" t="s">
        <v>151</v>
      </c>
      <c r="CH92" s="17" t="s">
        <v>151</v>
      </c>
      <c r="CI92" s="24" t="s">
        <v>151</v>
      </c>
      <c r="CJ92" s="17" t="s">
        <v>151</v>
      </c>
      <c r="CK92" s="16" t="s">
        <v>151</v>
      </c>
      <c r="CL92" s="17" t="s">
        <v>293</v>
      </c>
      <c r="CM92" s="17" t="s">
        <v>293</v>
      </c>
      <c r="CN92" s="17" t="s">
        <v>151</v>
      </c>
      <c r="CO92" s="17" t="s">
        <v>165</v>
      </c>
      <c r="CP92" s="22" t="s">
        <v>151</v>
      </c>
      <c r="CQ92" s="24" t="s">
        <v>151</v>
      </c>
      <c r="CR92" s="17" t="s">
        <v>151</v>
      </c>
      <c r="CS92" s="17" t="s">
        <v>1887</v>
      </c>
      <c r="CT92" s="16" t="s">
        <v>151</v>
      </c>
      <c r="CU92" s="17" t="s">
        <v>151</v>
      </c>
      <c r="CV92" s="19" t="s">
        <v>151</v>
      </c>
      <c r="CW92" s="19" t="s">
        <v>151</v>
      </c>
      <c r="CX92" s="17" t="s">
        <v>151</v>
      </c>
      <c r="CY92" s="19" t="s">
        <v>151</v>
      </c>
      <c r="CZ92" s="19" t="s">
        <v>151</v>
      </c>
      <c r="DA92" s="24">
        <v>6</v>
      </c>
      <c r="DB92" s="22">
        <v>44629</v>
      </c>
      <c r="DC92" s="17" t="s">
        <v>293</v>
      </c>
      <c r="DD92" s="16" t="s">
        <v>151</v>
      </c>
      <c r="DE92" s="19">
        <v>0</v>
      </c>
      <c r="DF92" s="21">
        <v>11</v>
      </c>
      <c r="DG92" s="19">
        <v>0</v>
      </c>
      <c r="DH92" s="19">
        <v>0</v>
      </c>
      <c r="DI92" s="19">
        <v>0</v>
      </c>
      <c r="DJ92" s="21">
        <v>10</v>
      </c>
      <c r="DK92" s="19" t="s">
        <v>151</v>
      </c>
      <c r="DL92" s="21" t="s">
        <v>151</v>
      </c>
      <c r="DM92" s="19">
        <v>0</v>
      </c>
      <c r="DN92" s="21">
        <v>10</v>
      </c>
      <c r="DO92" s="23">
        <v>1.37</v>
      </c>
      <c r="DP92" s="21">
        <v>57</v>
      </c>
      <c r="DQ92" s="23">
        <v>0</v>
      </c>
      <c r="DR92" s="19">
        <v>0</v>
      </c>
      <c r="DS92" s="23">
        <v>1.37</v>
      </c>
      <c r="DT92" s="21">
        <v>57</v>
      </c>
      <c r="DU92" s="23" t="s">
        <v>151</v>
      </c>
      <c r="DV92" s="21" t="s">
        <v>151</v>
      </c>
      <c r="DW92" s="23">
        <v>1.37</v>
      </c>
      <c r="DX92" s="21">
        <v>57</v>
      </c>
      <c r="DY92" s="18" t="s">
        <v>151</v>
      </c>
      <c r="DZ92" s="22" t="s">
        <v>151</v>
      </c>
      <c r="EA92" s="22" t="s">
        <v>151</v>
      </c>
      <c r="EB92" s="21">
        <v>0</v>
      </c>
      <c r="EC92" s="20">
        <v>0</v>
      </c>
      <c r="ED92" s="19">
        <v>0</v>
      </c>
      <c r="EE92" s="21">
        <v>26</v>
      </c>
      <c r="EF92" s="20">
        <v>1</v>
      </c>
      <c r="EG92" s="19">
        <v>4</v>
      </c>
      <c r="EH92" s="16" t="s">
        <v>198</v>
      </c>
      <c r="EI92" s="17" t="s">
        <v>151</v>
      </c>
      <c r="EJ92" s="17" t="s">
        <v>151</v>
      </c>
      <c r="EK92" s="18">
        <v>1</v>
      </c>
      <c r="EL92" s="18" t="s">
        <v>151</v>
      </c>
      <c r="EM92" s="18" t="s">
        <v>151</v>
      </c>
      <c r="EN92" s="18" t="s">
        <v>151</v>
      </c>
      <c r="EO92" s="18">
        <v>2</v>
      </c>
      <c r="EP92" s="17" t="s">
        <v>151</v>
      </c>
      <c r="EQ92" s="16" t="s">
        <v>151</v>
      </c>
      <c r="ER92" s="16" t="s">
        <v>151</v>
      </c>
      <c r="ES92" s="3">
        <f>HYPERLINK("https://my.pitchbook.com?c=490139-20","View Company Online")</f>
      </c>
    </row>
    <row r="93">
      <c r="A93" s="30" t="s">
        <v>2295</v>
      </c>
      <c r="B93" s="30" t="s">
        <v>2296</v>
      </c>
      <c r="C93" s="31">
        <v>2</v>
      </c>
      <c r="D93" s="30" t="s">
        <v>2297</v>
      </c>
      <c r="E93" s="30" t="s">
        <v>151</v>
      </c>
      <c r="F93" s="30" t="s">
        <v>2298</v>
      </c>
      <c r="G93" s="30" t="s">
        <v>151</v>
      </c>
      <c r="H93" s="30" t="s">
        <v>151</v>
      </c>
      <c r="I93" s="30" t="s">
        <v>151</v>
      </c>
      <c r="J93" s="30" t="s">
        <v>2295</v>
      </c>
      <c r="K93" s="30" t="s">
        <v>2299</v>
      </c>
      <c r="L93" s="30" t="s">
        <v>205</v>
      </c>
      <c r="M93" s="30" t="s">
        <v>206</v>
      </c>
      <c r="N93" s="30" t="s">
        <v>694</v>
      </c>
      <c r="O93" s="30" t="s">
        <v>2300</v>
      </c>
      <c r="P93" s="30" t="s">
        <v>2301</v>
      </c>
      <c r="Q93" s="30" t="s">
        <v>2302</v>
      </c>
      <c r="R93" s="30" t="s">
        <v>151</v>
      </c>
      <c r="S93" s="30" t="s">
        <v>162</v>
      </c>
      <c r="T93" s="37">
        <v>1.31</v>
      </c>
      <c r="U93" s="30" t="s">
        <v>163</v>
      </c>
      <c r="V93" s="30" t="s">
        <v>164</v>
      </c>
      <c r="W93" s="30" t="s">
        <v>165</v>
      </c>
      <c r="X93" s="28" t="s">
        <v>2303</v>
      </c>
      <c r="Y93" s="28" t="s">
        <v>2304</v>
      </c>
      <c r="Z93" s="40">
        <v>7</v>
      </c>
      <c r="AA93" s="30" t="s">
        <v>2305</v>
      </c>
      <c r="AB93" s="30" t="s">
        <v>151</v>
      </c>
      <c r="AC93" s="30" t="s">
        <v>151</v>
      </c>
      <c r="AD93" s="39">
        <v>2021</v>
      </c>
      <c r="AE93" s="30" t="s">
        <v>151</v>
      </c>
      <c r="AF93" s="35">
        <v>45472</v>
      </c>
      <c r="AG93" s="30" t="s">
        <v>151</v>
      </c>
      <c r="AH93" s="30" t="s">
        <v>151</v>
      </c>
      <c r="AI93" s="38" t="s">
        <v>151</v>
      </c>
      <c r="AJ93" s="32" t="s">
        <v>151</v>
      </c>
      <c r="AK93" s="38" t="s">
        <v>151</v>
      </c>
      <c r="AL93" s="38" t="s">
        <v>151</v>
      </c>
      <c r="AM93" s="38" t="s">
        <v>151</v>
      </c>
      <c r="AN93" s="38" t="s">
        <v>151</v>
      </c>
      <c r="AO93" s="38" t="s">
        <v>151</v>
      </c>
      <c r="AP93" s="38" t="s">
        <v>151</v>
      </c>
      <c r="AQ93" s="38" t="s">
        <v>151</v>
      </c>
      <c r="AR93" s="29" t="s">
        <v>151</v>
      </c>
      <c r="AS93" s="30" t="s">
        <v>2306</v>
      </c>
      <c r="AT93" s="30" t="s">
        <v>2307</v>
      </c>
      <c r="AU93" s="31">
        <v>2</v>
      </c>
      <c r="AV93" s="30" t="s">
        <v>151</v>
      </c>
      <c r="AW93" s="30" t="s">
        <v>151</v>
      </c>
      <c r="AX93" s="30" t="s">
        <v>151</v>
      </c>
      <c r="AY93" s="30" t="s">
        <v>2308</v>
      </c>
      <c r="AZ93" s="30" t="s">
        <v>151</v>
      </c>
      <c r="BA93" s="30" t="s">
        <v>151</v>
      </c>
      <c r="BB93" s="30" t="s">
        <v>151</v>
      </c>
      <c r="BC93" s="30" t="s">
        <v>151</v>
      </c>
      <c r="BD93" s="30" t="s">
        <v>2309</v>
      </c>
      <c r="BE93" s="30" t="s">
        <v>2310</v>
      </c>
      <c r="BF93" s="30" t="s">
        <v>282</v>
      </c>
      <c r="BG93" s="30" t="s">
        <v>151</v>
      </c>
      <c r="BH93" s="30" t="s">
        <v>2311</v>
      </c>
      <c r="BI93" s="30" t="s">
        <v>764</v>
      </c>
      <c r="BJ93" s="30" t="s">
        <v>2312</v>
      </c>
      <c r="BK93" s="30" t="s">
        <v>151</v>
      </c>
      <c r="BL93" s="30" t="s">
        <v>767</v>
      </c>
      <c r="BM93" s="30" t="s">
        <v>184</v>
      </c>
      <c r="BN93" s="29" t="s">
        <v>2313</v>
      </c>
      <c r="BO93" s="30" t="s">
        <v>186</v>
      </c>
      <c r="BP93" s="29" t="s">
        <v>2311</v>
      </c>
      <c r="BQ93" s="29" t="s">
        <v>151</v>
      </c>
      <c r="BR93" s="30" t="s">
        <v>151</v>
      </c>
      <c r="BS93" s="30" t="s">
        <v>187</v>
      </c>
      <c r="BT93" s="30" t="s">
        <v>188</v>
      </c>
      <c r="BU93" s="35">
        <v>44562</v>
      </c>
      <c r="BV93" s="37" t="s">
        <v>151</v>
      </c>
      <c r="BW93" s="30" t="s">
        <v>151</v>
      </c>
      <c r="BX93" s="37" t="s">
        <v>151</v>
      </c>
      <c r="BY93" s="30" t="s">
        <v>151</v>
      </c>
      <c r="BZ93" s="30" t="s">
        <v>189</v>
      </c>
      <c r="CA93" s="30" t="s">
        <v>151</v>
      </c>
      <c r="CB93" s="30" t="s">
        <v>151</v>
      </c>
      <c r="CC93" s="30" t="s">
        <v>190</v>
      </c>
      <c r="CD93" s="30" t="s">
        <v>151</v>
      </c>
      <c r="CE93" s="30" t="s">
        <v>191</v>
      </c>
      <c r="CF93" s="35">
        <v>44687</v>
      </c>
      <c r="CG93" s="37">
        <v>1.31</v>
      </c>
      <c r="CH93" s="30" t="s">
        <v>192</v>
      </c>
      <c r="CI93" s="37" t="s">
        <v>151</v>
      </c>
      <c r="CJ93" s="30" t="s">
        <v>151</v>
      </c>
      <c r="CK93" s="29" t="s">
        <v>151</v>
      </c>
      <c r="CL93" s="30" t="s">
        <v>293</v>
      </c>
      <c r="CM93" s="30" t="s">
        <v>293</v>
      </c>
      <c r="CN93" s="30" t="s">
        <v>151</v>
      </c>
      <c r="CO93" s="30" t="s">
        <v>165</v>
      </c>
      <c r="CP93" s="35">
        <v>44687</v>
      </c>
      <c r="CQ93" s="37" t="s">
        <v>151</v>
      </c>
      <c r="CR93" s="30" t="s">
        <v>151</v>
      </c>
      <c r="CS93" s="30" t="s">
        <v>191</v>
      </c>
      <c r="CT93" s="29" t="s">
        <v>151</v>
      </c>
      <c r="CU93" s="30" t="s">
        <v>151</v>
      </c>
      <c r="CV93" s="32" t="s">
        <v>151</v>
      </c>
      <c r="CW93" s="32" t="s">
        <v>151</v>
      </c>
      <c r="CX93" s="30" t="s">
        <v>151</v>
      </c>
      <c r="CY93" s="32" t="s">
        <v>151</v>
      </c>
      <c r="CZ93" s="32" t="s">
        <v>151</v>
      </c>
      <c r="DA93" s="37" t="s">
        <v>151</v>
      </c>
      <c r="DB93" s="35" t="s">
        <v>151</v>
      </c>
      <c r="DC93" s="30" t="s">
        <v>151</v>
      </c>
      <c r="DD93" s="29" t="s">
        <v>151</v>
      </c>
      <c r="DE93" s="32">
        <v>1.04</v>
      </c>
      <c r="DF93" s="34">
        <v>96</v>
      </c>
      <c r="DG93" s="32">
        <v>0</v>
      </c>
      <c r="DH93" s="32">
        <v>0</v>
      </c>
      <c r="DI93" s="32">
        <v>0</v>
      </c>
      <c r="DJ93" s="34">
        <v>10</v>
      </c>
      <c r="DK93" s="32" t="s">
        <v>151</v>
      </c>
      <c r="DL93" s="34" t="s">
        <v>151</v>
      </c>
      <c r="DM93" s="32">
        <v>0</v>
      </c>
      <c r="DN93" s="34">
        <v>10</v>
      </c>
      <c r="DO93" s="36">
        <v>0.74</v>
      </c>
      <c r="DP93" s="34">
        <v>42</v>
      </c>
      <c r="DQ93" s="36">
        <v>0</v>
      </c>
      <c r="DR93" s="32">
        <v>0</v>
      </c>
      <c r="DS93" s="36">
        <v>0.95</v>
      </c>
      <c r="DT93" s="34">
        <v>49</v>
      </c>
      <c r="DU93" s="36" t="s">
        <v>151</v>
      </c>
      <c r="DV93" s="34" t="s">
        <v>151</v>
      </c>
      <c r="DW93" s="36">
        <v>0.95</v>
      </c>
      <c r="DX93" s="34">
        <v>48</v>
      </c>
      <c r="DY93" s="31" t="s">
        <v>151</v>
      </c>
      <c r="DZ93" s="35" t="s">
        <v>151</v>
      </c>
      <c r="EA93" s="35" t="s">
        <v>151</v>
      </c>
      <c r="EB93" s="34">
        <v>183</v>
      </c>
      <c r="EC93" s="33">
        <v>31</v>
      </c>
      <c r="ED93" s="32">
        <v>20.39</v>
      </c>
      <c r="EE93" s="34">
        <v>18</v>
      </c>
      <c r="EF93" s="33">
        <v>0</v>
      </c>
      <c r="EG93" s="32">
        <v>0</v>
      </c>
      <c r="EH93" s="29" t="s">
        <v>198</v>
      </c>
      <c r="EI93" s="30" t="s">
        <v>151</v>
      </c>
      <c r="EJ93" s="30" t="s">
        <v>151</v>
      </c>
      <c r="EK93" s="31">
        <v>2</v>
      </c>
      <c r="EL93" s="31" t="s">
        <v>151</v>
      </c>
      <c r="EM93" s="31">
        <v>1</v>
      </c>
      <c r="EN93" s="31" t="s">
        <v>151</v>
      </c>
      <c r="EO93" s="31">
        <v>1</v>
      </c>
      <c r="EP93" s="30" t="s">
        <v>2314</v>
      </c>
      <c r="EQ93" s="29" t="s">
        <v>151</v>
      </c>
      <c r="ER93" s="29" t="s">
        <v>151</v>
      </c>
      <c r="ES93" s="4">
        <f>HYPERLINK("https://my.pitchbook.com?c=496227-07","View Company Online")</f>
      </c>
    </row>
    <row r="94">
      <c r="A94" s="17" t="s">
        <v>2315</v>
      </c>
      <c r="B94" s="17" t="s">
        <v>2316</v>
      </c>
      <c r="C94" s="18">
        <v>2</v>
      </c>
      <c r="D94" s="17" t="s">
        <v>151</v>
      </c>
      <c r="E94" s="17" t="s">
        <v>2317</v>
      </c>
      <c r="F94" s="17" t="s">
        <v>2318</v>
      </c>
      <c r="G94" s="17" t="s">
        <v>151</v>
      </c>
      <c r="H94" s="17" t="s">
        <v>151</v>
      </c>
      <c r="I94" s="17" t="s">
        <v>151</v>
      </c>
      <c r="J94" s="17" t="s">
        <v>2315</v>
      </c>
      <c r="K94" s="17" t="s">
        <v>2319</v>
      </c>
      <c r="L94" s="17" t="s">
        <v>155</v>
      </c>
      <c r="M94" s="17" t="s">
        <v>2320</v>
      </c>
      <c r="N94" s="17" t="s">
        <v>2321</v>
      </c>
      <c r="O94" s="17" t="s">
        <v>2322</v>
      </c>
      <c r="P94" s="17" t="s">
        <v>2323</v>
      </c>
      <c r="Q94" s="17" t="s">
        <v>2324</v>
      </c>
      <c r="R94" s="17" t="s">
        <v>151</v>
      </c>
      <c r="S94" s="17" t="s">
        <v>162</v>
      </c>
      <c r="T94" s="24">
        <v>15.9</v>
      </c>
      <c r="U94" s="17" t="s">
        <v>163</v>
      </c>
      <c r="V94" s="17" t="s">
        <v>164</v>
      </c>
      <c r="W94" s="17" t="s">
        <v>165</v>
      </c>
      <c r="X94" s="15" t="s">
        <v>2325</v>
      </c>
      <c r="Y94" s="15" t="s">
        <v>2326</v>
      </c>
      <c r="Z94" s="27">
        <v>43</v>
      </c>
      <c r="AA94" s="17" t="s">
        <v>2327</v>
      </c>
      <c r="AB94" s="17" t="s">
        <v>151</v>
      </c>
      <c r="AC94" s="17" t="s">
        <v>151</v>
      </c>
      <c r="AD94" s="26">
        <v>2016</v>
      </c>
      <c r="AE94" s="17" t="s">
        <v>151</v>
      </c>
      <c r="AF94" s="22">
        <v>45524</v>
      </c>
      <c r="AG94" s="17" t="s">
        <v>151</v>
      </c>
      <c r="AH94" s="17" t="s">
        <v>151</v>
      </c>
      <c r="AI94" s="25" t="s">
        <v>151</v>
      </c>
      <c r="AJ94" s="19" t="s">
        <v>151</v>
      </c>
      <c r="AK94" s="25" t="s">
        <v>151</v>
      </c>
      <c r="AL94" s="25">
        <v>0.1</v>
      </c>
      <c r="AM94" s="25" t="s">
        <v>151</v>
      </c>
      <c r="AN94" s="25" t="s">
        <v>151</v>
      </c>
      <c r="AO94" s="25" t="s">
        <v>151</v>
      </c>
      <c r="AP94" s="25" t="s">
        <v>151</v>
      </c>
      <c r="AQ94" s="25" t="s">
        <v>151</v>
      </c>
      <c r="AR94" s="16" t="s">
        <v>2328</v>
      </c>
      <c r="AS94" s="17" t="s">
        <v>2329</v>
      </c>
      <c r="AT94" s="17" t="s">
        <v>2330</v>
      </c>
      <c r="AU94" s="18">
        <v>9</v>
      </c>
      <c r="AV94" s="17" t="s">
        <v>151</v>
      </c>
      <c r="AW94" s="17" t="s">
        <v>151</v>
      </c>
      <c r="AX94" s="17" t="s">
        <v>151</v>
      </c>
      <c r="AY94" s="17" t="s">
        <v>2331</v>
      </c>
      <c r="AZ94" s="17" t="s">
        <v>151</v>
      </c>
      <c r="BA94" s="17" t="s">
        <v>151</v>
      </c>
      <c r="BB94" s="17" t="s">
        <v>151</v>
      </c>
      <c r="BC94" s="17" t="s">
        <v>874</v>
      </c>
      <c r="BD94" s="17" t="s">
        <v>2332</v>
      </c>
      <c r="BE94" s="17" t="s">
        <v>2333</v>
      </c>
      <c r="BF94" s="17" t="s">
        <v>221</v>
      </c>
      <c r="BG94" s="17" t="s">
        <v>2334</v>
      </c>
      <c r="BH94" s="17" t="s">
        <v>151</v>
      </c>
      <c r="BI94" s="17" t="s">
        <v>2335</v>
      </c>
      <c r="BJ94" s="17" t="s">
        <v>2336</v>
      </c>
      <c r="BK94" s="17" t="s">
        <v>2337</v>
      </c>
      <c r="BL94" s="17" t="s">
        <v>2338</v>
      </c>
      <c r="BM94" s="17" t="s">
        <v>184</v>
      </c>
      <c r="BN94" s="16" t="s">
        <v>2339</v>
      </c>
      <c r="BO94" s="17" t="s">
        <v>186</v>
      </c>
      <c r="BP94" s="16" t="s">
        <v>151</v>
      </c>
      <c r="BQ94" s="16" t="s">
        <v>151</v>
      </c>
      <c r="BR94" s="17" t="s">
        <v>2340</v>
      </c>
      <c r="BS94" s="17" t="s">
        <v>187</v>
      </c>
      <c r="BT94" s="17" t="s">
        <v>188</v>
      </c>
      <c r="BU94" s="22">
        <v>43987</v>
      </c>
      <c r="BV94" s="24">
        <v>3.4</v>
      </c>
      <c r="BW94" s="17" t="s">
        <v>193</v>
      </c>
      <c r="BX94" s="24">
        <v>11</v>
      </c>
      <c r="BY94" s="17" t="s">
        <v>192</v>
      </c>
      <c r="BZ94" s="17" t="s">
        <v>293</v>
      </c>
      <c r="CA94" s="17" t="s">
        <v>293</v>
      </c>
      <c r="CB94" s="17" t="s">
        <v>151</v>
      </c>
      <c r="CC94" s="17" t="s">
        <v>165</v>
      </c>
      <c r="CD94" s="17" t="s">
        <v>151</v>
      </c>
      <c r="CE94" s="17" t="s">
        <v>191</v>
      </c>
      <c r="CF94" s="22">
        <v>44462</v>
      </c>
      <c r="CG94" s="24">
        <v>12.5</v>
      </c>
      <c r="CH94" s="17" t="s">
        <v>193</v>
      </c>
      <c r="CI94" s="24">
        <v>59.5</v>
      </c>
      <c r="CJ94" s="17" t="s">
        <v>192</v>
      </c>
      <c r="CK94" s="16">
        <v>4.27</v>
      </c>
      <c r="CL94" s="17" t="s">
        <v>194</v>
      </c>
      <c r="CM94" s="17" t="s">
        <v>232</v>
      </c>
      <c r="CN94" s="17" t="s">
        <v>151</v>
      </c>
      <c r="CO94" s="17" t="s">
        <v>165</v>
      </c>
      <c r="CP94" s="22">
        <v>44462</v>
      </c>
      <c r="CQ94" s="24" t="s">
        <v>151</v>
      </c>
      <c r="CR94" s="17" t="s">
        <v>151</v>
      </c>
      <c r="CS94" s="17" t="s">
        <v>191</v>
      </c>
      <c r="CT94" s="16">
        <v>50</v>
      </c>
      <c r="CU94" s="17" t="s">
        <v>263</v>
      </c>
      <c r="CV94" s="19">
        <v>48</v>
      </c>
      <c r="CW94" s="19">
        <v>52</v>
      </c>
      <c r="CX94" s="17" t="s">
        <v>263</v>
      </c>
      <c r="CY94" s="19">
        <v>1</v>
      </c>
      <c r="CZ94" s="19">
        <v>47</v>
      </c>
      <c r="DA94" s="24">
        <v>59.5</v>
      </c>
      <c r="DB94" s="22">
        <v>44462</v>
      </c>
      <c r="DC94" s="17" t="s">
        <v>194</v>
      </c>
      <c r="DD94" s="16">
        <v>4.27</v>
      </c>
      <c r="DE94" s="19">
        <v>1.2</v>
      </c>
      <c r="DF94" s="21">
        <v>97</v>
      </c>
      <c r="DG94" s="19">
        <v>0</v>
      </c>
      <c r="DH94" s="19">
        <v>-0.32</v>
      </c>
      <c r="DI94" s="19">
        <v>1.44</v>
      </c>
      <c r="DJ94" s="21">
        <v>97</v>
      </c>
      <c r="DK94" s="19">
        <v>1.07</v>
      </c>
      <c r="DL94" s="21">
        <v>92</v>
      </c>
      <c r="DM94" s="19">
        <v>1.8</v>
      </c>
      <c r="DN94" s="21">
        <v>98</v>
      </c>
      <c r="DO94" s="23">
        <v>645.5</v>
      </c>
      <c r="DP94" s="21">
        <v>100</v>
      </c>
      <c r="DQ94" s="23">
        <v>5.91</v>
      </c>
      <c r="DR94" s="19">
        <v>0.92</v>
      </c>
      <c r="DS94" s="23">
        <v>163.55</v>
      </c>
      <c r="DT94" s="21">
        <v>100</v>
      </c>
      <c r="DU94" s="23">
        <v>263.73</v>
      </c>
      <c r="DV94" s="21">
        <v>99</v>
      </c>
      <c r="DW94" s="23">
        <v>63.37</v>
      </c>
      <c r="DX94" s="21">
        <v>99</v>
      </c>
      <c r="DY94" s="18" t="s">
        <v>151</v>
      </c>
      <c r="DZ94" s="22" t="s">
        <v>151</v>
      </c>
      <c r="EA94" s="22" t="s">
        <v>151</v>
      </c>
      <c r="EB94" s="21">
        <v>54156</v>
      </c>
      <c r="EC94" s="20">
        <v>1560</v>
      </c>
      <c r="ED94" s="19">
        <v>2.97</v>
      </c>
      <c r="EE94" s="21">
        <v>1204</v>
      </c>
      <c r="EF94" s="20">
        <v>9</v>
      </c>
      <c r="EG94" s="19">
        <v>0.75</v>
      </c>
      <c r="EH94" s="16" t="s">
        <v>198</v>
      </c>
      <c r="EI94" s="17" t="s">
        <v>151</v>
      </c>
      <c r="EJ94" s="17" t="s">
        <v>151</v>
      </c>
      <c r="EK94" s="18">
        <v>2</v>
      </c>
      <c r="EL94" s="18" t="s">
        <v>151</v>
      </c>
      <c r="EM94" s="18" t="s">
        <v>151</v>
      </c>
      <c r="EN94" s="18" t="s">
        <v>151</v>
      </c>
      <c r="EO94" s="18">
        <v>2</v>
      </c>
      <c r="EP94" s="17" t="s">
        <v>151</v>
      </c>
      <c r="EQ94" s="16">
        <v>1</v>
      </c>
      <c r="ER94" s="16">
        <v>1</v>
      </c>
      <c r="ES94" s="3">
        <f>HYPERLINK("https://my.pitchbook.com?c=170476-30","View Company Online")</f>
      </c>
    </row>
    <row r="95">
      <c r="A95" s="30" t="s">
        <v>2341</v>
      </c>
      <c r="B95" s="30" t="s">
        <v>2342</v>
      </c>
      <c r="C95" s="31">
        <v>2</v>
      </c>
      <c r="D95" s="30" t="s">
        <v>151</v>
      </c>
      <c r="E95" s="30" t="s">
        <v>151</v>
      </c>
      <c r="F95" s="30" t="s">
        <v>2343</v>
      </c>
      <c r="G95" s="30" t="s">
        <v>151</v>
      </c>
      <c r="H95" s="30" t="s">
        <v>151</v>
      </c>
      <c r="I95" s="30" t="s">
        <v>151</v>
      </c>
      <c r="J95" s="30" t="s">
        <v>2341</v>
      </c>
      <c r="K95" s="30" t="s">
        <v>2344</v>
      </c>
      <c r="L95" s="30" t="s">
        <v>205</v>
      </c>
      <c r="M95" s="30" t="s">
        <v>206</v>
      </c>
      <c r="N95" s="30" t="s">
        <v>269</v>
      </c>
      <c r="O95" s="30" t="s">
        <v>2345</v>
      </c>
      <c r="P95" s="30" t="s">
        <v>2346</v>
      </c>
      <c r="Q95" s="30" t="s">
        <v>2347</v>
      </c>
      <c r="R95" s="30" t="s">
        <v>151</v>
      </c>
      <c r="S95" s="30" t="s">
        <v>162</v>
      </c>
      <c r="T95" s="37">
        <v>2.25</v>
      </c>
      <c r="U95" s="30" t="s">
        <v>163</v>
      </c>
      <c r="V95" s="30" t="s">
        <v>164</v>
      </c>
      <c r="W95" s="30" t="s">
        <v>165</v>
      </c>
      <c r="X95" s="28" t="s">
        <v>2348</v>
      </c>
      <c r="Y95" s="28" t="s">
        <v>2349</v>
      </c>
      <c r="Z95" s="40">
        <v>13</v>
      </c>
      <c r="AA95" s="30" t="s">
        <v>2350</v>
      </c>
      <c r="AB95" s="30" t="s">
        <v>151</v>
      </c>
      <c r="AC95" s="30" t="s">
        <v>151</v>
      </c>
      <c r="AD95" s="39">
        <v>2018</v>
      </c>
      <c r="AE95" s="30" t="s">
        <v>151</v>
      </c>
      <c r="AF95" s="35">
        <v>45534</v>
      </c>
      <c r="AG95" s="30" t="s">
        <v>151</v>
      </c>
      <c r="AH95" s="30" t="s">
        <v>151</v>
      </c>
      <c r="AI95" s="38" t="s">
        <v>151</v>
      </c>
      <c r="AJ95" s="32" t="s">
        <v>151</v>
      </c>
      <c r="AK95" s="38" t="s">
        <v>151</v>
      </c>
      <c r="AL95" s="38" t="s">
        <v>151</v>
      </c>
      <c r="AM95" s="38" t="s">
        <v>151</v>
      </c>
      <c r="AN95" s="38" t="s">
        <v>151</v>
      </c>
      <c r="AO95" s="38" t="s">
        <v>151</v>
      </c>
      <c r="AP95" s="38" t="s">
        <v>151</v>
      </c>
      <c r="AQ95" s="38" t="s">
        <v>151</v>
      </c>
      <c r="AR95" s="29" t="s">
        <v>151</v>
      </c>
      <c r="AS95" s="30" t="s">
        <v>2351</v>
      </c>
      <c r="AT95" s="30" t="s">
        <v>2352</v>
      </c>
      <c r="AU95" s="31">
        <v>12</v>
      </c>
      <c r="AV95" s="30" t="s">
        <v>151</v>
      </c>
      <c r="AW95" s="30" t="s">
        <v>2353</v>
      </c>
      <c r="AX95" s="30" t="s">
        <v>151</v>
      </c>
      <c r="AY95" s="30" t="s">
        <v>2354</v>
      </c>
      <c r="AZ95" s="30" t="s">
        <v>2355</v>
      </c>
      <c r="BA95" s="30" t="s">
        <v>151</v>
      </c>
      <c r="BB95" s="30" t="s">
        <v>151</v>
      </c>
      <c r="BC95" s="30" t="s">
        <v>151</v>
      </c>
      <c r="BD95" s="30" t="s">
        <v>2356</v>
      </c>
      <c r="BE95" s="30" t="s">
        <v>2357</v>
      </c>
      <c r="BF95" s="30" t="s">
        <v>1280</v>
      </c>
      <c r="BG95" s="30" t="s">
        <v>2358</v>
      </c>
      <c r="BH95" s="30" t="s">
        <v>2359</v>
      </c>
      <c r="BI95" s="30" t="s">
        <v>2360</v>
      </c>
      <c r="BJ95" s="30" t="s">
        <v>2361</v>
      </c>
      <c r="BK95" s="30" t="s">
        <v>2362</v>
      </c>
      <c r="BL95" s="30" t="s">
        <v>2363</v>
      </c>
      <c r="BM95" s="30" t="s">
        <v>184</v>
      </c>
      <c r="BN95" s="29" t="s">
        <v>2364</v>
      </c>
      <c r="BO95" s="30" t="s">
        <v>186</v>
      </c>
      <c r="BP95" s="29" t="s">
        <v>151</v>
      </c>
      <c r="BQ95" s="29" t="s">
        <v>151</v>
      </c>
      <c r="BR95" s="30" t="s">
        <v>2365</v>
      </c>
      <c r="BS95" s="30" t="s">
        <v>187</v>
      </c>
      <c r="BT95" s="30" t="s">
        <v>188</v>
      </c>
      <c r="BU95" s="35">
        <v>44013</v>
      </c>
      <c r="BV95" s="37">
        <v>2.25</v>
      </c>
      <c r="BW95" s="30" t="s">
        <v>192</v>
      </c>
      <c r="BX95" s="37">
        <v>6.25</v>
      </c>
      <c r="BY95" s="30" t="s">
        <v>192</v>
      </c>
      <c r="BZ95" s="30" t="s">
        <v>293</v>
      </c>
      <c r="CA95" s="30" t="s">
        <v>293</v>
      </c>
      <c r="CB95" s="30" t="s">
        <v>151</v>
      </c>
      <c r="CC95" s="30" t="s">
        <v>165</v>
      </c>
      <c r="CD95" s="30" t="s">
        <v>151</v>
      </c>
      <c r="CE95" s="30" t="s">
        <v>191</v>
      </c>
      <c r="CF95" s="35">
        <v>45231</v>
      </c>
      <c r="CG95" s="37" t="s">
        <v>151</v>
      </c>
      <c r="CH95" s="30" t="s">
        <v>151</v>
      </c>
      <c r="CI95" s="37" t="s">
        <v>151</v>
      </c>
      <c r="CJ95" s="30" t="s">
        <v>151</v>
      </c>
      <c r="CK95" s="29" t="s">
        <v>151</v>
      </c>
      <c r="CL95" s="30" t="s">
        <v>911</v>
      </c>
      <c r="CM95" s="30" t="s">
        <v>151</v>
      </c>
      <c r="CN95" s="30" t="s">
        <v>151</v>
      </c>
      <c r="CO95" s="30" t="s">
        <v>165</v>
      </c>
      <c r="CP95" s="35">
        <v>45231</v>
      </c>
      <c r="CQ95" s="37" t="s">
        <v>151</v>
      </c>
      <c r="CR95" s="30" t="s">
        <v>151</v>
      </c>
      <c r="CS95" s="30" t="s">
        <v>191</v>
      </c>
      <c r="CT95" s="29" t="s">
        <v>151</v>
      </c>
      <c r="CU95" s="30" t="s">
        <v>151</v>
      </c>
      <c r="CV95" s="32" t="s">
        <v>151</v>
      </c>
      <c r="CW95" s="32" t="s">
        <v>151</v>
      </c>
      <c r="CX95" s="30" t="s">
        <v>151</v>
      </c>
      <c r="CY95" s="32" t="s">
        <v>151</v>
      </c>
      <c r="CZ95" s="32" t="s">
        <v>151</v>
      </c>
      <c r="DA95" s="37">
        <v>6.25</v>
      </c>
      <c r="DB95" s="35">
        <v>44013</v>
      </c>
      <c r="DC95" s="30" t="s">
        <v>293</v>
      </c>
      <c r="DD95" s="29" t="s">
        <v>151</v>
      </c>
      <c r="DE95" s="32">
        <v>0.82</v>
      </c>
      <c r="DF95" s="34">
        <v>95</v>
      </c>
      <c r="DG95" s="32">
        <v>0</v>
      </c>
      <c r="DH95" s="32">
        <v>0</v>
      </c>
      <c r="DI95" s="32">
        <v>0.82</v>
      </c>
      <c r="DJ95" s="34">
        <v>96</v>
      </c>
      <c r="DK95" s="32">
        <v>0.98</v>
      </c>
      <c r="DL95" s="34">
        <v>92</v>
      </c>
      <c r="DM95" s="32">
        <v>0.66</v>
      </c>
      <c r="DN95" s="34">
        <v>96</v>
      </c>
      <c r="DO95" s="36">
        <v>21.12</v>
      </c>
      <c r="DP95" s="34">
        <v>95</v>
      </c>
      <c r="DQ95" s="36">
        <v>0</v>
      </c>
      <c r="DR95" s="32">
        <v>0</v>
      </c>
      <c r="DS95" s="36">
        <v>21.12</v>
      </c>
      <c r="DT95" s="34">
        <v>95</v>
      </c>
      <c r="DU95" s="36">
        <v>5.24</v>
      </c>
      <c r="DV95" s="34">
        <v>82</v>
      </c>
      <c r="DW95" s="36">
        <v>37</v>
      </c>
      <c r="DX95" s="34">
        <v>97</v>
      </c>
      <c r="DY95" s="31" t="s">
        <v>151</v>
      </c>
      <c r="DZ95" s="35" t="s">
        <v>151</v>
      </c>
      <c r="EA95" s="35" t="s">
        <v>151</v>
      </c>
      <c r="EB95" s="34">
        <v>1080</v>
      </c>
      <c r="EC95" s="33">
        <v>30</v>
      </c>
      <c r="ED95" s="32">
        <v>2.86</v>
      </c>
      <c r="EE95" s="34">
        <v>703</v>
      </c>
      <c r="EF95" s="33">
        <v>3</v>
      </c>
      <c r="EG95" s="32">
        <v>0.43</v>
      </c>
      <c r="EH95" s="29" t="s">
        <v>198</v>
      </c>
      <c r="EI95" s="30" t="s">
        <v>151</v>
      </c>
      <c r="EJ95" s="30" t="s">
        <v>151</v>
      </c>
      <c r="EK95" s="31">
        <v>1</v>
      </c>
      <c r="EL95" s="31">
        <v>2</v>
      </c>
      <c r="EM95" s="31" t="s">
        <v>151</v>
      </c>
      <c r="EN95" s="31" t="s">
        <v>151</v>
      </c>
      <c r="EO95" s="31" t="s">
        <v>151</v>
      </c>
      <c r="EP95" s="30" t="s">
        <v>295</v>
      </c>
      <c r="EQ95" s="29" t="s">
        <v>151</v>
      </c>
      <c r="ER95" s="29" t="s">
        <v>151</v>
      </c>
      <c r="ES95" s="4">
        <f>HYPERLINK("https://my.pitchbook.com?c=434171-53","View Company Online")</f>
      </c>
    </row>
    <row r="96">
      <c r="A96" s="17" t="s">
        <v>2366</v>
      </c>
      <c r="B96" s="17" t="s">
        <v>2367</v>
      </c>
      <c r="C96" s="18">
        <v>2</v>
      </c>
      <c r="D96" s="17" t="s">
        <v>151</v>
      </c>
      <c r="E96" s="17" t="s">
        <v>151</v>
      </c>
      <c r="F96" s="17" t="s">
        <v>2368</v>
      </c>
      <c r="G96" s="17" t="s">
        <v>151</v>
      </c>
      <c r="H96" s="17" t="s">
        <v>151</v>
      </c>
      <c r="I96" s="17" t="s">
        <v>151</v>
      </c>
      <c r="J96" s="17" t="s">
        <v>2366</v>
      </c>
      <c r="K96" s="17" t="s">
        <v>2369</v>
      </c>
      <c r="L96" s="17" t="s">
        <v>616</v>
      </c>
      <c r="M96" s="17" t="s">
        <v>834</v>
      </c>
      <c r="N96" s="17" t="s">
        <v>1723</v>
      </c>
      <c r="O96" s="17" t="s">
        <v>2370</v>
      </c>
      <c r="P96" s="17" t="s">
        <v>151</v>
      </c>
      <c r="Q96" s="17" t="s">
        <v>2371</v>
      </c>
      <c r="R96" s="17" t="s">
        <v>151</v>
      </c>
      <c r="S96" s="17" t="s">
        <v>162</v>
      </c>
      <c r="T96" s="24">
        <v>0.71</v>
      </c>
      <c r="U96" s="17" t="s">
        <v>163</v>
      </c>
      <c r="V96" s="17" t="s">
        <v>164</v>
      </c>
      <c r="W96" s="17" t="s">
        <v>165</v>
      </c>
      <c r="X96" s="15" t="s">
        <v>2372</v>
      </c>
      <c r="Y96" s="15" t="s">
        <v>2373</v>
      </c>
      <c r="Z96" s="27">
        <v>7</v>
      </c>
      <c r="AA96" s="17" t="s">
        <v>2374</v>
      </c>
      <c r="AB96" s="17" t="s">
        <v>151</v>
      </c>
      <c r="AC96" s="17" t="s">
        <v>151</v>
      </c>
      <c r="AD96" s="26">
        <v>2020</v>
      </c>
      <c r="AE96" s="17" t="s">
        <v>151</v>
      </c>
      <c r="AF96" s="22">
        <v>45475</v>
      </c>
      <c r="AG96" s="17" t="s">
        <v>151</v>
      </c>
      <c r="AH96" s="17" t="s">
        <v>151</v>
      </c>
      <c r="AI96" s="25" t="s">
        <v>151</v>
      </c>
      <c r="AJ96" s="19" t="s">
        <v>151</v>
      </c>
      <c r="AK96" s="25" t="s">
        <v>151</v>
      </c>
      <c r="AL96" s="25" t="s">
        <v>151</v>
      </c>
      <c r="AM96" s="25" t="s">
        <v>151</v>
      </c>
      <c r="AN96" s="25" t="s">
        <v>151</v>
      </c>
      <c r="AO96" s="25" t="s">
        <v>151</v>
      </c>
      <c r="AP96" s="25" t="s">
        <v>151</v>
      </c>
      <c r="AQ96" s="25" t="s">
        <v>151</v>
      </c>
      <c r="AR96" s="16" t="s">
        <v>151</v>
      </c>
      <c r="AS96" s="17" t="s">
        <v>2375</v>
      </c>
      <c r="AT96" s="17" t="s">
        <v>2376</v>
      </c>
      <c r="AU96" s="18">
        <v>5</v>
      </c>
      <c r="AV96" s="17" t="s">
        <v>151</v>
      </c>
      <c r="AW96" s="17" t="s">
        <v>151</v>
      </c>
      <c r="AX96" s="17" t="s">
        <v>151</v>
      </c>
      <c r="AY96" s="17" t="s">
        <v>2377</v>
      </c>
      <c r="AZ96" s="17" t="s">
        <v>151</v>
      </c>
      <c r="BA96" s="17" t="s">
        <v>151</v>
      </c>
      <c r="BB96" s="17" t="s">
        <v>151</v>
      </c>
      <c r="BC96" s="17" t="s">
        <v>151</v>
      </c>
      <c r="BD96" s="17" t="s">
        <v>2378</v>
      </c>
      <c r="BE96" s="17" t="s">
        <v>2379</v>
      </c>
      <c r="BF96" s="17" t="s">
        <v>2380</v>
      </c>
      <c r="BG96" s="17" t="s">
        <v>2381</v>
      </c>
      <c r="BH96" s="17" t="s">
        <v>151</v>
      </c>
      <c r="BI96" s="17" t="s">
        <v>255</v>
      </c>
      <c r="BJ96" s="17" t="s">
        <v>256</v>
      </c>
      <c r="BK96" s="17" t="s">
        <v>2382</v>
      </c>
      <c r="BL96" s="17" t="s">
        <v>258</v>
      </c>
      <c r="BM96" s="17" t="s">
        <v>259</v>
      </c>
      <c r="BN96" s="16" t="s">
        <v>260</v>
      </c>
      <c r="BO96" s="17" t="s">
        <v>186</v>
      </c>
      <c r="BP96" s="16" t="s">
        <v>151</v>
      </c>
      <c r="BQ96" s="16" t="s">
        <v>151</v>
      </c>
      <c r="BR96" s="17" t="s">
        <v>151</v>
      </c>
      <c r="BS96" s="17" t="s">
        <v>187</v>
      </c>
      <c r="BT96" s="17" t="s">
        <v>188</v>
      </c>
      <c r="BU96" s="22">
        <v>44103</v>
      </c>
      <c r="BV96" s="24">
        <v>0.06</v>
      </c>
      <c r="BW96" s="17" t="s">
        <v>192</v>
      </c>
      <c r="BX96" s="24" t="s">
        <v>151</v>
      </c>
      <c r="BY96" s="17" t="s">
        <v>151</v>
      </c>
      <c r="BZ96" s="17" t="s">
        <v>189</v>
      </c>
      <c r="CA96" s="17" t="s">
        <v>151</v>
      </c>
      <c r="CB96" s="17" t="s">
        <v>151</v>
      </c>
      <c r="CC96" s="17" t="s">
        <v>190</v>
      </c>
      <c r="CD96" s="17" t="s">
        <v>151</v>
      </c>
      <c r="CE96" s="17" t="s">
        <v>191</v>
      </c>
      <c r="CF96" s="22">
        <v>45162</v>
      </c>
      <c r="CG96" s="24">
        <v>0.4</v>
      </c>
      <c r="CH96" s="17" t="s">
        <v>192</v>
      </c>
      <c r="CI96" s="24" t="s">
        <v>151</v>
      </c>
      <c r="CJ96" s="17" t="s">
        <v>151</v>
      </c>
      <c r="CK96" s="16" t="s">
        <v>151</v>
      </c>
      <c r="CL96" s="17" t="s">
        <v>231</v>
      </c>
      <c r="CM96" s="17" t="s">
        <v>151</v>
      </c>
      <c r="CN96" s="17" t="s">
        <v>151</v>
      </c>
      <c r="CO96" s="17" t="s">
        <v>165</v>
      </c>
      <c r="CP96" s="22">
        <v>45162</v>
      </c>
      <c r="CQ96" s="24" t="s">
        <v>151</v>
      </c>
      <c r="CR96" s="17" t="s">
        <v>2383</v>
      </c>
      <c r="CS96" s="17" t="s">
        <v>191</v>
      </c>
      <c r="CT96" s="16" t="s">
        <v>151</v>
      </c>
      <c r="CU96" s="17" t="s">
        <v>151</v>
      </c>
      <c r="CV96" s="19" t="s">
        <v>151</v>
      </c>
      <c r="CW96" s="19" t="s">
        <v>151</v>
      </c>
      <c r="CX96" s="17" t="s">
        <v>151</v>
      </c>
      <c r="CY96" s="19" t="s">
        <v>151</v>
      </c>
      <c r="CZ96" s="19" t="s">
        <v>151</v>
      </c>
      <c r="DA96" s="24">
        <v>5</v>
      </c>
      <c r="DB96" s="22">
        <v>44484</v>
      </c>
      <c r="DC96" s="17" t="s">
        <v>189</v>
      </c>
      <c r="DD96" s="16" t="s">
        <v>151</v>
      </c>
      <c r="DE96" s="19" t="s">
        <v>151</v>
      </c>
      <c r="DF96" s="21" t="s">
        <v>151</v>
      </c>
      <c r="DG96" s="19" t="s">
        <v>151</v>
      </c>
      <c r="DH96" s="19" t="s">
        <v>151</v>
      </c>
      <c r="DI96" s="19" t="s">
        <v>151</v>
      </c>
      <c r="DJ96" s="21" t="s">
        <v>151</v>
      </c>
      <c r="DK96" s="19" t="s">
        <v>151</v>
      </c>
      <c r="DL96" s="21" t="s">
        <v>151</v>
      </c>
      <c r="DM96" s="19" t="s">
        <v>151</v>
      </c>
      <c r="DN96" s="21" t="s">
        <v>151</v>
      </c>
      <c r="DO96" s="23" t="s">
        <v>151</v>
      </c>
      <c r="DP96" s="21" t="s">
        <v>151</v>
      </c>
      <c r="DQ96" s="23" t="s">
        <v>151</v>
      </c>
      <c r="DR96" s="19" t="s">
        <v>151</v>
      </c>
      <c r="DS96" s="23" t="s">
        <v>151</v>
      </c>
      <c r="DT96" s="21" t="s">
        <v>151</v>
      </c>
      <c r="DU96" s="23" t="s">
        <v>151</v>
      </c>
      <c r="DV96" s="21" t="s">
        <v>151</v>
      </c>
      <c r="DW96" s="23" t="s">
        <v>151</v>
      </c>
      <c r="DX96" s="21" t="s">
        <v>151</v>
      </c>
      <c r="DY96" s="18" t="s">
        <v>151</v>
      </c>
      <c r="DZ96" s="22" t="s">
        <v>151</v>
      </c>
      <c r="EA96" s="22" t="s">
        <v>151</v>
      </c>
      <c r="EB96" s="21" t="s">
        <v>151</v>
      </c>
      <c r="EC96" s="20" t="s">
        <v>151</v>
      </c>
      <c r="ED96" s="19" t="s">
        <v>151</v>
      </c>
      <c r="EE96" s="21" t="s">
        <v>151</v>
      </c>
      <c r="EF96" s="20" t="s">
        <v>151</v>
      </c>
      <c r="EG96" s="19" t="s">
        <v>151</v>
      </c>
      <c r="EH96" s="16" t="s">
        <v>198</v>
      </c>
      <c r="EI96" s="17" t="s">
        <v>151</v>
      </c>
      <c r="EJ96" s="17" t="s">
        <v>151</v>
      </c>
      <c r="EK96" s="18">
        <v>2</v>
      </c>
      <c r="EL96" s="18" t="s">
        <v>151</v>
      </c>
      <c r="EM96" s="18">
        <v>2</v>
      </c>
      <c r="EN96" s="18" t="s">
        <v>151</v>
      </c>
      <c r="EO96" s="18" t="s">
        <v>151</v>
      </c>
      <c r="EP96" s="17" t="s">
        <v>2384</v>
      </c>
      <c r="EQ96" s="16" t="s">
        <v>151</v>
      </c>
      <c r="ER96" s="16" t="s">
        <v>151</v>
      </c>
      <c r="ES96" s="3">
        <f>HYPERLINK("https://my.pitchbook.com?c=462671-29","View Company Online")</f>
      </c>
    </row>
    <row r="97">
      <c r="A97" s="30" t="s">
        <v>2385</v>
      </c>
      <c r="B97" s="30" t="s">
        <v>2386</v>
      </c>
      <c r="C97" s="31">
        <v>2</v>
      </c>
      <c r="D97" s="30" t="s">
        <v>2387</v>
      </c>
      <c r="E97" s="30" t="s">
        <v>151</v>
      </c>
      <c r="F97" s="30" t="s">
        <v>2388</v>
      </c>
      <c r="G97" s="30" t="s">
        <v>151</v>
      </c>
      <c r="H97" s="30" t="s">
        <v>151</v>
      </c>
      <c r="I97" s="30" t="s">
        <v>2389</v>
      </c>
      <c r="J97" s="30" t="s">
        <v>2385</v>
      </c>
      <c r="K97" s="30" t="s">
        <v>2390</v>
      </c>
      <c r="L97" s="30" t="s">
        <v>205</v>
      </c>
      <c r="M97" s="30" t="s">
        <v>206</v>
      </c>
      <c r="N97" s="30" t="s">
        <v>269</v>
      </c>
      <c r="O97" s="30" t="s">
        <v>2391</v>
      </c>
      <c r="P97" s="30" t="s">
        <v>1153</v>
      </c>
      <c r="Q97" s="30" t="s">
        <v>2392</v>
      </c>
      <c r="R97" s="30" t="s">
        <v>151</v>
      </c>
      <c r="S97" s="30" t="s">
        <v>162</v>
      </c>
      <c r="T97" s="37">
        <v>11.05</v>
      </c>
      <c r="U97" s="30" t="s">
        <v>163</v>
      </c>
      <c r="V97" s="30" t="s">
        <v>164</v>
      </c>
      <c r="W97" s="30" t="s">
        <v>165</v>
      </c>
      <c r="X97" s="28" t="s">
        <v>2393</v>
      </c>
      <c r="Y97" s="28" t="s">
        <v>2394</v>
      </c>
      <c r="Z97" s="40">
        <v>47</v>
      </c>
      <c r="AA97" s="30" t="s">
        <v>2395</v>
      </c>
      <c r="AB97" s="30" t="s">
        <v>151</v>
      </c>
      <c r="AC97" s="30" t="s">
        <v>151</v>
      </c>
      <c r="AD97" s="39">
        <v>2021</v>
      </c>
      <c r="AE97" s="30" t="s">
        <v>151</v>
      </c>
      <c r="AF97" s="35">
        <v>45519</v>
      </c>
      <c r="AG97" s="30" t="s">
        <v>151</v>
      </c>
      <c r="AH97" s="30" t="s">
        <v>151</v>
      </c>
      <c r="AI97" s="38" t="s">
        <v>151</v>
      </c>
      <c r="AJ97" s="32" t="s">
        <v>151</v>
      </c>
      <c r="AK97" s="38" t="s">
        <v>151</v>
      </c>
      <c r="AL97" s="38" t="s">
        <v>151</v>
      </c>
      <c r="AM97" s="38" t="s">
        <v>151</v>
      </c>
      <c r="AN97" s="38" t="s">
        <v>151</v>
      </c>
      <c r="AO97" s="38" t="s">
        <v>151</v>
      </c>
      <c r="AP97" s="38" t="s">
        <v>151</v>
      </c>
      <c r="AQ97" s="38" t="s">
        <v>151</v>
      </c>
      <c r="AR97" s="29" t="s">
        <v>151</v>
      </c>
      <c r="AS97" s="30" t="s">
        <v>2396</v>
      </c>
      <c r="AT97" s="30" t="s">
        <v>2397</v>
      </c>
      <c r="AU97" s="31">
        <v>14</v>
      </c>
      <c r="AV97" s="30" t="s">
        <v>151</v>
      </c>
      <c r="AW97" s="30" t="s">
        <v>151</v>
      </c>
      <c r="AX97" s="30" t="s">
        <v>151</v>
      </c>
      <c r="AY97" s="30" t="s">
        <v>2398</v>
      </c>
      <c r="AZ97" s="30" t="s">
        <v>151</v>
      </c>
      <c r="BA97" s="30" t="s">
        <v>151</v>
      </c>
      <c r="BB97" s="30" t="s">
        <v>2399</v>
      </c>
      <c r="BC97" s="30" t="s">
        <v>2400</v>
      </c>
      <c r="BD97" s="30" t="s">
        <v>2401</v>
      </c>
      <c r="BE97" s="30" t="s">
        <v>2402</v>
      </c>
      <c r="BF97" s="30" t="s">
        <v>2403</v>
      </c>
      <c r="BG97" s="30" t="s">
        <v>2404</v>
      </c>
      <c r="BH97" s="30" t="s">
        <v>2405</v>
      </c>
      <c r="BI97" s="30" t="s">
        <v>378</v>
      </c>
      <c r="BJ97" s="30" t="s">
        <v>2406</v>
      </c>
      <c r="BK97" s="30" t="s">
        <v>2407</v>
      </c>
      <c r="BL97" s="30" t="s">
        <v>381</v>
      </c>
      <c r="BM97" s="30" t="s">
        <v>289</v>
      </c>
      <c r="BN97" s="29" t="s">
        <v>2408</v>
      </c>
      <c r="BO97" s="30" t="s">
        <v>186</v>
      </c>
      <c r="BP97" s="29" t="s">
        <v>2405</v>
      </c>
      <c r="BQ97" s="29" t="s">
        <v>151</v>
      </c>
      <c r="BR97" s="30" t="s">
        <v>2409</v>
      </c>
      <c r="BS97" s="30" t="s">
        <v>187</v>
      </c>
      <c r="BT97" s="30" t="s">
        <v>188</v>
      </c>
      <c r="BU97" s="35">
        <v>44470</v>
      </c>
      <c r="BV97" s="37">
        <v>1.2</v>
      </c>
      <c r="BW97" s="30" t="s">
        <v>192</v>
      </c>
      <c r="BX97" s="37">
        <v>8</v>
      </c>
      <c r="BY97" s="30" t="s">
        <v>192</v>
      </c>
      <c r="BZ97" s="30" t="s">
        <v>293</v>
      </c>
      <c r="CA97" s="30" t="s">
        <v>293</v>
      </c>
      <c r="CB97" s="30" t="s">
        <v>151</v>
      </c>
      <c r="CC97" s="30" t="s">
        <v>165</v>
      </c>
      <c r="CD97" s="30" t="s">
        <v>151</v>
      </c>
      <c r="CE97" s="30" t="s">
        <v>191</v>
      </c>
      <c r="CF97" s="35">
        <v>45201</v>
      </c>
      <c r="CG97" s="37">
        <v>5.85</v>
      </c>
      <c r="CH97" s="30" t="s">
        <v>193</v>
      </c>
      <c r="CI97" s="37">
        <v>26</v>
      </c>
      <c r="CJ97" s="30" t="s">
        <v>192</v>
      </c>
      <c r="CK97" s="29">
        <v>1.44</v>
      </c>
      <c r="CL97" s="30" t="s">
        <v>231</v>
      </c>
      <c r="CM97" s="30" t="s">
        <v>151</v>
      </c>
      <c r="CN97" s="30" t="s">
        <v>151</v>
      </c>
      <c r="CO97" s="30" t="s">
        <v>165</v>
      </c>
      <c r="CP97" s="35">
        <v>45201</v>
      </c>
      <c r="CQ97" s="37" t="s">
        <v>151</v>
      </c>
      <c r="CR97" s="30" t="s">
        <v>151</v>
      </c>
      <c r="CS97" s="30" t="s">
        <v>191</v>
      </c>
      <c r="CT97" s="29">
        <v>92</v>
      </c>
      <c r="CU97" s="30" t="s">
        <v>196</v>
      </c>
      <c r="CV97" s="32">
        <v>85</v>
      </c>
      <c r="CW97" s="32">
        <v>15</v>
      </c>
      <c r="CX97" s="30" t="s">
        <v>294</v>
      </c>
      <c r="CY97" s="32">
        <v>1</v>
      </c>
      <c r="CZ97" s="32">
        <v>84</v>
      </c>
      <c r="DA97" s="37">
        <v>26</v>
      </c>
      <c r="DB97" s="35">
        <v>45201</v>
      </c>
      <c r="DC97" s="30" t="s">
        <v>231</v>
      </c>
      <c r="DD97" s="29">
        <v>1.44</v>
      </c>
      <c r="DE97" s="32">
        <v>0.27</v>
      </c>
      <c r="DF97" s="34">
        <v>92</v>
      </c>
      <c r="DG97" s="32">
        <v>0</v>
      </c>
      <c r="DH97" s="32">
        <v>0</v>
      </c>
      <c r="DI97" s="32">
        <v>0</v>
      </c>
      <c r="DJ97" s="34">
        <v>10</v>
      </c>
      <c r="DK97" s="32" t="s">
        <v>151</v>
      </c>
      <c r="DL97" s="34" t="s">
        <v>151</v>
      </c>
      <c r="DM97" s="32">
        <v>0</v>
      </c>
      <c r="DN97" s="34">
        <v>10</v>
      </c>
      <c r="DO97" s="36">
        <v>4.15</v>
      </c>
      <c r="DP97" s="34">
        <v>80</v>
      </c>
      <c r="DQ97" s="36">
        <v>0</v>
      </c>
      <c r="DR97" s="32">
        <v>0</v>
      </c>
      <c r="DS97" s="36">
        <v>4.68</v>
      </c>
      <c r="DT97" s="34">
        <v>81</v>
      </c>
      <c r="DU97" s="36" t="s">
        <v>151</v>
      </c>
      <c r="DV97" s="34" t="s">
        <v>151</v>
      </c>
      <c r="DW97" s="36">
        <v>4.68</v>
      </c>
      <c r="DX97" s="34">
        <v>81</v>
      </c>
      <c r="DY97" s="31" t="s">
        <v>151</v>
      </c>
      <c r="DZ97" s="35" t="s">
        <v>151</v>
      </c>
      <c r="EA97" s="35" t="s">
        <v>151</v>
      </c>
      <c r="EB97" s="34">
        <v>844</v>
      </c>
      <c r="EC97" s="33">
        <v>100</v>
      </c>
      <c r="ED97" s="32">
        <v>13.44</v>
      </c>
      <c r="EE97" s="34">
        <v>89</v>
      </c>
      <c r="EF97" s="33">
        <v>1</v>
      </c>
      <c r="EG97" s="32">
        <v>1.14</v>
      </c>
      <c r="EH97" s="29" t="s">
        <v>198</v>
      </c>
      <c r="EI97" s="30" t="s">
        <v>151</v>
      </c>
      <c r="EJ97" s="30" t="s">
        <v>151</v>
      </c>
      <c r="EK97" s="31">
        <v>1</v>
      </c>
      <c r="EL97" s="31" t="s">
        <v>151</v>
      </c>
      <c r="EM97" s="31">
        <v>2</v>
      </c>
      <c r="EN97" s="31" t="s">
        <v>151</v>
      </c>
      <c r="EO97" s="31" t="s">
        <v>151</v>
      </c>
      <c r="EP97" s="30" t="s">
        <v>295</v>
      </c>
      <c r="EQ97" s="29" t="s">
        <v>151</v>
      </c>
      <c r="ER97" s="29" t="s">
        <v>151</v>
      </c>
      <c r="ES97" s="4">
        <f>HYPERLINK("https://my.pitchbook.com?c=471036-97","View Company Online")</f>
      </c>
    </row>
    <row r="98">
      <c r="A98" s="17" t="s">
        <v>2410</v>
      </c>
      <c r="B98" s="17" t="s">
        <v>2411</v>
      </c>
      <c r="C98" s="18">
        <v>2</v>
      </c>
      <c r="D98" s="17" t="s">
        <v>151</v>
      </c>
      <c r="E98" s="17" t="s">
        <v>151</v>
      </c>
      <c r="F98" s="17" t="s">
        <v>2412</v>
      </c>
      <c r="G98" s="17" t="s">
        <v>151</v>
      </c>
      <c r="H98" s="17" t="s">
        <v>151</v>
      </c>
      <c r="I98" s="17" t="s">
        <v>2413</v>
      </c>
      <c r="J98" s="17" t="s">
        <v>2410</v>
      </c>
      <c r="K98" s="17" t="s">
        <v>2414</v>
      </c>
      <c r="L98" s="17" t="s">
        <v>205</v>
      </c>
      <c r="M98" s="17" t="s">
        <v>206</v>
      </c>
      <c r="N98" s="17" t="s">
        <v>269</v>
      </c>
      <c r="O98" s="17" t="s">
        <v>2415</v>
      </c>
      <c r="P98" s="17" t="s">
        <v>2416</v>
      </c>
      <c r="Q98" s="17" t="s">
        <v>2417</v>
      </c>
      <c r="R98" s="17" t="s">
        <v>151</v>
      </c>
      <c r="S98" s="17" t="s">
        <v>162</v>
      </c>
      <c r="T98" s="24">
        <v>22.95</v>
      </c>
      <c r="U98" s="17" t="s">
        <v>163</v>
      </c>
      <c r="V98" s="17" t="s">
        <v>164</v>
      </c>
      <c r="W98" s="17" t="s">
        <v>165</v>
      </c>
      <c r="X98" s="15" t="s">
        <v>2418</v>
      </c>
      <c r="Y98" s="15" t="s">
        <v>2419</v>
      </c>
      <c r="Z98" s="27">
        <v>22</v>
      </c>
      <c r="AA98" s="17" t="s">
        <v>2420</v>
      </c>
      <c r="AB98" s="17" t="s">
        <v>151</v>
      </c>
      <c r="AC98" s="17" t="s">
        <v>151</v>
      </c>
      <c r="AD98" s="26">
        <v>2019</v>
      </c>
      <c r="AE98" s="17" t="s">
        <v>151</v>
      </c>
      <c r="AF98" s="22">
        <v>45574</v>
      </c>
      <c r="AG98" s="17" t="s">
        <v>151</v>
      </c>
      <c r="AH98" s="17" t="s">
        <v>151</v>
      </c>
      <c r="AI98" s="25" t="s">
        <v>151</v>
      </c>
      <c r="AJ98" s="19" t="s">
        <v>151</v>
      </c>
      <c r="AK98" s="25" t="s">
        <v>151</v>
      </c>
      <c r="AL98" s="25" t="s">
        <v>151</v>
      </c>
      <c r="AM98" s="25" t="s">
        <v>151</v>
      </c>
      <c r="AN98" s="25" t="s">
        <v>151</v>
      </c>
      <c r="AO98" s="25" t="s">
        <v>151</v>
      </c>
      <c r="AP98" s="25" t="s">
        <v>151</v>
      </c>
      <c r="AQ98" s="25" t="s">
        <v>151</v>
      </c>
      <c r="AR98" s="16" t="s">
        <v>151</v>
      </c>
      <c r="AS98" s="17" t="s">
        <v>2421</v>
      </c>
      <c r="AT98" s="17" t="s">
        <v>2422</v>
      </c>
      <c r="AU98" s="18">
        <v>14</v>
      </c>
      <c r="AV98" s="17" t="s">
        <v>151</v>
      </c>
      <c r="AW98" s="17" t="s">
        <v>151</v>
      </c>
      <c r="AX98" s="17" t="s">
        <v>151</v>
      </c>
      <c r="AY98" s="17" t="s">
        <v>2423</v>
      </c>
      <c r="AZ98" s="17" t="s">
        <v>151</v>
      </c>
      <c r="BA98" s="17" t="s">
        <v>151</v>
      </c>
      <c r="BB98" s="17" t="s">
        <v>151</v>
      </c>
      <c r="BC98" s="17" t="s">
        <v>2424</v>
      </c>
      <c r="BD98" s="17" t="s">
        <v>2425</v>
      </c>
      <c r="BE98" s="17" t="s">
        <v>2426</v>
      </c>
      <c r="BF98" s="17" t="s">
        <v>2427</v>
      </c>
      <c r="BG98" s="17" t="s">
        <v>2428</v>
      </c>
      <c r="BH98" s="17" t="s">
        <v>2429</v>
      </c>
      <c r="BI98" s="17" t="s">
        <v>2430</v>
      </c>
      <c r="BJ98" s="17" t="s">
        <v>2431</v>
      </c>
      <c r="BK98" s="17" t="s">
        <v>151</v>
      </c>
      <c r="BL98" s="17" t="s">
        <v>2432</v>
      </c>
      <c r="BM98" s="17" t="s">
        <v>322</v>
      </c>
      <c r="BN98" s="16" t="s">
        <v>2433</v>
      </c>
      <c r="BO98" s="17" t="s">
        <v>186</v>
      </c>
      <c r="BP98" s="16" t="s">
        <v>2429</v>
      </c>
      <c r="BQ98" s="16" t="s">
        <v>151</v>
      </c>
      <c r="BR98" s="17" t="s">
        <v>2434</v>
      </c>
      <c r="BS98" s="17" t="s">
        <v>187</v>
      </c>
      <c r="BT98" s="17" t="s">
        <v>188</v>
      </c>
      <c r="BU98" s="22">
        <v>43908</v>
      </c>
      <c r="BV98" s="24">
        <v>0.15</v>
      </c>
      <c r="BW98" s="17" t="s">
        <v>192</v>
      </c>
      <c r="BX98" s="24">
        <v>2.14</v>
      </c>
      <c r="BY98" s="17" t="s">
        <v>192</v>
      </c>
      <c r="BZ98" s="17" t="s">
        <v>189</v>
      </c>
      <c r="CA98" s="17" t="s">
        <v>151</v>
      </c>
      <c r="CB98" s="17" t="s">
        <v>151</v>
      </c>
      <c r="CC98" s="17" t="s">
        <v>190</v>
      </c>
      <c r="CD98" s="17" t="s">
        <v>151</v>
      </c>
      <c r="CE98" s="17" t="s">
        <v>191</v>
      </c>
      <c r="CF98" s="22">
        <v>44341</v>
      </c>
      <c r="CG98" s="24">
        <v>11.49</v>
      </c>
      <c r="CH98" s="17" t="s">
        <v>192</v>
      </c>
      <c r="CI98" s="24" t="s">
        <v>151</v>
      </c>
      <c r="CJ98" s="17" t="s">
        <v>151</v>
      </c>
      <c r="CK98" s="16" t="s">
        <v>151</v>
      </c>
      <c r="CL98" s="17" t="s">
        <v>231</v>
      </c>
      <c r="CM98" s="17" t="s">
        <v>151</v>
      </c>
      <c r="CN98" s="17" t="s">
        <v>151</v>
      </c>
      <c r="CO98" s="17" t="s">
        <v>165</v>
      </c>
      <c r="CP98" s="22">
        <v>44341</v>
      </c>
      <c r="CQ98" s="24" t="s">
        <v>151</v>
      </c>
      <c r="CR98" s="17" t="s">
        <v>151</v>
      </c>
      <c r="CS98" s="17" t="s">
        <v>191</v>
      </c>
      <c r="CT98" s="16">
        <v>87</v>
      </c>
      <c r="CU98" s="17" t="s">
        <v>196</v>
      </c>
      <c r="CV98" s="19">
        <v>79</v>
      </c>
      <c r="CW98" s="19">
        <v>21</v>
      </c>
      <c r="CX98" s="17" t="s">
        <v>294</v>
      </c>
      <c r="CY98" s="19">
        <v>1</v>
      </c>
      <c r="CZ98" s="19">
        <v>78</v>
      </c>
      <c r="DA98" s="24">
        <v>36</v>
      </c>
      <c r="DB98" s="22">
        <v>44195</v>
      </c>
      <c r="DC98" s="17" t="s">
        <v>231</v>
      </c>
      <c r="DD98" s="16">
        <v>2.39</v>
      </c>
      <c r="DE98" s="19">
        <v>-1.21</v>
      </c>
      <c r="DF98" s="21">
        <v>4</v>
      </c>
      <c r="DG98" s="19">
        <v>0</v>
      </c>
      <c r="DH98" s="19">
        <v>0</v>
      </c>
      <c r="DI98" s="19">
        <v>-1.88</v>
      </c>
      <c r="DJ98" s="21">
        <v>2</v>
      </c>
      <c r="DK98" s="19">
        <v>-1.88</v>
      </c>
      <c r="DL98" s="21">
        <v>7</v>
      </c>
      <c r="DM98" s="19" t="s">
        <v>151</v>
      </c>
      <c r="DN98" s="21" t="s">
        <v>151</v>
      </c>
      <c r="DO98" s="23">
        <v>2.88</v>
      </c>
      <c r="DP98" s="21">
        <v>74</v>
      </c>
      <c r="DQ98" s="23">
        <v>0</v>
      </c>
      <c r="DR98" s="19">
        <v>0</v>
      </c>
      <c r="DS98" s="23">
        <v>4.06</v>
      </c>
      <c r="DT98" s="21">
        <v>79</v>
      </c>
      <c r="DU98" s="23">
        <v>4.06</v>
      </c>
      <c r="DV98" s="21">
        <v>79</v>
      </c>
      <c r="DW98" s="23" t="s">
        <v>151</v>
      </c>
      <c r="DX98" s="21" t="s">
        <v>151</v>
      </c>
      <c r="DY98" s="18" t="s">
        <v>151</v>
      </c>
      <c r="DZ98" s="22" t="s">
        <v>151</v>
      </c>
      <c r="EA98" s="22" t="s">
        <v>151</v>
      </c>
      <c r="EB98" s="21">
        <v>841</v>
      </c>
      <c r="EC98" s="20">
        <v>-45</v>
      </c>
      <c r="ED98" s="19">
        <v>-5.08</v>
      </c>
      <c r="EE98" s="21" t="s">
        <v>151</v>
      </c>
      <c r="EF98" s="20" t="s">
        <v>151</v>
      </c>
      <c r="EG98" s="19" t="s">
        <v>151</v>
      </c>
      <c r="EH98" s="16" t="s">
        <v>198</v>
      </c>
      <c r="EI98" s="17" t="s">
        <v>151</v>
      </c>
      <c r="EJ98" s="17" t="s">
        <v>151</v>
      </c>
      <c r="EK98" s="18">
        <v>1</v>
      </c>
      <c r="EL98" s="18">
        <v>2</v>
      </c>
      <c r="EM98" s="18" t="s">
        <v>151</v>
      </c>
      <c r="EN98" s="18" t="s">
        <v>151</v>
      </c>
      <c r="EO98" s="18" t="s">
        <v>151</v>
      </c>
      <c r="EP98" s="17" t="s">
        <v>295</v>
      </c>
      <c r="EQ98" s="16" t="s">
        <v>151</v>
      </c>
      <c r="ER98" s="16" t="s">
        <v>151</v>
      </c>
      <c r="ES98" s="3">
        <f>HYPERLINK("https://my.pitchbook.com?c=432512-47","View Company Online")</f>
      </c>
    </row>
    <row r="99">
      <c r="A99" s="30" t="s">
        <v>2435</v>
      </c>
      <c r="B99" s="30" t="s">
        <v>2436</v>
      </c>
      <c r="C99" s="31">
        <v>2</v>
      </c>
      <c r="D99" s="30" t="s">
        <v>151</v>
      </c>
      <c r="E99" s="30" t="s">
        <v>2437</v>
      </c>
      <c r="F99" s="30" t="s">
        <v>2438</v>
      </c>
      <c r="G99" s="30" t="s">
        <v>151</v>
      </c>
      <c r="H99" s="30" t="s">
        <v>151</v>
      </c>
      <c r="I99" s="30" t="s">
        <v>2439</v>
      </c>
      <c r="J99" s="30" t="s">
        <v>2435</v>
      </c>
      <c r="K99" s="30" t="s">
        <v>2440</v>
      </c>
      <c r="L99" s="30" t="s">
        <v>205</v>
      </c>
      <c r="M99" s="30" t="s">
        <v>206</v>
      </c>
      <c r="N99" s="30" t="s">
        <v>269</v>
      </c>
      <c r="O99" s="30" t="s">
        <v>563</v>
      </c>
      <c r="P99" s="30" t="s">
        <v>1153</v>
      </c>
      <c r="Q99" s="30" t="s">
        <v>2441</v>
      </c>
      <c r="R99" s="30" t="s">
        <v>1155</v>
      </c>
      <c r="S99" s="30" t="s">
        <v>162</v>
      </c>
      <c r="T99" s="37">
        <v>34.5</v>
      </c>
      <c r="U99" s="30" t="s">
        <v>163</v>
      </c>
      <c r="V99" s="30" t="s">
        <v>164</v>
      </c>
      <c r="W99" s="30" t="s">
        <v>165</v>
      </c>
      <c r="X99" s="28" t="s">
        <v>2442</v>
      </c>
      <c r="Y99" s="28" t="s">
        <v>2443</v>
      </c>
      <c r="Z99" s="40">
        <v>30</v>
      </c>
      <c r="AA99" s="30" t="s">
        <v>2444</v>
      </c>
      <c r="AB99" s="30" t="s">
        <v>151</v>
      </c>
      <c r="AC99" s="30" t="s">
        <v>151</v>
      </c>
      <c r="AD99" s="39">
        <v>2022</v>
      </c>
      <c r="AE99" s="30" t="s">
        <v>151</v>
      </c>
      <c r="AF99" s="35">
        <v>45596</v>
      </c>
      <c r="AG99" s="30" t="s">
        <v>151</v>
      </c>
      <c r="AH99" s="30" t="s">
        <v>151</v>
      </c>
      <c r="AI99" s="38" t="s">
        <v>151</v>
      </c>
      <c r="AJ99" s="32" t="s">
        <v>151</v>
      </c>
      <c r="AK99" s="38" t="s">
        <v>151</v>
      </c>
      <c r="AL99" s="38" t="s">
        <v>151</v>
      </c>
      <c r="AM99" s="38" t="s">
        <v>151</v>
      </c>
      <c r="AN99" s="38" t="s">
        <v>151</v>
      </c>
      <c r="AO99" s="38" t="s">
        <v>151</v>
      </c>
      <c r="AP99" s="38" t="s">
        <v>151</v>
      </c>
      <c r="AQ99" s="38" t="s">
        <v>151</v>
      </c>
      <c r="AR99" s="29" t="s">
        <v>151</v>
      </c>
      <c r="AS99" s="30" t="s">
        <v>2445</v>
      </c>
      <c r="AT99" s="30" t="s">
        <v>2446</v>
      </c>
      <c r="AU99" s="31">
        <v>7</v>
      </c>
      <c r="AV99" s="30" t="s">
        <v>151</v>
      </c>
      <c r="AW99" s="30" t="s">
        <v>151</v>
      </c>
      <c r="AX99" s="30" t="s">
        <v>151</v>
      </c>
      <c r="AY99" s="30" t="s">
        <v>2447</v>
      </c>
      <c r="AZ99" s="30" t="s">
        <v>151</v>
      </c>
      <c r="BA99" s="30" t="s">
        <v>151</v>
      </c>
      <c r="BB99" s="30" t="s">
        <v>151</v>
      </c>
      <c r="BC99" s="30" t="s">
        <v>2448</v>
      </c>
      <c r="BD99" s="30" t="s">
        <v>2449</v>
      </c>
      <c r="BE99" s="30" t="s">
        <v>2450</v>
      </c>
      <c r="BF99" s="30" t="s">
        <v>493</v>
      </c>
      <c r="BG99" s="30" t="s">
        <v>2451</v>
      </c>
      <c r="BH99" s="30" t="s">
        <v>2452</v>
      </c>
      <c r="BI99" s="30" t="s">
        <v>181</v>
      </c>
      <c r="BJ99" s="30" t="s">
        <v>2453</v>
      </c>
      <c r="BK99" s="30" t="s">
        <v>551</v>
      </c>
      <c r="BL99" s="30" t="s">
        <v>183</v>
      </c>
      <c r="BM99" s="30" t="s">
        <v>184</v>
      </c>
      <c r="BN99" s="29" t="s">
        <v>2454</v>
      </c>
      <c r="BO99" s="30" t="s">
        <v>186</v>
      </c>
      <c r="BP99" s="29" t="s">
        <v>2452</v>
      </c>
      <c r="BQ99" s="29" t="s">
        <v>151</v>
      </c>
      <c r="BR99" s="30" t="s">
        <v>2455</v>
      </c>
      <c r="BS99" s="30" t="s">
        <v>187</v>
      </c>
      <c r="BT99" s="30" t="s">
        <v>188</v>
      </c>
      <c r="BU99" s="35" t="s">
        <v>151</v>
      </c>
      <c r="BV99" s="37" t="s">
        <v>151</v>
      </c>
      <c r="BW99" s="30" t="s">
        <v>151</v>
      </c>
      <c r="BX99" s="37" t="s">
        <v>151</v>
      </c>
      <c r="BY99" s="30" t="s">
        <v>151</v>
      </c>
      <c r="BZ99" s="30" t="s">
        <v>189</v>
      </c>
      <c r="CA99" s="30" t="s">
        <v>151</v>
      </c>
      <c r="CB99" s="30" t="s">
        <v>151</v>
      </c>
      <c r="CC99" s="30" t="s">
        <v>190</v>
      </c>
      <c r="CD99" s="30" t="s">
        <v>151</v>
      </c>
      <c r="CE99" s="30" t="s">
        <v>191</v>
      </c>
      <c r="CF99" s="35">
        <v>45386</v>
      </c>
      <c r="CG99" s="37" t="s">
        <v>151</v>
      </c>
      <c r="CH99" s="30" t="s">
        <v>151</v>
      </c>
      <c r="CI99" s="37" t="s">
        <v>151</v>
      </c>
      <c r="CJ99" s="30" t="s">
        <v>151</v>
      </c>
      <c r="CK99" s="29">
        <v>4</v>
      </c>
      <c r="CL99" s="30" t="s">
        <v>189</v>
      </c>
      <c r="CM99" s="30" t="s">
        <v>151</v>
      </c>
      <c r="CN99" s="30" t="s">
        <v>151</v>
      </c>
      <c r="CO99" s="30" t="s">
        <v>190</v>
      </c>
      <c r="CP99" s="35">
        <v>45386</v>
      </c>
      <c r="CQ99" s="37" t="s">
        <v>151</v>
      </c>
      <c r="CR99" s="30" t="s">
        <v>151</v>
      </c>
      <c r="CS99" s="30" t="s">
        <v>191</v>
      </c>
      <c r="CT99" s="29">
        <v>96</v>
      </c>
      <c r="CU99" s="30" t="s">
        <v>196</v>
      </c>
      <c r="CV99" s="32">
        <v>89</v>
      </c>
      <c r="CW99" s="32">
        <v>11</v>
      </c>
      <c r="CX99" s="30" t="s">
        <v>294</v>
      </c>
      <c r="CY99" s="32">
        <v>3</v>
      </c>
      <c r="CZ99" s="32">
        <v>86</v>
      </c>
      <c r="DA99" s="37">
        <v>110</v>
      </c>
      <c r="DB99" s="35">
        <v>45163</v>
      </c>
      <c r="DC99" s="30" t="s">
        <v>231</v>
      </c>
      <c r="DD99" s="29">
        <v>4</v>
      </c>
      <c r="DE99" s="32">
        <v>2.95</v>
      </c>
      <c r="DF99" s="34">
        <v>99</v>
      </c>
      <c r="DG99" s="32">
        <v>0</v>
      </c>
      <c r="DH99" s="32">
        <v>0</v>
      </c>
      <c r="DI99" s="32" t="s">
        <v>151</v>
      </c>
      <c r="DJ99" s="34" t="s">
        <v>151</v>
      </c>
      <c r="DK99" s="32" t="s">
        <v>151</v>
      </c>
      <c r="DL99" s="34" t="s">
        <v>151</v>
      </c>
      <c r="DM99" s="32" t="s">
        <v>151</v>
      </c>
      <c r="DN99" s="34" t="s">
        <v>151</v>
      </c>
      <c r="DO99" s="36">
        <v>2.31</v>
      </c>
      <c r="DP99" s="34">
        <v>69</v>
      </c>
      <c r="DQ99" s="36">
        <v>0</v>
      </c>
      <c r="DR99" s="32">
        <v>0</v>
      </c>
      <c r="DS99" s="36" t="s">
        <v>151</v>
      </c>
      <c r="DT99" s="34" t="s">
        <v>151</v>
      </c>
      <c r="DU99" s="36" t="s">
        <v>151</v>
      </c>
      <c r="DV99" s="34" t="s">
        <v>151</v>
      </c>
      <c r="DW99" s="36" t="s">
        <v>151</v>
      </c>
      <c r="DX99" s="34" t="s">
        <v>151</v>
      </c>
      <c r="DY99" s="31" t="s">
        <v>151</v>
      </c>
      <c r="DZ99" s="35" t="s">
        <v>151</v>
      </c>
      <c r="EA99" s="35" t="s">
        <v>151</v>
      </c>
      <c r="EB99" s="34">
        <v>2464</v>
      </c>
      <c r="EC99" s="33">
        <v>-101</v>
      </c>
      <c r="ED99" s="32">
        <v>-3.94</v>
      </c>
      <c r="EE99" s="34" t="s">
        <v>151</v>
      </c>
      <c r="EF99" s="33" t="s">
        <v>151</v>
      </c>
      <c r="EG99" s="32" t="s">
        <v>151</v>
      </c>
      <c r="EH99" s="29" t="s">
        <v>198</v>
      </c>
      <c r="EI99" s="30" t="s">
        <v>151</v>
      </c>
      <c r="EJ99" s="30" t="s">
        <v>151</v>
      </c>
      <c r="EK99" s="31">
        <v>1</v>
      </c>
      <c r="EL99" s="31">
        <v>1</v>
      </c>
      <c r="EM99" s="31">
        <v>1</v>
      </c>
      <c r="EN99" s="31" t="s">
        <v>151</v>
      </c>
      <c r="EO99" s="31" t="s">
        <v>151</v>
      </c>
      <c r="EP99" s="30" t="s">
        <v>295</v>
      </c>
      <c r="EQ99" s="29" t="s">
        <v>151</v>
      </c>
      <c r="ER99" s="29" t="s">
        <v>151</v>
      </c>
      <c r="ES99" s="4">
        <f>HYPERLINK("https://my.pitchbook.com?c=509282-02","View Company Online")</f>
      </c>
    </row>
    <row r="100">
      <c r="A100" s="17" t="s">
        <v>2456</v>
      </c>
      <c r="B100" s="17" t="s">
        <v>2457</v>
      </c>
      <c r="C100" s="18">
        <v>2</v>
      </c>
      <c r="D100" s="17" t="s">
        <v>151</v>
      </c>
      <c r="E100" s="17" t="s">
        <v>151</v>
      </c>
      <c r="F100" s="17" t="s">
        <v>2458</v>
      </c>
      <c r="G100" s="17" t="s">
        <v>151</v>
      </c>
      <c r="H100" s="17" t="s">
        <v>151</v>
      </c>
      <c r="I100" s="17" t="s">
        <v>2459</v>
      </c>
      <c r="J100" s="17" t="s">
        <v>2456</v>
      </c>
      <c r="K100" s="17" t="s">
        <v>2460</v>
      </c>
      <c r="L100" s="17" t="s">
        <v>205</v>
      </c>
      <c r="M100" s="17" t="s">
        <v>206</v>
      </c>
      <c r="N100" s="17" t="s">
        <v>1268</v>
      </c>
      <c r="O100" s="17" t="s">
        <v>2461</v>
      </c>
      <c r="P100" s="17" t="s">
        <v>1205</v>
      </c>
      <c r="Q100" s="17" t="s">
        <v>2462</v>
      </c>
      <c r="R100" s="17" t="s">
        <v>151</v>
      </c>
      <c r="S100" s="17" t="s">
        <v>162</v>
      </c>
      <c r="T100" s="24">
        <v>6.63</v>
      </c>
      <c r="U100" s="17" t="s">
        <v>163</v>
      </c>
      <c r="V100" s="17" t="s">
        <v>164</v>
      </c>
      <c r="W100" s="17" t="s">
        <v>165</v>
      </c>
      <c r="X100" s="15" t="s">
        <v>2463</v>
      </c>
      <c r="Y100" s="15" t="s">
        <v>2464</v>
      </c>
      <c r="Z100" s="27">
        <v>18</v>
      </c>
      <c r="AA100" s="17" t="s">
        <v>2465</v>
      </c>
      <c r="AB100" s="17" t="s">
        <v>151</v>
      </c>
      <c r="AC100" s="17" t="s">
        <v>151</v>
      </c>
      <c r="AD100" s="26">
        <v>2013</v>
      </c>
      <c r="AE100" s="17" t="s">
        <v>151</v>
      </c>
      <c r="AF100" s="22">
        <v>45572</v>
      </c>
      <c r="AG100" s="17" t="s">
        <v>151</v>
      </c>
      <c r="AH100" s="17" t="s">
        <v>151</v>
      </c>
      <c r="AI100" s="25" t="s">
        <v>151</v>
      </c>
      <c r="AJ100" s="19" t="s">
        <v>151</v>
      </c>
      <c r="AK100" s="25" t="s">
        <v>151</v>
      </c>
      <c r="AL100" s="25" t="s">
        <v>151</v>
      </c>
      <c r="AM100" s="25" t="s">
        <v>151</v>
      </c>
      <c r="AN100" s="25" t="s">
        <v>151</v>
      </c>
      <c r="AO100" s="25" t="s">
        <v>151</v>
      </c>
      <c r="AP100" s="25" t="s">
        <v>151</v>
      </c>
      <c r="AQ100" s="25" t="s">
        <v>151</v>
      </c>
      <c r="AR100" s="16" t="s">
        <v>151</v>
      </c>
      <c r="AS100" s="17" t="s">
        <v>2466</v>
      </c>
      <c r="AT100" s="17" t="s">
        <v>2467</v>
      </c>
      <c r="AU100" s="18">
        <v>13</v>
      </c>
      <c r="AV100" s="17" t="s">
        <v>151</v>
      </c>
      <c r="AW100" s="17" t="s">
        <v>151</v>
      </c>
      <c r="AX100" s="17" t="s">
        <v>151</v>
      </c>
      <c r="AY100" s="17" t="s">
        <v>2468</v>
      </c>
      <c r="AZ100" s="17" t="s">
        <v>151</v>
      </c>
      <c r="BA100" s="17" t="s">
        <v>151</v>
      </c>
      <c r="BB100" s="17" t="s">
        <v>2469</v>
      </c>
      <c r="BC100" s="17" t="s">
        <v>490</v>
      </c>
      <c r="BD100" s="17" t="s">
        <v>2470</v>
      </c>
      <c r="BE100" s="17" t="s">
        <v>2471</v>
      </c>
      <c r="BF100" s="17" t="s">
        <v>221</v>
      </c>
      <c r="BG100" s="17" t="s">
        <v>2472</v>
      </c>
      <c r="BH100" s="17" t="s">
        <v>2473</v>
      </c>
      <c r="BI100" s="17" t="s">
        <v>2474</v>
      </c>
      <c r="BJ100" s="17" t="s">
        <v>2475</v>
      </c>
      <c r="BK100" s="17" t="s">
        <v>2476</v>
      </c>
      <c r="BL100" s="17" t="s">
        <v>2477</v>
      </c>
      <c r="BM100" s="17" t="s">
        <v>636</v>
      </c>
      <c r="BN100" s="16" t="s">
        <v>2478</v>
      </c>
      <c r="BO100" s="17" t="s">
        <v>186</v>
      </c>
      <c r="BP100" s="16" t="s">
        <v>2473</v>
      </c>
      <c r="BQ100" s="16" t="s">
        <v>151</v>
      </c>
      <c r="BR100" s="17" t="s">
        <v>2479</v>
      </c>
      <c r="BS100" s="17" t="s">
        <v>187</v>
      </c>
      <c r="BT100" s="17" t="s">
        <v>188</v>
      </c>
      <c r="BU100" s="22" t="s">
        <v>151</v>
      </c>
      <c r="BV100" s="24" t="s">
        <v>151</v>
      </c>
      <c r="BW100" s="17" t="s">
        <v>151</v>
      </c>
      <c r="BX100" s="24" t="s">
        <v>151</v>
      </c>
      <c r="BY100" s="17" t="s">
        <v>151</v>
      </c>
      <c r="BZ100" s="17" t="s">
        <v>189</v>
      </c>
      <c r="CA100" s="17" t="s">
        <v>151</v>
      </c>
      <c r="CB100" s="17" t="s">
        <v>151</v>
      </c>
      <c r="CC100" s="17" t="s">
        <v>190</v>
      </c>
      <c r="CD100" s="17" t="s">
        <v>151</v>
      </c>
      <c r="CE100" s="17" t="s">
        <v>191</v>
      </c>
      <c r="CF100" s="22">
        <v>44568</v>
      </c>
      <c r="CG100" s="24">
        <v>5</v>
      </c>
      <c r="CH100" s="17" t="s">
        <v>192</v>
      </c>
      <c r="CI100" s="24">
        <v>19</v>
      </c>
      <c r="CJ100" s="17" t="s">
        <v>192</v>
      </c>
      <c r="CK100" s="16">
        <v>1.85</v>
      </c>
      <c r="CL100" s="17" t="s">
        <v>194</v>
      </c>
      <c r="CM100" s="17" t="s">
        <v>232</v>
      </c>
      <c r="CN100" s="17" t="s">
        <v>151</v>
      </c>
      <c r="CO100" s="17" t="s">
        <v>165</v>
      </c>
      <c r="CP100" s="22">
        <v>44568</v>
      </c>
      <c r="CQ100" s="24" t="s">
        <v>151</v>
      </c>
      <c r="CR100" s="17" t="s">
        <v>151</v>
      </c>
      <c r="CS100" s="17" t="s">
        <v>191</v>
      </c>
      <c r="CT100" s="16">
        <v>89</v>
      </c>
      <c r="CU100" s="17" t="s">
        <v>196</v>
      </c>
      <c r="CV100" s="19">
        <v>82</v>
      </c>
      <c r="CW100" s="19">
        <v>18</v>
      </c>
      <c r="CX100" s="17" t="s">
        <v>294</v>
      </c>
      <c r="CY100" s="19">
        <v>1</v>
      </c>
      <c r="CZ100" s="19">
        <v>81</v>
      </c>
      <c r="DA100" s="24">
        <v>19</v>
      </c>
      <c r="DB100" s="22">
        <v>44568</v>
      </c>
      <c r="DC100" s="17" t="s">
        <v>194</v>
      </c>
      <c r="DD100" s="16">
        <v>1.85</v>
      </c>
      <c r="DE100" s="19">
        <v>0.41</v>
      </c>
      <c r="DF100" s="21">
        <v>93</v>
      </c>
      <c r="DG100" s="19">
        <v>0</v>
      </c>
      <c r="DH100" s="19">
        <v>0</v>
      </c>
      <c r="DI100" s="19">
        <v>0.5</v>
      </c>
      <c r="DJ100" s="21">
        <v>95</v>
      </c>
      <c r="DK100" s="19" t="s">
        <v>151</v>
      </c>
      <c r="DL100" s="21" t="s">
        <v>151</v>
      </c>
      <c r="DM100" s="19">
        <v>0.5</v>
      </c>
      <c r="DN100" s="21">
        <v>95</v>
      </c>
      <c r="DO100" s="23">
        <v>4.05</v>
      </c>
      <c r="DP100" s="21">
        <v>79</v>
      </c>
      <c r="DQ100" s="23">
        <v>0</v>
      </c>
      <c r="DR100" s="19">
        <v>0</v>
      </c>
      <c r="DS100" s="23">
        <v>8.11</v>
      </c>
      <c r="DT100" s="21">
        <v>88</v>
      </c>
      <c r="DU100" s="23" t="s">
        <v>151</v>
      </c>
      <c r="DV100" s="21" t="s">
        <v>151</v>
      </c>
      <c r="DW100" s="23">
        <v>8.11</v>
      </c>
      <c r="DX100" s="21">
        <v>88</v>
      </c>
      <c r="DY100" s="18" t="s">
        <v>151</v>
      </c>
      <c r="DZ100" s="22" t="s">
        <v>151</v>
      </c>
      <c r="EA100" s="22" t="s">
        <v>151</v>
      </c>
      <c r="EB100" s="21">
        <v>8</v>
      </c>
      <c r="EC100" s="20">
        <v>-42</v>
      </c>
      <c r="ED100" s="19">
        <v>-84</v>
      </c>
      <c r="EE100" s="21">
        <v>154</v>
      </c>
      <c r="EF100" s="20">
        <v>1</v>
      </c>
      <c r="EG100" s="19">
        <v>0.65</v>
      </c>
      <c r="EH100" s="16" t="s">
        <v>198</v>
      </c>
      <c r="EI100" s="17" t="s">
        <v>151</v>
      </c>
      <c r="EJ100" s="17" t="s">
        <v>151</v>
      </c>
      <c r="EK100" s="18">
        <v>1</v>
      </c>
      <c r="EL100" s="18">
        <v>2</v>
      </c>
      <c r="EM100" s="18" t="s">
        <v>151</v>
      </c>
      <c r="EN100" s="18" t="s">
        <v>151</v>
      </c>
      <c r="EO100" s="18" t="s">
        <v>151</v>
      </c>
      <c r="EP100" s="17" t="s">
        <v>1527</v>
      </c>
      <c r="EQ100" s="16" t="s">
        <v>151</v>
      </c>
      <c r="ER100" s="16" t="s">
        <v>151</v>
      </c>
      <c r="ES100" s="3">
        <f>HYPERLINK("https://my.pitchbook.com?c=130609-45","View Company Online")</f>
      </c>
    </row>
    <row r="101">
      <c r="A101" s="30" t="s">
        <v>2480</v>
      </c>
      <c r="B101" s="30" t="s">
        <v>2481</v>
      </c>
      <c r="C101" s="31">
        <v>2</v>
      </c>
      <c r="D101" s="30" t="s">
        <v>151</v>
      </c>
      <c r="E101" s="30" t="s">
        <v>151</v>
      </c>
      <c r="F101" s="30" t="s">
        <v>2482</v>
      </c>
      <c r="G101" s="30" t="s">
        <v>151</v>
      </c>
      <c r="H101" s="30" t="s">
        <v>151</v>
      </c>
      <c r="I101" s="30" t="s">
        <v>151</v>
      </c>
      <c r="J101" s="30" t="s">
        <v>2480</v>
      </c>
      <c r="K101" s="30" t="s">
        <v>2483</v>
      </c>
      <c r="L101" s="30" t="s">
        <v>205</v>
      </c>
      <c r="M101" s="30" t="s">
        <v>206</v>
      </c>
      <c r="N101" s="30" t="s">
        <v>2484</v>
      </c>
      <c r="O101" s="30" t="s">
        <v>2485</v>
      </c>
      <c r="P101" s="30" t="s">
        <v>1153</v>
      </c>
      <c r="Q101" s="30" t="s">
        <v>2486</v>
      </c>
      <c r="R101" s="30" t="s">
        <v>151</v>
      </c>
      <c r="S101" s="30" t="s">
        <v>162</v>
      </c>
      <c r="T101" s="37">
        <v>5.96</v>
      </c>
      <c r="U101" s="30" t="s">
        <v>163</v>
      </c>
      <c r="V101" s="30" t="s">
        <v>164</v>
      </c>
      <c r="W101" s="30" t="s">
        <v>165</v>
      </c>
      <c r="X101" s="28" t="s">
        <v>2487</v>
      </c>
      <c r="Y101" s="28" t="s">
        <v>2488</v>
      </c>
      <c r="Z101" s="40">
        <v>10</v>
      </c>
      <c r="AA101" s="30" t="s">
        <v>2489</v>
      </c>
      <c r="AB101" s="30" t="s">
        <v>151</v>
      </c>
      <c r="AC101" s="30" t="s">
        <v>151</v>
      </c>
      <c r="AD101" s="39">
        <v>2020</v>
      </c>
      <c r="AE101" s="30" t="s">
        <v>151</v>
      </c>
      <c r="AF101" s="35">
        <v>45595</v>
      </c>
      <c r="AG101" s="30" t="s">
        <v>151</v>
      </c>
      <c r="AH101" s="30" t="s">
        <v>151</v>
      </c>
      <c r="AI101" s="38" t="s">
        <v>151</v>
      </c>
      <c r="AJ101" s="32" t="s">
        <v>151</v>
      </c>
      <c r="AK101" s="38" t="s">
        <v>151</v>
      </c>
      <c r="AL101" s="38" t="s">
        <v>151</v>
      </c>
      <c r="AM101" s="38" t="s">
        <v>151</v>
      </c>
      <c r="AN101" s="38" t="s">
        <v>151</v>
      </c>
      <c r="AO101" s="38" t="s">
        <v>151</v>
      </c>
      <c r="AP101" s="38" t="s">
        <v>151</v>
      </c>
      <c r="AQ101" s="38" t="s">
        <v>151</v>
      </c>
      <c r="AR101" s="29" t="s">
        <v>151</v>
      </c>
      <c r="AS101" s="30" t="s">
        <v>2490</v>
      </c>
      <c r="AT101" s="30" t="s">
        <v>2491</v>
      </c>
      <c r="AU101" s="31">
        <v>13</v>
      </c>
      <c r="AV101" s="30" t="s">
        <v>151</v>
      </c>
      <c r="AW101" s="30" t="s">
        <v>2492</v>
      </c>
      <c r="AX101" s="30" t="s">
        <v>151</v>
      </c>
      <c r="AY101" s="30" t="s">
        <v>2493</v>
      </c>
      <c r="AZ101" s="30" t="s">
        <v>2494</v>
      </c>
      <c r="BA101" s="30" t="s">
        <v>151</v>
      </c>
      <c r="BB101" s="30" t="s">
        <v>151</v>
      </c>
      <c r="BC101" s="30" t="s">
        <v>2495</v>
      </c>
      <c r="BD101" s="30" t="s">
        <v>2496</v>
      </c>
      <c r="BE101" s="30" t="s">
        <v>2497</v>
      </c>
      <c r="BF101" s="30" t="s">
        <v>493</v>
      </c>
      <c r="BG101" s="30" t="s">
        <v>2498</v>
      </c>
      <c r="BH101" s="30" t="s">
        <v>2499</v>
      </c>
      <c r="BI101" s="30" t="s">
        <v>255</v>
      </c>
      <c r="BJ101" s="30" t="s">
        <v>2500</v>
      </c>
      <c r="BK101" s="30" t="s">
        <v>151</v>
      </c>
      <c r="BL101" s="30" t="s">
        <v>258</v>
      </c>
      <c r="BM101" s="30" t="s">
        <v>259</v>
      </c>
      <c r="BN101" s="29" t="s">
        <v>2501</v>
      </c>
      <c r="BO101" s="30" t="s">
        <v>186</v>
      </c>
      <c r="BP101" s="29" t="s">
        <v>2502</v>
      </c>
      <c r="BQ101" s="29" t="s">
        <v>151</v>
      </c>
      <c r="BR101" s="30" t="s">
        <v>2503</v>
      </c>
      <c r="BS101" s="30" t="s">
        <v>187</v>
      </c>
      <c r="BT101" s="30" t="s">
        <v>188</v>
      </c>
      <c r="BU101" s="35" t="s">
        <v>151</v>
      </c>
      <c r="BV101" s="37" t="s">
        <v>151</v>
      </c>
      <c r="BW101" s="30" t="s">
        <v>151</v>
      </c>
      <c r="BX101" s="37" t="s">
        <v>151</v>
      </c>
      <c r="BY101" s="30" t="s">
        <v>151</v>
      </c>
      <c r="BZ101" s="30" t="s">
        <v>189</v>
      </c>
      <c r="CA101" s="30" t="s">
        <v>151</v>
      </c>
      <c r="CB101" s="30" t="s">
        <v>151</v>
      </c>
      <c r="CC101" s="30" t="s">
        <v>190</v>
      </c>
      <c r="CD101" s="30" t="s">
        <v>151</v>
      </c>
      <c r="CE101" s="30" t="s">
        <v>191</v>
      </c>
      <c r="CF101" s="35" t="s">
        <v>151</v>
      </c>
      <c r="CG101" s="37" t="s">
        <v>151</v>
      </c>
      <c r="CH101" s="30" t="s">
        <v>151</v>
      </c>
      <c r="CI101" s="37" t="s">
        <v>151</v>
      </c>
      <c r="CJ101" s="30" t="s">
        <v>151</v>
      </c>
      <c r="CK101" s="29" t="s">
        <v>151</v>
      </c>
      <c r="CL101" s="30" t="s">
        <v>189</v>
      </c>
      <c r="CM101" s="30" t="s">
        <v>151</v>
      </c>
      <c r="CN101" s="30" t="s">
        <v>151</v>
      </c>
      <c r="CO101" s="30" t="s">
        <v>190</v>
      </c>
      <c r="CP101" s="35" t="s">
        <v>151</v>
      </c>
      <c r="CQ101" s="37" t="s">
        <v>151</v>
      </c>
      <c r="CR101" s="30" t="s">
        <v>151</v>
      </c>
      <c r="CS101" s="30" t="s">
        <v>191</v>
      </c>
      <c r="CT101" s="29">
        <v>55</v>
      </c>
      <c r="CU101" s="30" t="s">
        <v>196</v>
      </c>
      <c r="CV101" s="32">
        <v>53</v>
      </c>
      <c r="CW101" s="32">
        <v>47</v>
      </c>
      <c r="CX101" s="30" t="s">
        <v>294</v>
      </c>
      <c r="CY101" s="32">
        <v>1</v>
      </c>
      <c r="CZ101" s="32">
        <v>52</v>
      </c>
      <c r="DA101" s="37">
        <v>0.33</v>
      </c>
      <c r="DB101" s="35">
        <v>44531</v>
      </c>
      <c r="DC101" s="30" t="s">
        <v>189</v>
      </c>
      <c r="DD101" s="29" t="s">
        <v>151</v>
      </c>
      <c r="DE101" s="32">
        <v>-0.09</v>
      </c>
      <c r="DF101" s="34">
        <v>11</v>
      </c>
      <c r="DG101" s="32">
        <v>0</v>
      </c>
      <c r="DH101" s="32">
        <v>0</v>
      </c>
      <c r="DI101" s="32">
        <v>-0.18</v>
      </c>
      <c r="DJ101" s="34">
        <v>9</v>
      </c>
      <c r="DK101" s="32">
        <v>-0.37</v>
      </c>
      <c r="DL101" s="34">
        <v>10</v>
      </c>
      <c r="DM101" s="32">
        <v>0</v>
      </c>
      <c r="DN101" s="34">
        <v>10</v>
      </c>
      <c r="DO101" s="36">
        <v>2.51</v>
      </c>
      <c r="DP101" s="34">
        <v>71</v>
      </c>
      <c r="DQ101" s="36">
        <v>0</v>
      </c>
      <c r="DR101" s="32">
        <v>0</v>
      </c>
      <c r="DS101" s="36">
        <v>4.25</v>
      </c>
      <c r="DT101" s="34">
        <v>80</v>
      </c>
      <c r="DU101" s="36">
        <v>4.71</v>
      </c>
      <c r="DV101" s="34">
        <v>81</v>
      </c>
      <c r="DW101" s="36">
        <v>3.79</v>
      </c>
      <c r="DX101" s="34">
        <v>78</v>
      </c>
      <c r="DY101" s="31" t="s">
        <v>151</v>
      </c>
      <c r="DZ101" s="35" t="s">
        <v>151</v>
      </c>
      <c r="EA101" s="35" t="s">
        <v>151</v>
      </c>
      <c r="EB101" s="34">
        <v>1013</v>
      </c>
      <c r="EC101" s="33">
        <v>-130</v>
      </c>
      <c r="ED101" s="32">
        <v>-11.37</v>
      </c>
      <c r="EE101" s="34">
        <v>72</v>
      </c>
      <c r="EF101" s="33">
        <v>0</v>
      </c>
      <c r="EG101" s="32">
        <v>0</v>
      </c>
      <c r="EH101" s="29" t="s">
        <v>198</v>
      </c>
      <c r="EI101" s="30" t="s">
        <v>151</v>
      </c>
      <c r="EJ101" s="30" t="s">
        <v>151</v>
      </c>
      <c r="EK101" s="31">
        <v>2</v>
      </c>
      <c r="EL101" s="31" t="s">
        <v>151</v>
      </c>
      <c r="EM101" s="31">
        <v>2</v>
      </c>
      <c r="EN101" s="31" t="s">
        <v>151</v>
      </c>
      <c r="EO101" s="31" t="s">
        <v>151</v>
      </c>
      <c r="EP101" s="30" t="s">
        <v>2504</v>
      </c>
      <c r="EQ101" s="29" t="s">
        <v>151</v>
      </c>
      <c r="ER101" s="29" t="s">
        <v>151</v>
      </c>
      <c r="ES101" s="4">
        <f>HYPERLINK("https://my.pitchbook.com?c=484529-05","View Company Online")</f>
      </c>
    </row>
    <row r="102">
      <c r="A102" s="17" t="s">
        <v>2505</v>
      </c>
      <c r="B102" s="17" t="s">
        <v>2506</v>
      </c>
      <c r="C102" s="18">
        <v>2</v>
      </c>
      <c r="D102" s="17" t="s">
        <v>151</v>
      </c>
      <c r="E102" s="17" t="s">
        <v>151</v>
      </c>
      <c r="F102" s="17" t="s">
        <v>2507</v>
      </c>
      <c r="G102" s="17" t="s">
        <v>151</v>
      </c>
      <c r="H102" s="17" t="s">
        <v>151</v>
      </c>
      <c r="I102" s="17" t="s">
        <v>151</v>
      </c>
      <c r="J102" s="17" t="s">
        <v>2505</v>
      </c>
      <c r="K102" s="17" t="s">
        <v>2508</v>
      </c>
      <c r="L102" s="17" t="s">
        <v>155</v>
      </c>
      <c r="M102" s="17" t="s">
        <v>2320</v>
      </c>
      <c r="N102" s="17" t="s">
        <v>2321</v>
      </c>
      <c r="O102" s="17" t="s">
        <v>2322</v>
      </c>
      <c r="P102" s="17" t="s">
        <v>2509</v>
      </c>
      <c r="Q102" s="17" t="s">
        <v>2510</v>
      </c>
      <c r="R102" s="17" t="s">
        <v>151</v>
      </c>
      <c r="S102" s="17" t="s">
        <v>2511</v>
      </c>
      <c r="T102" s="24">
        <v>2.42</v>
      </c>
      <c r="U102" s="17" t="s">
        <v>163</v>
      </c>
      <c r="V102" s="17" t="s">
        <v>164</v>
      </c>
      <c r="W102" s="17" t="s">
        <v>165</v>
      </c>
      <c r="X102" s="15" t="s">
        <v>2512</v>
      </c>
      <c r="Y102" s="15" t="s">
        <v>2513</v>
      </c>
      <c r="Z102" s="27">
        <v>3</v>
      </c>
      <c r="AA102" s="17" t="s">
        <v>2514</v>
      </c>
      <c r="AB102" s="17" t="s">
        <v>151</v>
      </c>
      <c r="AC102" s="17" t="s">
        <v>151</v>
      </c>
      <c r="AD102" s="26">
        <v>2013</v>
      </c>
      <c r="AE102" s="17" t="s">
        <v>151</v>
      </c>
      <c r="AF102" s="22">
        <v>45510</v>
      </c>
      <c r="AG102" s="17" t="s">
        <v>151</v>
      </c>
      <c r="AH102" s="17" t="s">
        <v>151</v>
      </c>
      <c r="AI102" s="25" t="s">
        <v>151</v>
      </c>
      <c r="AJ102" s="19" t="s">
        <v>151</v>
      </c>
      <c r="AK102" s="25" t="s">
        <v>151</v>
      </c>
      <c r="AL102" s="25" t="s">
        <v>151</v>
      </c>
      <c r="AM102" s="25" t="s">
        <v>151</v>
      </c>
      <c r="AN102" s="25" t="s">
        <v>151</v>
      </c>
      <c r="AO102" s="25" t="s">
        <v>151</v>
      </c>
      <c r="AP102" s="25" t="s">
        <v>151</v>
      </c>
      <c r="AQ102" s="25" t="s">
        <v>151</v>
      </c>
      <c r="AR102" s="16" t="s">
        <v>151</v>
      </c>
      <c r="AS102" s="17" t="s">
        <v>2515</v>
      </c>
      <c r="AT102" s="17" t="s">
        <v>151</v>
      </c>
      <c r="AU102" s="18" t="s">
        <v>151</v>
      </c>
      <c r="AV102" s="17" t="s">
        <v>151</v>
      </c>
      <c r="AW102" s="17" t="s">
        <v>2516</v>
      </c>
      <c r="AX102" s="17" t="s">
        <v>151</v>
      </c>
      <c r="AY102" s="17" t="s">
        <v>151</v>
      </c>
      <c r="AZ102" s="17" t="s">
        <v>2517</v>
      </c>
      <c r="BA102" s="17" t="s">
        <v>151</v>
      </c>
      <c r="BB102" s="17" t="s">
        <v>151</v>
      </c>
      <c r="BC102" s="17" t="s">
        <v>151</v>
      </c>
      <c r="BD102" s="17" t="s">
        <v>2518</v>
      </c>
      <c r="BE102" s="17" t="s">
        <v>2519</v>
      </c>
      <c r="BF102" s="17" t="s">
        <v>2520</v>
      </c>
      <c r="BG102" s="17" t="s">
        <v>2521</v>
      </c>
      <c r="BH102" s="17" t="s">
        <v>2522</v>
      </c>
      <c r="BI102" s="17" t="s">
        <v>285</v>
      </c>
      <c r="BJ102" s="17" t="s">
        <v>2523</v>
      </c>
      <c r="BK102" s="17" t="s">
        <v>2524</v>
      </c>
      <c r="BL102" s="17" t="s">
        <v>288</v>
      </c>
      <c r="BM102" s="17" t="s">
        <v>289</v>
      </c>
      <c r="BN102" s="16" t="s">
        <v>1361</v>
      </c>
      <c r="BO102" s="17" t="s">
        <v>186</v>
      </c>
      <c r="BP102" s="16" t="s">
        <v>2522</v>
      </c>
      <c r="BQ102" s="16" t="s">
        <v>151</v>
      </c>
      <c r="BR102" s="17" t="s">
        <v>2525</v>
      </c>
      <c r="BS102" s="17" t="s">
        <v>187</v>
      </c>
      <c r="BT102" s="17" t="s">
        <v>188</v>
      </c>
      <c r="BU102" s="22">
        <v>44019</v>
      </c>
      <c r="BV102" s="24">
        <v>2.42</v>
      </c>
      <c r="BW102" s="17" t="s">
        <v>192</v>
      </c>
      <c r="BX102" s="24">
        <v>46.03</v>
      </c>
      <c r="BY102" s="17" t="s">
        <v>192</v>
      </c>
      <c r="BZ102" s="17" t="s">
        <v>194</v>
      </c>
      <c r="CA102" s="17" t="s">
        <v>151</v>
      </c>
      <c r="CB102" s="17" t="s">
        <v>151</v>
      </c>
      <c r="CC102" s="17" t="s">
        <v>165</v>
      </c>
      <c r="CD102" s="17" t="s">
        <v>151</v>
      </c>
      <c r="CE102" s="17" t="s">
        <v>191</v>
      </c>
      <c r="CF102" s="22">
        <v>44627</v>
      </c>
      <c r="CG102" s="24" t="s">
        <v>151</v>
      </c>
      <c r="CH102" s="17" t="s">
        <v>151</v>
      </c>
      <c r="CI102" s="24" t="s">
        <v>151</v>
      </c>
      <c r="CJ102" s="17" t="s">
        <v>151</v>
      </c>
      <c r="CK102" s="16" t="s">
        <v>151</v>
      </c>
      <c r="CL102" s="17" t="s">
        <v>911</v>
      </c>
      <c r="CM102" s="17" t="s">
        <v>151</v>
      </c>
      <c r="CN102" s="17" t="s">
        <v>151</v>
      </c>
      <c r="CO102" s="17" t="s">
        <v>165</v>
      </c>
      <c r="CP102" s="22">
        <v>44627</v>
      </c>
      <c r="CQ102" s="24" t="s">
        <v>151</v>
      </c>
      <c r="CR102" s="17" t="s">
        <v>151</v>
      </c>
      <c r="CS102" s="17" t="s">
        <v>191</v>
      </c>
      <c r="CT102" s="16" t="s">
        <v>151</v>
      </c>
      <c r="CU102" s="17" t="s">
        <v>151</v>
      </c>
      <c r="CV102" s="19" t="s">
        <v>151</v>
      </c>
      <c r="CW102" s="19" t="s">
        <v>151</v>
      </c>
      <c r="CX102" s="17" t="s">
        <v>151</v>
      </c>
      <c r="CY102" s="19" t="s">
        <v>151</v>
      </c>
      <c r="CZ102" s="19" t="s">
        <v>151</v>
      </c>
      <c r="DA102" s="24">
        <v>46.03</v>
      </c>
      <c r="DB102" s="22">
        <v>44019</v>
      </c>
      <c r="DC102" s="17" t="s">
        <v>194</v>
      </c>
      <c r="DD102" s="16" t="s">
        <v>151</v>
      </c>
      <c r="DE102" s="19" t="s">
        <v>151</v>
      </c>
      <c r="DF102" s="21" t="s">
        <v>151</v>
      </c>
      <c r="DG102" s="19" t="s">
        <v>151</v>
      </c>
      <c r="DH102" s="19" t="s">
        <v>151</v>
      </c>
      <c r="DI102" s="19" t="s">
        <v>151</v>
      </c>
      <c r="DJ102" s="21" t="s">
        <v>151</v>
      </c>
      <c r="DK102" s="19" t="s">
        <v>151</v>
      </c>
      <c r="DL102" s="21" t="s">
        <v>151</v>
      </c>
      <c r="DM102" s="19" t="s">
        <v>151</v>
      </c>
      <c r="DN102" s="21" t="s">
        <v>151</v>
      </c>
      <c r="DO102" s="23" t="s">
        <v>151</v>
      </c>
      <c r="DP102" s="21" t="s">
        <v>151</v>
      </c>
      <c r="DQ102" s="23" t="s">
        <v>151</v>
      </c>
      <c r="DR102" s="19" t="s">
        <v>151</v>
      </c>
      <c r="DS102" s="23" t="s">
        <v>151</v>
      </c>
      <c r="DT102" s="21" t="s">
        <v>151</v>
      </c>
      <c r="DU102" s="23" t="s">
        <v>151</v>
      </c>
      <c r="DV102" s="21" t="s">
        <v>151</v>
      </c>
      <c r="DW102" s="23" t="s">
        <v>151</v>
      </c>
      <c r="DX102" s="21" t="s">
        <v>151</v>
      </c>
      <c r="DY102" s="18" t="s">
        <v>151</v>
      </c>
      <c r="DZ102" s="22" t="s">
        <v>151</v>
      </c>
      <c r="EA102" s="22" t="s">
        <v>151</v>
      </c>
      <c r="EB102" s="21" t="s">
        <v>151</v>
      </c>
      <c r="EC102" s="20" t="s">
        <v>151</v>
      </c>
      <c r="ED102" s="19" t="s">
        <v>151</v>
      </c>
      <c r="EE102" s="21" t="s">
        <v>151</v>
      </c>
      <c r="EF102" s="20" t="s">
        <v>151</v>
      </c>
      <c r="EG102" s="19" t="s">
        <v>151</v>
      </c>
      <c r="EH102" s="16" t="s">
        <v>198</v>
      </c>
      <c r="EI102" s="17" t="s">
        <v>151</v>
      </c>
      <c r="EJ102" s="17" t="s">
        <v>151</v>
      </c>
      <c r="EK102" s="18">
        <v>1</v>
      </c>
      <c r="EL102" s="18" t="s">
        <v>151</v>
      </c>
      <c r="EM102" s="18" t="s">
        <v>151</v>
      </c>
      <c r="EN102" s="18" t="s">
        <v>151</v>
      </c>
      <c r="EO102" s="18">
        <v>2</v>
      </c>
      <c r="EP102" s="17" t="s">
        <v>151</v>
      </c>
      <c r="EQ102" s="16" t="s">
        <v>151</v>
      </c>
      <c r="ER102" s="16" t="s">
        <v>151</v>
      </c>
      <c r="ES102" s="3">
        <f>HYPERLINK("https://my.pitchbook.com?c=158968-72","View Company Online")</f>
      </c>
    </row>
    <row r="103">
      <c r="A103" s="30" t="s">
        <v>2526</v>
      </c>
      <c r="B103" s="30" t="s">
        <v>2527</v>
      </c>
      <c r="C103" s="31">
        <v>2</v>
      </c>
      <c r="D103" s="30" t="s">
        <v>151</v>
      </c>
      <c r="E103" s="30" t="s">
        <v>151</v>
      </c>
      <c r="F103" s="30" t="s">
        <v>2528</v>
      </c>
      <c r="G103" s="30" t="s">
        <v>151</v>
      </c>
      <c r="H103" s="30" t="s">
        <v>151</v>
      </c>
      <c r="I103" s="30" t="s">
        <v>151</v>
      </c>
      <c r="J103" s="30" t="s">
        <v>2526</v>
      </c>
      <c r="K103" s="30" t="s">
        <v>2529</v>
      </c>
      <c r="L103" s="30" t="s">
        <v>205</v>
      </c>
      <c r="M103" s="30" t="s">
        <v>206</v>
      </c>
      <c r="N103" s="30" t="s">
        <v>269</v>
      </c>
      <c r="O103" s="30" t="s">
        <v>2530</v>
      </c>
      <c r="P103" s="30" t="s">
        <v>919</v>
      </c>
      <c r="Q103" s="30" t="s">
        <v>2531</v>
      </c>
      <c r="R103" s="30" t="s">
        <v>151</v>
      </c>
      <c r="S103" s="30" t="s">
        <v>162</v>
      </c>
      <c r="T103" s="37">
        <v>7.18</v>
      </c>
      <c r="U103" s="30" t="s">
        <v>163</v>
      </c>
      <c r="V103" s="30" t="s">
        <v>164</v>
      </c>
      <c r="W103" s="30" t="s">
        <v>165</v>
      </c>
      <c r="X103" s="28" t="s">
        <v>2532</v>
      </c>
      <c r="Y103" s="28" t="s">
        <v>2533</v>
      </c>
      <c r="Z103" s="40">
        <v>6</v>
      </c>
      <c r="AA103" s="30" t="s">
        <v>2534</v>
      </c>
      <c r="AB103" s="30" t="s">
        <v>151</v>
      </c>
      <c r="AC103" s="30" t="s">
        <v>151</v>
      </c>
      <c r="AD103" s="39">
        <v>2022</v>
      </c>
      <c r="AE103" s="30" t="s">
        <v>151</v>
      </c>
      <c r="AF103" s="35">
        <v>45471</v>
      </c>
      <c r="AG103" s="30" t="s">
        <v>151</v>
      </c>
      <c r="AH103" s="30" t="s">
        <v>151</v>
      </c>
      <c r="AI103" s="38" t="s">
        <v>151</v>
      </c>
      <c r="AJ103" s="32" t="s">
        <v>151</v>
      </c>
      <c r="AK103" s="38" t="s">
        <v>151</v>
      </c>
      <c r="AL103" s="38" t="s">
        <v>151</v>
      </c>
      <c r="AM103" s="38" t="s">
        <v>151</v>
      </c>
      <c r="AN103" s="38" t="s">
        <v>151</v>
      </c>
      <c r="AO103" s="38" t="s">
        <v>151</v>
      </c>
      <c r="AP103" s="38" t="s">
        <v>151</v>
      </c>
      <c r="AQ103" s="38" t="s">
        <v>151</v>
      </c>
      <c r="AR103" s="29" t="s">
        <v>151</v>
      </c>
      <c r="AS103" s="30" t="s">
        <v>2535</v>
      </c>
      <c r="AT103" s="30" t="s">
        <v>2536</v>
      </c>
      <c r="AU103" s="31">
        <v>11</v>
      </c>
      <c r="AV103" s="30" t="s">
        <v>151</v>
      </c>
      <c r="AW103" s="30" t="s">
        <v>151</v>
      </c>
      <c r="AX103" s="30" t="s">
        <v>151</v>
      </c>
      <c r="AY103" s="30" t="s">
        <v>2537</v>
      </c>
      <c r="AZ103" s="30" t="s">
        <v>151</v>
      </c>
      <c r="BA103" s="30" t="s">
        <v>151</v>
      </c>
      <c r="BB103" s="30" t="s">
        <v>151</v>
      </c>
      <c r="BC103" s="30" t="s">
        <v>2538</v>
      </c>
      <c r="BD103" s="30" t="s">
        <v>2539</v>
      </c>
      <c r="BE103" s="30" t="s">
        <v>2540</v>
      </c>
      <c r="BF103" s="30" t="s">
        <v>731</v>
      </c>
      <c r="BG103" s="30" t="s">
        <v>2541</v>
      </c>
      <c r="BH103" s="30" t="s">
        <v>2542</v>
      </c>
      <c r="BI103" s="30" t="s">
        <v>2543</v>
      </c>
      <c r="BJ103" s="30" t="s">
        <v>2544</v>
      </c>
      <c r="BK103" s="30" t="s">
        <v>2545</v>
      </c>
      <c r="BL103" s="30" t="s">
        <v>2546</v>
      </c>
      <c r="BM103" s="30" t="s">
        <v>184</v>
      </c>
      <c r="BN103" s="29" t="s">
        <v>2547</v>
      </c>
      <c r="BO103" s="30" t="s">
        <v>186</v>
      </c>
      <c r="BP103" s="29" t="s">
        <v>2542</v>
      </c>
      <c r="BQ103" s="29" t="s">
        <v>151</v>
      </c>
      <c r="BR103" s="30" t="s">
        <v>151</v>
      </c>
      <c r="BS103" s="30" t="s">
        <v>187</v>
      </c>
      <c r="BT103" s="30" t="s">
        <v>188</v>
      </c>
      <c r="BU103" s="35">
        <v>44943</v>
      </c>
      <c r="BV103" s="37">
        <v>2.78</v>
      </c>
      <c r="BW103" s="30" t="s">
        <v>192</v>
      </c>
      <c r="BX103" s="37">
        <v>10.78</v>
      </c>
      <c r="BY103" s="30" t="s">
        <v>192</v>
      </c>
      <c r="BZ103" s="30" t="s">
        <v>293</v>
      </c>
      <c r="CA103" s="30" t="s">
        <v>293</v>
      </c>
      <c r="CB103" s="30" t="s">
        <v>151</v>
      </c>
      <c r="CC103" s="30" t="s">
        <v>165</v>
      </c>
      <c r="CD103" s="30" t="s">
        <v>151</v>
      </c>
      <c r="CE103" s="30" t="s">
        <v>191</v>
      </c>
      <c r="CF103" s="35">
        <v>45362</v>
      </c>
      <c r="CG103" s="37">
        <v>4.4</v>
      </c>
      <c r="CH103" s="30" t="s">
        <v>192</v>
      </c>
      <c r="CI103" s="37">
        <v>20</v>
      </c>
      <c r="CJ103" s="30" t="s">
        <v>192</v>
      </c>
      <c r="CK103" s="29">
        <v>1.45</v>
      </c>
      <c r="CL103" s="30" t="s">
        <v>293</v>
      </c>
      <c r="CM103" s="30" t="s">
        <v>293</v>
      </c>
      <c r="CN103" s="30" t="s">
        <v>151</v>
      </c>
      <c r="CO103" s="30" t="s">
        <v>165</v>
      </c>
      <c r="CP103" s="35">
        <v>45362</v>
      </c>
      <c r="CQ103" s="37" t="s">
        <v>151</v>
      </c>
      <c r="CR103" s="30" t="s">
        <v>151</v>
      </c>
      <c r="CS103" s="30" t="s">
        <v>191</v>
      </c>
      <c r="CT103" s="29">
        <v>77</v>
      </c>
      <c r="CU103" s="30" t="s">
        <v>196</v>
      </c>
      <c r="CV103" s="32">
        <v>71</v>
      </c>
      <c r="CW103" s="32">
        <v>29</v>
      </c>
      <c r="CX103" s="30" t="s">
        <v>294</v>
      </c>
      <c r="CY103" s="32">
        <v>1</v>
      </c>
      <c r="CZ103" s="32">
        <v>70</v>
      </c>
      <c r="DA103" s="37">
        <v>20</v>
      </c>
      <c r="DB103" s="35">
        <v>45362</v>
      </c>
      <c r="DC103" s="30" t="s">
        <v>293</v>
      </c>
      <c r="DD103" s="29">
        <v>1.45</v>
      </c>
      <c r="DE103" s="32">
        <v>-2.12</v>
      </c>
      <c r="DF103" s="34">
        <v>2</v>
      </c>
      <c r="DG103" s="32">
        <v>0</v>
      </c>
      <c r="DH103" s="32">
        <v>0</v>
      </c>
      <c r="DI103" s="32">
        <v>-2.12</v>
      </c>
      <c r="DJ103" s="34">
        <v>2</v>
      </c>
      <c r="DK103" s="32" t="s">
        <v>151</v>
      </c>
      <c r="DL103" s="34" t="s">
        <v>151</v>
      </c>
      <c r="DM103" s="32">
        <v>-2.12</v>
      </c>
      <c r="DN103" s="34">
        <v>2</v>
      </c>
      <c r="DO103" s="36">
        <v>3.89</v>
      </c>
      <c r="DP103" s="34">
        <v>79</v>
      </c>
      <c r="DQ103" s="36">
        <v>0</v>
      </c>
      <c r="DR103" s="32">
        <v>0</v>
      </c>
      <c r="DS103" s="36">
        <v>3.89</v>
      </c>
      <c r="DT103" s="34">
        <v>79</v>
      </c>
      <c r="DU103" s="36" t="s">
        <v>151</v>
      </c>
      <c r="DV103" s="34" t="s">
        <v>151</v>
      </c>
      <c r="DW103" s="36">
        <v>3.89</v>
      </c>
      <c r="DX103" s="34">
        <v>78</v>
      </c>
      <c r="DY103" s="31" t="s">
        <v>151</v>
      </c>
      <c r="DZ103" s="35" t="s">
        <v>151</v>
      </c>
      <c r="EA103" s="35" t="s">
        <v>151</v>
      </c>
      <c r="EB103" s="34">
        <v>655</v>
      </c>
      <c r="EC103" s="33">
        <v>-491</v>
      </c>
      <c r="ED103" s="32">
        <v>-42.84</v>
      </c>
      <c r="EE103" s="34">
        <v>74</v>
      </c>
      <c r="EF103" s="33">
        <v>-5</v>
      </c>
      <c r="EG103" s="32">
        <v>-6.33</v>
      </c>
      <c r="EH103" s="29" t="s">
        <v>198</v>
      </c>
      <c r="EI103" s="30" t="s">
        <v>151</v>
      </c>
      <c r="EJ103" s="30" t="s">
        <v>151</v>
      </c>
      <c r="EK103" s="31">
        <v>1</v>
      </c>
      <c r="EL103" s="31" t="s">
        <v>151</v>
      </c>
      <c r="EM103" s="31" t="s">
        <v>151</v>
      </c>
      <c r="EN103" s="31" t="s">
        <v>151</v>
      </c>
      <c r="EO103" s="31">
        <v>2</v>
      </c>
      <c r="EP103" s="30" t="s">
        <v>151</v>
      </c>
      <c r="EQ103" s="29" t="s">
        <v>151</v>
      </c>
      <c r="ER103" s="29" t="s">
        <v>151</v>
      </c>
      <c r="ES103" s="4">
        <f>HYPERLINK("https://my.pitchbook.com?c=515628-82","View Company Online")</f>
      </c>
    </row>
    <row r="104">
      <c r="A104" s="17" t="s">
        <v>2548</v>
      </c>
      <c r="B104" s="17" t="s">
        <v>2549</v>
      </c>
      <c r="C104" s="18">
        <v>2</v>
      </c>
      <c r="D104" s="17" t="s">
        <v>2550</v>
      </c>
      <c r="E104" s="17" t="s">
        <v>151</v>
      </c>
      <c r="F104" s="17" t="s">
        <v>2551</v>
      </c>
      <c r="G104" s="17" t="s">
        <v>151</v>
      </c>
      <c r="H104" s="17" t="s">
        <v>151</v>
      </c>
      <c r="I104" s="17" t="s">
        <v>151</v>
      </c>
      <c r="J104" s="17" t="s">
        <v>2548</v>
      </c>
      <c r="K104" s="17" t="s">
        <v>2552</v>
      </c>
      <c r="L104" s="17" t="s">
        <v>205</v>
      </c>
      <c r="M104" s="17" t="s">
        <v>206</v>
      </c>
      <c r="N104" s="17" t="s">
        <v>1268</v>
      </c>
      <c r="O104" s="17" t="s">
        <v>2129</v>
      </c>
      <c r="P104" s="17" t="s">
        <v>209</v>
      </c>
      <c r="Q104" s="17" t="s">
        <v>2553</v>
      </c>
      <c r="R104" s="17" t="s">
        <v>211</v>
      </c>
      <c r="S104" s="17" t="s">
        <v>162</v>
      </c>
      <c r="T104" s="24">
        <v>11</v>
      </c>
      <c r="U104" s="17" t="s">
        <v>163</v>
      </c>
      <c r="V104" s="17" t="s">
        <v>164</v>
      </c>
      <c r="W104" s="17" t="s">
        <v>165</v>
      </c>
      <c r="X104" s="15" t="s">
        <v>2554</v>
      </c>
      <c r="Y104" s="15" t="s">
        <v>2555</v>
      </c>
      <c r="Z104" s="27">
        <v>14</v>
      </c>
      <c r="AA104" s="17" t="s">
        <v>2556</v>
      </c>
      <c r="AB104" s="17" t="s">
        <v>151</v>
      </c>
      <c r="AC104" s="17" t="s">
        <v>151</v>
      </c>
      <c r="AD104" s="26">
        <v>2020</v>
      </c>
      <c r="AE104" s="17" t="s">
        <v>151</v>
      </c>
      <c r="AF104" s="22">
        <v>45614</v>
      </c>
      <c r="AG104" s="17" t="s">
        <v>151</v>
      </c>
      <c r="AH104" s="17" t="s">
        <v>151</v>
      </c>
      <c r="AI104" s="25" t="s">
        <v>151</v>
      </c>
      <c r="AJ104" s="19" t="s">
        <v>151</v>
      </c>
      <c r="AK104" s="25" t="s">
        <v>151</v>
      </c>
      <c r="AL104" s="25" t="s">
        <v>151</v>
      </c>
      <c r="AM104" s="25" t="s">
        <v>151</v>
      </c>
      <c r="AN104" s="25" t="s">
        <v>151</v>
      </c>
      <c r="AO104" s="25" t="s">
        <v>151</v>
      </c>
      <c r="AP104" s="25" t="s">
        <v>151</v>
      </c>
      <c r="AQ104" s="25" t="s">
        <v>151</v>
      </c>
      <c r="AR104" s="16" t="s">
        <v>151</v>
      </c>
      <c r="AS104" s="17" t="s">
        <v>2557</v>
      </c>
      <c r="AT104" s="17" t="s">
        <v>2558</v>
      </c>
      <c r="AU104" s="18">
        <v>20</v>
      </c>
      <c r="AV104" s="17" t="s">
        <v>151</v>
      </c>
      <c r="AW104" s="17" t="s">
        <v>2559</v>
      </c>
      <c r="AX104" s="17" t="s">
        <v>151</v>
      </c>
      <c r="AY104" s="17" t="s">
        <v>2560</v>
      </c>
      <c r="AZ104" s="17" t="s">
        <v>2561</v>
      </c>
      <c r="BA104" s="17" t="s">
        <v>151</v>
      </c>
      <c r="BB104" s="17" t="s">
        <v>151</v>
      </c>
      <c r="BC104" s="17" t="s">
        <v>151</v>
      </c>
      <c r="BD104" s="17" t="s">
        <v>2562</v>
      </c>
      <c r="BE104" s="17" t="s">
        <v>2563</v>
      </c>
      <c r="BF104" s="17" t="s">
        <v>1280</v>
      </c>
      <c r="BG104" s="17" t="s">
        <v>151</v>
      </c>
      <c r="BH104" s="17" t="s">
        <v>151</v>
      </c>
      <c r="BI104" s="17" t="s">
        <v>906</v>
      </c>
      <c r="BJ104" s="17" t="s">
        <v>151</v>
      </c>
      <c r="BK104" s="17" t="s">
        <v>151</v>
      </c>
      <c r="BL104" s="17" t="s">
        <v>259</v>
      </c>
      <c r="BM104" s="17" t="s">
        <v>259</v>
      </c>
      <c r="BN104" s="16" t="s">
        <v>151</v>
      </c>
      <c r="BO104" s="17" t="s">
        <v>186</v>
      </c>
      <c r="BP104" s="16" t="s">
        <v>151</v>
      </c>
      <c r="BQ104" s="16" t="s">
        <v>151</v>
      </c>
      <c r="BR104" s="17" t="s">
        <v>2564</v>
      </c>
      <c r="BS104" s="17" t="s">
        <v>187</v>
      </c>
      <c r="BT104" s="17" t="s">
        <v>188</v>
      </c>
      <c r="BU104" s="22">
        <v>44298</v>
      </c>
      <c r="BV104" s="24">
        <v>1</v>
      </c>
      <c r="BW104" s="17" t="s">
        <v>192</v>
      </c>
      <c r="BX104" s="24" t="s">
        <v>151</v>
      </c>
      <c r="BY104" s="17" t="s">
        <v>151</v>
      </c>
      <c r="BZ104" s="17" t="s">
        <v>293</v>
      </c>
      <c r="CA104" s="17" t="s">
        <v>293</v>
      </c>
      <c r="CB104" s="17" t="s">
        <v>151</v>
      </c>
      <c r="CC104" s="17" t="s">
        <v>165</v>
      </c>
      <c r="CD104" s="17" t="s">
        <v>151</v>
      </c>
      <c r="CE104" s="17" t="s">
        <v>191</v>
      </c>
      <c r="CF104" s="22">
        <v>45292</v>
      </c>
      <c r="CG104" s="24" t="s">
        <v>151</v>
      </c>
      <c r="CH104" s="17" t="s">
        <v>151</v>
      </c>
      <c r="CI104" s="24" t="s">
        <v>151</v>
      </c>
      <c r="CJ104" s="17" t="s">
        <v>151</v>
      </c>
      <c r="CK104" s="16" t="s">
        <v>151</v>
      </c>
      <c r="CL104" s="17" t="s">
        <v>231</v>
      </c>
      <c r="CM104" s="17" t="s">
        <v>151</v>
      </c>
      <c r="CN104" s="17" t="s">
        <v>151</v>
      </c>
      <c r="CO104" s="17" t="s">
        <v>165</v>
      </c>
      <c r="CP104" s="22">
        <v>45292</v>
      </c>
      <c r="CQ104" s="24" t="s">
        <v>151</v>
      </c>
      <c r="CR104" s="17" t="s">
        <v>151</v>
      </c>
      <c r="CS104" s="17" t="s">
        <v>191</v>
      </c>
      <c r="CT104" s="16">
        <v>64</v>
      </c>
      <c r="CU104" s="17" t="s">
        <v>196</v>
      </c>
      <c r="CV104" s="19">
        <v>60</v>
      </c>
      <c r="CW104" s="19">
        <v>40</v>
      </c>
      <c r="CX104" s="17" t="s">
        <v>294</v>
      </c>
      <c r="CY104" s="19">
        <v>1</v>
      </c>
      <c r="CZ104" s="19">
        <v>59</v>
      </c>
      <c r="DA104" s="24" t="s">
        <v>151</v>
      </c>
      <c r="DB104" s="22" t="s">
        <v>151</v>
      </c>
      <c r="DC104" s="17" t="s">
        <v>151</v>
      </c>
      <c r="DD104" s="16" t="s">
        <v>151</v>
      </c>
      <c r="DE104" s="19">
        <v>-7.26</v>
      </c>
      <c r="DF104" s="21">
        <v>1</v>
      </c>
      <c r="DG104" s="19">
        <v>0</v>
      </c>
      <c r="DH104" s="19">
        <v>0</v>
      </c>
      <c r="DI104" s="19">
        <v>-14.53</v>
      </c>
      <c r="DJ104" s="21">
        <v>1</v>
      </c>
      <c r="DK104" s="19">
        <v>-14.53</v>
      </c>
      <c r="DL104" s="21">
        <v>1</v>
      </c>
      <c r="DM104" s="19" t="s">
        <v>151</v>
      </c>
      <c r="DN104" s="21" t="s">
        <v>151</v>
      </c>
      <c r="DO104" s="23">
        <v>47.81</v>
      </c>
      <c r="DP104" s="21">
        <v>98</v>
      </c>
      <c r="DQ104" s="23">
        <v>0</v>
      </c>
      <c r="DR104" s="19">
        <v>0</v>
      </c>
      <c r="DS104" s="23">
        <v>94.53</v>
      </c>
      <c r="DT104" s="21">
        <v>99</v>
      </c>
      <c r="DU104" s="23">
        <v>94.53</v>
      </c>
      <c r="DV104" s="21">
        <v>97</v>
      </c>
      <c r="DW104" s="23" t="s">
        <v>151</v>
      </c>
      <c r="DX104" s="21" t="s">
        <v>151</v>
      </c>
      <c r="DY104" s="18" t="s">
        <v>151</v>
      </c>
      <c r="DZ104" s="22" t="s">
        <v>151</v>
      </c>
      <c r="EA104" s="22" t="s">
        <v>151</v>
      </c>
      <c r="EB104" s="21">
        <v>21345</v>
      </c>
      <c r="EC104" s="20">
        <v>-5615</v>
      </c>
      <c r="ED104" s="19">
        <v>-20.83</v>
      </c>
      <c r="EE104" s="21" t="s">
        <v>151</v>
      </c>
      <c r="EF104" s="20" t="s">
        <v>151</v>
      </c>
      <c r="EG104" s="19" t="s">
        <v>151</v>
      </c>
      <c r="EH104" s="16" t="s">
        <v>198</v>
      </c>
      <c r="EI104" s="17" t="s">
        <v>151</v>
      </c>
      <c r="EJ104" s="17" t="s">
        <v>151</v>
      </c>
      <c r="EK104" s="18">
        <v>2</v>
      </c>
      <c r="EL104" s="18">
        <v>1</v>
      </c>
      <c r="EM104" s="18" t="s">
        <v>151</v>
      </c>
      <c r="EN104" s="18">
        <v>1</v>
      </c>
      <c r="EO104" s="18">
        <v>1</v>
      </c>
      <c r="EP104" s="17" t="s">
        <v>2565</v>
      </c>
      <c r="EQ104" s="16" t="s">
        <v>151</v>
      </c>
      <c r="ER104" s="16" t="s">
        <v>151</v>
      </c>
      <c r="ES104" s="3">
        <f>HYPERLINK("https://my.pitchbook.com?c=472352-32","View Company Online")</f>
      </c>
    </row>
    <row r="105">
      <c r="A105" s="30" t="s">
        <v>2566</v>
      </c>
      <c r="B105" s="30" t="s">
        <v>2567</v>
      </c>
      <c r="C105" s="31">
        <v>2</v>
      </c>
      <c r="D105" s="30" t="s">
        <v>2568</v>
      </c>
      <c r="E105" s="30" t="s">
        <v>151</v>
      </c>
      <c r="F105" s="30" t="s">
        <v>2569</v>
      </c>
      <c r="G105" s="30" t="s">
        <v>151</v>
      </c>
      <c r="H105" s="30" t="s">
        <v>151</v>
      </c>
      <c r="I105" s="30" t="s">
        <v>2570</v>
      </c>
      <c r="J105" s="30" t="s">
        <v>2566</v>
      </c>
      <c r="K105" s="30" t="s">
        <v>2571</v>
      </c>
      <c r="L105" s="30" t="s">
        <v>155</v>
      </c>
      <c r="M105" s="30" t="s">
        <v>239</v>
      </c>
      <c r="N105" s="30" t="s">
        <v>670</v>
      </c>
      <c r="O105" s="30" t="s">
        <v>2572</v>
      </c>
      <c r="P105" s="30" t="s">
        <v>2573</v>
      </c>
      <c r="Q105" s="30" t="s">
        <v>2574</v>
      </c>
      <c r="R105" s="30" t="s">
        <v>151</v>
      </c>
      <c r="S105" s="30" t="s">
        <v>162</v>
      </c>
      <c r="T105" s="37">
        <v>1.52</v>
      </c>
      <c r="U105" s="30" t="s">
        <v>163</v>
      </c>
      <c r="V105" s="30" t="s">
        <v>164</v>
      </c>
      <c r="W105" s="30" t="s">
        <v>165</v>
      </c>
      <c r="X105" s="28" t="s">
        <v>2575</v>
      </c>
      <c r="Y105" s="28" t="s">
        <v>2576</v>
      </c>
      <c r="Z105" s="40">
        <v>10</v>
      </c>
      <c r="AA105" s="30" t="s">
        <v>2577</v>
      </c>
      <c r="AB105" s="30" t="s">
        <v>151</v>
      </c>
      <c r="AC105" s="30" t="s">
        <v>151</v>
      </c>
      <c r="AD105" s="39">
        <v>2020</v>
      </c>
      <c r="AE105" s="30" t="s">
        <v>151</v>
      </c>
      <c r="AF105" s="35">
        <v>45502</v>
      </c>
      <c r="AG105" s="30" t="s">
        <v>151</v>
      </c>
      <c r="AH105" s="30" t="s">
        <v>151</v>
      </c>
      <c r="AI105" s="38">
        <v>0.8</v>
      </c>
      <c r="AJ105" s="32" t="s">
        <v>151</v>
      </c>
      <c r="AK105" s="38" t="s">
        <v>151</v>
      </c>
      <c r="AL105" s="38" t="s">
        <v>151</v>
      </c>
      <c r="AM105" s="38">
        <v>3</v>
      </c>
      <c r="AN105" s="38">
        <v>-0.1</v>
      </c>
      <c r="AO105" s="38" t="s">
        <v>151</v>
      </c>
      <c r="AP105" s="38" t="s">
        <v>151</v>
      </c>
      <c r="AQ105" s="38" t="s">
        <v>151</v>
      </c>
      <c r="AR105" s="29" t="s">
        <v>170</v>
      </c>
      <c r="AS105" s="30" t="s">
        <v>2578</v>
      </c>
      <c r="AT105" s="30" t="s">
        <v>2579</v>
      </c>
      <c r="AU105" s="31">
        <v>8</v>
      </c>
      <c r="AV105" s="30" t="s">
        <v>151</v>
      </c>
      <c r="AW105" s="30" t="s">
        <v>151</v>
      </c>
      <c r="AX105" s="30" t="s">
        <v>151</v>
      </c>
      <c r="AY105" s="30" t="s">
        <v>2580</v>
      </c>
      <c r="AZ105" s="30" t="s">
        <v>151</v>
      </c>
      <c r="BA105" s="30" t="s">
        <v>151</v>
      </c>
      <c r="BB105" s="30" t="s">
        <v>2581</v>
      </c>
      <c r="BC105" s="30" t="s">
        <v>2582</v>
      </c>
      <c r="BD105" s="30" t="s">
        <v>2583</v>
      </c>
      <c r="BE105" s="30" t="s">
        <v>2584</v>
      </c>
      <c r="BF105" s="30" t="s">
        <v>2585</v>
      </c>
      <c r="BG105" s="30" t="s">
        <v>2586</v>
      </c>
      <c r="BH105" s="30" t="s">
        <v>2587</v>
      </c>
      <c r="BI105" s="30" t="s">
        <v>2588</v>
      </c>
      <c r="BJ105" s="30" t="s">
        <v>2589</v>
      </c>
      <c r="BK105" s="30" t="s">
        <v>151</v>
      </c>
      <c r="BL105" s="30" t="s">
        <v>2590</v>
      </c>
      <c r="BM105" s="30" t="s">
        <v>2591</v>
      </c>
      <c r="BN105" s="29" t="s">
        <v>2592</v>
      </c>
      <c r="BO105" s="30" t="s">
        <v>186</v>
      </c>
      <c r="BP105" s="29" t="s">
        <v>2587</v>
      </c>
      <c r="BQ105" s="29" t="s">
        <v>151</v>
      </c>
      <c r="BR105" s="30" t="s">
        <v>151</v>
      </c>
      <c r="BS105" s="30" t="s">
        <v>187</v>
      </c>
      <c r="BT105" s="30" t="s">
        <v>188</v>
      </c>
      <c r="BU105" s="35">
        <v>44132</v>
      </c>
      <c r="BV105" s="37">
        <v>0.22</v>
      </c>
      <c r="BW105" s="30" t="s">
        <v>192</v>
      </c>
      <c r="BX105" s="37" t="s">
        <v>151</v>
      </c>
      <c r="BY105" s="30" t="s">
        <v>151</v>
      </c>
      <c r="BZ105" s="30" t="s">
        <v>293</v>
      </c>
      <c r="CA105" s="30" t="s">
        <v>293</v>
      </c>
      <c r="CB105" s="30" t="s">
        <v>151</v>
      </c>
      <c r="CC105" s="30" t="s">
        <v>165</v>
      </c>
      <c r="CD105" s="30" t="s">
        <v>151</v>
      </c>
      <c r="CE105" s="30" t="s">
        <v>191</v>
      </c>
      <c r="CF105" s="35">
        <v>45420</v>
      </c>
      <c r="CG105" s="37">
        <v>1.1</v>
      </c>
      <c r="CH105" s="30" t="s">
        <v>192</v>
      </c>
      <c r="CI105" s="37">
        <v>3</v>
      </c>
      <c r="CJ105" s="30" t="s">
        <v>192</v>
      </c>
      <c r="CK105" s="29" t="s">
        <v>151</v>
      </c>
      <c r="CL105" s="30" t="s">
        <v>194</v>
      </c>
      <c r="CM105" s="30" t="s">
        <v>151</v>
      </c>
      <c r="CN105" s="30" t="s">
        <v>151</v>
      </c>
      <c r="CO105" s="30" t="s">
        <v>165</v>
      </c>
      <c r="CP105" s="35">
        <v>45420</v>
      </c>
      <c r="CQ105" s="37" t="s">
        <v>151</v>
      </c>
      <c r="CR105" s="30" t="s">
        <v>355</v>
      </c>
      <c r="CS105" s="30" t="s">
        <v>191</v>
      </c>
      <c r="CT105" s="29">
        <v>79</v>
      </c>
      <c r="CU105" s="30" t="s">
        <v>196</v>
      </c>
      <c r="CV105" s="32">
        <v>73</v>
      </c>
      <c r="CW105" s="32">
        <v>27</v>
      </c>
      <c r="CX105" s="30" t="s">
        <v>294</v>
      </c>
      <c r="CY105" s="32">
        <v>1</v>
      </c>
      <c r="CZ105" s="32">
        <v>72</v>
      </c>
      <c r="DA105" s="37">
        <v>3</v>
      </c>
      <c r="DB105" s="35">
        <v>45420</v>
      </c>
      <c r="DC105" s="30" t="s">
        <v>194</v>
      </c>
      <c r="DD105" s="29" t="s">
        <v>151</v>
      </c>
      <c r="DE105" s="32">
        <v>0.19</v>
      </c>
      <c r="DF105" s="34">
        <v>91</v>
      </c>
      <c r="DG105" s="32">
        <v>0.01</v>
      </c>
      <c r="DH105" s="32">
        <v>5.92</v>
      </c>
      <c r="DI105" s="32">
        <v>0</v>
      </c>
      <c r="DJ105" s="34">
        <v>10</v>
      </c>
      <c r="DK105" s="32" t="s">
        <v>151</v>
      </c>
      <c r="DL105" s="34" t="s">
        <v>151</v>
      </c>
      <c r="DM105" s="32">
        <v>0</v>
      </c>
      <c r="DN105" s="34">
        <v>10</v>
      </c>
      <c r="DO105" s="36">
        <v>39.72</v>
      </c>
      <c r="DP105" s="34">
        <v>98</v>
      </c>
      <c r="DQ105" s="36">
        <v>0.22</v>
      </c>
      <c r="DR105" s="32">
        <v>0.55</v>
      </c>
      <c r="DS105" s="36">
        <v>3.95</v>
      </c>
      <c r="DT105" s="34">
        <v>79</v>
      </c>
      <c r="DU105" s="36" t="s">
        <v>151</v>
      </c>
      <c r="DV105" s="34" t="s">
        <v>151</v>
      </c>
      <c r="DW105" s="36">
        <v>3.95</v>
      </c>
      <c r="DX105" s="34">
        <v>78</v>
      </c>
      <c r="DY105" s="31" t="s">
        <v>151</v>
      </c>
      <c r="DZ105" s="35" t="s">
        <v>151</v>
      </c>
      <c r="EA105" s="35" t="s">
        <v>151</v>
      </c>
      <c r="EB105" s="34" t="s">
        <v>151</v>
      </c>
      <c r="EC105" s="33" t="s">
        <v>151</v>
      </c>
      <c r="ED105" s="32" t="s">
        <v>151</v>
      </c>
      <c r="EE105" s="34">
        <v>75</v>
      </c>
      <c r="EF105" s="33">
        <v>0</v>
      </c>
      <c r="EG105" s="32">
        <v>0</v>
      </c>
      <c r="EH105" s="29" t="s">
        <v>198</v>
      </c>
      <c r="EI105" s="30" t="s">
        <v>151</v>
      </c>
      <c r="EJ105" s="30" t="s">
        <v>151</v>
      </c>
      <c r="EK105" s="31">
        <v>2</v>
      </c>
      <c r="EL105" s="31" t="s">
        <v>151</v>
      </c>
      <c r="EM105" s="31" t="s">
        <v>151</v>
      </c>
      <c r="EN105" s="31" t="s">
        <v>151</v>
      </c>
      <c r="EO105" s="31">
        <v>2</v>
      </c>
      <c r="EP105" s="30" t="s">
        <v>151</v>
      </c>
      <c r="EQ105" s="29" t="s">
        <v>151</v>
      </c>
      <c r="ER105" s="29" t="s">
        <v>151</v>
      </c>
      <c r="ES105" s="4">
        <f>HYPERLINK("https://my.pitchbook.com?c=432703-63","View Company Online")</f>
      </c>
    </row>
    <row r="106">
      <c r="A106" s="17" t="s">
        <v>2593</v>
      </c>
      <c r="B106" s="17" t="s">
        <v>2594</v>
      </c>
      <c r="C106" s="18">
        <v>2</v>
      </c>
      <c r="D106" s="17" t="s">
        <v>151</v>
      </c>
      <c r="E106" s="17" t="s">
        <v>151</v>
      </c>
      <c r="F106" s="17" t="s">
        <v>2595</v>
      </c>
      <c r="G106" s="17" t="s">
        <v>151</v>
      </c>
      <c r="H106" s="17" t="s">
        <v>151</v>
      </c>
      <c r="I106" s="17" t="s">
        <v>151</v>
      </c>
      <c r="J106" s="17" t="s">
        <v>2593</v>
      </c>
      <c r="K106" s="17" t="s">
        <v>2596</v>
      </c>
      <c r="L106" s="17" t="s">
        <v>155</v>
      </c>
      <c r="M106" s="17" t="s">
        <v>361</v>
      </c>
      <c r="N106" s="17" t="s">
        <v>362</v>
      </c>
      <c r="O106" s="17" t="s">
        <v>363</v>
      </c>
      <c r="P106" s="17" t="s">
        <v>1942</v>
      </c>
      <c r="Q106" s="17" t="s">
        <v>2597</v>
      </c>
      <c r="R106" s="17" t="s">
        <v>151</v>
      </c>
      <c r="S106" s="17" t="s">
        <v>162</v>
      </c>
      <c r="T106" s="24">
        <v>2.53</v>
      </c>
      <c r="U106" s="17" t="s">
        <v>163</v>
      </c>
      <c r="V106" s="17" t="s">
        <v>164</v>
      </c>
      <c r="W106" s="17" t="s">
        <v>165</v>
      </c>
      <c r="X106" s="15" t="s">
        <v>2598</v>
      </c>
      <c r="Y106" s="15" t="s">
        <v>2599</v>
      </c>
      <c r="Z106" s="27">
        <v>10</v>
      </c>
      <c r="AA106" s="17" t="s">
        <v>2600</v>
      </c>
      <c r="AB106" s="17" t="s">
        <v>151</v>
      </c>
      <c r="AC106" s="17" t="s">
        <v>151</v>
      </c>
      <c r="AD106" s="26">
        <v>2018</v>
      </c>
      <c r="AE106" s="17" t="s">
        <v>151</v>
      </c>
      <c r="AF106" s="22">
        <v>45379</v>
      </c>
      <c r="AG106" s="17" t="s">
        <v>151</v>
      </c>
      <c r="AH106" s="17" t="s">
        <v>151</v>
      </c>
      <c r="AI106" s="25" t="s">
        <v>151</v>
      </c>
      <c r="AJ106" s="19" t="s">
        <v>151</v>
      </c>
      <c r="AK106" s="25" t="s">
        <v>151</v>
      </c>
      <c r="AL106" s="25" t="s">
        <v>151</v>
      </c>
      <c r="AM106" s="25" t="s">
        <v>151</v>
      </c>
      <c r="AN106" s="25" t="s">
        <v>151</v>
      </c>
      <c r="AO106" s="25" t="s">
        <v>151</v>
      </c>
      <c r="AP106" s="25" t="s">
        <v>151</v>
      </c>
      <c r="AQ106" s="25" t="s">
        <v>151</v>
      </c>
      <c r="AR106" s="16" t="s">
        <v>151</v>
      </c>
      <c r="AS106" s="17" t="s">
        <v>2601</v>
      </c>
      <c r="AT106" s="17" t="s">
        <v>2602</v>
      </c>
      <c r="AU106" s="18">
        <v>14</v>
      </c>
      <c r="AV106" s="17" t="s">
        <v>151</v>
      </c>
      <c r="AW106" s="17" t="s">
        <v>151</v>
      </c>
      <c r="AX106" s="17" t="s">
        <v>151</v>
      </c>
      <c r="AY106" s="17" t="s">
        <v>2603</v>
      </c>
      <c r="AZ106" s="17" t="s">
        <v>151</v>
      </c>
      <c r="BA106" s="17" t="s">
        <v>151</v>
      </c>
      <c r="BB106" s="17" t="s">
        <v>2604</v>
      </c>
      <c r="BC106" s="17" t="s">
        <v>151</v>
      </c>
      <c r="BD106" s="17" t="s">
        <v>2605</v>
      </c>
      <c r="BE106" s="17" t="s">
        <v>2606</v>
      </c>
      <c r="BF106" s="17" t="s">
        <v>493</v>
      </c>
      <c r="BG106" s="17" t="s">
        <v>2607</v>
      </c>
      <c r="BH106" s="17" t="s">
        <v>2608</v>
      </c>
      <c r="BI106" s="17" t="s">
        <v>1040</v>
      </c>
      <c r="BJ106" s="17" t="s">
        <v>2609</v>
      </c>
      <c r="BK106" s="17" t="s">
        <v>1712</v>
      </c>
      <c r="BL106" s="17" t="s">
        <v>1042</v>
      </c>
      <c r="BM106" s="17" t="s">
        <v>1043</v>
      </c>
      <c r="BN106" s="16" t="s">
        <v>2610</v>
      </c>
      <c r="BO106" s="17" t="s">
        <v>186</v>
      </c>
      <c r="BP106" s="16" t="s">
        <v>2608</v>
      </c>
      <c r="BQ106" s="16" t="s">
        <v>151</v>
      </c>
      <c r="BR106" s="17" t="s">
        <v>2611</v>
      </c>
      <c r="BS106" s="17" t="s">
        <v>187</v>
      </c>
      <c r="BT106" s="17" t="s">
        <v>188</v>
      </c>
      <c r="BU106" s="22">
        <v>44666</v>
      </c>
      <c r="BV106" s="24">
        <v>1.27</v>
      </c>
      <c r="BW106" s="17" t="s">
        <v>192</v>
      </c>
      <c r="BX106" s="24" t="s">
        <v>151</v>
      </c>
      <c r="BY106" s="17" t="s">
        <v>151</v>
      </c>
      <c r="BZ106" s="17" t="s">
        <v>293</v>
      </c>
      <c r="CA106" s="17" t="s">
        <v>472</v>
      </c>
      <c r="CB106" s="17" t="s">
        <v>151</v>
      </c>
      <c r="CC106" s="17" t="s">
        <v>165</v>
      </c>
      <c r="CD106" s="17" t="s">
        <v>151</v>
      </c>
      <c r="CE106" s="17" t="s">
        <v>191</v>
      </c>
      <c r="CF106" s="22">
        <v>45027</v>
      </c>
      <c r="CG106" s="24">
        <v>1.25</v>
      </c>
      <c r="CH106" s="17" t="s">
        <v>192</v>
      </c>
      <c r="CI106" s="24" t="s">
        <v>151</v>
      </c>
      <c r="CJ106" s="17" t="s">
        <v>151</v>
      </c>
      <c r="CK106" s="16" t="s">
        <v>151</v>
      </c>
      <c r="CL106" s="17" t="s">
        <v>293</v>
      </c>
      <c r="CM106" s="17" t="s">
        <v>661</v>
      </c>
      <c r="CN106" s="17" t="s">
        <v>151</v>
      </c>
      <c r="CO106" s="17" t="s">
        <v>165</v>
      </c>
      <c r="CP106" s="22">
        <v>45027</v>
      </c>
      <c r="CQ106" s="24" t="s">
        <v>151</v>
      </c>
      <c r="CR106" s="17" t="s">
        <v>151</v>
      </c>
      <c r="CS106" s="17" t="s">
        <v>191</v>
      </c>
      <c r="CT106" s="16">
        <v>33</v>
      </c>
      <c r="CU106" s="17" t="s">
        <v>263</v>
      </c>
      <c r="CV106" s="19">
        <v>33</v>
      </c>
      <c r="CW106" s="19">
        <v>67</v>
      </c>
      <c r="CX106" s="17" t="s">
        <v>263</v>
      </c>
      <c r="CY106" s="19">
        <v>1</v>
      </c>
      <c r="CZ106" s="19">
        <v>32</v>
      </c>
      <c r="DA106" s="24" t="s">
        <v>151</v>
      </c>
      <c r="DB106" s="22" t="s">
        <v>151</v>
      </c>
      <c r="DC106" s="17" t="s">
        <v>151</v>
      </c>
      <c r="DD106" s="16" t="s">
        <v>151</v>
      </c>
      <c r="DE106" s="19">
        <v>-1.66</v>
      </c>
      <c r="DF106" s="21">
        <v>3</v>
      </c>
      <c r="DG106" s="19">
        <v>-0.01</v>
      </c>
      <c r="DH106" s="19">
        <v>-0.9</v>
      </c>
      <c r="DI106" s="19">
        <v>-1.66</v>
      </c>
      <c r="DJ106" s="21">
        <v>3</v>
      </c>
      <c r="DK106" s="19">
        <v>-3.41</v>
      </c>
      <c r="DL106" s="21">
        <v>5</v>
      </c>
      <c r="DM106" s="19">
        <v>0.09</v>
      </c>
      <c r="DN106" s="21">
        <v>93</v>
      </c>
      <c r="DO106" s="23">
        <v>25.77</v>
      </c>
      <c r="DP106" s="21">
        <v>96</v>
      </c>
      <c r="DQ106" s="23">
        <v>0</v>
      </c>
      <c r="DR106" s="19">
        <v>0</v>
      </c>
      <c r="DS106" s="23">
        <v>25.77</v>
      </c>
      <c r="DT106" s="21">
        <v>96</v>
      </c>
      <c r="DU106" s="23">
        <v>29.44</v>
      </c>
      <c r="DV106" s="21">
        <v>93</v>
      </c>
      <c r="DW106" s="23">
        <v>22.11</v>
      </c>
      <c r="DX106" s="21">
        <v>95</v>
      </c>
      <c r="DY106" s="18" t="s">
        <v>151</v>
      </c>
      <c r="DZ106" s="22" t="s">
        <v>151</v>
      </c>
      <c r="EA106" s="22" t="s">
        <v>151</v>
      </c>
      <c r="EB106" s="21">
        <v>6219</v>
      </c>
      <c r="EC106" s="20">
        <v>-463</v>
      </c>
      <c r="ED106" s="19">
        <v>-6.93</v>
      </c>
      <c r="EE106" s="21">
        <v>420</v>
      </c>
      <c r="EF106" s="20">
        <v>-1</v>
      </c>
      <c r="EG106" s="19">
        <v>-0.24</v>
      </c>
      <c r="EH106" s="16" t="s">
        <v>198</v>
      </c>
      <c r="EI106" s="17" t="s">
        <v>151</v>
      </c>
      <c r="EJ106" s="17" t="s">
        <v>151</v>
      </c>
      <c r="EK106" s="18">
        <v>2</v>
      </c>
      <c r="EL106" s="18" t="s">
        <v>151</v>
      </c>
      <c r="EM106" s="18">
        <v>1</v>
      </c>
      <c r="EN106" s="18" t="s">
        <v>151</v>
      </c>
      <c r="EO106" s="18">
        <v>1</v>
      </c>
      <c r="EP106" s="17" t="s">
        <v>2612</v>
      </c>
      <c r="EQ106" s="16" t="s">
        <v>151</v>
      </c>
      <c r="ER106" s="16" t="s">
        <v>151</v>
      </c>
      <c r="ES106" s="3">
        <f>HYPERLINK("https://my.pitchbook.com?c=494733-43","View Company Online")</f>
      </c>
    </row>
    <row r="107">
      <c r="A107" s="30" t="s">
        <v>2613</v>
      </c>
      <c r="B107" s="30" t="s">
        <v>2614</v>
      </c>
      <c r="C107" s="31">
        <v>2</v>
      </c>
      <c r="D107" s="30" t="s">
        <v>151</v>
      </c>
      <c r="E107" s="30" t="s">
        <v>151</v>
      </c>
      <c r="F107" s="30" t="s">
        <v>2615</v>
      </c>
      <c r="G107" s="30" t="s">
        <v>151</v>
      </c>
      <c r="H107" s="30" t="s">
        <v>151</v>
      </c>
      <c r="I107" s="30" t="s">
        <v>151</v>
      </c>
      <c r="J107" s="30" t="s">
        <v>2613</v>
      </c>
      <c r="K107" s="30" t="s">
        <v>2616</v>
      </c>
      <c r="L107" s="30" t="s">
        <v>205</v>
      </c>
      <c r="M107" s="30" t="s">
        <v>206</v>
      </c>
      <c r="N107" s="30" t="s">
        <v>2484</v>
      </c>
      <c r="O107" s="30" t="s">
        <v>2617</v>
      </c>
      <c r="P107" s="30" t="s">
        <v>2618</v>
      </c>
      <c r="Q107" s="30" t="s">
        <v>2619</v>
      </c>
      <c r="R107" s="30" t="s">
        <v>151</v>
      </c>
      <c r="S107" s="30" t="s">
        <v>162</v>
      </c>
      <c r="T107" s="37">
        <v>0.5</v>
      </c>
      <c r="U107" s="30" t="s">
        <v>163</v>
      </c>
      <c r="V107" s="30" t="s">
        <v>164</v>
      </c>
      <c r="W107" s="30" t="s">
        <v>165</v>
      </c>
      <c r="X107" s="28" t="s">
        <v>2620</v>
      </c>
      <c r="Y107" s="28" t="s">
        <v>2621</v>
      </c>
      <c r="Z107" s="40">
        <v>5</v>
      </c>
      <c r="AA107" s="30" t="s">
        <v>2622</v>
      </c>
      <c r="AB107" s="30" t="s">
        <v>151</v>
      </c>
      <c r="AC107" s="30" t="s">
        <v>151</v>
      </c>
      <c r="AD107" s="39">
        <v>2020</v>
      </c>
      <c r="AE107" s="30" t="s">
        <v>151</v>
      </c>
      <c r="AF107" s="35">
        <v>45504</v>
      </c>
      <c r="AG107" s="30" t="s">
        <v>151</v>
      </c>
      <c r="AH107" s="30" t="s">
        <v>151</v>
      </c>
      <c r="AI107" s="38">
        <v>0.02</v>
      </c>
      <c r="AJ107" s="32" t="s">
        <v>151</v>
      </c>
      <c r="AK107" s="38" t="s">
        <v>151</v>
      </c>
      <c r="AL107" s="38">
        <v>-0.06</v>
      </c>
      <c r="AM107" s="38" t="s">
        <v>151</v>
      </c>
      <c r="AN107" s="38" t="s">
        <v>151</v>
      </c>
      <c r="AO107" s="38" t="s">
        <v>151</v>
      </c>
      <c r="AP107" s="38" t="s">
        <v>151</v>
      </c>
      <c r="AQ107" s="38" t="s">
        <v>151</v>
      </c>
      <c r="AR107" s="29" t="s">
        <v>456</v>
      </c>
      <c r="AS107" s="30" t="s">
        <v>2623</v>
      </c>
      <c r="AT107" s="30" t="s">
        <v>2624</v>
      </c>
      <c r="AU107" s="31">
        <v>4</v>
      </c>
      <c r="AV107" s="30" t="s">
        <v>151</v>
      </c>
      <c r="AW107" s="30" t="s">
        <v>151</v>
      </c>
      <c r="AX107" s="30" t="s">
        <v>151</v>
      </c>
      <c r="AY107" s="30" t="s">
        <v>2625</v>
      </c>
      <c r="AZ107" s="30" t="s">
        <v>151</v>
      </c>
      <c r="BA107" s="30" t="s">
        <v>151</v>
      </c>
      <c r="BB107" s="30" t="s">
        <v>151</v>
      </c>
      <c r="BC107" s="30" t="s">
        <v>2626</v>
      </c>
      <c r="BD107" s="30" t="s">
        <v>2627</v>
      </c>
      <c r="BE107" s="30" t="s">
        <v>2628</v>
      </c>
      <c r="BF107" s="30" t="s">
        <v>493</v>
      </c>
      <c r="BG107" s="30" t="s">
        <v>2629</v>
      </c>
      <c r="BH107" s="30" t="s">
        <v>2630</v>
      </c>
      <c r="BI107" s="30" t="s">
        <v>2631</v>
      </c>
      <c r="BJ107" s="30" t="s">
        <v>2632</v>
      </c>
      <c r="BK107" s="30" t="s">
        <v>151</v>
      </c>
      <c r="BL107" s="30" t="s">
        <v>2633</v>
      </c>
      <c r="BM107" s="30" t="s">
        <v>1576</v>
      </c>
      <c r="BN107" s="29" t="s">
        <v>2634</v>
      </c>
      <c r="BO107" s="30" t="s">
        <v>186</v>
      </c>
      <c r="BP107" s="29" t="s">
        <v>2630</v>
      </c>
      <c r="BQ107" s="29" t="s">
        <v>151</v>
      </c>
      <c r="BR107" s="30" t="s">
        <v>2635</v>
      </c>
      <c r="BS107" s="30" t="s">
        <v>187</v>
      </c>
      <c r="BT107" s="30" t="s">
        <v>188</v>
      </c>
      <c r="BU107" s="35">
        <v>44287</v>
      </c>
      <c r="BV107" s="37">
        <v>0.25</v>
      </c>
      <c r="BW107" s="30" t="s">
        <v>192</v>
      </c>
      <c r="BX107" s="37" t="s">
        <v>151</v>
      </c>
      <c r="BY107" s="30" t="s">
        <v>151</v>
      </c>
      <c r="BZ107" s="30" t="s">
        <v>293</v>
      </c>
      <c r="CA107" s="30" t="s">
        <v>293</v>
      </c>
      <c r="CB107" s="30" t="s">
        <v>151</v>
      </c>
      <c r="CC107" s="30" t="s">
        <v>165</v>
      </c>
      <c r="CD107" s="30" t="s">
        <v>151</v>
      </c>
      <c r="CE107" s="30" t="s">
        <v>191</v>
      </c>
      <c r="CF107" s="35">
        <v>44824</v>
      </c>
      <c r="CG107" s="37">
        <v>0.12</v>
      </c>
      <c r="CH107" s="30" t="s">
        <v>192</v>
      </c>
      <c r="CI107" s="37" t="s">
        <v>151</v>
      </c>
      <c r="CJ107" s="30" t="s">
        <v>151</v>
      </c>
      <c r="CK107" s="29" t="s">
        <v>151</v>
      </c>
      <c r="CL107" s="30" t="s">
        <v>189</v>
      </c>
      <c r="CM107" s="30" t="s">
        <v>151</v>
      </c>
      <c r="CN107" s="30" t="s">
        <v>151</v>
      </c>
      <c r="CO107" s="30" t="s">
        <v>190</v>
      </c>
      <c r="CP107" s="35">
        <v>44824</v>
      </c>
      <c r="CQ107" s="37" t="s">
        <v>151</v>
      </c>
      <c r="CR107" s="30" t="s">
        <v>151</v>
      </c>
      <c r="CS107" s="30" t="s">
        <v>191</v>
      </c>
      <c r="CT107" s="29">
        <v>16</v>
      </c>
      <c r="CU107" s="30" t="s">
        <v>263</v>
      </c>
      <c r="CV107" s="32">
        <v>18</v>
      </c>
      <c r="CW107" s="32">
        <v>82</v>
      </c>
      <c r="CX107" s="30" t="s">
        <v>263</v>
      </c>
      <c r="CY107" s="32">
        <v>1</v>
      </c>
      <c r="CZ107" s="32">
        <v>17</v>
      </c>
      <c r="DA107" s="37" t="s">
        <v>151</v>
      </c>
      <c r="DB107" s="35" t="s">
        <v>151</v>
      </c>
      <c r="DC107" s="30" t="s">
        <v>151</v>
      </c>
      <c r="DD107" s="29" t="s">
        <v>151</v>
      </c>
      <c r="DE107" s="32">
        <v>0.32</v>
      </c>
      <c r="DF107" s="34">
        <v>93</v>
      </c>
      <c r="DG107" s="32">
        <v>0</v>
      </c>
      <c r="DH107" s="32">
        <v>0</v>
      </c>
      <c r="DI107" s="32">
        <v>0.64</v>
      </c>
      <c r="DJ107" s="34">
        <v>95</v>
      </c>
      <c r="DK107" s="32" t="s">
        <v>151</v>
      </c>
      <c r="DL107" s="34" t="s">
        <v>151</v>
      </c>
      <c r="DM107" s="32">
        <v>0.64</v>
      </c>
      <c r="DN107" s="34">
        <v>96</v>
      </c>
      <c r="DO107" s="36">
        <v>6.01</v>
      </c>
      <c r="DP107" s="34">
        <v>85</v>
      </c>
      <c r="DQ107" s="36">
        <v>0</v>
      </c>
      <c r="DR107" s="32">
        <v>0</v>
      </c>
      <c r="DS107" s="36">
        <v>11.63</v>
      </c>
      <c r="DT107" s="34">
        <v>91</v>
      </c>
      <c r="DU107" s="36" t="s">
        <v>151</v>
      </c>
      <c r="DV107" s="34" t="s">
        <v>151</v>
      </c>
      <c r="DW107" s="36">
        <v>11.63</v>
      </c>
      <c r="DX107" s="34">
        <v>91</v>
      </c>
      <c r="DY107" s="31" t="s">
        <v>151</v>
      </c>
      <c r="DZ107" s="35" t="s">
        <v>151</v>
      </c>
      <c r="EA107" s="35" t="s">
        <v>151</v>
      </c>
      <c r="EB107" s="34">
        <v>769</v>
      </c>
      <c r="EC107" s="33">
        <v>45</v>
      </c>
      <c r="ED107" s="32">
        <v>6.22</v>
      </c>
      <c r="EE107" s="34">
        <v>221</v>
      </c>
      <c r="EF107" s="33">
        <v>0</v>
      </c>
      <c r="EG107" s="32">
        <v>0</v>
      </c>
      <c r="EH107" s="29" t="s">
        <v>198</v>
      </c>
      <c r="EI107" s="30" t="s">
        <v>151</v>
      </c>
      <c r="EJ107" s="30" t="s">
        <v>151</v>
      </c>
      <c r="EK107" s="31">
        <v>1</v>
      </c>
      <c r="EL107" s="31">
        <v>2</v>
      </c>
      <c r="EM107" s="31" t="s">
        <v>151</v>
      </c>
      <c r="EN107" s="31" t="s">
        <v>151</v>
      </c>
      <c r="EO107" s="31" t="s">
        <v>151</v>
      </c>
      <c r="EP107" s="30" t="s">
        <v>233</v>
      </c>
      <c r="EQ107" s="29" t="s">
        <v>151</v>
      </c>
      <c r="ER107" s="29" t="s">
        <v>151</v>
      </c>
      <c r="ES107" s="4">
        <f>HYPERLINK("https://my.pitchbook.com?c=491562-28","View Company Online")</f>
      </c>
    </row>
    <row r="108">
      <c r="A108" s="17" t="s">
        <v>2636</v>
      </c>
      <c r="B108" s="17" t="s">
        <v>2637</v>
      </c>
      <c r="C108" s="18">
        <v>2</v>
      </c>
      <c r="D108" s="17" t="s">
        <v>151</v>
      </c>
      <c r="E108" s="17" t="s">
        <v>151</v>
      </c>
      <c r="F108" s="17" t="s">
        <v>2638</v>
      </c>
      <c r="G108" s="17" t="s">
        <v>151</v>
      </c>
      <c r="H108" s="17" t="s">
        <v>151</v>
      </c>
      <c r="I108" s="17" t="s">
        <v>151</v>
      </c>
      <c r="J108" s="17" t="s">
        <v>2636</v>
      </c>
      <c r="K108" s="17" t="s">
        <v>2639</v>
      </c>
      <c r="L108" s="17" t="s">
        <v>205</v>
      </c>
      <c r="M108" s="17" t="s">
        <v>206</v>
      </c>
      <c r="N108" s="17" t="s">
        <v>269</v>
      </c>
      <c r="O108" s="17" t="s">
        <v>563</v>
      </c>
      <c r="P108" s="17" t="s">
        <v>2640</v>
      </c>
      <c r="Q108" s="17" t="s">
        <v>2641</v>
      </c>
      <c r="R108" s="17" t="s">
        <v>151</v>
      </c>
      <c r="S108" s="17" t="s">
        <v>162</v>
      </c>
      <c r="T108" s="24">
        <v>6</v>
      </c>
      <c r="U108" s="17" t="s">
        <v>163</v>
      </c>
      <c r="V108" s="17" t="s">
        <v>164</v>
      </c>
      <c r="W108" s="17" t="s">
        <v>165</v>
      </c>
      <c r="X108" s="15" t="s">
        <v>2642</v>
      </c>
      <c r="Y108" s="15" t="s">
        <v>2643</v>
      </c>
      <c r="Z108" s="27">
        <v>36</v>
      </c>
      <c r="AA108" s="17" t="s">
        <v>2644</v>
      </c>
      <c r="AB108" s="17" t="s">
        <v>151</v>
      </c>
      <c r="AC108" s="17" t="s">
        <v>151</v>
      </c>
      <c r="AD108" s="26">
        <v>2020</v>
      </c>
      <c r="AE108" s="17" t="s">
        <v>151</v>
      </c>
      <c r="AF108" s="22">
        <v>45559</v>
      </c>
      <c r="AG108" s="17" t="s">
        <v>151</v>
      </c>
      <c r="AH108" s="17" t="s">
        <v>151</v>
      </c>
      <c r="AI108" s="25" t="s">
        <v>151</v>
      </c>
      <c r="AJ108" s="19" t="s">
        <v>151</v>
      </c>
      <c r="AK108" s="25" t="s">
        <v>151</v>
      </c>
      <c r="AL108" s="25" t="s">
        <v>151</v>
      </c>
      <c r="AM108" s="25" t="s">
        <v>151</v>
      </c>
      <c r="AN108" s="25" t="s">
        <v>151</v>
      </c>
      <c r="AO108" s="25" t="s">
        <v>151</v>
      </c>
      <c r="AP108" s="25" t="s">
        <v>151</v>
      </c>
      <c r="AQ108" s="25" t="s">
        <v>151</v>
      </c>
      <c r="AR108" s="16" t="s">
        <v>151</v>
      </c>
      <c r="AS108" s="17" t="s">
        <v>2645</v>
      </c>
      <c r="AT108" s="17" t="s">
        <v>2646</v>
      </c>
      <c r="AU108" s="18">
        <v>12</v>
      </c>
      <c r="AV108" s="17" t="s">
        <v>151</v>
      </c>
      <c r="AW108" s="17" t="s">
        <v>151</v>
      </c>
      <c r="AX108" s="17" t="s">
        <v>151</v>
      </c>
      <c r="AY108" s="17" t="s">
        <v>2647</v>
      </c>
      <c r="AZ108" s="17" t="s">
        <v>151</v>
      </c>
      <c r="BA108" s="17" t="s">
        <v>151</v>
      </c>
      <c r="BB108" s="17" t="s">
        <v>151</v>
      </c>
      <c r="BC108" s="17" t="s">
        <v>151</v>
      </c>
      <c r="BD108" s="17" t="s">
        <v>2648</v>
      </c>
      <c r="BE108" s="17" t="s">
        <v>2649</v>
      </c>
      <c r="BF108" s="17" t="s">
        <v>221</v>
      </c>
      <c r="BG108" s="17" t="s">
        <v>2650</v>
      </c>
      <c r="BH108" s="17" t="s">
        <v>2651</v>
      </c>
      <c r="BI108" s="17" t="s">
        <v>2652</v>
      </c>
      <c r="BJ108" s="17" t="s">
        <v>2653</v>
      </c>
      <c r="BK108" s="17" t="s">
        <v>151</v>
      </c>
      <c r="BL108" s="17" t="s">
        <v>2654</v>
      </c>
      <c r="BM108" s="17" t="s">
        <v>1576</v>
      </c>
      <c r="BN108" s="16" t="s">
        <v>2655</v>
      </c>
      <c r="BO108" s="17" t="s">
        <v>186</v>
      </c>
      <c r="BP108" s="16" t="s">
        <v>2651</v>
      </c>
      <c r="BQ108" s="16" t="s">
        <v>151</v>
      </c>
      <c r="BR108" s="17" t="s">
        <v>151</v>
      </c>
      <c r="BS108" s="17" t="s">
        <v>187</v>
      </c>
      <c r="BT108" s="17" t="s">
        <v>188</v>
      </c>
      <c r="BU108" s="22">
        <v>43983</v>
      </c>
      <c r="BV108" s="24">
        <v>1</v>
      </c>
      <c r="BW108" s="17" t="s">
        <v>192</v>
      </c>
      <c r="BX108" s="24">
        <v>4</v>
      </c>
      <c r="BY108" s="17" t="s">
        <v>192</v>
      </c>
      <c r="BZ108" s="17" t="s">
        <v>293</v>
      </c>
      <c r="CA108" s="17" t="s">
        <v>293</v>
      </c>
      <c r="CB108" s="17" t="s">
        <v>151</v>
      </c>
      <c r="CC108" s="17" t="s">
        <v>165</v>
      </c>
      <c r="CD108" s="17" t="s">
        <v>151</v>
      </c>
      <c r="CE108" s="17" t="s">
        <v>191</v>
      </c>
      <c r="CF108" s="22">
        <v>44571</v>
      </c>
      <c r="CG108" s="24">
        <v>5</v>
      </c>
      <c r="CH108" s="17" t="s">
        <v>192</v>
      </c>
      <c r="CI108" s="24">
        <v>25</v>
      </c>
      <c r="CJ108" s="17" t="s">
        <v>192</v>
      </c>
      <c r="CK108" s="16">
        <v>5</v>
      </c>
      <c r="CL108" s="17" t="s">
        <v>293</v>
      </c>
      <c r="CM108" s="17" t="s">
        <v>293</v>
      </c>
      <c r="CN108" s="17" t="s">
        <v>151</v>
      </c>
      <c r="CO108" s="17" t="s">
        <v>165</v>
      </c>
      <c r="CP108" s="22">
        <v>44571</v>
      </c>
      <c r="CQ108" s="24" t="s">
        <v>151</v>
      </c>
      <c r="CR108" s="17" t="s">
        <v>151</v>
      </c>
      <c r="CS108" s="17" t="s">
        <v>191</v>
      </c>
      <c r="CT108" s="16">
        <v>72</v>
      </c>
      <c r="CU108" s="17" t="s">
        <v>196</v>
      </c>
      <c r="CV108" s="19">
        <v>67</v>
      </c>
      <c r="CW108" s="19">
        <v>33</v>
      </c>
      <c r="CX108" s="17" t="s">
        <v>294</v>
      </c>
      <c r="CY108" s="19">
        <v>1</v>
      </c>
      <c r="CZ108" s="19">
        <v>66</v>
      </c>
      <c r="DA108" s="24">
        <v>25</v>
      </c>
      <c r="DB108" s="22">
        <v>44571</v>
      </c>
      <c r="DC108" s="17" t="s">
        <v>293</v>
      </c>
      <c r="DD108" s="16">
        <v>5</v>
      </c>
      <c r="DE108" s="19">
        <v>0.69</v>
      </c>
      <c r="DF108" s="21">
        <v>95</v>
      </c>
      <c r="DG108" s="19">
        <v>0</v>
      </c>
      <c r="DH108" s="19">
        <v>0</v>
      </c>
      <c r="DI108" s="19">
        <v>1.02</v>
      </c>
      <c r="DJ108" s="21">
        <v>96</v>
      </c>
      <c r="DK108" s="19" t="s">
        <v>151</v>
      </c>
      <c r="DL108" s="21" t="s">
        <v>151</v>
      </c>
      <c r="DM108" s="19">
        <v>1.02</v>
      </c>
      <c r="DN108" s="21">
        <v>97</v>
      </c>
      <c r="DO108" s="23">
        <v>11.88</v>
      </c>
      <c r="DP108" s="21">
        <v>92</v>
      </c>
      <c r="DQ108" s="23">
        <v>0</v>
      </c>
      <c r="DR108" s="19">
        <v>0</v>
      </c>
      <c r="DS108" s="23">
        <v>21</v>
      </c>
      <c r="DT108" s="21">
        <v>95</v>
      </c>
      <c r="DU108" s="23" t="s">
        <v>151</v>
      </c>
      <c r="DV108" s="21" t="s">
        <v>151</v>
      </c>
      <c r="DW108" s="23">
        <v>21</v>
      </c>
      <c r="DX108" s="21">
        <v>95</v>
      </c>
      <c r="DY108" s="18" t="s">
        <v>151</v>
      </c>
      <c r="DZ108" s="22" t="s">
        <v>151</v>
      </c>
      <c r="EA108" s="22" t="s">
        <v>151</v>
      </c>
      <c r="EB108" s="21">
        <v>2575</v>
      </c>
      <c r="EC108" s="20">
        <v>222</v>
      </c>
      <c r="ED108" s="19">
        <v>9.43</v>
      </c>
      <c r="EE108" s="21">
        <v>399</v>
      </c>
      <c r="EF108" s="20">
        <v>3</v>
      </c>
      <c r="EG108" s="19">
        <v>0.76</v>
      </c>
      <c r="EH108" s="16" t="s">
        <v>198</v>
      </c>
      <c r="EI108" s="17" t="s">
        <v>151</v>
      </c>
      <c r="EJ108" s="17" t="s">
        <v>151</v>
      </c>
      <c r="EK108" s="18">
        <v>2</v>
      </c>
      <c r="EL108" s="18">
        <v>2</v>
      </c>
      <c r="EM108" s="18" t="s">
        <v>151</v>
      </c>
      <c r="EN108" s="18" t="s">
        <v>151</v>
      </c>
      <c r="EO108" s="18" t="s">
        <v>151</v>
      </c>
      <c r="EP108" s="17" t="s">
        <v>2656</v>
      </c>
      <c r="EQ108" s="16" t="s">
        <v>151</v>
      </c>
      <c r="ER108" s="16" t="s">
        <v>151</v>
      </c>
      <c r="ES108" s="3">
        <f>HYPERLINK("https://my.pitchbook.com?c=458694-73","View Company Online")</f>
      </c>
    </row>
    <row r="109">
      <c r="A109" s="30" t="s">
        <v>2657</v>
      </c>
      <c r="B109" s="30" t="s">
        <v>2658</v>
      </c>
      <c r="C109" s="31">
        <v>1</v>
      </c>
      <c r="D109" s="30" t="s">
        <v>151</v>
      </c>
      <c r="E109" s="30" t="s">
        <v>151</v>
      </c>
      <c r="F109" s="30" t="s">
        <v>2659</v>
      </c>
      <c r="G109" s="30" t="s">
        <v>151</v>
      </c>
      <c r="H109" s="30" t="s">
        <v>151</v>
      </c>
      <c r="I109" s="30" t="s">
        <v>151</v>
      </c>
      <c r="J109" s="30" t="s">
        <v>2657</v>
      </c>
      <c r="K109" s="30" t="s">
        <v>2660</v>
      </c>
      <c r="L109" s="30" t="s">
        <v>205</v>
      </c>
      <c r="M109" s="30" t="s">
        <v>206</v>
      </c>
      <c r="N109" s="30" t="s">
        <v>269</v>
      </c>
      <c r="O109" s="30" t="s">
        <v>2661</v>
      </c>
      <c r="P109" s="30" t="s">
        <v>2662</v>
      </c>
      <c r="Q109" s="30" t="s">
        <v>2663</v>
      </c>
      <c r="R109" s="30" t="s">
        <v>151</v>
      </c>
      <c r="S109" s="30" t="s">
        <v>162</v>
      </c>
      <c r="T109" s="37">
        <v>5.3</v>
      </c>
      <c r="U109" s="30" t="s">
        <v>163</v>
      </c>
      <c r="V109" s="30" t="s">
        <v>164</v>
      </c>
      <c r="W109" s="30" t="s">
        <v>165</v>
      </c>
      <c r="X109" s="28" t="s">
        <v>2664</v>
      </c>
      <c r="Y109" s="28" t="s">
        <v>2665</v>
      </c>
      <c r="Z109" s="40">
        <v>13</v>
      </c>
      <c r="AA109" s="30" t="s">
        <v>2666</v>
      </c>
      <c r="AB109" s="30" t="s">
        <v>151</v>
      </c>
      <c r="AC109" s="30" t="s">
        <v>151</v>
      </c>
      <c r="AD109" s="39">
        <v>2019</v>
      </c>
      <c r="AE109" s="30" t="s">
        <v>151</v>
      </c>
      <c r="AF109" s="35">
        <v>45595</v>
      </c>
      <c r="AG109" s="30" t="s">
        <v>151</v>
      </c>
      <c r="AH109" s="30" t="s">
        <v>151</v>
      </c>
      <c r="AI109" s="38" t="s">
        <v>151</v>
      </c>
      <c r="AJ109" s="32" t="s">
        <v>151</v>
      </c>
      <c r="AK109" s="38" t="s">
        <v>151</v>
      </c>
      <c r="AL109" s="38" t="s">
        <v>151</v>
      </c>
      <c r="AM109" s="38" t="s">
        <v>151</v>
      </c>
      <c r="AN109" s="38" t="s">
        <v>151</v>
      </c>
      <c r="AO109" s="38" t="s">
        <v>151</v>
      </c>
      <c r="AP109" s="38" t="s">
        <v>151</v>
      </c>
      <c r="AQ109" s="38" t="s">
        <v>151</v>
      </c>
      <c r="AR109" s="29" t="s">
        <v>151</v>
      </c>
      <c r="AS109" s="30" t="s">
        <v>2667</v>
      </c>
      <c r="AT109" s="30" t="s">
        <v>2668</v>
      </c>
      <c r="AU109" s="31">
        <v>7</v>
      </c>
      <c r="AV109" s="30" t="s">
        <v>151</v>
      </c>
      <c r="AW109" s="30" t="s">
        <v>2669</v>
      </c>
      <c r="AX109" s="30" t="s">
        <v>151</v>
      </c>
      <c r="AY109" s="30" t="s">
        <v>2670</v>
      </c>
      <c r="AZ109" s="30" t="s">
        <v>2671</v>
      </c>
      <c r="BA109" s="30" t="s">
        <v>151</v>
      </c>
      <c r="BB109" s="30" t="s">
        <v>151</v>
      </c>
      <c r="BC109" s="30" t="s">
        <v>151</v>
      </c>
      <c r="BD109" s="30" t="s">
        <v>2672</v>
      </c>
      <c r="BE109" s="30" t="s">
        <v>2673</v>
      </c>
      <c r="BF109" s="30" t="s">
        <v>2674</v>
      </c>
      <c r="BG109" s="30" t="s">
        <v>2675</v>
      </c>
      <c r="BH109" s="30" t="s">
        <v>2676</v>
      </c>
      <c r="BI109" s="30" t="s">
        <v>378</v>
      </c>
      <c r="BJ109" s="30" t="s">
        <v>2677</v>
      </c>
      <c r="BK109" s="30" t="s">
        <v>2678</v>
      </c>
      <c r="BL109" s="30" t="s">
        <v>381</v>
      </c>
      <c r="BM109" s="30" t="s">
        <v>289</v>
      </c>
      <c r="BN109" s="29" t="s">
        <v>382</v>
      </c>
      <c r="BO109" s="30" t="s">
        <v>186</v>
      </c>
      <c r="BP109" s="29" t="s">
        <v>2679</v>
      </c>
      <c r="BQ109" s="29" t="s">
        <v>151</v>
      </c>
      <c r="BR109" s="30" t="s">
        <v>2680</v>
      </c>
      <c r="BS109" s="30" t="s">
        <v>187</v>
      </c>
      <c r="BT109" s="30" t="s">
        <v>188</v>
      </c>
      <c r="BU109" s="35" t="s">
        <v>151</v>
      </c>
      <c r="BV109" s="37">
        <v>0.8</v>
      </c>
      <c r="BW109" s="30" t="s">
        <v>192</v>
      </c>
      <c r="BX109" s="37" t="s">
        <v>151</v>
      </c>
      <c r="BY109" s="30" t="s">
        <v>151</v>
      </c>
      <c r="BZ109" s="30" t="s">
        <v>1075</v>
      </c>
      <c r="CA109" s="30" t="s">
        <v>1075</v>
      </c>
      <c r="CB109" s="30" t="s">
        <v>151</v>
      </c>
      <c r="CC109" s="30" t="s">
        <v>585</v>
      </c>
      <c r="CD109" s="30" t="s">
        <v>151</v>
      </c>
      <c r="CE109" s="30" t="s">
        <v>191</v>
      </c>
      <c r="CF109" s="35" t="s">
        <v>151</v>
      </c>
      <c r="CG109" s="37" t="s">
        <v>151</v>
      </c>
      <c r="CH109" s="30" t="s">
        <v>151</v>
      </c>
      <c r="CI109" s="37" t="s">
        <v>151</v>
      </c>
      <c r="CJ109" s="30" t="s">
        <v>151</v>
      </c>
      <c r="CK109" s="29" t="s">
        <v>151</v>
      </c>
      <c r="CL109" s="30" t="s">
        <v>911</v>
      </c>
      <c r="CM109" s="30" t="s">
        <v>151</v>
      </c>
      <c r="CN109" s="30" t="s">
        <v>151</v>
      </c>
      <c r="CO109" s="30" t="s">
        <v>165</v>
      </c>
      <c r="CP109" s="35" t="s">
        <v>151</v>
      </c>
      <c r="CQ109" s="37" t="s">
        <v>151</v>
      </c>
      <c r="CR109" s="30" t="s">
        <v>151</v>
      </c>
      <c r="CS109" s="30" t="s">
        <v>191</v>
      </c>
      <c r="CT109" s="29">
        <v>66</v>
      </c>
      <c r="CU109" s="30" t="s">
        <v>196</v>
      </c>
      <c r="CV109" s="32">
        <v>62</v>
      </c>
      <c r="CW109" s="32">
        <v>38</v>
      </c>
      <c r="CX109" s="30" t="s">
        <v>294</v>
      </c>
      <c r="CY109" s="32">
        <v>1</v>
      </c>
      <c r="CZ109" s="32">
        <v>61</v>
      </c>
      <c r="DA109" s="37" t="s">
        <v>151</v>
      </c>
      <c r="DB109" s="35" t="s">
        <v>151</v>
      </c>
      <c r="DC109" s="30" t="s">
        <v>151</v>
      </c>
      <c r="DD109" s="29" t="s">
        <v>151</v>
      </c>
      <c r="DE109" s="32">
        <v>0</v>
      </c>
      <c r="DF109" s="34">
        <v>11</v>
      </c>
      <c r="DG109" s="32">
        <v>0</v>
      </c>
      <c r="DH109" s="32">
        <v>0</v>
      </c>
      <c r="DI109" s="32">
        <v>0</v>
      </c>
      <c r="DJ109" s="34">
        <v>10</v>
      </c>
      <c r="DK109" s="32" t="s">
        <v>151</v>
      </c>
      <c r="DL109" s="34" t="s">
        <v>151</v>
      </c>
      <c r="DM109" s="32">
        <v>0</v>
      </c>
      <c r="DN109" s="34">
        <v>10</v>
      </c>
      <c r="DO109" s="36">
        <v>1.63</v>
      </c>
      <c r="DP109" s="34">
        <v>61</v>
      </c>
      <c r="DQ109" s="36">
        <v>0</v>
      </c>
      <c r="DR109" s="32">
        <v>0</v>
      </c>
      <c r="DS109" s="36">
        <v>2.26</v>
      </c>
      <c r="DT109" s="34">
        <v>69</v>
      </c>
      <c r="DU109" s="36" t="s">
        <v>151</v>
      </c>
      <c r="DV109" s="34" t="s">
        <v>151</v>
      </c>
      <c r="DW109" s="36">
        <v>2.26</v>
      </c>
      <c r="DX109" s="34">
        <v>68</v>
      </c>
      <c r="DY109" s="31" t="s">
        <v>151</v>
      </c>
      <c r="DZ109" s="35" t="s">
        <v>151</v>
      </c>
      <c r="EA109" s="35" t="s">
        <v>151</v>
      </c>
      <c r="EB109" s="34">
        <v>273</v>
      </c>
      <c r="EC109" s="33">
        <v>-84</v>
      </c>
      <c r="ED109" s="32">
        <v>-23.53</v>
      </c>
      <c r="EE109" s="34">
        <v>43</v>
      </c>
      <c r="EF109" s="33">
        <v>0</v>
      </c>
      <c r="EG109" s="32">
        <v>0</v>
      </c>
      <c r="EH109" s="29" t="s">
        <v>198</v>
      </c>
      <c r="EI109" s="30" t="s">
        <v>151</v>
      </c>
      <c r="EJ109" s="30" t="s">
        <v>151</v>
      </c>
      <c r="EK109" s="31">
        <v>1</v>
      </c>
      <c r="EL109" s="31" t="s">
        <v>151</v>
      </c>
      <c r="EM109" s="31" t="s">
        <v>151</v>
      </c>
      <c r="EN109" s="31" t="s">
        <v>151</v>
      </c>
      <c r="EO109" s="31">
        <v>1</v>
      </c>
      <c r="EP109" s="30" t="s">
        <v>151</v>
      </c>
      <c r="EQ109" s="29" t="s">
        <v>151</v>
      </c>
      <c r="ER109" s="29" t="s">
        <v>151</v>
      </c>
      <c r="ES109" s="4">
        <f>HYPERLINK("https://my.pitchbook.com?c=463295-80","View Company Online")</f>
      </c>
    </row>
    <row r="110">
      <c r="A110" s="17" t="s">
        <v>2681</v>
      </c>
      <c r="B110" s="17" t="s">
        <v>2682</v>
      </c>
      <c r="C110" s="18">
        <v>1</v>
      </c>
      <c r="D110" s="17" t="s">
        <v>151</v>
      </c>
      <c r="E110" s="17" t="s">
        <v>151</v>
      </c>
      <c r="F110" s="17" t="s">
        <v>2683</v>
      </c>
      <c r="G110" s="17" t="s">
        <v>151</v>
      </c>
      <c r="H110" s="17" t="s">
        <v>151</v>
      </c>
      <c r="I110" s="17" t="s">
        <v>2684</v>
      </c>
      <c r="J110" s="17" t="s">
        <v>2681</v>
      </c>
      <c r="K110" s="17" t="s">
        <v>2685</v>
      </c>
      <c r="L110" s="17" t="s">
        <v>205</v>
      </c>
      <c r="M110" s="17" t="s">
        <v>206</v>
      </c>
      <c r="N110" s="17" t="s">
        <v>1082</v>
      </c>
      <c r="O110" s="17" t="s">
        <v>2686</v>
      </c>
      <c r="P110" s="17" t="s">
        <v>1608</v>
      </c>
      <c r="Q110" s="17" t="s">
        <v>2687</v>
      </c>
      <c r="R110" s="17" t="s">
        <v>151</v>
      </c>
      <c r="S110" s="17" t="s">
        <v>162</v>
      </c>
      <c r="T110" s="24">
        <v>6.5</v>
      </c>
      <c r="U110" s="17" t="s">
        <v>163</v>
      </c>
      <c r="V110" s="17" t="s">
        <v>164</v>
      </c>
      <c r="W110" s="17" t="s">
        <v>165</v>
      </c>
      <c r="X110" s="15" t="s">
        <v>2688</v>
      </c>
      <c r="Y110" s="15" t="s">
        <v>2689</v>
      </c>
      <c r="Z110" s="27">
        <v>25</v>
      </c>
      <c r="AA110" s="17" t="s">
        <v>2690</v>
      </c>
      <c r="AB110" s="17" t="s">
        <v>151</v>
      </c>
      <c r="AC110" s="17" t="s">
        <v>151</v>
      </c>
      <c r="AD110" s="26">
        <v>2018</v>
      </c>
      <c r="AE110" s="17" t="s">
        <v>151</v>
      </c>
      <c r="AF110" s="22">
        <v>45569</v>
      </c>
      <c r="AG110" s="17" t="s">
        <v>151</v>
      </c>
      <c r="AH110" s="17" t="s">
        <v>151</v>
      </c>
      <c r="AI110" s="25" t="s">
        <v>151</v>
      </c>
      <c r="AJ110" s="19" t="s">
        <v>151</v>
      </c>
      <c r="AK110" s="25" t="s">
        <v>151</v>
      </c>
      <c r="AL110" s="25" t="s">
        <v>151</v>
      </c>
      <c r="AM110" s="25" t="s">
        <v>151</v>
      </c>
      <c r="AN110" s="25" t="s">
        <v>151</v>
      </c>
      <c r="AO110" s="25" t="s">
        <v>151</v>
      </c>
      <c r="AP110" s="25" t="s">
        <v>151</v>
      </c>
      <c r="AQ110" s="25" t="s">
        <v>151</v>
      </c>
      <c r="AR110" s="16" t="s">
        <v>151</v>
      </c>
      <c r="AS110" s="17" t="s">
        <v>2691</v>
      </c>
      <c r="AT110" s="17" t="s">
        <v>2692</v>
      </c>
      <c r="AU110" s="18">
        <v>12</v>
      </c>
      <c r="AV110" s="17" t="s">
        <v>151</v>
      </c>
      <c r="AW110" s="17" t="s">
        <v>151</v>
      </c>
      <c r="AX110" s="17" t="s">
        <v>151</v>
      </c>
      <c r="AY110" s="17" t="s">
        <v>2693</v>
      </c>
      <c r="AZ110" s="17" t="s">
        <v>151</v>
      </c>
      <c r="BA110" s="17" t="s">
        <v>151</v>
      </c>
      <c r="BB110" s="17" t="s">
        <v>151</v>
      </c>
      <c r="BC110" s="17" t="s">
        <v>2694</v>
      </c>
      <c r="BD110" s="17" t="s">
        <v>2695</v>
      </c>
      <c r="BE110" s="17" t="s">
        <v>2696</v>
      </c>
      <c r="BF110" s="17" t="s">
        <v>493</v>
      </c>
      <c r="BG110" s="17" t="s">
        <v>2697</v>
      </c>
      <c r="BH110" s="17" t="s">
        <v>2698</v>
      </c>
      <c r="BI110" s="17" t="s">
        <v>906</v>
      </c>
      <c r="BJ110" s="17" t="s">
        <v>2699</v>
      </c>
      <c r="BK110" s="17" t="s">
        <v>936</v>
      </c>
      <c r="BL110" s="17" t="s">
        <v>259</v>
      </c>
      <c r="BM110" s="17" t="s">
        <v>259</v>
      </c>
      <c r="BN110" s="16" t="s">
        <v>2700</v>
      </c>
      <c r="BO110" s="17" t="s">
        <v>186</v>
      </c>
      <c r="BP110" s="16" t="s">
        <v>2698</v>
      </c>
      <c r="BQ110" s="16" t="s">
        <v>151</v>
      </c>
      <c r="BR110" s="17" t="s">
        <v>2701</v>
      </c>
      <c r="BS110" s="17" t="s">
        <v>187</v>
      </c>
      <c r="BT110" s="17" t="s">
        <v>188</v>
      </c>
      <c r="BU110" s="22">
        <v>43101</v>
      </c>
      <c r="BV110" s="24" t="s">
        <v>151</v>
      </c>
      <c r="BW110" s="17" t="s">
        <v>151</v>
      </c>
      <c r="BX110" s="24" t="s">
        <v>151</v>
      </c>
      <c r="BY110" s="17" t="s">
        <v>151</v>
      </c>
      <c r="BZ110" s="17" t="s">
        <v>189</v>
      </c>
      <c r="CA110" s="17" t="s">
        <v>151</v>
      </c>
      <c r="CB110" s="17" t="s">
        <v>151</v>
      </c>
      <c r="CC110" s="17" t="s">
        <v>190</v>
      </c>
      <c r="CD110" s="17" t="s">
        <v>151</v>
      </c>
      <c r="CE110" s="17" t="s">
        <v>191</v>
      </c>
      <c r="CF110" s="22">
        <v>45216</v>
      </c>
      <c r="CG110" s="24">
        <v>3</v>
      </c>
      <c r="CH110" s="17" t="s">
        <v>192</v>
      </c>
      <c r="CI110" s="24">
        <v>22</v>
      </c>
      <c r="CJ110" s="17" t="s">
        <v>192</v>
      </c>
      <c r="CK110" s="16">
        <v>1.58</v>
      </c>
      <c r="CL110" s="17" t="s">
        <v>293</v>
      </c>
      <c r="CM110" s="17" t="s">
        <v>293</v>
      </c>
      <c r="CN110" s="17" t="s">
        <v>151</v>
      </c>
      <c r="CO110" s="17" t="s">
        <v>165</v>
      </c>
      <c r="CP110" s="22">
        <v>45216</v>
      </c>
      <c r="CQ110" s="24" t="s">
        <v>151</v>
      </c>
      <c r="CR110" s="17" t="s">
        <v>151</v>
      </c>
      <c r="CS110" s="17" t="s">
        <v>191</v>
      </c>
      <c r="CT110" s="16">
        <v>88</v>
      </c>
      <c r="CU110" s="17" t="s">
        <v>196</v>
      </c>
      <c r="CV110" s="19">
        <v>80</v>
      </c>
      <c r="CW110" s="19">
        <v>20</v>
      </c>
      <c r="CX110" s="17" t="s">
        <v>294</v>
      </c>
      <c r="CY110" s="19">
        <v>1</v>
      </c>
      <c r="CZ110" s="19">
        <v>79</v>
      </c>
      <c r="DA110" s="24">
        <v>22</v>
      </c>
      <c r="DB110" s="22">
        <v>45216</v>
      </c>
      <c r="DC110" s="17" t="s">
        <v>293</v>
      </c>
      <c r="DD110" s="16">
        <v>1.58</v>
      </c>
      <c r="DE110" s="19">
        <v>0</v>
      </c>
      <c r="DF110" s="21">
        <v>11</v>
      </c>
      <c r="DG110" s="19">
        <v>0</v>
      </c>
      <c r="DH110" s="19">
        <v>0</v>
      </c>
      <c r="DI110" s="19" t="s">
        <v>151</v>
      </c>
      <c r="DJ110" s="21" t="s">
        <v>151</v>
      </c>
      <c r="DK110" s="19" t="s">
        <v>151</v>
      </c>
      <c r="DL110" s="21" t="s">
        <v>151</v>
      </c>
      <c r="DM110" s="19" t="s">
        <v>151</v>
      </c>
      <c r="DN110" s="21" t="s">
        <v>151</v>
      </c>
      <c r="DO110" s="23">
        <v>1.92</v>
      </c>
      <c r="DP110" s="21">
        <v>65</v>
      </c>
      <c r="DQ110" s="23">
        <v>0</v>
      </c>
      <c r="DR110" s="19">
        <v>0</v>
      </c>
      <c r="DS110" s="23" t="s">
        <v>151</v>
      </c>
      <c r="DT110" s="21" t="s">
        <v>151</v>
      </c>
      <c r="DU110" s="23" t="s">
        <v>151</v>
      </c>
      <c r="DV110" s="21" t="s">
        <v>151</v>
      </c>
      <c r="DW110" s="23" t="s">
        <v>151</v>
      </c>
      <c r="DX110" s="21" t="s">
        <v>151</v>
      </c>
      <c r="DY110" s="18" t="s">
        <v>151</v>
      </c>
      <c r="DZ110" s="22" t="s">
        <v>151</v>
      </c>
      <c r="EA110" s="22" t="s">
        <v>151</v>
      </c>
      <c r="EB110" s="21" t="s">
        <v>151</v>
      </c>
      <c r="EC110" s="20" t="s">
        <v>151</v>
      </c>
      <c r="ED110" s="19" t="s">
        <v>151</v>
      </c>
      <c r="EE110" s="21" t="s">
        <v>151</v>
      </c>
      <c r="EF110" s="20" t="s">
        <v>151</v>
      </c>
      <c r="EG110" s="19" t="s">
        <v>151</v>
      </c>
      <c r="EH110" s="16" t="s">
        <v>198</v>
      </c>
      <c r="EI110" s="17" t="s">
        <v>151</v>
      </c>
      <c r="EJ110" s="17" t="s">
        <v>151</v>
      </c>
      <c r="EK110" s="18">
        <v>1</v>
      </c>
      <c r="EL110" s="18" t="s">
        <v>151</v>
      </c>
      <c r="EM110" s="18">
        <v>1</v>
      </c>
      <c r="EN110" s="18" t="s">
        <v>151</v>
      </c>
      <c r="EO110" s="18" t="s">
        <v>151</v>
      </c>
      <c r="EP110" s="17" t="s">
        <v>295</v>
      </c>
      <c r="EQ110" s="16" t="s">
        <v>151</v>
      </c>
      <c r="ER110" s="16" t="s">
        <v>151</v>
      </c>
      <c r="ES110" s="3">
        <f>HYPERLINK("https://my.pitchbook.com?c=277241-41","View Company Online")</f>
      </c>
    </row>
    <row r="111">
      <c r="A111" s="30" t="s">
        <v>2702</v>
      </c>
      <c r="B111" s="30" t="s">
        <v>2703</v>
      </c>
      <c r="C111" s="31">
        <v>1</v>
      </c>
      <c r="D111" s="30" t="s">
        <v>151</v>
      </c>
      <c r="E111" s="30" t="s">
        <v>2704</v>
      </c>
      <c r="F111" s="30" t="s">
        <v>2705</v>
      </c>
      <c r="G111" s="30" t="s">
        <v>151</v>
      </c>
      <c r="H111" s="30" t="s">
        <v>151</v>
      </c>
      <c r="I111" s="30" t="s">
        <v>151</v>
      </c>
      <c r="J111" s="30" t="s">
        <v>2702</v>
      </c>
      <c r="K111" s="30" t="s">
        <v>2706</v>
      </c>
      <c r="L111" s="30" t="s">
        <v>205</v>
      </c>
      <c r="M111" s="30" t="s">
        <v>206</v>
      </c>
      <c r="N111" s="30" t="s">
        <v>207</v>
      </c>
      <c r="O111" s="30" t="s">
        <v>2707</v>
      </c>
      <c r="P111" s="30" t="s">
        <v>2708</v>
      </c>
      <c r="Q111" s="30" t="s">
        <v>2709</v>
      </c>
      <c r="R111" s="30" t="s">
        <v>151</v>
      </c>
      <c r="S111" s="30" t="s">
        <v>162</v>
      </c>
      <c r="T111" s="37">
        <v>68</v>
      </c>
      <c r="U111" s="30" t="s">
        <v>163</v>
      </c>
      <c r="V111" s="30" t="s">
        <v>164</v>
      </c>
      <c r="W111" s="30" t="s">
        <v>165</v>
      </c>
      <c r="X111" s="28" t="s">
        <v>2710</v>
      </c>
      <c r="Y111" s="28" t="s">
        <v>2711</v>
      </c>
      <c r="Z111" s="40">
        <v>300</v>
      </c>
      <c r="AA111" s="30" t="s">
        <v>2712</v>
      </c>
      <c r="AB111" s="30" t="s">
        <v>151</v>
      </c>
      <c r="AC111" s="30" t="s">
        <v>151</v>
      </c>
      <c r="AD111" s="39">
        <v>2017</v>
      </c>
      <c r="AE111" s="30" t="s">
        <v>151</v>
      </c>
      <c r="AF111" s="35">
        <v>45565</v>
      </c>
      <c r="AG111" s="30" t="s">
        <v>151</v>
      </c>
      <c r="AH111" s="30" t="s">
        <v>151</v>
      </c>
      <c r="AI111" s="38" t="s">
        <v>151</v>
      </c>
      <c r="AJ111" s="32" t="s">
        <v>151</v>
      </c>
      <c r="AK111" s="38" t="s">
        <v>151</v>
      </c>
      <c r="AL111" s="38" t="s">
        <v>151</v>
      </c>
      <c r="AM111" s="38" t="s">
        <v>151</v>
      </c>
      <c r="AN111" s="38" t="s">
        <v>151</v>
      </c>
      <c r="AO111" s="38" t="s">
        <v>151</v>
      </c>
      <c r="AP111" s="38" t="s">
        <v>151</v>
      </c>
      <c r="AQ111" s="38" t="s">
        <v>151</v>
      </c>
      <c r="AR111" s="29" t="s">
        <v>151</v>
      </c>
      <c r="AS111" s="30" t="s">
        <v>2713</v>
      </c>
      <c r="AT111" s="30" t="s">
        <v>2714</v>
      </c>
      <c r="AU111" s="31">
        <v>6</v>
      </c>
      <c r="AV111" s="30" t="s">
        <v>151</v>
      </c>
      <c r="AW111" s="30" t="s">
        <v>151</v>
      </c>
      <c r="AX111" s="30" t="s">
        <v>151</v>
      </c>
      <c r="AY111" s="30" t="s">
        <v>2715</v>
      </c>
      <c r="AZ111" s="30" t="s">
        <v>151</v>
      </c>
      <c r="BA111" s="30" t="s">
        <v>151</v>
      </c>
      <c r="BB111" s="30" t="s">
        <v>151</v>
      </c>
      <c r="BC111" s="30" t="s">
        <v>343</v>
      </c>
      <c r="BD111" s="30" t="s">
        <v>2716</v>
      </c>
      <c r="BE111" s="30" t="s">
        <v>2717</v>
      </c>
      <c r="BF111" s="30" t="s">
        <v>493</v>
      </c>
      <c r="BG111" s="30" t="s">
        <v>2718</v>
      </c>
      <c r="BH111" s="30" t="s">
        <v>2719</v>
      </c>
      <c r="BI111" s="30" t="s">
        <v>2720</v>
      </c>
      <c r="BJ111" s="30" t="s">
        <v>2721</v>
      </c>
      <c r="BK111" s="30" t="s">
        <v>1597</v>
      </c>
      <c r="BL111" s="30" t="s">
        <v>2722</v>
      </c>
      <c r="BM111" s="30" t="s">
        <v>184</v>
      </c>
      <c r="BN111" s="29" t="s">
        <v>2723</v>
      </c>
      <c r="BO111" s="30" t="s">
        <v>186</v>
      </c>
      <c r="BP111" s="29" t="s">
        <v>2719</v>
      </c>
      <c r="BQ111" s="29" t="s">
        <v>151</v>
      </c>
      <c r="BR111" s="30" t="s">
        <v>151</v>
      </c>
      <c r="BS111" s="30" t="s">
        <v>187</v>
      </c>
      <c r="BT111" s="30" t="s">
        <v>188</v>
      </c>
      <c r="BU111" s="35">
        <v>43977</v>
      </c>
      <c r="BV111" s="37">
        <v>8</v>
      </c>
      <c r="BW111" s="30" t="s">
        <v>192</v>
      </c>
      <c r="BX111" s="37">
        <v>33</v>
      </c>
      <c r="BY111" s="30" t="s">
        <v>192</v>
      </c>
      <c r="BZ111" s="30" t="s">
        <v>231</v>
      </c>
      <c r="CA111" s="30" t="s">
        <v>232</v>
      </c>
      <c r="CB111" s="30" t="s">
        <v>151</v>
      </c>
      <c r="CC111" s="30" t="s">
        <v>165</v>
      </c>
      <c r="CD111" s="30" t="s">
        <v>151</v>
      </c>
      <c r="CE111" s="30" t="s">
        <v>191</v>
      </c>
      <c r="CF111" s="35">
        <v>44419</v>
      </c>
      <c r="CG111" s="37">
        <v>60</v>
      </c>
      <c r="CH111" s="30" t="s">
        <v>192</v>
      </c>
      <c r="CI111" s="37" t="s">
        <v>151</v>
      </c>
      <c r="CJ111" s="30" t="s">
        <v>151</v>
      </c>
      <c r="CK111" s="29" t="s">
        <v>151</v>
      </c>
      <c r="CL111" s="30" t="s">
        <v>231</v>
      </c>
      <c r="CM111" s="30" t="s">
        <v>151</v>
      </c>
      <c r="CN111" s="30" t="s">
        <v>151</v>
      </c>
      <c r="CO111" s="30" t="s">
        <v>165</v>
      </c>
      <c r="CP111" s="35">
        <v>44419</v>
      </c>
      <c r="CQ111" s="37" t="s">
        <v>151</v>
      </c>
      <c r="CR111" s="30" t="s">
        <v>151</v>
      </c>
      <c r="CS111" s="30" t="s">
        <v>191</v>
      </c>
      <c r="CT111" s="29">
        <v>97</v>
      </c>
      <c r="CU111" s="30" t="s">
        <v>196</v>
      </c>
      <c r="CV111" s="32">
        <v>90</v>
      </c>
      <c r="CW111" s="32">
        <v>10</v>
      </c>
      <c r="CX111" s="30" t="s">
        <v>294</v>
      </c>
      <c r="CY111" s="32">
        <v>5</v>
      </c>
      <c r="CZ111" s="32">
        <v>85</v>
      </c>
      <c r="DA111" s="37">
        <v>33</v>
      </c>
      <c r="DB111" s="35">
        <v>43977</v>
      </c>
      <c r="DC111" s="30" t="s">
        <v>231</v>
      </c>
      <c r="DD111" s="29" t="s">
        <v>151</v>
      </c>
      <c r="DE111" s="32">
        <v>0.76</v>
      </c>
      <c r="DF111" s="34">
        <v>95</v>
      </c>
      <c r="DG111" s="32">
        <v>-0.03</v>
      </c>
      <c r="DH111" s="32">
        <v>-3.87</v>
      </c>
      <c r="DI111" s="32" t="s">
        <v>151</v>
      </c>
      <c r="DJ111" s="34" t="s">
        <v>151</v>
      </c>
      <c r="DK111" s="32" t="s">
        <v>151</v>
      </c>
      <c r="DL111" s="34" t="s">
        <v>151</v>
      </c>
      <c r="DM111" s="32" t="s">
        <v>151</v>
      </c>
      <c r="DN111" s="34" t="s">
        <v>151</v>
      </c>
      <c r="DO111" s="36">
        <v>4711.37</v>
      </c>
      <c r="DP111" s="34">
        <v>100</v>
      </c>
      <c r="DQ111" s="36">
        <v>38.86</v>
      </c>
      <c r="DR111" s="32">
        <v>0.83</v>
      </c>
      <c r="DS111" s="36" t="s">
        <v>151</v>
      </c>
      <c r="DT111" s="34" t="s">
        <v>151</v>
      </c>
      <c r="DU111" s="36" t="s">
        <v>151</v>
      </c>
      <c r="DV111" s="34" t="s">
        <v>151</v>
      </c>
      <c r="DW111" s="36" t="s">
        <v>151</v>
      </c>
      <c r="DX111" s="34" t="s">
        <v>151</v>
      </c>
      <c r="DY111" s="31">
        <v>1</v>
      </c>
      <c r="DZ111" s="35">
        <v>44182</v>
      </c>
      <c r="EA111" s="35" t="s">
        <v>151</v>
      </c>
      <c r="EB111" s="34" t="s">
        <v>151</v>
      </c>
      <c r="EC111" s="33" t="s">
        <v>151</v>
      </c>
      <c r="ED111" s="32" t="s">
        <v>151</v>
      </c>
      <c r="EE111" s="34" t="s">
        <v>151</v>
      </c>
      <c r="EF111" s="33" t="s">
        <v>151</v>
      </c>
      <c r="EG111" s="32" t="s">
        <v>151</v>
      </c>
      <c r="EH111" s="29" t="s">
        <v>198</v>
      </c>
      <c r="EI111" s="30" t="s">
        <v>151</v>
      </c>
      <c r="EJ111" s="30" t="s">
        <v>151</v>
      </c>
      <c r="EK111" s="31">
        <v>1</v>
      </c>
      <c r="EL111" s="31" t="s">
        <v>151</v>
      </c>
      <c r="EM111" s="31">
        <v>1</v>
      </c>
      <c r="EN111" s="31" t="s">
        <v>151</v>
      </c>
      <c r="EO111" s="31" t="s">
        <v>151</v>
      </c>
      <c r="EP111" s="30" t="s">
        <v>295</v>
      </c>
      <c r="EQ111" s="29" t="s">
        <v>151</v>
      </c>
      <c r="ER111" s="29" t="s">
        <v>151</v>
      </c>
      <c r="ES111" s="4">
        <f>HYPERLINK("https://my.pitchbook.com?c=435491-83","View Company Online")</f>
      </c>
    </row>
    <row r="112">
      <c r="A112" s="17" t="s">
        <v>2724</v>
      </c>
      <c r="B112" s="17" t="s">
        <v>2725</v>
      </c>
      <c r="C112" s="18">
        <v>1</v>
      </c>
      <c r="D112" s="17" t="s">
        <v>151</v>
      </c>
      <c r="E112" s="17" t="s">
        <v>151</v>
      </c>
      <c r="F112" s="17" t="s">
        <v>2726</v>
      </c>
      <c r="G112" s="17" t="s">
        <v>151</v>
      </c>
      <c r="H112" s="17" t="s">
        <v>151</v>
      </c>
      <c r="I112" s="17" t="s">
        <v>151</v>
      </c>
      <c r="J112" s="17" t="s">
        <v>2724</v>
      </c>
      <c r="K112" s="17" t="s">
        <v>2727</v>
      </c>
      <c r="L112" s="17" t="s">
        <v>205</v>
      </c>
      <c r="M112" s="17" t="s">
        <v>206</v>
      </c>
      <c r="N112" s="17" t="s">
        <v>269</v>
      </c>
      <c r="O112" s="17" t="s">
        <v>563</v>
      </c>
      <c r="P112" s="17" t="s">
        <v>2728</v>
      </c>
      <c r="Q112" s="17" t="s">
        <v>2729</v>
      </c>
      <c r="R112" s="17" t="s">
        <v>151</v>
      </c>
      <c r="S112" s="17" t="s">
        <v>162</v>
      </c>
      <c r="T112" s="24">
        <v>0.6</v>
      </c>
      <c r="U112" s="17" t="s">
        <v>163</v>
      </c>
      <c r="V112" s="17" t="s">
        <v>164</v>
      </c>
      <c r="W112" s="17" t="s">
        <v>165</v>
      </c>
      <c r="X112" s="15" t="s">
        <v>2730</v>
      </c>
      <c r="Y112" s="15" t="s">
        <v>2731</v>
      </c>
      <c r="Z112" s="27">
        <v>3</v>
      </c>
      <c r="AA112" s="17" t="s">
        <v>2732</v>
      </c>
      <c r="AB112" s="17" t="s">
        <v>151</v>
      </c>
      <c r="AC112" s="17" t="s">
        <v>151</v>
      </c>
      <c r="AD112" s="26">
        <v>2020</v>
      </c>
      <c r="AE112" s="17" t="s">
        <v>151</v>
      </c>
      <c r="AF112" s="22">
        <v>45294</v>
      </c>
      <c r="AG112" s="17" t="s">
        <v>151</v>
      </c>
      <c r="AH112" s="17" t="s">
        <v>151</v>
      </c>
      <c r="AI112" s="25" t="s">
        <v>151</v>
      </c>
      <c r="AJ112" s="19" t="s">
        <v>151</v>
      </c>
      <c r="AK112" s="25" t="s">
        <v>151</v>
      </c>
      <c r="AL112" s="25" t="s">
        <v>151</v>
      </c>
      <c r="AM112" s="25" t="s">
        <v>151</v>
      </c>
      <c r="AN112" s="25" t="s">
        <v>151</v>
      </c>
      <c r="AO112" s="25" t="s">
        <v>151</v>
      </c>
      <c r="AP112" s="25" t="s">
        <v>151</v>
      </c>
      <c r="AQ112" s="25" t="s">
        <v>151</v>
      </c>
      <c r="AR112" s="16" t="s">
        <v>151</v>
      </c>
      <c r="AS112" s="17" t="s">
        <v>2733</v>
      </c>
      <c r="AT112" s="17" t="s">
        <v>2734</v>
      </c>
      <c r="AU112" s="18">
        <v>1</v>
      </c>
      <c r="AV112" s="17" t="s">
        <v>151</v>
      </c>
      <c r="AW112" s="17" t="s">
        <v>151</v>
      </c>
      <c r="AX112" s="17" t="s">
        <v>151</v>
      </c>
      <c r="AY112" s="17" t="s">
        <v>2735</v>
      </c>
      <c r="AZ112" s="17" t="s">
        <v>151</v>
      </c>
      <c r="BA112" s="17" t="s">
        <v>151</v>
      </c>
      <c r="BB112" s="17" t="s">
        <v>151</v>
      </c>
      <c r="BC112" s="17" t="s">
        <v>151</v>
      </c>
      <c r="BD112" s="17" t="s">
        <v>2736</v>
      </c>
      <c r="BE112" s="17" t="s">
        <v>2737</v>
      </c>
      <c r="BF112" s="17" t="s">
        <v>2738</v>
      </c>
      <c r="BG112" s="17" t="s">
        <v>2739</v>
      </c>
      <c r="BH112" s="17" t="s">
        <v>2740</v>
      </c>
      <c r="BI112" s="17" t="s">
        <v>578</v>
      </c>
      <c r="BJ112" s="17" t="s">
        <v>2741</v>
      </c>
      <c r="BK112" s="17" t="s">
        <v>2742</v>
      </c>
      <c r="BL112" s="17" t="s">
        <v>581</v>
      </c>
      <c r="BM112" s="17" t="s">
        <v>582</v>
      </c>
      <c r="BN112" s="16" t="s">
        <v>2743</v>
      </c>
      <c r="BO112" s="17" t="s">
        <v>186</v>
      </c>
      <c r="BP112" s="16" t="s">
        <v>2740</v>
      </c>
      <c r="BQ112" s="16" t="s">
        <v>151</v>
      </c>
      <c r="BR112" s="17" t="s">
        <v>2744</v>
      </c>
      <c r="BS112" s="17" t="s">
        <v>187</v>
      </c>
      <c r="BT112" s="17" t="s">
        <v>188</v>
      </c>
      <c r="BU112" s="22">
        <v>44256</v>
      </c>
      <c r="BV112" s="24">
        <v>0.6</v>
      </c>
      <c r="BW112" s="17" t="s">
        <v>192</v>
      </c>
      <c r="BX112" s="24" t="s">
        <v>151</v>
      </c>
      <c r="BY112" s="17" t="s">
        <v>151</v>
      </c>
      <c r="BZ112" s="17" t="s">
        <v>293</v>
      </c>
      <c r="CA112" s="17" t="s">
        <v>293</v>
      </c>
      <c r="CB112" s="17" t="s">
        <v>151</v>
      </c>
      <c r="CC112" s="17" t="s">
        <v>165</v>
      </c>
      <c r="CD112" s="17" t="s">
        <v>151</v>
      </c>
      <c r="CE112" s="17" t="s">
        <v>191</v>
      </c>
      <c r="CF112" s="22">
        <v>44256</v>
      </c>
      <c r="CG112" s="24">
        <v>0.6</v>
      </c>
      <c r="CH112" s="17" t="s">
        <v>192</v>
      </c>
      <c r="CI112" s="24" t="s">
        <v>151</v>
      </c>
      <c r="CJ112" s="17" t="s">
        <v>151</v>
      </c>
      <c r="CK112" s="16" t="s">
        <v>151</v>
      </c>
      <c r="CL112" s="17" t="s">
        <v>293</v>
      </c>
      <c r="CM112" s="17" t="s">
        <v>293</v>
      </c>
      <c r="CN112" s="17" t="s">
        <v>151</v>
      </c>
      <c r="CO112" s="17" t="s">
        <v>165</v>
      </c>
      <c r="CP112" s="22">
        <v>44256</v>
      </c>
      <c r="CQ112" s="24" t="s">
        <v>151</v>
      </c>
      <c r="CR112" s="17" t="s">
        <v>151</v>
      </c>
      <c r="CS112" s="17" t="s">
        <v>191</v>
      </c>
      <c r="CT112" s="16" t="s">
        <v>151</v>
      </c>
      <c r="CU112" s="17" t="s">
        <v>151</v>
      </c>
      <c r="CV112" s="19" t="s">
        <v>151</v>
      </c>
      <c r="CW112" s="19" t="s">
        <v>151</v>
      </c>
      <c r="CX112" s="17" t="s">
        <v>151</v>
      </c>
      <c r="CY112" s="19" t="s">
        <v>151</v>
      </c>
      <c r="CZ112" s="19" t="s">
        <v>151</v>
      </c>
      <c r="DA112" s="24" t="s">
        <v>151</v>
      </c>
      <c r="DB112" s="22" t="s">
        <v>151</v>
      </c>
      <c r="DC112" s="17" t="s">
        <v>151</v>
      </c>
      <c r="DD112" s="16" t="s">
        <v>151</v>
      </c>
      <c r="DE112" s="19">
        <v>0</v>
      </c>
      <c r="DF112" s="21">
        <v>11</v>
      </c>
      <c r="DG112" s="19">
        <v>0</v>
      </c>
      <c r="DH112" s="19">
        <v>0</v>
      </c>
      <c r="DI112" s="19" t="s">
        <v>151</v>
      </c>
      <c r="DJ112" s="21" t="s">
        <v>151</v>
      </c>
      <c r="DK112" s="19" t="s">
        <v>151</v>
      </c>
      <c r="DL112" s="21" t="s">
        <v>151</v>
      </c>
      <c r="DM112" s="19" t="s">
        <v>151</v>
      </c>
      <c r="DN112" s="21" t="s">
        <v>151</v>
      </c>
      <c r="DO112" s="23">
        <v>0.23</v>
      </c>
      <c r="DP112" s="21">
        <v>17</v>
      </c>
      <c r="DQ112" s="23">
        <v>0</v>
      </c>
      <c r="DR112" s="19">
        <v>0</v>
      </c>
      <c r="DS112" s="23" t="s">
        <v>151</v>
      </c>
      <c r="DT112" s="21" t="s">
        <v>151</v>
      </c>
      <c r="DU112" s="23" t="s">
        <v>151</v>
      </c>
      <c r="DV112" s="21" t="s">
        <v>151</v>
      </c>
      <c r="DW112" s="23" t="s">
        <v>151</v>
      </c>
      <c r="DX112" s="21" t="s">
        <v>151</v>
      </c>
      <c r="DY112" s="18" t="s">
        <v>151</v>
      </c>
      <c r="DZ112" s="22" t="s">
        <v>151</v>
      </c>
      <c r="EA112" s="22" t="s">
        <v>151</v>
      </c>
      <c r="EB112" s="21">
        <v>0</v>
      </c>
      <c r="EC112" s="20">
        <v>0</v>
      </c>
      <c r="ED112" s="19">
        <v>0</v>
      </c>
      <c r="EE112" s="21" t="s">
        <v>151</v>
      </c>
      <c r="EF112" s="20" t="s">
        <v>151</v>
      </c>
      <c r="EG112" s="19" t="s">
        <v>151</v>
      </c>
      <c r="EH112" s="16" t="s">
        <v>198</v>
      </c>
      <c r="EI112" s="17" t="s">
        <v>151</v>
      </c>
      <c r="EJ112" s="17" t="s">
        <v>151</v>
      </c>
      <c r="EK112" s="18">
        <v>1</v>
      </c>
      <c r="EL112" s="18" t="s">
        <v>151</v>
      </c>
      <c r="EM112" s="18" t="s">
        <v>151</v>
      </c>
      <c r="EN112" s="18" t="s">
        <v>151</v>
      </c>
      <c r="EO112" s="18">
        <v>1</v>
      </c>
      <c r="EP112" s="17" t="s">
        <v>151</v>
      </c>
      <c r="EQ112" s="16" t="s">
        <v>151</v>
      </c>
      <c r="ER112" s="16" t="s">
        <v>151</v>
      </c>
      <c r="ES112" s="3">
        <f>HYPERLINK("https://my.pitchbook.com?c=462560-86","View Company Online")</f>
      </c>
    </row>
    <row r="113">
      <c r="A113" s="30" t="s">
        <v>2745</v>
      </c>
      <c r="B113" s="30" t="s">
        <v>2746</v>
      </c>
      <c r="C113" s="31">
        <v>1</v>
      </c>
      <c r="D113" s="30" t="s">
        <v>151</v>
      </c>
      <c r="E113" s="30" t="s">
        <v>151</v>
      </c>
      <c r="F113" s="30" t="s">
        <v>2747</v>
      </c>
      <c r="G113" s="30" t="s">
        <v>151</v>
      </c>
      <c r="H113" s="30" t="s">
        <v>151</v>
      </c>
      <c r="I113" s="30" t="s">
        <v>151</v>
      </c>
      <c r="J113" s="30" t="s">
        <v>2745</v>
      </c>
      <c r="K113" s="30" t="s">
        <v>2748</v>
      </c>
      <c r="L113" s="30" t="s">
        <v>205</v>
      </c>
      <c r="M113" s="30" t="s">
        <v>206</v>
      </c>
      <c r="N113" s="30" t="s">
        <v>776</v>
      </c>
      <c r="O113" s="30" t="s">
        <v>2749</v>
      </c>
      <c r="P113" s="30" t="s">
        <v>2750</v>
      </c>
      <c r="Q113" s="30" t="s">
        <v>2751</v>
      </c>
      <c r="R113" s="30" t="s">
        <v>151</v>
      </c>
      <c r="S113" s="30" t="s">
        <v>162</v>
      </c>
      <c r="T113" s="37">
        <v>10.2</v>
      </c>
      <c r="U113" s="30" t="s">
        <v>163</v>
      </c>
      <c r="V113" s="30" t="s">
        <v>164</v>
      </c>
      <c r="W113" s="30" t="s">
        <v>165</v>
      </c>
      <c r="X113" s="28" t="s">
        <v>2752</v>
      </c>
      <c r="Y113" s="28" t="s">
        <v>2753</v>
      </c>
      <c r="Z113" s="40">
        <v>33</v>
      </c>
      <c r="AA113" s="30" t="s">
        <v>2754</v>
      </c>
      <c r="AB113" s="30" t="s">
        <v>151</v>
      </c>
      <c r="AC113" s="30" t="s">
        <v>151</v>
      </c>
      <c r="AD113" s="39">
        <v>2019</v>
      </c>
      <c r="AE113" s="30" t="s">
        <v>151</v>
      </c>
      <c r="AF113" s="35">
        <v>45595</v>
      </c>
      <c r="AG113" s="30" t="s">
        <v>151</v>
      </c>
      <c r="AH113" s="30" t="s">
        <v>151</v>
      </c>
      <c r="AI113" s="38" t="s">
        <v>151</v>
      </c>
      <c r="AJ113" s="32" t="s">
        <v>151</v>
      </c>
      <c r="AK113" s="38" t="s">
        <v>151</v>
      </c>
      <c r="AL113" s="38" t="s">
        <v>151</v>
      </c>
      <c r="AM113" s="38" t="s">
        <v>151</v>
      </c>
      <c r="AN113" s="38" t="s">
        <v>151</v>
      </c>
      <c r="AO113" s="38" t="s">
        <v>151</v>
      </c>
      <c r="AP113" s="38" t="s">
        <v>151</v>
      </c>
      <c r="AQ113" s="38" t="s">
        <v>151</v>
      </c>
      <c r="AR113" s="29" t="s">
        <v>151</v>
      </c>
      <c r="AS113" s="30" t="s">
        <v>2755</v>
      </c>
      <c r="AT113" s="30" t="s">
        <v>2756</v>
      </c>
      <c r="AU113" s="31">
        <v>6</v>
      </c>
      <c r="AV113" s="30" t="s">
        <v>151</v>
      </c>
      <c r="AW113" s="30" t="s">
        <v>151</v>
      </c>
      <c r="AX113" s="30" t="s">
        <v>151</v>
      </c>
      <c r="AY113" s="30" t="s">
        <v>2757</v>
      </c>
      <c r="AZ113" s="30" t="s">
        <v>151</v>
      </c>
      <c r="BA113" s="30" t="s">
        <v>151</v>
      </c>
      <c r="BB113" s="30" t="s">
        <v>2758</v>
      </c>
      <c r="BC113" s="30" t="s">
        <v>151</v>
      </c>
      <c r="BD113" s="30" t="s">
        <v>2759</v>
      </c>
      <c r="BE113" s="30" t="s">
        <v>2760</v>
      </c>
      <c r="BF113" s="30" t="s">
        <v>2761</v>
      </c>
      <c r="BG113" s="30" t="s">
        <v>2762</v>
      </c>
      <c r="BH113" s="30" t="s">
        <v>151</v>
      </c>
      <c r="BI113" s="30" t="s">
        <v>906</v>
      </c>
      <c r="BJ113" s="30" t="s">
        <v>2763</v>
      </c>
      <c r="BK113" s="30" t="s">
        <v>2764</v>
      </c>
      <c r="BL113" s="30" t="s">
        <v>259</v>
      </c>
      <c r="BM113" s="30" t="s">
        <v>259</v>
      </c>
      <c r="BN113" s="29" t="s">
        <v>2765</v>
      </c>
      <c r="BO113" s="30" t="s">
        <v>186</v>
      </c>
      <c r="BP113" s="29" t="s">
        <v>151</v>
      </c>
      <c r="BQ113" s="29" t="s">
        <v>151</v>
      </c>
      <c r="BR113" s="30" t="s">
        <v>2766</v>
      </c>
      <c r="BS113" s="30" t="s">
        <v>187</v>
      </c>
      <c r="BT113" s="30" t="s">
        <v>188</v>
      </c>
      <c r="BU113" s="35" t="s">
        <v>151</v>
      </c>
      <c r="BV113" s="37" t="s">
        <v>151</v>
      </c>
      <c r="BW113" s="30" t="s">
        <v>151</v>
      </c>
      <c r="BX113" s="37" t="s">
        <v>151</v>
      </c>
      <c r="BY113" s="30" t="s">
        <v>151</v>
      </c>
      <c r="BZ113" s="30" t="s">
        <v>189</v>
      </c>
      <c r="CA113" s="30" t="s">
        <v>151</v>
      </c>
      <c r="CB113" s="30" t="s">
        <v>151</v>
      </c>
      <c r="CC113" s="30" t="s">
        <v>190</v>
      </c>
      <c r="CD113" s="30" t="s">
        <v>151</v>
      </c>
      <c r="CE113" s="30" t="s">
        <v>191</v>
      </c>
      <c r="CF113" s="35">
        <v>44501</v>
      </c>
      <c r="CG113" s="37">
        <v>8.7</v>
      </c>
      <c r="CH113" s="30" t="s">
        <v>192</v>
      </c>
      <c r="CI113" s="37">
        <v>35</v>
      </c>
      <c r="CJ113" s="30" t="s">
        <v>192</v>
      </c>
      <c r="CK113" s="29">
        <v>4.05</v>
      </c>
      <c r="CL113" s="30" t="s">
        <v>293</v>
      </c>
      <c r="CM113" s="30" t="s">
        <v>293</v>
      </c>
      <c r="CN113" s="30" t="s">
        <v>151</v>
      </c>
      <c r="CO113" s="30" t="s">
        <v>165</v>
      </c>
      <c r="CP113" s="35">
        <v>44501</v>
      </c>
      <c r="CQ113" s="37" t="s">
        <v>151</v>
      </c>
      <c r="CR113" s="30" t="s">
        <v>151</v>
      </c>
      <c r="CS113" s="30" t="s">
        <v>191</v>
      </c>
      <c r="CT113" s="29">
        <v>59</v>
      </c>
      <c r="CU113" s="30" t="s">
        <v>196</v>
      </c>
      <c r="CV113" s="32">
        <v>56</v>
      </c>
      <c r="CW113" s="32">
        <v>44</v>
      </c>
      <c r="CX113" s="30" t="s">
        <v>294</v>
      </c>
      <c r="CY113" s="32">
        <v>1</v>
      </c>
      <c r="CZ113" s="32">
        <v>55</v>
      </c>
      <c r="DA113" s="37">
        <v>35</v>
      </c>
      <c r="DB113" s="35">
        <v>44501</v>
      </c>
      <c r="DC113" s="30" t="s">
        <v>293</v>
      </c>
      <c r="DD113" s="29">
        <v>4.05</v>
      </c>
      <c r="DE113" s="32">
        <v>0.14</v>
      </c>
      <c r="DF113" s="34">
        <v>91</v>
      </c>
      <c r="DG113" s="32">
        <v>0</v>
      </c>
      <c r="DH113" s="32">
        <v>0</v>
      </c>
      <c r="DI113" s="32">
        <v>-0.11</v>
      </c>
      <c r="DJ113" s="34">
        <v>10</v>
      </c>
      <c r="DK113" s="32" t="s">
        <v>151</v>
      </c>
      <c r="DL113" s="34" t="s">
        <v>151</v>
      </c>
      <c r="DM113" s="32">
        <v>-0.11</v>
      </c>
      <c r="DN113" s="34">
        <v>10</v>
      </c>
      <c r="DO113" s="36">
        <v>3.95</v>
      </c>
      <c r="DP113" s="34">
        <v>79</v>
      </c>
      <c r="DQ113" s="36">
        <v>0</v>
      </c>
      <c r="DR113" s="32">
        <v>0</v>
      </c>
      <c r="DS113" s="36">
        <v>5.37</v>
      </c>
      <c r="DT113" s="34">
        <v>83</v>
      </c>
      <c r="DU113" s="36" t="s">
        <v>151</v>
      </c>
      <c r="DV113" s="34" t="s">
        <v>151</v>
      </c>
      <c r="DW113" s="36">
        <v>5.37</v>
      </c>
      <c r="DX113" s="34">
        <v>83</v>
      </c>
      <c r="DY113" s="31" t="s">
        <v>151</v>
      </c>
      <c r="DZ113" s="35" t="s">
        <v>151</v>
      </c>
      <c r="EA113" s="35" t="s">
        <v>151</v>
      </c>
      <c r="EB113" s="34" t="s">
        <v>151</v>
      </c>
      <c r="EC113" s="33" t="s">
        <v>151</v>
      </c>
      <c r="ED113" s="32" t="s">
        <v>151</v>
      </c>
      <c r="EE113" s="34">
        <v>102</v>
      </c>
      <c r="EF113" s="33">
        <v>0</v>
      </c>
      <c r="EG113" s="32">
        <v>0</v>
      </c>
      <c r="EH113" s="29" t="s">
        <v>198</v>
      </c>
      <c r="EI113" s="30" t="s">
        <v>151</v>
      </c>
      <c r="EJ113" s="30" t="s">
        <v>151</v>
      </c>
      <c r="EK113" s="31">
        <v>1</v>
      </c>
      <c r="EL113" s="31">
        <v>1</v>
      </c>
      <c r="EM113" s="31" t="s">
        <v>151</v>
      </c>
      <c r="EN113" s="31" t="s">
        <v>151</v>
      </c>
      <c r="EO113" s="31" t="s">
        <v>151</v>
      </c>
      <c r="EP113" s="30" t="s">
        <v>295</v>
      </c>
      <c r="EQ113" s="29" t="s">
        <v>151</v>
      </c>
      <c r="ER113" s="29" t="s">
        <v>151</v>
      </c>
      <c r="ES113" s="4">
        <f>HYPERLINK("https://my.pitchbook.com?c=437533-84","View Company Online")</f>
      </c>
    </row>
    <row r="114">
      <c r="A114" s="17" t="s">
        <v>2767</v>
      </c>
      <c r="B114" s="17" t="s">
        <v>2768</v>
      </c>
      <c r="C114" s="18">
        <v>1</v>
      </c>
      <c r="D114" s="17" t="s">
        <v>2769</v>
      </c>
      <c r="E114" s="17" t="s">
        <v>151</v>
      </c>
      <c r="F114" s="17" t="s">
        <v>2770</v>
      </c>
      <c r="G114" s="17" t="s">
        <v>151</v>
      </c>
      <c r="H114" s="17" t="s">
        <v>151</v>
      </c>
      <c r="I114" s="17" t="s">
        <v>2771</v>
      </c>
      <c r="J114" s="17" t="s">
        <v>2767</v>
      </c>
      <c r="K114" s="17" t="s">
        <v>2772</v>
      </c>
      <c r="L114" s="17" t="s">
        <v>205</v>
      </c>
      <c r="M114" s="17" t="s">
        <v>206</v>
      </c>
      <c r="N114" s="17" t="s">
        <v>917</v>
      </c>
      <c r="O114" s="17" t="s">
        <v>918</v>
      </c>
      <c r="P114" s="17" t="s">
        <v>2773</v>
      </c>
      <c r="Q114" s="17" t="s">
        <v>2774</v>
      </c>
      <c r="R114" s="17" t="s">
        <v>151</v>
      </c>
      <c r="S114" s="17" t="s">
        <v>162</v>
      </c>
      <c r="T114" s="24">
        <v>3.3</v>
      </c>
      <c r="U114" s="17" t="s">
        <v>163</v>
      </c>
      <c r="V114" s="17" t="s">
        <v>164</v>
      </c>
      <c r="W114" s="17" t="s">
        <v>165</v>
      </c>
      <c r="X114" s="15" t="s">
        <v>2775</v>
      </c>
      <c r="Y114" s="15" t="s">
        <v>2776</v>
      </c>
      <c r="Z114" s="27">
        <v>10</v>
      </c>
      <c r="AA114" s="17" t="s">
        <v>2777</v>
      </c>
      <c r="AB114" s="17" t="s">
        <v>151</v>
      </c>
      <c r="AC114" s="17" t="s">
        <v>151</v>
      </c>
      <c r="AD114" s="26">
        <v>2019</v>
      </c>
      <c r="AE114" s="17" t="s">
        <v>151</v>
      </c>
      <c r="AF114" s="22">
        <v>45610</v>
      </c>
      <c r="AG114" s="17" t="s">
        <v>151</v>
      </c>
      <c r="AH114" s="17" t="s">
        <v>151</v>
      </c>
      <c r="AI114" s="25" t="s">
        <v>151</v>
      </c>
      <c r="AJ114" s="19" t="s">
        <v>151</v>
      </c>
      <c r="AK114" s="25" t="s">
        <v>151</v>
      </c>
      <c r="AL114" s="25" t="s">
        <v>151</v>
      </c>
      <c r="AM114" s="25" t="s">
        <v>151</v>
      </c>
      <c r="AN114" s="25" t="s">
        <v>151</v>
      </c>
      <c r="AO114" s="25" t="s">
        <v>151</v>
      </c>
      <c r="AP114" s="25" t="s">
        <v>151</v>
      </c>
      <c r="AQ114" s="25" t="s">
        <v>151</v>
      </c>
      <c r="AR114" s="16" t="s">
        <v>151</v>
      </c>
      <c r="AS114" s="17" t="s">
        <v>2778</v>
      </c>
      <c r="AT114" s="17" t="s">
        <v>2779</v>
      </c>
      <c r="AU114" s="18">
        <v>6</v>
      </c>
      <c r="AV114" s="17" t="s">
        <v>151</v>
      </c>
      <c r="AW114" s="17" t="s">
        <v>151</v>
      </c>
      <c r="AX114" s="17" t="s">
        <v>151</v>
      </c>
      <c r="AY114" s="17" t="s">
        <v>2780</v>
      </c>
      <c r="AZ114" s="17" t="s">
        <v>151</v>
      </c>
      <c r="BA114" s="17" t="s">
        <v>151</v>
      </c>
      <c r="BB114" s="17" t="s">
        <v>2781</v>
      </c>
      <c r="BC114" s="17" t="s">
        <v>2782</v>
      </c>
      <c r="BD114" s="17" t="s">
        <v>2783</v>
      </c>
      <c r="BE114" s="17" t="s">
        <v>2784</v>
      </c>
      <c r="BF114" s="17" t="s">
        <v>403</v>
      </c>
      <c r="BG114" s="17" t="s">
        <v>2785</v>
      </c>
      <c r="BH114" s="17" t="s">
        <v>2786</v>
      </c>
      <c r="BI114" s="17" t="s">
        <v>2787</v>
      </c>
      <c r="BJ114" s="17" t="s">
        <v>2788</v>
      </c>
      <c r="BK114" s="17" t="s">
        <v>151</v>
      </c>
      <c r="BL114" s="17" t="s">
        <v>2789</v>
      </c>
      <c r="BM114" s="17" t="s">
        <v>823</v>
      </c>
      <c r="BN114" s="16" t="s">
        <v>2790</v>
      </c>
      <c r="BO114" s="17" t="s">
        <v>186</v>
      </c>
      <c r="BP114" s="16" t="s">
        <v>2786</v>
      </c>
      <c r="BQ114" s="16" t="s">
        <v>151</v>
      </c>
      <c r="BR114" s="17" t="s">
        <v>151</v>
      </c>
      <c r="BS114" s="17" t="s">
        <v>187</v>
      </c>
      <c r="BT114" s="17" t="s">
        <v>188</v>
      </c>
      <c r="BU114" s="22">
        <v>43466</v>
      </c>
      <c r="BV114" s="24" t="s">
        <v>151</v>
      </c>
      <c r="BW114" s="17" t="s">
        <v>151</v>
      </c>
      <c r="BX114" s="24" t="s">
        <v>151</v>
      </c>
      <c r="BY114" s="17" t="s">
        <v>151</v>
      </c>
      <c r="BZ114" s="17" t="s">
        <v>189</v>
      </c>
      <c r="CA114" s="17" t="s">
        <v>151</v>
      </c>
      <c r="CB114" s="17" t="s">
        <v>151</v>
      </c>
      <c r="CC114" s="17" t="s">
        <v>190</v>
      </c>
      <c r="CD114" s="17" t="s">
        <v>151</v>
      </c>
      <c r="CE114" s="17" t="s">
        <v>191</v>
      </c>
      <c r="CF114" s="22">
        <v>45292</v>
      </c>
      <c r="CG114" s="24" t="s">
        <v>151</v>
      </c>
      <c r="CH114" s="17" t="s">
        <v>151</v>
      </c>
      <c r="CI114" s="24" t="s">
        <v>151</v>
      </c>
      <c r="CJ114" s="17" t="s">
        <v>151</v>
      </c>
      <c r="CK114" s="16" t="s">
        <v>151</v>
      </c>
      <c r="CL114" s="17" t="s">
        <v>231</v>
      </c>
      <c r="CM114" s="17" t="s">
        <v>151</v>
      </c>
      <c r="CN114" s="17" t="s">
        <v>151</v>
      </c>
      <c r="CO114" s="17" t="s">
        <v>165</v>
      </c>
      <c r="CP114" s="22">
        <v>45292</v>
      </c>
      <c r="CQ114" s="24" t="s">
        <v>151</v>
      </c>
      <c r="CR114" s="17" t="s">
        <v>355</v>
      </c>
      <c r="CS114" s="17" t="s">
        <v>191</v>
      </c>
      <c r="CT114" s="16">
        <v>49</v>
      </c>
      <c r="CU114" s="17" t="s">
        <v>263</v>
      </c>
      <c r="CV114" s="19">
        <v>47</v>
      </c>
      <c r="CW114" s="19">
        <v>53</v>
      </c>
      <c r="CX114" s="17" t="s">
        <v>263</v>
      </c>
      <c r="CY114" s="19">
        <v>1</v>
      </c>
      <c r="CZ114" s="19">
        <v>46</v>
      </c>
      <c r="DA114" s="24" t="s">
        <v>151</v>
      </c>
      <c r="DB114" s="22" t="s">
        <v>151</v>
      </c>
      <c r="DC114" s="17" t="s">
        <v>151</v>
      </c>
      <c r="DD114" s="16" t="s">
        <v>151</v>
      </c>
      <c r="DE114" s="19">
        <v>0.57</v>
      </c>
      <c r="DF114" s="21">
        <v>94</v>
      </c>
      <c r="DG114" s="19">
        <v>-0.04</v>
      </c>
      <c r="DH114" s="19">
        <v>-6.12</v>
      </c>
      <c r="DI114" s="19">
        <v>0.22</v>
      </c>
      <c r="DJ114" s="21">
        <v>93</v>
      </c>
      <c r="DK114" s="19">
        <v>0</v>
      </c>
      <c r="DL114" s="21">
        <v>11</v>
      </c>
      <c r="DM114" s="19">
        <v>0.43</v>
      </c>
      <c r="DN114" s="21">
        <v>95</v>
      </c>
      <c r="DO114" s="23">
        <v>2.9</v>
      </c>
      <c r="DP114" s="21">
        <v>74</v>
      </c>
      <c r="DQ114" s="23">
        <v>0</v>
      </c>
      <c r="DR114" s="19">
        <v>0</v>
      </c>
      <c r="DS114" s="23">
        <v>3.8</v>
      </c>
      <c r="DT114" s="21">
        <v>78</v>
      </c>
      <c r="DU114" s="23">
        <v>1.39</v>
      </c>
      <c r="DV114" s="21">
        <v>63</v>
      </c>
      <c r="DW114" s="23">
        <v>6.21</v>
      </c>
      <c r="DX114" s="21">
        <v>84</v>
      </c>
      <c r="DY114" s="18" t="s">
        <v>151</v>
      </c>
      <c r="DZ114" s="22" t="s">
        <v>151</v>
      </c>
      <c r="EA114" s="22" t="s">
        <v>151</v>
      </c>
      <c r="EB114" s="21">
        <v>0</v>
      </c>
      <c r="EC114" s="20">
        <v>0</v>
      </c>
      <c r="ED114" s="19">
        <v>0</v>
      </c>
      <c r="EE114" s="21">
        <v>118</v>
      </c>
      <c r="EF114" s="20">
        <v>0</v>
      </c>
      <c r="EG114" s="19">
        <v>0</v>
      </c>
      <c r="EH114" s="16" t="s">
        <v>198</v>
      </c>
      <c r="EI114" s="17" t="s">
        <v>151</v>
      </c>
      <c r="EJ114" s="17" t="s">
        <v>151</v>
      </c>
      <c r="EK114" s="18">
        <v>1</v>
      </c>
      <c r="EL114" s="18" t="s">
        <v>151</v>
      </c>
      <c r="EM114" s="18" t="s">
        <v>151</v>
      </c>
      <c r="EN114" s="18" t="s">
        <v>151</v>
      </c>
      <c r="EO114" s="18">
        <v>1</v>
      </c>
      <c r="EP114" s="17" t="s">
        <v>151</v>
      </c>
      <c r="EQ114" s="16" t="s">
        <v>151</v>
      </c>
      <c r="ER114" s="16" t="s">
        <v>151</v>
      </c>
      <c r="ES114" s="3">
        <f>HYPERLINK("https://my.pitchbook.com?c=432639-10","View Company Online")</f>
      </c>
    </row>
    <row r="115">
      <c r="A115" s="30" t="s">
        <v>2791</v>
      </c>
      <c r="B115" s="30" t="s">
        <v>2792</v>
      </c>
      <c r="C115" s="31">
        <v>1</v>
      </c>
      <c r="D115" s="30" t="s">
        <v>151</v>
      </c>
      <c r="E115" s="30" t="s">
        <v>151</v>
      </c>
      <c r="F115" s="30" t="s">
        <v>2793</v>
      </c>
      <c r="G115" s="30" t="s">
        <v>151</v>
      </c>
      <c r="H115" s="30" t="s">
        <v>151</v>
      </c>
      <c r="I115" s="30" t="s">
        <v>2794</v>
      </c>
      <c r="J115" s="30" t="s">
        <v>2791</v>
      </c>
      <c r="K115" s="30" t="s">
        <v>2795</v>
      </c>
      <c r="L115" s="30" t="s">
        <v>205</v>
      </c>
      <c r="M115" s="30" t="s">
        <v>206</v>
      </c>
      <c r="N115" s="30" t="s">
        <v>269</v>
      </c>
      <c r="O115" s="30" t="s">
        <v>508</v>
      </c>
      <c r="P115" s="30" t="s">
        <v>2796</v>
      </c>
      <c r="Q115" s="30" t="s">
        <v>2797</v>
      </c>
      <c r="R115" s="30" t="s">
        <v>2798</v>
      </c>
      <c r="S115" s="30" t="s">
        <v>162</v>
      </c>
      <c r="T115" s="37">
        <v>1.12</v>
      </c>
      <c r="U115" s="30" t="s">
        <v>163</v>
      </c>
      <c r="V115" s="30" t="s">
        <v>164</v>
      </c>
      <c r="W115" s="30" t="s">
        <v>165</v>
      </c>
      <c r="X115" s="28" t="s">
        <v>2799</v>
      </c>
      <c r="Y115" s="28" t="s">
        <v>2800</v>
      </c>
      <c r="Z115" s="40">
        <v>8</v>
      </c>
      <c r="AA115" s="30" t="s">
        <v>2801</v>
      </c>
      <c r="AB115" s="30" t="s">
        <v>151</v>
      </c>
      <c r="AC115" s="30" t="s">
        <v>151</v>
      </c>
      <c r="AD115" s="39">
        <v>2020</v>
      </c>
      <c r="AE115" s="30" t="s">
        <v>151</v>
      </c>
      <c r="AF115" s="35">
        <v>45455</v>
      </c>
      <c r="AG115" s="30" t="s">
        <v>151</v>
      </c>
      <c r="AH115" s="30" t="s">
        <v>2802</v>
      </c>
      <c r="AI115" s="38" t="s">
        <v>151</v>
      </c>
      <c r="AJ115" s="32" t="s">
        <v>151</v>
      </c>
      <c r="AK115" s="38" t="s">
        <v>151</v>
      </c>
      <c r="AL115" s="38" t="s">
        <v>151</v>
      </c>
      <c r="AM115" s="38" t="s">
        <v>151</v>
      </c>
      <c r="AN115" s="38" t="s">
        <v>151</v>
      </c>
      <c r="AO115" s="38" t="s">
        <v>151</v>
      </c>
      <c r="AP115" s="38" t="s">
        <v>151</v>
      </c>
      <c r="AQ115" s="38" t="s">
        <v>151</v>
      </c>
      <c r="AR115" s="29" t="s">
        <v>151</v>
      </c>
      <c r="AS115" s="30" t="s">
        <v>2803</v>
      </c>
      <c r="AT115" s="30" t="s">
        <v>2804</v>
      </c>
      <c r="AU115" s="31">
        <v>14</v>
      </c>
      <c r="AV115" s="30" t="s">
        <v>151</v>
      </c>
      <c r="AW115" s="30" t="s">
        <v>151</v>
      </c>
      <c r="AX115" s="30" t="s">
        <v>151</v>
      </c>
      <c r="AY115" s="30" t="s">
        <v>2805</v>
      </c>
      <c r="AZ115" s="30" t="s">
        <v>151</v>
      </c>
      <c r="BA115" s="30" t="s">
        <v>151</v>
      </c>
      <c r="BB115" s="30" t="s">
        <v>2781</v>
      </c>
      <c r="BC115" s="30" t="s">
        <v>2806</v>
      </c>
      <c r="BD115" s="30" t="s">
        <v>2807</v>
      </c>
      <c r="BE115" s="30" t="s">
        <v>2808</v>
      </c>
      <c r="BF115" s="30" t="s">
        <v>221</v>
      </c>
      <c r="BG115" s="30" t="s">
        <v>2809</v>
      </c>
      <c r="BH115" s="30" t="s">
        <v>2810</v>
      </c>
      <c r="BI115" s="30" t="s">
        <v>2811</v>
      </c>
      <c r="BJ115" s="30" t="s">
        <v>2812</v>
      </c>
      <c r="BK115" s="30" t="s">
        <v>2407</v>
      </c>
      <c r="BL115" s="30" t="s">
        <v>2813</v>
      </c>
      <c r="BM115" s="30" t="s">
        <v>2814</v>
      </c>
      <c r="BN115" s="29" t="s">
        <v>2815</v>
      </c>
      <c r="BO115" s="30" t="s">
        <v>186</v>
      </c>
      <c r="BP115" s="29" t="s">
        <v>2810</v>
      </c>
      <c r="BQ115" s="29" t="s">
        <v>151</v>
      </c>
      <c r="BR115" s="30" t="s">
        <v>151</v>
      </c>
      <c r="BS115" s="30" t="s">
        <v>187</v>
      </c>
      <c r="BT115" s="30" t="s">
        <v>188</v>
      </c>
      <c r="BU115" s="35">
        <v>44228</v>
      </c>
      <c r="BV115" s="37">
        <v>0.09</v>
      </c>
      <c r="BW115" s="30" t="s">
        <v>192</v>
      </c>
      <c r="BX115" s="37" t="s">
        <v>151</v>
      </c>
      <c r="BY115" s="30" t="s">
        <v>151</v>
      </c>
      <c r="BZ115" s="30" t="s">
        <v>501</v>
      </c>
      <c r="CA115" s="30" t="s">
        <v>151</v>
      </c>
      <c r="CB115" s="30" t="s">
        <v>151</v>
      </c>
      <c r="CC115" s="30" t="s">
        <v>190</v>
      </c>
      <c r="CD115" s="30" t="s">
        <v>151</v>
      </c>
      <c r="CE115" s="30" t="s">
        <v>191</v>
      </c>
      <c r="CF115" s="35">
        <v>45125</v>
      </c>
      <c r="CG115" s="37">
        <v>0.15</v>
      </c>
      <c r="CH115" s="30" t="s">
        <v>192</v>
      </c>
      <c r="CI115" s="37" t="s">
        <v>151</v>
      </c>
      <c r="CJ115" s="30" t="s">
        <v>151</v>
      </c>
      <c r="CK115" s="29" t="s">
        <v>151</v>
      </c>
      <c r="CL115" s="30" t="s">
        <v>189</v>
      </c>
      <c r="CM115" s="30" t="s">
        <v>151</v>
      </c>
      <c r="CN115" s="30" t="s">
        <v>151</v>
      </c>
      <c r="CO115" s="30" t="s">
        <v>190</v>
      </c>
      <c r="CP115" s="35">
        <v>45125</v>
      </c>
      <c r="CQ115" s="37" t="s">
        <v>151</v>
      </c>
      <c r="CR115" s="30" t="s">
        <v>151</v>
      </c>
      <c r="CS115" s="30" t="s">
        <v>191</v>
      </c>
      <c r="CT115" s="29">
        <v>79</v>
      </c>
      <c r="CU115" s="30" t="s">
        <v>196</v>
      </c>
      <c r="CV115" s="32">
        <v>73</v>
      </c>
      <c r="CW115" s="32">
        <v>27</v>
      </c>
      <c r="CX115" s="30" t="s">
        <v>294</v>
      </c>
      <c r="CY115" s="32">
        <v>1</v>
      </c>
      <c r="CZ115" s="32">
        <v>72</v>
      </c>
      <c r="DA115" s="37">
        <v>4.5</v>
      </c>
      <c r="DB115" s="35">
        <v>44943</v>
      </c>
      <c r="DC115" s="30" t="s">
        <v>1075</v>
      </c>
      <c r="DD115" s="29" t="s">
        <v>151</v>
      </c>
      <c r="DE115" s="32">
        <v>0</v>
      </c>
      <c r="DF115" s="34">
        <v>11</v>
      </c>
      <c r="DG115" s="32">
        <v>0</v>
      </c>
      <c r="DH115" s="32">
        <v>0</v>
      </c>
      <c r="DI115" s="32">
        <v>0</v>
      </c>
      <c r="DJ115" s="34">
        <v>10</v>
      </c>
      <c r="DK115" s="32">
        <v>0</v>
      </c>
      <c r="DL115" s="34">
        <v>11</v>
      </c>
      <c r="DM115" s="32">
        <v>0</v>
      </c>
      <c r="DN115" s="34">
        <v>10</v>
      </c>
      <c r="DO115" s="36">
        <v>1.43</v>
      </c>
      <c r="DP115" s="34">
        <v>59</v>
      </c>
      <c r="DQ115" s="36">
        <v>0</v>
      </c>
      <c r="DR115" s="32">
        <v>0</v>
      </c>
      <c r="DS115" s="36">
        <v>2.24</v>
      </c>
      <c r="DT115" s="34">
        <v>69</v>
      </c>
      <c r="DU115" s="36">
        <v>1.32</v>
      </c>
      <c r="DV115" s="34">
        <v>62</v>
      </c>
      <c r="DW115" s="36">
        <v>3.16</v>
      </c>
      <c r="DX115" s="34">
        <v>75</v>
      </c>
      <c r="DY115" s="31" t="s">
        <v>151</v>
      </c>
      <c r="DZ115" s="35" t="s">
        <v>151</v>
      </c>
      <c r="EA115" s="35" t="s">
        <v>151</v>
      </c>
      <c r="EB115" s="34">
        <v>0</v>
      </c>
      <c r="EC115" s="33">
        <v>0</v>
      </c>
      <c r="ED115" s="32">
        <v>0</v>
      </c>
      <c r="EE115" s="34">
        <v>60</v>
      </c>
      <c r="EF115" s="33">
        <v>0</v>
      </c>
      <c r="EG115" s="32">
        <v>0</v>
      </c>
      <c r="EH115" s="29" t="s">
        <v>198</v>
      </c>
      <c r="EI115" s="30" t="s">
        <v>151</v>
      </c>
      <c r="EJ115" s="30" t="s">
        <v>151</v>
      </c>
      <c r="EK115" s="31">
        <v>1</v>
      </c>
      <c r="EL115" s="31" t="s">
        <v>151</v>
      </c>
      <c r="EM115" s="31">
        <v>1</v>
      </c>
      <c r="EN115" s="31" t="s">
        <v>151</v>
      </c>
      <c r="EO115" s="31" t="s">
        <v>151</v>
      </c>
      <c r="EP115" s="30" t="s">
        <v>2027</v>
      </c>
      <c r="EQ115" s="29" t="s">
        <v>151</v>
      </c>
      <c r="ER115" s="29" t="s">
        <v>151</v>
      </c>
      <c r="ES115" s="4">
        <f>HYPERLINK("https://my.pitchbook.com?c=494181-19","View Company Online")</f>
      </c>
    </row>
    <row r="116">
      <c r="A116" s="17" t="s">
        <v>2816</v>
      </c>
      <c r="B116" s="17" t="s">
        <v>2817</v>
      </c>
      <c r="C116" s="18">
        <v>1</v>
      </c>
      <c r="D116" s="17" t="s">
        <v>151</v>
      </c>
      <c r="E116" s="17" t="s">
        <v>2818</v>
      </c>
      <c r="F116" s="17" t="s">
        <v>2819</v>
      </c>
      <c r="G116" s="17" t="s">
        <v>151</v>
      </c>
      <c r="H116" s="17" t="s">
        <v>151</v>
      </c>
      <c r="I116" s="17" t="s">
        <v>151</v>
      </c>
      <c r="J116" s="17" t="s">
        <v>2816</v>
      </c>
      <c r="K116" s="17" t="s">
        <v>2820</v>
      </c>
      <c r="L116" s="17" t="s">
        <v>205</v>
      </c>
      <c r="M116" s="17" t="s">
        <v>206</v>
      </c>
      <c r="N116" s="17" t="s">
        <v>1082</v>
      </c>
      <c r="O116" s="17" t="s">
        <v>2821</v>
      </c>
      <c r="P116" s="17" t="s">
        <v>2149</v>
      </c>
      <c r="Q116" s="17" t="s">
        <v>2822</v>
      </c>
      <c r="R116" s="17" t="s">
        <v>151</v>
      </c>
      <c r="S116" s="17" t="s">
        <v>162</v>
      </c>
      <c r="T116" s="24">
        <v>2.45</v>
      </c>
      <c r="U116" s="17" t="s">
        <v>163</v>
      </c>
      <c r="V116" s="17" t="s">
        <v>164</v>
      </c>
      <c r="W116" s="17" t="s">
        <v>165</v>
      </c>
      <c r="X116" s="15" t="s">
        <v>2823</v>
      </c>
      <c r="Y116" s="15" t="s">
        <v>2824</v>
      </c>
      <c r="Z116" s="27">
        <v>6</v>
      </c>
      <c r="AA116" s="17" t="s">
        <v>2825</v>
      </c>
      <c r="AB116" s="17" t="s">
        <v>151</v>
      </c>
      <c r="AC116" s="17" t="s">
        <v>151</v>
      </c>
      <c r="AD116" s="26">
        <v>2022</v>
      </c>
      <c r="AE116" s="17" t="s">
        <v>151</v>
      </c>
      <c r="AF116" s="22">
        <v>45481</v>
      </c>
      <c r="AG116" s="17" t="s">
        <v>151</v>
      </c>
      <c r="AH116" s="17" t="s">
        <v>151</v>
      </c>
      <c r="AI116" s="25" t="s">
        <v>151</v>
      </c>
      <c r="AJ116" s="19" t="s">
        <v>151</v>
      </c>
      <c r="AK116" s="25" t="s">
        <v>151</v>
      </c>
      <c r="AL116" s="25" t="s">
        <v>151</v>
      </c>
      <c r="AM116" s="25" t="s">
        <v>151</v>
      </c>
      <c r="AN116" s="25" t="s">
        <v>151</v>
      </c>
      <c r="AO116" s="25" t="s">
        <v>151</v>
      </c>
      <c r="AP116" s="25" t="s">
        <v>151</v>
      </c>
      <c r="AQ116" s="25" t="s">
        <v>151</v>
      </c>
      <c r="AR116" s="16" t="s">
        <v>151</v>
      </c>
      <c r="AS116" s="17" t="s">
        <v>2826</v>
      </c>
      <c r="AT116" s="17" t="s">
        <v>2827</v>
      </c>
      <c r="AU116" s="18">
        <v>5</v>
      </c>
      <c r="AV116" s="17" t="s">
        <v>151</v>
      </c>
      <c r="AW116" s="17" t="s">
        <v>151</v>
      </c>
      <c r="AX116" s="17" t="s">
        <v>151</v>
      </c>
      <c r="AY116" s="17" t="s">
        <v>2828</v>
      </c>
      <c r="AZ116" s="17" t="s">
        <v>151</v>
      </c>
      <c r="BA116" s="17" t="s">
        <v>151</v>
      </c>
      <c r="BB116" s="17" t="s">
        <v>151</v>
      </c>
      <c r="BC116" s="17" t="s">
        <v>2829</v>
      </c>
      <c r="BD116" s="17" t="s">
        <v>2830</v>
      </c>
      <c r="BE116" s="17" t="s">
        <v>2831</v>
      </c>
      <c r="BF116" s="17" t="s">
        <v>493</v>
      </c>
      <c r="BG116" s="17" t="s">
        <v>2832</v>
      </c>
      <c r="BH116" s="17" t="s">
        <v>2833</v>
      </c>
      <c r="BI116" s="17" t="s">
        <v>2834</v>
      </c>
      <c r="BJ116" s="17" t="s">
        <v>2835</v>
      </c>
      <c r="BK116" s="17" t="s">
        <v>151</v>
      </c>
      <c r="BL116" s="17" t="s">
        <v>2836</v>
      </c>
      <c r="BM116" s="17" t="s">
        <v>855</v>
      </c>
      <c r="BN116" s="16" t="s">
        <v>2837</v>
      </c>
      <c r="BO116" s="17" t="s">
        <v>186</v>
      </c>
      <c r="BP116" s="16" t="s">
        <v>2833</v>
      </c>
      <c r="BQ116" s="16" t="s">
        <v>151</v>
      </c>
      <c r="BR116" s="17" t="s">
        <v>2838</v>
      </c>
      <c r="BS116" s="17" t="s">
        <v>187</v>
      </c>
      <c r="BT116" s="17" t="s">
        <v>188</v>
      </c>
      <c r="BU116" s="22">
        <v>45125</v>
      </c>
      <c r="BV116" s="24">
        <v>0.12</v>
      </c>
      <c r="BW116" s="17" t="s">
        <v>192</v>
      </c>
      <c r="BX116" s="24">
        <v>0.33</v>
      </c>
      <c r="BY116" s="17" t="s">
        <v>192</v>
      </c>
      <c r="BZ116" s="17" t="s">
        <v>189</v>
      </c>
      <c r="CA116" s="17" t="s">
        <v>151</v>
      </c>
      <c r="CB116" s="17" t="s">
        <v>151</v>
      </c>
      <c r="CC116" s="17" t="s">
        <v>190</v>
      </c>
      <c r="CD116" s="17" t="s">
        <v>151</v>
      </c>
      <c r="CE116" s="17" t="s">
        <v>191</v>
      </c>
      <c r="CF116" s="22">
        <v>45338</v>
      </c>
      <c r="CG116" s="24">
        <v>2.33</v>
      </c>
      <c r="CH116" s="17" t="s">
        <v>192</v>
      </c>
      <c r="CI116" s="24" t="s">
        <v>151</v>
      </c>
      <c r="CJ116" s="17" t="s">
        <v>151</v>
      </c>
      <c r="CK116" s="16" t="s">
        <v>151</v>
      </c>
      <c r="CL116" s="17" t="s">
        <v>293</v>
      </c>
      <c r="CM116" s="17" t="s">
        <v>293</v>
      </c>
      <c r="CN116" s="17" t="s">
        <v>151</v>
      </c>
      <c r="CO116" s="17" t="s">
        <v>165</v>
      </c>
      <c r="CP116" s="22">
        <v>45338</v>
      </c>
      <c r="CQ116" s="24" t="s">
        <v>151</v>
      </c>
      <c r="CR116" s="17" t="s">
        <v>151</v>
      </c>
      <c r="CS116" s="17" t="s">
        <v>191</v>
      </c>
      <c r="CT116" s="16" t="s">
        <v>151</v>
      </c>
      <c r="CU116" s="17" t="s">
        <v>151</v>
      </c>
      <c r="CV116" s="19" t="s">
        <v>151</v>
      </c>
      <c r="CW116" s="19" t="s">
        <v>151</v>
      </c>
      <c r="CX116" s="17" t="s">
        <v>151</v>
      </c>
      <c r="CY116" s="19" t="s">
        <v>151</v>
      </c>
      <c r="CZ116" s="19" t="s">
        <v>151</v>
      </c>
      <c r="DA116" s="24">
        <v>0.33</v>
      </c>
      <c r="DB116" s="22">
        <v>45125</v>
      </c>
      <c r="DC116" s="17" t="s">
        <v>189</v>
      </c>
      <c r="DD116" s="16" t="s">
        <v>151</v>
      </c>
      <c r="DE116" s="19">
        <v>0</v>
      </c>
      <c r="DF116" s="21">
        <v>11</v>
      </c>
      <c r="DG116" s="19">
        <v>0</v>
      </c>
      <c r="DH116" s="19">
        <v>0</v>
      </c>
      <c r="DI116" s="19" t="s">
        <v>151</v>
      </c>
      <c r="DJ116" s="21" t="s">
        <v>151</v>
      </c>
      <c r="DK116" s="19" t="s">
        <v>151</v>
      </c>
      <c r="DL116" s="21" t="s">
        <v>151</v>
      </c>
      <c r="DM116" s="19" t="s">
        <v>151</v>
      </c>
      <c r="DN116" s="21" t="s">
        <v>151</v>
      </c>
      <c r="DO116" s="23">
        <v>0.46</v>
      </c>
      <c r="DP116" s="21">
        <v>31</v>
      </c>
      <c r="DQ116" s="23">
        <v>0</v>
      </c>
      <c r="DR116" s="19">
        <v>0</v>
      </c>
      <c r="DS116" s="23" t="s">
        <v>151</v>
      </c>
      <c r="DT116" s="21" t="s">
        <v>151</v>
      </c>
      <c r="DU116" s="23" t="s">
        <v>151</v>
      </c>
      <c r="DV116" s="21" t="s">
        <v>151</v>
      </c>
      <c r="DW116" s="23" t="s">
        <v>151</v>
      </c>
      <c r="DX116" s="21" t="s">
        <v>151</v>
      </c>
      <c r="DY116" s="18" t="s">
        <v>151</v>
      </c>
      <c r="DZ116" s="22" t="s">
        <v>151</v>
      </c>
      <c r="EA116" s="22" t="s">
        <v>151</v>
      </c>
      <c r="EB116" s="21">
        <v>627</v>
      </c>
      <c r="EC116" s="20">
        <v>108</v>
      </c>
      <c r="ED116" s="19">
        <v>20.81</v>
      </c>
      <c r="EE116" s="21" t="s">
        <v>151</v>
      </c>
      <c r="EF116" s="20" t="s">
        <v>151</v>
      </c>
      <c r="EG116" s="19" t="s">
        <v>151</v>
      </c>
      <c r="EH116" s="16" t="s">
        <v>198</v>
      </c>
      <c r="EI116" s="17" t="s">
        <v>151</v>
      </c>
      <c r="EJ116" s="17" t="s">
        <v>151</v>
      </c>
      <c r="EK116" s="18">
        <v>1</v>
      </c>
      <c r="EL116" s="18" t="s">
        <v>151</v>
      </c>
      <c r="EM116" s="18">
        <v>1</v>
      </c>
      <c r="EN116" s="18" t="s">
        <v>151</v>
      </c>
      <c r="EO116" s="18" t="s">
        <v>151</v>
      </c>
      <c r="EP116" s="17" t="s">
        <v>295</v>
      </c>
      <c r="EQ116" s="16" t="s">
        <v>151</v>
      </c>
      <c r="ER116" s="16" t="s">
        <v>151</v>
      </c>
      <c r="ES116" s="3">
        <f>HYPERLINK("https://my.pitchbook.com?c=527193-82","View Company Online")</f>
      </c>
    </row>
    <row r="117">
      <c r="A117" s="30" t="s">
        <v>2839</v>
      </c>
      <c r="B117" s="30" t="s">
        <v>2840</v>
      </c>
      <c r="C117" s="31">
        <v>1</v>
      </c>
      <c r="D117" s="30" t="s">
        <v>2841</v>
      </c>
      <c r="E117" s="30" t="s">
        <v>151</v>
      </c>
      <c r="F117" s="30" t="s">
        <v>2842</v>
      </c>
      <c r="G117" s="30" t="s">
        <v>151</v>
      </c>
      <c r="H117" s="30" t="s">
        <v>151</v>
      </c>
      <c r="I117" s="30" t="s">
        <v>2843</v>
      </c>
      <c r="J117" s="30" t="s">
        <v>2839</v>
      </c>
      <c r="K117" s="30" t="s">
        <v>2844</v>
      </c>
      <c r="L117" s="30" t="s">
        <v>616</v>
      </c>
      <c r="M117" s="30" t="s">
        <v>834</v>
      </c>
      <c r="N117" s="30" t="s">
        <v>1246</v>
      </c>
      <c r="O117" s="30" t="s">
        <v>2845</v>
      </c>
      <c r="P117" s="30" t="s">
        <v>2846</v>
      </c>
      <c r="Q117" s="30" t="s">
        <v>2847</v>
      </c>
      <c r="R117" s="30" t="s">
        <v>2848</v>
      </c>
      <c r="S117" s="30" t="s">
        <v>162</v>
      </c>
      <c r="T117" s="37">
        <v>10.05</v>
      </c>
      <c r="U117" s="30" t="s">
        <v>1727</v>
      </c>
      <c r="V117" s="30" t="s">
        <v>164</v>
      </c>
      <c r="W117" s="30" t="s">
        <v>165</v>
      </c>
      <c r="X117" s="28" t="s">
        <v>2849</v>
      </c>
      <c r="Y117" s="28" t="s">
        <v>2850</v>
      </c>
      <c r="Z117" s="40">
        <v>20</v>
      </c>
      <c r="AA117" s="30" t="s">
        <v>2851</v>
      </c>
      <c r="AB117" s="30" t="s">
        <v>151</v>
      </c>
      <c r="AC117" s="30" t="s">
        <v>151</v>
      </c>
      <c r="AD117" s="39" t="s">
        <v>151</v>
      </c>
      <c r="AE117" s="30" t="s">
        <v>151</v>
      </c>
      <c r="AF117" s="35">
        <v>45610</v>
      </c>
      <c r="AG117" s="30" t="s">
        <v>151</v>
      </c>
      <c r="AH117" s="30" t="s">
        <v>151</v>
      </c>
      <c r="AI117" s="38" t="s">
        <v>151</v>
      </c>
      <c r="AJ117" s="32" t="s">
        <v>151</v>
      </c>
      <c r="AK117" s="38" t="s">
        <v>151</v>
      </c>
      <c r="AL117" s="38" t="s">
        <v>151</v>
      </c>
      <c r="AM117" s="38" t="s">
        <v>151</v>
      </c>
      <c r="AN117" s="38" t="s">
        <v>151</v>
      </c>
      <c r="AO117" s="38" t="s">
        <v>151</v>
      </c>
      <c r="AP117" s="38" t="s">
        <v>151</v>
      </c>
      <c r="AQ117" s="38" t="s">
        <v>151</v>
      </c>
      <c r="AR117" s="29" t="s">
        <v>151</v>
      </c>
      <c r="AS117" s="30" t="s">
        <v>2852</v>
      </c>
      <c r="AT117" s="30" t="s">
        <v>2853</v>
      </c>
      <c r="AU117" s="31">
        <v>2</v>
      </c>
      <c r="AV117" s="30" t="s">
        <v>151</v>
      </c>
      <c r="AW117" s="30" t="s">
        <v>151</v>
      </c>
      <c r="AX117" s="30" t="s">
        <v>151</v>
      </c>
      <c r="AY117" s="30" t="s">
        <v>2854</v>
      </c>
      <c r="AZ117" s="30" t="s">
        <v>151</v>
      </c>
      <c r="BA117" s="30" t="s">
        <v>151</v>
      </c>
      <c r="BB117" s="30" t="s">
        <v>151</v>
      </c>
      <c r="BC117" s="30" t="s">
        <v>2855</v>
      </c>
      <c r="BD117" s="30" t="s">
        <v>2856</v>
      </c>
      <c r="BE117" s="30" t="s">
        <v>2857</v>
      </c>
      <c r="BF117" s="30" t="s">
        <v>430</v>
      </c>
      <c r="BG117" s="30" t="s">
        <v>2858</v>
      </c>
      <c r="BH117" s="30" t="s">
        <v>2859</v>
      </c>
      <c r="BI117" s="30" t="s">
        <v>2860</v>
      </c>
      <c r="BJ117" s="30" t="s">
        <v>2861</v>
      </c>
      <c r="BK117" s="30" t="s">
        <v>936</v>
      </c>
      <c r="BL117" s="30" t="s">
        <v>2862</v>
      </c>
      <c r="BM117" s="30" t="s">
        <v>1337</v>
      </c>
      <c r="BN117" s="29" t="s">
        <v>2863</v>
      </c>
      <c r="BO117" s="30" t="s">
        <v>186</v>
      </c>
      <c r="BP117" s="29" t="s">
        <v>2864</v>
      </c>
      <c r="BQ117" s="29" t="s">
        <v>151</v>
      </c>
      <c r="BR117" s="30" t="s">
        <v>2865</v>
      </c>
      <c r="BS117" s="30" t="s">
        <v>187</v>
      </c>
      <c r="BT117" s="30" t="s">
        <v>188</v>
      </c>
      <c r="BU117" s="35">
        <v>44539</v>
      </c>
      <c r="BV117" s="37">
        <v>4.78</v>
      </c>
      <c r="BW117" s="30" t="s">
        <v>192</v>
      </c>
      <c r="BX117" s="37" t="s">
        <v>151</v>
      </c>
      <c r="BY117" s="30" t="s">
        <v>151</v>
      </c>
      <c r="BZ117" s="30" t="s">
        <v>293</v>
      </c>
      <c r="CA117" s="30" t="s">
        <v>472</v>
      </c>
      <c r="CB117" s="30" t="s">
        <v>151</v>
      </c>
      <c r="CC117" s="30" t="s">
        <v>165</v>
      </c>
      <c r="CD117" s="30" t="s">
        <v>151</v>
      </c>
      <c r="CE117" s="30" t="s">
        <v>191</v>
      </c>
      <c r="CF117" s="35">
        <v>45414</v>
      </c>
      <c r="CG117" s="37">
        <v>0.1</v>
      </c>
      <c r="CH117" s="30" t="s">
        <v>192</v>
      </c>
      <c r="CI117" s="37" t="s">
        <v>151</v>
      </c>
      <c r="CJ117" s="30" t="s">
        <v>151</v>
      </c>
      <c r="CK117" s="29" t="s">
        <v>151</v>
      </c>
      <c r="CL117" s="30" t="s">
        <v>194</v>
      </c>
      <c r="CM117" s="30" t="s">
        <v>472</v>
      </c>
      <c r="CN117" s="30" t="s">
        <v>151</v>
      </c>
      <c r="CO117" s="30" t="s">
        <v>165</v>
      </c>
      <c r="CP117" s="35">
        <v>45414</v>
      </c>
      <c r="CQ117" s="37" t="s">
        <v>151</v>
      </c>
      <c r="CR117" s="30" t="s">
        <v>151</v>
      </c>
      <c r="CS117" s="30" t="s">
        <v>859</v>
      </c>
      <c r="CT117" s="29">
        <v>75</v>
      </c>
      <c r="CU117" s="30" t="s">
        <v>196</v>
      </c>
      <c r="CV117" s="32">
        <v>68</v>
      </c>
      <c r="CW117" s="32">
        <v>32</v>
      </c>
      <c r="CX117" s="30" t="s">
        <v>294</v>
      </c>
      <c r="CY117" s="32">
        <v>3</v>
      </c>
      <c r="CZ117" s="32">
        <v>65</v>
      </c>
      <c r="DA117" s="37" t="s">
        <v>151</v>
      </c>
      <c r="DB117" s="35" t="s">
        <v>151</v>
      </c>
      <c r="DC117" s="30" t="s">
        <v>151</v>
      </c>
      <c r="DD117" s="29" t="s">
        <v>151</v>
      </c>
      <c r="DE117" s="32">
        <v>8.03</v>
      </c>
      <c r="DF117" s="34">
        <v>100</v>
      </c>
      <c r="DG117" s="32">
        <v>0</v>
      </c>
      <c r="DH117" s="32">
        <v>0</v>
      </c>
      <c r="DI117" s="32">
        <v>4.01</v>
      </c>
      <c r="DJ117" s="34">
        <v>100</v>
      </c>
      <c r="DK117" s="32" t="s">
        <v>151</v>
      </c>
      <c r="DL117" s="34" t="s">
        <v>151</v>
      </c>
      <c r="DM117" s="32">
        <v>4.01</v>
      </c>
      <c r="DN117" s="34">
        <v>100</v>
      </c>
      <c r="DO117" s="36">
        <v>4.25</v>
      </c>
      <c r="DP117" s="34">
        <v>80</v>
      </c>
      <c r="DQ117" s="36">
        <v>0</v>
      </c>
      <c r="DR117" s="32">
        <v>0</v>
      </c>
      <c r="DS117" s="36">
        <v>9.58</v>
      </c>
      <c r="DT117" s="34">
        <v>90</v>
      </c>
      <c r="DU117" s="36" t="s">
        <v>151</v>
      </c>
      <c r="DV117" s="34" t="s">
        <v>151</v>
      </c>
      <c r="DW117" s="36">
        <v>9.58</v>
      </c>
      <c r="DX117" s="34">
        <v>89</v>
      </c>
      <c r="DY117" s="31" t="s">
        <v>151</v>
      </c>
      <c r="DZ117" s="35" t="s">
        <v>151</v>
      </c>
      <c r="EA117" s="35" t="s">
        <v>151</v>
      </c>
      <c r="EB117" s="34">
        <v>175</v>
      </c>
      <c r="EC117" s="33">
        <v>-12</v>
      </c>
      <c r="ED117" s="32">
        <v>-6.42</v>
      </c>
      <c r="EE117" s="34">
        <v>182</v>
      </c>
      <c r="EF117" s="33">
        <v>4</v>
      </c>
      <c r="EG117" s="32">
        <v>2.25</v>
      </c>
      <c r="EH117" s="29" t="s">
        <v>198</v>
      </c>
      <c r="EI117" s="30" t="s">
        <v>151</v>
      </c>
      <c r="EJ117" s="30" t="s">
        <v>151</v>
      </c>
      <c r="EK117" s="31">
        <v>1</v>
      </c>
      <c r="EL117" s="31" t="s">
        <v>151</v>
      </c>
      <c r="EM117" s="31" t="s">
        <v>151</v>
      </c>
      <c r="EN117" s="31" t="s">
        <v>151</v>
      </c>
      <c r="EO117" s="31">
        <v>1</v>
      </c>
      <c r="EP117" s="30" t="s">
        <v>151</v>
      </c>
      <c r="EQ117" s="29" t="s">
        <v>151</v>
      </c>
      <c r="ER117" s="29" t="s">
        <v>151</v>
      </c>
      <c r="ES117" s="4">
        <f>HYPERLINK("https://my.pitchbook.com?c=147109-15","View Company Online")</f>
      </c>
    </row>
    <row r="118">
      <c r="A118" s="17" t="s">
        <v>2866</v>
      </c>
      <c r="B118" s="17" t="s">
        <v>2867</v>
      </c>
      <c r="C118" s="18">
        <v>1</v>
      </c>
      <c r="D118" s="17" t="s">
        <v>151</v>
      </c>
      <c r="E118" s="17" t="s">
        <v>2868</v>
      </c>
      <c r="F118" s="17" t="s">
        <v>2869</v>
      </c>
      <c r="G118" s="17" t="s">
        <v>151</v>
      </c>
      <c r="H118" s="17" t="s">
        <v>151</v>
      </c>
      <c r="I118" s="17" t="s">
        <v>2870</v>
      </c>
      <c r="J118" s="17" t="s">
        <v>2866</v>
      </c>
      <c r="K118" s="17" t="s">
        <v>2871</v>
      </c>
      <c r="L118" s="17" t="s">
        <v>1792</v>
      </c>
      <c r="M118" s="17" t="s">
        <v>1793</v>
      </c>
      <c r="N118" s="17" t="s">
        <v>1794</v>
      </c>
      <c r="O118" s="17" t="s">
        <v>1795</v>
      </c>
      <c r="P118" s="17" t="s">
        <v>2872</v>
      </c>
      <c r="Q118" s="17" t="s">
        <v>2873</v>
      </c>
      <c r="R118" s="17" t="s">
        <v>151</v>
      </c>
      <c r="S118" s="17" t="s">
        <v>162</v>
      </c>
      <c r="T118" s="24">
        <v>3.29</v>
      </c>
      <c r="U118" s="17" t="s">
        <v>163</v>
      </c>
      <c r="V118" s="17" t="s">
        <v>164</v>
      </c>
      <c r="W118" s="17" t="s">
        <v>165</v>
      </c>
      <c r="X118" s="15" t="s">
        <v>2874</v>
      </c>
      <c r="Y118" s="15" t="s">
        <v>2875</v>
      </c>
      <c r="Z118" s="27">
        <v>5</v>
      </c>
      <c r="AA118" s="17" t="s">
        <v>2876</v>
      </c>
      <c r="AB118" s="17" t="s">
        <v>151</v>
      </c>
      <c r="AC118" s="17" t="s">
        <v>151</v>
      </c>
      <c r="AD118" s="26">
        <v>2021</v>
      </c>
      <c r="AE118" s="17" t="s">
        <v>151</v>
      </c>
      <c r="AF118" s="22">
        <v>45561</v>
      </c>
      <c r="AG118" s="17" t="s">
        <v>151</v>
      </c>
      <c r="AH118" s="17" t="s">
        <v>151</v>
      </c>
      <c r="AI118" s="25" t="s">
        <v>151</v>
      </c>
      <c r="AJ118" s="19" t="s">
        <v>151</v>
      </c>
      <c r="AK118" s="25" t="s">
        <v>151</v>
      </c>
      <c r="AL118" s="25" t="s">
        <v>151</v>
      </c>
      <c r="AM118" s="25" t="s">
        <v>151</v>
      </c>
      <c r="AN118" s="25" t="s">
        <v>151</v>
      </c>
      <c r="AO118" s="25" t="s">
        <v>151</v>
      </c>
      <c r="AP118" s="25" t="s">
        <v>151</v>
      </c>
      <c r="AQ118" s="25" t="s">
        <v>151</v>
      </c>
      <c r="AR118" s="16" t="s">
        <v>151</v>
      </c>
      <c r="AS118" s="17" t="s">
        <v>2877</v>
      </c>
      <c r="AT118" s="17" t="s">
        <v>2878</v>
      </c>
      <c r="AU118" s="18">
        <v>3</v>
      </c>
      <c r="AV118" s="17" t="s">
        <v>151</v>
      </c>
      <c r="AW118" s="17" t="s">
        <v>151</v>
      </c>
      <c r="AX118" s="17" t="s">
        <v>151</v>
      </c>
      <c r="AY118" s="17" t="s">
        <v>2879</v>
      </c>
      <c r="AZ118" s="17" t="s">
        <v>151</v>
      </c>
      <c r="BA118" s="17" t="s">
        <v>151</v>
      </c>
      <c r="BB118" s="17" t="s">
        <v>2880</v>
      </c>
      <c r="BC118" s="17" t="s">
        <v>151</v>
      </c>
      <c r="BD118" s="17" t="s">
        <v>2881</v>
      </c>
      <c r="BE118" s="17" t="s">
        <v>2882</v>
      </c>
      <c r="BF118" s="17" t="s">
        <v>493</v>
      </c>
      <c r="BG118" s="17" t="s">
        <v>2883</v>
      </c>
      <c r="BH118" s="17" t="s">
        <v>2884</v>
      </c>
      <c r="BI118" s="17" t="s">
        <v>2885</v>
      </c>
      <c r="BJ118" s="17" t="s">
        <v>2886</v>
      </c>
      <c r="BK118" s="17" t="s">
        <v>2887</v>
      </c>
      <c r="BL118" s="17" t="s">
        <v>2888</v>
      </c>
      <c r="BM118" s="17" t="s">
        <v>1957</v>
      </c>
      <c r="BN118" s="16" t="s">
        <v>2889</v>
      </c>
      <c r="BO118" s="17" t="s">
        <v>186</v>
      </c>
      <c r="BP118" s="16" t="s">
        <v>151</v>
      </c>
      <c r="BQ118" s="16" t="s">
        <v>151</v>
      </c>
      <c r="BR118" s="17" t="s">
        <v>151</v>
      </c>
      <c r="BS118" s="17" t="s">
        <v>187</v>
      </c>
      <c r="BT118" s="17" t="s">
        <v>188</v>
      </c>
      <c r="BU118" s="22">
        <v>44932</v>
      </c>
      <c r="BV118" s="24">
        <v>0.27</v>
      </c>
      <c r="BW118" s="17" t="s">
        <v>192</v>
      </c>
      <c r="BX118" s="24">
        <v>2</v>
      </c>
      <c r="BY118" s="17" t="s">
        <v>192</v>
      </c>
      <c r="BZ118" s="17" t="s">
        <v>293</v>
      </c>
      <c r="CA118" s="17" t="s">
        <v>293</v>
      </c>
      <c r="CB118" s="17" t="s">
        <v>151</v>
      </c>
      <c r="CC118" s="17" t="s">
        <v>165</v>
      </c>
      <c r="CD118" s="17" t="s">
        <v>151</v>
      </c>
      <c r="CE118" s="17" t="s">
        <v>191</v>
      </c>
      <c r="CF118" s="22">
        <v>45334</v>
      </c>
      <c r="CG118" s="24">
        <v>3</v>
      </c>
      <c r="CH118" s="17" t="s">
        <v>192</v>
      </c>
      <c r="CI118" s="24" t="s">
        <v>151</v>
      </c>
      <c r="CJ118" s="17" t="s">
        <v>151</v>
      </c>
      <c r="CK118" s="16" t="s">
        <v>151</v>
      </c>
      <c r="CL118" s="17" t="s">
        <v>293</v>
      </c>
      <c r="CM118" s="17" t="s">
        <v>293</v>
      </c>
      <c r="CN118" s="17" t="s">
        <v>151</v>
      </c>
      <c r="CO118" s="17" t="s">
        <v>165</v>
      </c>
      <c r="CP118" s="22">
        <v>45334</v>
      </c>
      <c r="CQ118" s="24" t="s">
        <v>151</v>
      </c>
      <c r="CR118" s="17" t="s">
        <v>151</v>
      </c>
      <c r="CS118" s="17" t="s">
        <v>859</v>
      </c>
      <c r="CT118" s="16" t="s">
        <v>151</v>
      </c>
      <c r="CU118" s="17" t="s">
        <v>151</v>
      </c>
      <c r="CV118" s="19" t="s">
        <v>151</v>
      </c>
      <c r="CW118" s="19" t="s">
        <v>151</v>
      </c>
      <c r="CX118" s="17" t="s">
        <v>151</v>
      </c>
      <c r="CY118" s="19" t="s">
        <v>151</v>
      </c>
      <c r="CZ118" s="19" t="s">
        <v>151</v>
      </c>
      <c r="DA118" s="24">
        <v>2</v>
      </c>
      <c r="DB118" s="22">
        <v>44932</v>
      </c>
      <c r="DC118" s="17" t="s">
        <v>293</v>
      </c>
      <c r="DD118" s="16" t="s">
        <v>151</v>
      </c>
      <c r="DE118" s="19">
        <v>-1.04</v>
      </c>
      <c r="DF118" s="21">
        <v>4</v>
      </c>
      <c r="DG118" s="19">
        <v>0</v>
      </c>
      <c r="DH118" s="19">
        <v>0</v>
      </c>
      <c r="DI118" s="19">
        <v>0</v>
      </c>
      <c r="DJ118" s="21">
        <v>10</v>
      </c>
      <c r="DK118" s="19" t="s">
        <v>151</v>
      </c>
      <c r="DL118" s="21" t="s">
        <v>151</v>
      </c>
      <c r="DM118" s="19">
        <v>0</v>
      </c>
      <c r="DN118" s="21">
        <v>10</v>
      </c>
      <c r="DO118" s="23">
        <v>0.51</v>
      </c>
      <c r="DP118" s="21">
        <v>33</v>
      </c>
      <c r="DQ118" s="23">
        <v>0</v>
      </c>
      <c r="DR118" s="19">
        <v>0</v>
      </c>
      <c r="DS118" s="23">
        <v>0.63</v>
      </c>
      <c r="DT118" s="21">
        <v>39</v>
      </c>
      <c r="DU118" s="23" t="s">
        <v>151</v>
      </c>
      <c r="DV118" s="21" t="s">
        <v>151</v>
      </c>
      <c r="DW118" s="23">
        <v>0.63</v>
      </c>
      <c r="DX118" s="21">
        <v>38</v>
      </c>
      <c r="DY118" s="18" t="s">
        <v>151</v>
      </c>
      <c r="DZ118" s="22" t="s">
        <v>151</v>
      </c>
      <c r="EA118" s="22" t="s">
        <v>151</v>
      </c>
      <c r="EB118" s="21">
        <v>56</v>
      </c>
      <c r="EC118" s="20">
        <v>10</v>
      </c>
      <c r="ED118" s="19">
        <v>21.74</v>
      </c>
      <c r="EE118" s="21">
        <v>12</v>
      </c>
      <c r="EF118" s="20">
        <v>0</v>
      </c>
      <c r="EG118" s="19">
        <v>0</v>
      </c>
      <c r="EH118" s="16" t="s">
        <v>198</v>
      </c>
      <c r="EI118" s="17" t="s">
        <v>151</v>
      </c>
      <c r="EJ118" s="17" t="s">
        <v>151</v>
      </c>
      <c r="EK118" s="18">
        <v>1</v>
      </c>
      <c r="EL118" s="18" t="s">
        <v>151</v>
      </c>
      <c r="EM118" s="18">
        <v>1</v>
      </c>
      <c r="EN118" s="18" t="s">
        <v>151</v>
      </c>
      <c r="EO118" s="18" t="s">
        <v>151</v>
      </c>
      <c r="EP118" s="17" t="s">
        <v>2890</v>
      </c>
      <c r="EQ118" s="16" t="s">
        <v>151</v>
      </c>
      <c r="ER118" s="16" t="s">
        <v>151</v>
      </c>
      <c r="ES118" s="3">
        <f>HYPERLINK("https://my.pitchbook.com?c=522121-51","View Company Online")</f>
      </c>
    </row>
    <row r="119">
      <c r="A119" s="30" t="s">
        <v>2891</v>
      </c>
      <c r="B119" s="30" t="s">
        <v>2892</v>
      </c>
      <c r="C119" s="31">
        <v>1</v>
      </c>
      <c r="D119" s="30" t="s">
        <v>2893</v>
      </c>
      <c r="E119" s="30" t="s">
        <v>151</v>
      </c>
      <c r="F119" s="30" t="s">
        <v>2894</v>
      </c>
      <c r="G119" s="30" t="s">
        <v>151</v>
      </c>
      <c r="H119" s="30" t="s">
        <v>151</v>
      </c>
      <c r="I119" s="30" t="s">
        <v>2895</v>
      </c>
      <c r="J119" s="30" t="s">
        <v>2891</v>
      </c>
      <c r="K119" s="30" t="s">
        <v>2896</v>
      </c>
      <c r="L119" s="30" t="s">
        <v>205</v>
      </c>
      <c r="M119" s="30" t="s">
        <v>206</v>
      </c>
      <c r="N119" s="30" t="s">
        <v>269</v>
      </c>
      <c r="O119" s="30" t="s">
        <v>2897</v>
      </c>
      <c r="P119" s="30" t="s">
        <v>2898</v>
      </c>
      <c r="Q119" s="30" t="s">
        <v>2899</v>
      </c>
      <c r="R119" s="30" t="s">
        <v>151</v>
      </c>
      <c r="S119" s="30" t="s">
        <v>162</v>
      </c>
      <c r="T119" s="37">
        <v>5.9</v>
      </c>
      <c r="U119" s="30" t="s">
        <v>163</v>
      </c>
      <c r="V119" s="30" t="s">
        <v>164</v>
      </c>
      <c r="W119" s="30" t="s">
        <v>165</v>
      </c>
      <c r="X119" s="28" t="s">
        <v>2900</v>
      </c>
      <c r="Y119" s="28" t="s">
        <v>2901</v>
      </c>
      <c r="Z119" s="40">
        <v>27</v>
      </c>
      <c r="AA119" s="30" t="s">
        <v>2902</v>
      </c>
      <c r="AB119" s="30" t="s">
        <v>151</v>
      </c>
      <c r="AC119" s="30" t="s">
        <v>151</v>
      </c>
      <c r="AD119" s="39">
        <v>2013</v>
      </c>
      <c r="AE119" s="30" t="s">
        <v>151</v>
      </c>
      <c r="AF119" s="35">
        <v>45617</v>
      </c>
      <c r="AG119" s="30" t="s">
        <v>151</v>
      </c>
      <c r="AH119" s="30" t="s">
        <v>151</v>
      </c>
      <c r="AI119" s="38">
        <v>4.5</v>
      </c>
      <c r="AJ119" s="32">
        <v>60.71</v>
      </c>
      <c r="AK119" s="38" t="s">
        <v>151</v>
      </c>
      <c r="AL119" s="38" t="s">
        <v>151</v>
      </c>
      <c r="AM119" s="38" t="s">
        <v>151</v>
      </c>
      <c r="AN119" s="38" t="s">
        <v>151</v>
      </c>
      <c r="AO119" s="38" t="s">
        <v>151</v>
      </c>
      <c r="AP119" s="38" t="s">
        <v>151</v>
      </c>
      <c r="AQ119" s="38" t="s">
        <v>151</v>
      </c>
      <c r="AR119" s="29" t="s">
        <v>170</v>
      </c>
      <c r="AS119" s="30" t="s">
        <v>2903</v>
      </c>
      <c r="AT119" s="30" t="s">
        <v>2904</v>
      </c>
      <c r="AU119" s="31">
        <v>3</v>
      </c>
      <c r="AV119" s="30" t="s">
        <v>151</v>
      </c>
      <c r="AW119" s="30" t="s">
        <v>2905</v>
      </c>
      <c r="AX119" s="30" t="s">
        <v>151</v>
      </c>
      <c r="AY119" s="30" t="s">
        <v>2906</v>
      </c>
      <c r="AZ119" s="30" t="s">
        <v>2907</v>
      </c>
      <c r="BA119" s="30" t="s">
        <v>151</v>
      </c>
      <c r="BB119" s="30" t="s">
        <v>151</v>
      </c>
      <c r="BC119" s="30" t="s">
        <v>151</v>
      </c>
      <c r="BD119" s="30" t="s">
        <v>2908</v>
      </c>
      <c r="BE119" s="30" t="s">
        <v>2909</v>
      </c>
      <c r="BF119" s="30" t="s">
        <v>2910</v>
      </c>
      <c r="BG119" s="30" t="s">
        <v>2911</v>
      </c>
      <c r="BH119" s="30" t="s">
        <v>2912</v>
      </c>
      <c r="BI119" s="30" t="s">
        <v>1040</v>
      </c>
      <c r="BJ119" s="30" t="s">
        <v>2913</v>
      </c>
      <c r="BK119" s="30" t="s">
        <v>151</v>
      </c>
      <c r="BL119" s="30" t="s">
        <v>1042</v>
      </c>
      <c r="BM119" s="30" t="s">
        <v>1043</v>
      </c>
      <c r="BN119" s="29" t="s">
        <v>1044</v>
      </c>
      <c r="BO119" s="30" t="s">
        <v>186</v>
      </c>
      <c r="BP119" s="29" t="s">
        <v>2912</v>
      </c>
      <c r="BQ119" s="29" t="s">
        <v>151</v>
      </c>
      <c r="BR119" s="30" t="s">
        <v>2914</v>
      </c>
      <c r="BS119" s="30" t="s">
        <v>187</v>
      </c>
      <c r="BT119" s="30" t="s">
        <v>188</v>
      </c>
      <c r="BU119" s="35">
        <v>44637</v>
      </c>
      <c r="BV119" s="37">
        <v>4.7</v>
      </c>
      <c r="BW119" s="30" t="s">
        <v>192</v>
      </c>
      <c r="BX119" s="37" t="s">
        <v>151</v>
      </c>
      <c r="BY119" s="30" t="s">
        <v>151</v>
      </c>
      <c r="BZ119" s="30" t="s">
        <v>1391</v>
      </c>
      <c r="CA119" s="30" t="s">
        <v>151</v>
      </c>
      <c r="CB119" s="30" t="s">
        <v>151</v>
      </c>
      <c r="CC119" s="30" t="s">
        <v>585</v>
      </c>
      <c r="CD119" s="30" t="s">
        <v>151</v>
      </c>
      <c r="CE119" s="30" t="s">
        <v>191</v>
      </c>
      <c r="CF119" s="35" t="s">
        <v>151</v>
      </c>
      <c r="CG119" s="37" t="s">
        <v>151</v>
      </c>
      <c r="CH119" s="30" t="s">
        <v>151</v>
      </c>
      <c r="CI119" s="37" t="s">
        <v>151</v>
      </c>
      <c r="CJ119" s="30" t="s">
        <v>151</v>
      </c>
      <c r="CK119" s="29" t="s">
        <v>151</v>
      </c>
      <c r="CL119" s="30" t="s">
        <v>194</v>
      </c>
      <c r="CM119" s="30" t="s">
        <v>232</v>
      </c>
      <c r="CN119" s="30" t="s">
        <v>151</v>
      </c>
      <c r="CO119" s="30" t="s">
        <v>165</v>
      </c>
      <c r="CP119" s="35" t="s">
        <v>151</v>
      </c>
      <c r="CQ119" s="37" t="s">
        <v>151</v>
      </c>
      <c r="CR119" s="30" t="s">
        <v>151</v>
      </c>
      <c r="CS119" s="30" t="s">
        <v>1125</v>
      </c>
      <c r="CT119" s="29" t="s">
        <v>151</v>
      </c>
      <c r="CU119" s="30" t="s">
        <v>151</v>
      </c>
      <c r="CV119" s="32" t="s">
        <v>151</v>
      </c>
      <c r="CW119" s="32" t="s">
        <v>151</v>
      </c>
      <c r="CX119" s="30" t="s">
        <v>151</v>
      </c>
      <c r="CY119" s="32" t="s">
        <v>151</v>
      </c>
      <c r="CZ119" s="32" t="s">
        <v>151</v>
      </c>
      <c r="DA119" s="37" t="s">
        <v>151</v>
      </c>
      <c r="DB119" s="35" t="s">
        <v>151</v>
      </c>
      <c r="DC119" s="30" t="s">
        <v>151</v>
      </c>
      <c r="DD119" s="29" t="s">
        <v>151</v>
      </c>
      <c r="DE119" s="32">
        <v>-0.22</v>
      </c>
      <c r="DF119" s="34">
        <v>9</v>
      </c>
      <c r="DG119" s="32">
        <v>0.22</v>
      </c>
      <c r="DH119" s="32">
        <v>49.12</v>
      </c>
      <c r="DI119" s="32">
        <v>0</v>
      </c>
      <c r="DJ119" s="34">
        <v>10</v>
      </c>
      <c r="DK119" s="32" t="s">
        <v>151</v>
      </c>
      <c r="DL119" s="34" t="s">
        <v>151</v>
      </c>
      <c r="DM119" s="32">
        <v>0</v>
      </c>
      <c r="DN119" s="34">
        <v>10</v>
      </c>
      <c r="DO119" s="36">
        <v>3.14</v>
      </c>
      <c r="DP119" s="34">
        <v>75</v>
      </c>
      <c r="DQ119" s="36">
        <v>0</v>
      </c>
      <c r="DR119" s="32">
        <v>0</v>
      </c>
      <c r="DS119" s="36">
        <v>4.21</v>
      </c>
      <c r="DT119" s="34">
        <v>80</v>
      </c>
      <c r="DU119" s="36" t="s">
        <v>151</v>
      </c>
      <c r="DV119" s="34" t="s">
        <v>151</v>
      </c>
      <c r="DW119" s="36">
        <v>4.21</v>
      </c>
      <c r="DX119" s="34">
        <v>79</v>
      </c>
      <c r="DY119" s="31">
        <v>3</v>
      </c>
      <c r="DZ119" s="35">
        <v>44888</v>
      </c>
      <c r="EA119" s="35" t="s">
        <v>151</v>
      </c>
      <c r="EB119" s="34">
        <v>230</v>
      </c>
      <c r="EC119" s="33">
        <v>16</v>
      </c>
      <c r="ED119" s="32">
        <v>7.48</v>
      </c>
      <c r="EE119" s="34">
        <v>80</v>
      </c>
      <c r="EF119" s="33">
        <v>0</v>
      </c>
      <c r="EG119" s="32">
        <v>0</v>
      </c>
      <c r="EH119" s="29" t="s">
        <v>198</v>
      </c>
      <c r="EI119" s="30" t="s">
        <v>151</v>
      </c>
      <c r="EJ119" s="30" t="s">
        <v>151</v>
      </c>
      <c r="EK119" s="31">
        <v>1</v>
      </c>
      <c r="EL119" s="31" t="s">
        <v>151</v>
      </c>
      <c r="EM119" s="31">
        <v>1</v>
      </c>
      <c r="EN119" s="31" t="s">
        <v>151</v>
      </c>
      <c r="EO119" s="31" t="s">
        <v>151</v>
      </c>
      <c r="EP119" s="30" t="s">
        <v>2915</v>
      </c>
      <c r="EQ119" s="29" t="s">
        <v>151</v>
      </c>
      <c r="ER119" s="29" t="s">
        <v>151</v>
      </c>
      <c r="ES119" s="4">
        <f>HYPERLINK("https://my.pitchbook.com?c=222787-99","View Company Online")</f>
      </c>
    </row>
    <row r="120">
      <c r="A120" s="17" t="s">
        <v>2916</v>
      </c>
      <c r="B120" s="17" t="s">
        <v>2917</v>
      </c>
      <c r="C120" s="18">
        <v>1</v>
      </c>
      <c r="D120" s="17" t="s">
        <v>151</v>
      </c>
      <c r="E120" s="17" t="s">
        <v>151</v>
      </c>
      <c r="F120" s="17" t="s">
        <v>2918</v>
      </c>
      <c r="G120" s="17" t="s">
        <v>151</v>
      </c>
      <c r="H120" s="17" t="s">
        <v>151</v>
      </c>
      <c r="I120" s="17" t="s">
        <v>2919</v>
      </c>
      <c r="J120" s="17" t="s">
        <v>2916</v>
      </c>
      <c r="K120" s="17" t="s">
        <v>2920</v>
      </c>
      <c r="L120" s="17" t="s">
        <v>205</v>
      </c>
      <c r="M120" s="17" t="s">
        <v>206</v>
      </c>
      <c r="N120" s="17" t="s">
        <v>998</v>
      </c>
      <c r="O120" s="17" t="s">
        <v>2921</v>
      </c>
      <c r="P120" s="17" t="s">
        <v>2922</v>
      </c>
      <c r="Q120" s="17" t="s">
        <v>2923</v>
      </c>
      <c r="R120" s="17" t="s">
        <v>151</v>
      </c>
      <c r="S120" s="17" t="s">
        <v>162</v>
      </c>
      <c r="T120" s="24">
        <v>21.65</v>
      </c>
      <c r="U120" s="17" t="s">
        <v>163</v>
      </c>
      <c r="V120" s="17" t="s">
        <v>164</v>
      </c>
      <c r="W120" s="17" t="s">
        <v>165</v>
      </c>
      <c r="X120" s="15" t="s">
        <v>2924</v>
      </c>
      <c r="Y120" s="15" t="s">
        <v>2925</v>
      </c>
      <c r="Z120" s="27">
        <v>45</v>
      </c>
      <c r="AA120" s="17" t="s">
        <v>2926</v>
      </c>
      <c r="AB120" s="17" t="s">
        <v>151</v>
      </c>
      <c r="AC120" s="17" t="s">
        <v>151</v>
      </c>
      <c r="AD120" s="26">
        <v>2020</v>
      </c>
      <c r="AE120" s="17" t="s">
        <v>151</v>
      </c>
      <c r="AF120" s="22">
        <v>45477</v>
      </c>
      <c r="AG120" s="17" t="s">
        <v>151</v>
      </c>
      <c r="AH120" s="17" t="s">
        <v>151</v>
      </c>
      <c r="AI120" s="25" t="s">
        <v>151</v>
      </c>
      <c r="AJ120" s="19" t="s">
        <v>151</v>
      </c>
      <c r="AK120" s="25" t="s">
        <v>151</v>
      </c>
      <c r="AL120" s="25" t="s">
        <v>151</v>
      </c>
      <c r="AM120" s="25" t="s">
        <v>151</v>
      </c>
      <c r="AN120" s="25" t="s">
        <v>151</v>
      </c>
      <c r="AO120" s="25" t="s">
        <v>151</v>
      </c>
      <c r="AP120" s="25" t="s">
        <v>151</v>
      </c>
      <c r="AQ120" s="25">
        <v>0</v>
      </c>
      <c r="AR120" s="16" t="s">
        <v>810</v>
      </c>
      <c r="AS120" s="17" t="s">
        <v>2927</v>
      </c>
      <c r="AT120" s="17" t="s">
        <v>2928</v>
      </c>
      <c r="AU120" s="18">
        <v>21</v>
      </c>
      <c r="AV120" s="17" t="s">
        <v>151</v>
      </c>
      <c r="AW120" s="17" t="s">
        <v>151</v>
      </c>
      <c r="AX120" s="17" t="s">
        <v>151</v>
      </c>
      <c r="AY120" s="17" t="s">
        <v>2929</v>
      </c>
      <c r="AZ120" s="17" t="s">
        <v>151</v>
      </c>
      <c r="BA120" s="17" t="s">
        <v>151</v>
      </c>
      <c r="BB120" s="17" t="s">
        <v>151</v>
      </c>
      <c r="BC120" s="17" t="s">
        <v>343</v>
      </c>
      <c r="BD120" s="17" t="s">
        <v>2930</v>
      </c>
      <c r="BE120" s="17" t="s">
        <v>2931</v>
      </c>
      <c r="BF120" s="17" t="s">
        <v>2932</v>
      </c>
      <c r="BG120" s="17" t="s">
        <v>2933</v>
      </c>
      <c r="BH120" s="17" t="s">
        <v>151</v>
      </c>
      <c r="BI120" s="17" t="s">
        <v>1040</v>
      </c>
      <c r="BJ120" s="17" t="s">
        <v>2934</v>
      </c>
      <c r="BK120" s="17" t="s">
        <v>2935</v>
      </c>
      <c r="BL120" s="17" t="s">
        <v>1042</v>
      </c>
      <c r="BM120" s="17" t="s">
        <v>1043</v>
      </c>
      <c r="BN120" s="16" t="s">
        <v>2936</v>
      </c>
      <c r="BO120" s="17" t="s">
        <v>186</v>
      </c>
      <c r="BP120" s="16" t="s">
        <v>151</v>
      </c>
      <c r="BQ120" s="16" t="s">
        <v>151</v>
      </c>
      <c r="BR120" s="17" t="s">
        <v>2937</v>
      </c>
      <c r="BS120" s="17" t="s">
        <v>187</v>
      </c>
      <c r="BT120" s="17" t="s">
        <v>188</v>
      </c>
      <c r="BU120" s="22">
        <v>43831</v>
      </c>
      <c r="BV120" s="24" t="s">
        <v>151</v>
      </c>
      <c r="BW120" s="17" t="s">
        <v>151</v>
      </c>
      <c r="BX120" s="24" t="s">
        <v>151</v>
      </c>
      <c r="BY120" s="17" t="s">
        <v>151</v>
      </c>
      <c r="BZ120" s="17" t="s">
        <v>189</v>
      </c>
      <c r="CA120" s="17" t="s">
        <v>151</v>
      </c>
      <c r="CB120" s="17" t="s">
        <v>151</v>
      </c>
      <c r="CC120" s="17" t="s">
        <v>190</v>
      </c>
      <c r="CD120" s="17" t="s">
        <v>151</v>
      </c>
      <c r="CE120" s="17" t="s">
        <v>191</v>
      </c>
      <c r="CF120" s="22">
        <v>44880</v>
      </c>
      <c r="CG120" s="24">
        <v>17.93</v>
      </c>
      <c r="CH120" s="17" t="s">
        <v>192</v>
      </c>
      <c r="CI120" s="24" t="s">
        <v>151</v>
      </c>
      <c r="CJ120" s="17" t="s">
        <v>151</v>
      </c>
      <c r="CK120" s="16" t="s">
        <v>151</v>
      </c>
      <c r="CL120" s="17" t="s">
        <v>231</v>
      </c>
      <c r="CM120" s="17" t="s">
        <v>232</v>
      </c>
      <c r="CN120" s="17" t="s">
        <v>151</v>
      </c>
      <c r="CO120" s="17" t="s">
        <v>165</v>
      </c>
      <c r="CP120" s="22">
        <v>44880</v>
      </c>
      <c r="CQ120" s="24" t="s">
        <v>151</v>
      </c>
      <c r="CR120" s="17" t="s">
        <v>151</v>
      </c>
      <c r="CS120" s="17" t="s">
        <v>191</v>
      </c>
      <c r="CT120" s="16">
        <v>91</v>
      </c>
      <c r="CU120" s="17" t="s">
        <v>196</v>
      </c>
      <c r="CV120" s="19">
        <v>83</v>
      </c>
      <c r="CW120" s="19">
        <v>17</v>
      </c>
      <c r="CX120" s="17" t="s">
        <v>294</v>
      </c>
      <c r="CY120" s="19">
        <v>3</v>
      </c>
      <c r="CZ120" s="19">
        <v>80</v>
      </c>
      <c r="DA120" s="24" t="s">
        <v>151</v>
      </c>
      <c r="DB120" s="22" t="s">
        <v>151</v>
      </c>
      <c r="DC120" s="17" t="s">
        <v>151</v>
      </c>
      <c r="DD120" s="16" t="s">
        <v>151</v>
      </c>
      <c r="DE120" s="19">
        <v>0.98</v>
      </c>
      <c r="DF120" s="21">
        <v>96</v>
      </c>
      <c r="DG120" s="19">
        <v>0</v>
      </c>
      <c r="DH120" s="19">
        <v>0</v>
      </c>
      <c r="DI120" s="19">
        <v>0.97</v>
      </c>
      <c r="DJ120" s="21">
        <v>96</v>
      </c>
      <c r="DK120" s="19" t="s">
        <v>151</v>
      </c>
      <c r="DL120" s="21" t="s">
        <v>151</v>
      </c>
      <c r="DM120" s="19">
        <v>0.97</v>
      </c>
      <c r="DN120" s="21">
        <v>96</v>
      </c>
      <c r="DO120" s="23">
        <v>4.75</v>
      </c>
      <c r="DP120" s="21">
        <v>82</v>
      </c>
      <c r="DQ120" s="23">
        <v>0</v>
      </c>
      <c r="DR120" s="19">
        <v>0</v>
      </c>
      <c r="DS120" s="23">
        <v>6.42</v>
      </c>
      <c r="DT120" s="21">
        <v>85</v>
      </c>
      <c r="DU120" s="23" t="s">
        <v>151</v>
      </c>
      <c r="DV120" s="21" t="s">
        <v>151</v>
      </c>
      <c r="DW120" s="23">
        <v>6.42</v>
      </c>
      <c r="DX120" s="21">
        <v>85</v>
      </c>
      <c r="DY120" s="18" t="s">
        <v>151</v>
      </c>
      <c r="DZ120" s="22" t="s">
        <v>151</v>
      </c>
      <c r="EA120" s="22" t="s">
        <v>151</v>
      </c>
      <c r="EB120" s="21" t="s">
        <v>151</v>
      </c>
      <c r="EC120" s="20" t="s">
        <v>151</v>
      </c>
      <c r="ED120" s="19" t="s">
        <v>151</v>
      </c>
      <c r="EE120" s="21">
        <v>122</v>
      </c>
      <c r="EF120" s="20">
        <v>2</v>
      </c>
      <c r="EG120" s="19">
        <v>1.67</v>
      </c>
      <c r="EH120" s="16" t="s">
        <v>198</v>
      </c>
      <c r="EI120" s="17" t="s">
        <v>151</v>
      </c>
      <c r="EJ120" s="17" t="s">
        <v>151</v>
      </c>
      <c r="EK120" s="18">
        <v>1</v>
      </c>
      <c r="EL120" s="18" t="s">
        <v>151</v>
      </c>
      <c r="EM120" s="18">
        <v>1</v>
      </c>
      <c r="EN120" s="18" t="s">
        <v>151</v>
      </c>
      <c r="EO120" s="18" t="s">
        <v>151</v>
      </c>
      <c r="EP120" s="17" t="s">
        <v>295</v>
      </c>
      <c r="EQ120" s="16" t="s">
        <v>151</v>
      </c>
      <c r="ER120" s="16" t="s">
        <v>151</v>
      </c>
      <c r="ES120" s="3">
        <f>HYPERLINK("https://my.pitchbook.com?c=435083-59","View Company Online")</f>
      </c>
    </row>
    <row r="121">
      <c r="A121" s="30" t="s">
        <v>2938</v>
      </c>
      <c r="B121" s="30" t="s">
        <v>2939</v>
      </c>
      <c r="C121" s="31">
        <v>1</v>
      </c>
      <c r="D121" s="30" t="s">
        <v>151</v>
      </c>
      <c r="E121" s="30" t="s">
        <v>151</v>
      </c>
      <c r="F121" s="30" t="s">
        <v>2940</v>
      </c>
      <c r="G121" s="30" t="s">
        <v>151</v>
      </c>
      <c r="H121" s="30" t="s">
        <v>151</v>
      </c>
      <c r="I121" s="30" t="s">
        <v>2941</v>
      </c>
      <c r="J121" s="30" t="s">
        <v>2938</v>
      </c>
      <c r="K121" s="30" t="s">
        <v>2942</v>
      </c>
      <c r="L121" s="30" t="s">
        <v>616</v>
      </c>
      <c r="M121" s="30" t="s">
        <v>834</v>
      </c>
      <c r="N121" s="30" t="s">
        <v>2059</v>
      </c>
      <c r="O121" s="30" t="s">
        <v>2943</v>
      </c>
      <c r="P121" s="30" t="s">
        <v>2944</v>
      </c>
      <c r="Q121" s="30" t="s">
        <v>2945</v>
      </c>
      <c r="R121" s="30" t="s">
        <v>151</v>
      </c>
      <c r="S121" s="30" t="s">
        <v>162</v>
      </c>
      <c r="T121" s="37">
        <v>50.62</v>
      </c>
      <c r="U121" s="30" t="s">
        <v>163</v>
      </c>
      <c r="V121" s="30" t="s">
        <v>164</v>
      </c>
      <c r="W121" s="30" t="s">
        <v>165</v>
      </c>
      <c r="X121" s="28" t="s">
        <v>2946</v>
      </c>
      <c r="Y121" s="28" t="s">
        <v>2947</v>
      </c>
      <c r="Z121" s="40">
        <v>74</v>
      </c>
      <c r="AA121" s="30" t="s">
        <v>2948</v>
      </c>
      <c r="AB121" s="30" t="s">
        <v>151</v>
      </c>
      <c r="AC121" s="30" t="s">
        <v>151</v>
      </c>
      <c r="AD121" s="39">
        <v>2019</v>
      </c>
      <c r="AE121" s="30" t="s">
        <v>151</v>
      </c>
      <c r="AF121" s="35">
        <v>45483</v>
      </c>
      <c r="AG121" s="30" t="s">
        <v>151</v>
      </c>
      <c r="AH121" s="30" t="s">
        <v>151</v>
      </c>
      <c r="AI121" s="38" t="s">
        <v>151</v>
      </c>
      <c r="AJ121" s="32" t="s">
        <v>151</v>
      </c>
      <c r="AK121" s="38" t="s">
        <v>151</v>
      </c>
      <c r="AL121" s="38" t="s">
        <v>151</v>
      </c>
      <c r="AM121" s="38" t="s">
        <v>151</v>
      </c>
      <c r="AN121" s="38" t="s">
        <v>151</v>
      </c>
      <c r="AO121" s="38" t="s">
        <v>151</v>
      </c>
      <c r="AP121" s="38" t="s">
        <v>151</v>
      </c>
      <c r="AQ121" s="38" t="s">
        <v>151</v>
      </c>
      <c r="AR121" s="29" t="s">
        <v>151</v>
      </c>
      <c r="AS121" s="30" t="s">
        <v>2949</v>
      </c>
      <c r="AT121" s="30" t="s">
        <v>2950</v>
      </c>
      <c r="AU121" s="31">
        <v>20</v>
      </c>
      <c r="AV121" s="30" t="s">
        <v>151</v>
      </c>
      <c r="AW121" s="30" t="s">
        <v>151</v>
      </c>
      <c r="AX121" s="30" t="s">
        <v>151</v>
      </c>
      <c r="AY121" s="30" t="s">
        <v>2951</v>
      </c>
      <c r="AZ121" s="30" t="s">
        <v>151</v>
      </c>
      <c r="BA121" s="30" t="s">
        <v>151</v>
      </c>
      <c r="BB121" s="30" t="s">
        <v>151</v>
      </c>
      <c r="BC121" s="30" t="s">
        <v>151</v>
      </c>
      <c r="BD121" s="30" t="s">
        <v>2952</v>
      </c>
      <c r="BE121" s="30" t="s">
        <v>2953</v>
      </c>
      <c r="BF121" s="30" t="s">
        <v>493</v>
      </c>
      <c r="BG121" s="30" t="s">
        <v>2954</v>
      </c>
      <c r="BH121" s="30" t="s">
        <v>2955</v>
      </c>
      <c r="BI121" s="30" t="s">
        <v>906</v>
      </c>
      <c r="BJ121" s="30" t="s">
        <v>2956</v>
      </c>
      <c r="BK121" s="30" t="s">
        <v>2957</v>
      </c>
      <c r="BL121" s="30" t="s">
        <v>259</v>
      </c>
      <c r="BM121" s="30" t="s">
        <v>259</v>
      </c>
      <c r="BN121" s="29" t="s">
        <v>2958</v>
      </c>
      <c r="BO121" s="30" t="s">
        <v>186</v>
      </c>
      <c r="BP121" s="29" t="s">
        <v>2955</v>
      </c>
      <c r="BQ121" s="29" t="s">
        <v>151</v>
      </c>
      <c r="BR121" s="30" t="s">
        <v>2959</v>
      </c>
      <c r="BS121" s="30" t="s">
        <v>187</v>
      </c>
      <c r="BT121" s="30" t="s">
        <v>188</v>
      </c>
      <c r="BU121" s="35">
        <v>44183</v>
      </c>
      <c r="BV121" s="37">
        <v>5.07</v>
      </c>
      <c r="BW121" s="30" t="s">
        <v>192</v>
      </c>
      <c r="BX121" s="37">
        <v>17.07</v>
      </c>
      <c r="BY121" s="30" t="s">
        <v>192</v>
      </c>
      <c r="BZ121" s="30" t="s">
        <v>293</v>
      </c>
      <c r="CA121" s="30" t="s">
        <v>293</v>
      </c>
      <c r="CB121" s="30" t="s">
        <v>151</v>
      </c>
      <c r="CC121" s="30" t="s">
        <v>165</v>
      </c>
      <c r="CD121" s="30" t="s">
        <v>151</v>
      </c>
      <c r="CE121" s="30" t="s">
        <v>191</v>
      </c>
      <c r="CF121" s="35">
        <v>44719</v>
      </c>
      <c r="CG121" s="37">
        <v>30</v>
      </c>
      <c r="CH121" s="30" t="s">
        <v>192</v>
      </c>
      <c r="CI121" s="37">
        <v>200</v>
      </c>
      <c r="CJ121" s="30" t="s">
        <v>192</v>
      </c>
      <c r="CK121" s="29">
        <v>2.59</v>
      </c>
      <c r="CL121" s="30" t="s">
        <v>231</v>
      </c>
      <c r="CM121" s="30" t="s">
        <v>326</v>
      </c>
      <c r="CN121" s="30" t="s">
        <v>151</v>
      </c>
      <c r="CO121" s="30" t="s">
        <v>165</v>
      </c>
      <c r="CP121" s="35">
        <v>44719</v>
      </c>
      <c r="CQ121" s="37" t="s">
        <v>151</v>
      </c>
      <c r="CR121" s="30" t="s">
        <v>151</v>
      </c>
      <c r="CS121" s="30" t="s">
        <v>191</v>
      </c>
      <c r="CT121" s="29">
        <v>81</v>
      </c>
      <c r="CU121" s="30" t="s">
        <v>196</v>
      </c>
      <c r="CV121" s="32">
        <v>90</v>
      </c>
      <c r="CW121" s="32">
        <v>10</v>
      </c>
      <c r="CX121" s="30" t="s">
        <v>294</v>
      </c>
      <c r="CY121" s="32">
        <v>3</v>
      </c>
      <c r="CZ121" s="32">
        <v>87</v>
      </c>
      <c r="DA121" s="37">
        <v>200</v>
      </c>
      <c r="DB121" s="35">
        <v>44719</v>
      </c>
      <c r="DC121" s="30" t="s">
        <v>231</v>
      </c>
      <c r="DD121" s="29">
        <v>2.59</v>
      </c>
      <c r="DE121" s="32">
        <v>1.55</v>
      </c>
      <c r="DF121" s="34">
        <v>97</v>
      </c>
      <c r="DG121" s="32">
        <v>0</v>
      </c>
      <c r="DH121" s="32">
        <v>0</v>
      </c>
      <c r="DI121" s="32">
        <v>2.57</v>
      </c>
      <c r="DJ121" s="34">
        <v>99</v>
      </c>
      <c r="DK121" s="32" t="s">
        <v>151</v>
      </c>
      <c r="DL121" s="34" t="s">
        <v>151</v>
      </c>
      <c r="DM121" s="32">
        <v>2.57</v>
      </c>
      <c r="DN121" s="34">
        <v>99</v>
      </c>
      <c r="DO121" s="36">
        <v>14.98</v>
      </c>
      <c r="DP121" s="34">
        <v>93</v>
      </c>
      <c r="DQ121" s="36">
        <v>0</v>
      </c>
      <c r="DR121" s="32">
        <v>0</v>
      </c>
      <c r="DS121" s="36">
        <v>24.26</v>
      </c>
      <c r="DT121" s="34">
        <v>96</v>
      </c>
      <c r="DU121" s="36" t="s">
        <v>151</v>
      </c>
      <c r="DV121" s="34" t="s">
        <v>151</v>
      </c>
      <c r="DW121" s="36">
        <v>24.26</v>
      </c>
      <c r="DX121" s="34">
        <v>96</v>
      </c>
      <c r="DY121" s="31" t="s">
        <v>151</v>
      </c>
      <c r="DZ121" s="35" t="s">
        <v>151</v>
      </c>
      <c r="EA121" s="35" t="s">
        <v>151</v>
      </c>
      <c r="EB121" s="34">
        <v>2440</v>
      </c>
      <c r="EC121" s="33">
        <v>-18</v>
      </c>
      <c r="ED121" s="32">
        <v>-0.73</v>
      </c>
      <c r="EE121" s="34">
        <v>461</v>
      </c>
      <c r="EF121" s="33">
        <v>2</v>
      </c>
      <c r="EG121" s="32">
        <v>0.44</v>
      </c>
      <c r="EH121" s="29" t="s">
        <v>198</v>
      </c>
      <c r="EI121" s="30" t="s">
        <v>151</v>
      </c>
      <c r="EJ121" s="30" t="s">
        <v>151</v>
      </c>
      <c r="EK121" s="31">
        <v>1</v>
      </c>
      <c r="EL121" s="31" t="s">
        <v>151</v>
      </c>
      <c r="EM121" s="31" t="s">
        <v>151</v>
      </c>
      <c r="EN121" s="31" t="s">
        <v>151</v>
      </c>
      <c r="EO121" s="31">
        <v>1</v>
      </c>
      <c r="EP121" s="30" t="s">
        <v>151</v>
      </c>
      <c r="EQ121" s="29" t="s">
        <v>151</v>
      </c>
      <c r="ER121" s="29" t="s">
        <v>151</v>
      </c>
      <c r="ES121" s="4">
        <f>HYPERLINK("https://my.pitchbook.com?c=433221-85","View Company Online")</f>
      </c>
    </row>
    <row r="122">
      <c r="A122" s="17" t="s">
        <v>2960</v>
      </c>
      <c r="B122" s="17" t="s">
        <v>2961</v>
      </c>
      <c r="C122" s="18">
        <v>1</v>
      </c>
      <c r="D122" s="17" t="s">
        <v>151</v>
      </c>
      <c r="E122" s="17" t="s">
        <v>151</v>
      </c>
      <c r="F122" s="17" t="s">
        <v>2962</v>
      </c>
      <c r="G122" s="17" t="s">
        <v>151</v>
      </c>
      <c r="H122" s="17" t="s">
        <v>151</v>
      </c>
      <c r="I122" s="17" t="s">
        <v>2963</v>
      </c>
      <c r="J122" s="17" t="s">
        <v>2960</v>
      </c>
      <c r="K122" s="17" t="s">
        <v>2964</v>
      </c>
      <c r="L122" s="17" t="s">
        <v>205</v>
      </c>
      <c r="M122" s="17" t="s">
        <v>206</v>
      </c>
      <c r="N122" s="17" t="s">
        <v>269</v>
      </c>
      <c r="O122" s="17" t="s">
        <v>2965</v>
      </c>
      <c r="P122" s="17" t="s">
        <v>2966</v>
      </c>
      <c r="Q122" s="17" t="s">
        <v>2967</v>
      </c>
      <c r="R122" s="17" t="s">
        <v>780</v>
      </c>
      <c r="S122" s="17" t="s">
        <v>162</v>
      </c>
      <c r="T122" s="24">
        <v>15.97</v>
      </c>
      <c r="U122" s="17" t="s">
        <v>163</v>
      </c>
      <c r="V122" s="17" t="s">
        <v>164</v>
      </c>
      <c r="W122" s="17" t="s">
        <v>165</v>
      </c>
      <c r="X122" s="15" t="s">
        <v>2968</v>
      </c>
      <c r="Y122" s="15" t="s">
        <v>2969</v>
      </c>
      <c r="Z122" s="27">
        <v>47</v>
      </c>
      <c r="AA122" s="17" t="s">
        <v>2970</v>
      </c>
      <c r="AB122" s="17" t="s">
        <v>151</v>
      </c>
      <c r="AC122" s="17" t="s">
        <v>151</v>
      </c>
      <c r="AD122" s="26">
        <v>2020</v>
      </c>
      <c r="AE122" s="17" t="s">
        <v>151</v>
      </c>
      <c r="AF122" s="22">
        <v>45576</v>
      </c>
      <c r="AG122" s="17" t="s">
        <v>151</v>
      </c>
      <c r="AH122" s="17" t="s">
        <v>151</v>
      </c>
      <c r="AI122" s="25" t="s">
        <v>151</v>
      </c>
      <c r="AJ122" s="19" t="s">
        <v>151</v>
      </c>
      <c r="AK122" s="25" t="s">
        <v>151</v>
      </c>
      <c r="AL122" s="25" t="s">
        <v>151</v>
      </c>
      <c r="AM122" s="25" t="s">
        <v>151</v>
      </c>
      <c r="AN122" s="25" t="s">
        <v>151</v>
      </c>
      <c r="AO122" s="25" t="s">
        <v>151</v>
      </c>
      <c r="AP122" s="25" t="s">
        <v>151</v>
      </c>
      <c r="AQ122" s="25" t="s">
        <v>151</v>
      </c>
      <c r="AR122" s="16" t="s">
        <v>151</v>
      </c>
      <c r="AS122" s="17" t="s">
        <v>2971</v>
      </c>
      <c r="AT122" s="17" t="s">
        <v>2972</v>
      </c>
      <c r="AU122" s="18">
        <v>25</v>
      </c>
      <c r="AV122" s="17" t="s">
        <v>151</v>
      </c>
      <c r="AW122" s="17" t="s">
        <v>151</v>
      </c>
      <c r="AX122" s="17" t="s">
        <v>151</v>
      </c>
      <c r="AY122" s="17" t="s">
        <v>2973</v>
      </c>
      <c r="AZ122" s="17" t="s">
        <v>151</v>
      </c>
      <c r="BA122" s="17" t="s">
        <v>151</v>
      </c>
      <c r="BB122" s="17" t="s">
        <v>151</v>
      </c>
      <c r="BC122" s="17" t="s">
        <v>151</v>
      </c>
      <c r="BD122" s="17" t="s">
        <v>2974</v>
      </c>
      <c r="BE122" s="17" t="s">
        <v>2975</v>
      </c>
      <c r="BF122" s="17" t="s">
        <v>221</v>
      </c>
      <c r="BG122" s="17" t="s">
        <v>2976</v>
      </c>
      <c r="BH122" s="17" t="s">
        <v>2977</v>
      </c>
      <c r="BI122" s="17" t="s">
        <v>764</v>
      </c>
      <c r="BJ122" s="17" t="s">
        <v>2978</v>
      </c>
      <c r="BK122" s="17" t="s">
        <v>151</v>
      </c>
      <c r="BL122" s="17" t="s">
        <v>767</v>
      </c>
      <c r="BM122" s="17" t="s">
        <v>184</v>
      </c>
      <c r="BN122" s="16" t="s">
        <v>2979</v>
      </c>
      <c r="BO122" s="17" t="s">
        <v>186</v>
      </c>
      <c r="BP122" s="16" t="s">
        <v>2977</v>
      </c>
      <c r="BQ122" s="16" t="s">
        <v>151</v>
      </c>
      <c r="BR122" s="17" t="s">
        <v>2980</v>
      </c>
      <c r="BS122" s="17" t="s">
        <v>187</v>
      </c>
      <c r="BT122" s="17" t="s">
        <v>188</v>
      </c>
      <c r="BU122" s="22">
        <v>44075</v>
      </c>
      <c r="BV122" s="24">
        <v>0.7</v>
      </c>
      <c r="BW122" s="17" t="s">
        <v>192</v>
      </c>
      <c r="BX122" s="24">
        <v>5.7</v>
      </c>
      <c r="BY122" s="17" t="s">
        <v>192</v>
      </c>
      <c r="BZ122" s="17" t="s">
        <v>293</v>
      </c>
      <c r="CA122" s="17" t="s">
        <v>293</v>
      </c>
      <c r="CB122" s="17" t="s">
        <v>151</v>
      </c>
      <c r="CC122" s="17" t="s">
        <v>165</v>
      </c>
      <c r="CD122" s="17" t="s">
        <v>151</v>
      </c>
      <c r="CE122" s="17" t="s">
        <v>191</v>
      </c>
      <c r="CF122" s="22">
        <v>44985</v>
      </c>
      <c r="CG122" s="24">
        <v>12</v>
      </c>
      <c r="CH122" s="17" t="s">
        <v>192</v>
      </c>
      <c r="CI122" s="24" t="s">
        <v>151</v>
      </c>
      <c r="CJ122" s="17" t="s">
        <v>151</v>
      </c>
      <c r="CK122" s="16" t="s">
        <v>151</v>
      </c>
      <c r="CL122" s="17" t="s">
        <v>231</v>
      </c>
      <c r="CM122" s="17" t="s">
        <v>232</v>
      </c>
      <c r="CN122" s="17" t="s">
        <v>151</v>
      </c>
      <c r="CO122" s="17" t="s">
        <v>165</v>
      </c>
      <c r="CP122" s="22">
        <v>44985</v>
      </c>
      <c r="CQ122" s="24" t="s">
        <v>151</v>
      </c>
      <c r="CR122" s="17" t="s">
        <v>151</v>
      </c>
      <c r="CS122" s="17" t="s">
        <v>191</v>
      </c>
      <c r="CT122" s="16">
        <v>91</v>
      </c>
      <c r="CU122" s="17" t="s">
        <v>196</v>
      </c>
      <c r="CV122" s="19">
        <v>83</v>
      </c>
      <c r="CW122" s="19">
        <v>17</v>
      </c>
      <c r="CX122" s="17" t="s">
        <v>294</v>
      </c>
      <c r="CY122" s="19">
        <v>2</v>
      </c>
      <c r="CZ122" s="19">
        <v>81</v>
      </c>
      <c r="DA122" s="24">
        <v>13.25</v>
      </c>
      <c r="DB122" s="22">
        <v>44462</v>
      </c>
      <c r="DC122" s="17" t="s">
        <v>293</v>
      </c>
      <c r="DD122" s="16">
        <v>1.75</v>
      </c>
      <c r="DE122" s="19">
        <v>1.55</v>
      </c>
      <c r="DF122" s="21">
        <v>97</v>
      </c>
      <c r="DG122" s="19">
        <v>0</v>
      </c>
      <c r="DH122" s="19">
        <v>0</v>
      </c>
      <c r="DI122" s="19">
        <v>1.55</v>
      </c>
      <c r="DJ122" s="21">
        <v>98</v>
      </c>
      <c r="DK122" s="19" t="s">
        <v>151</v>
      </c>
      <c r="DL122" s="21" t="s">
        <v>151</v>
      </c>
      <c r="DM122" s="19">
        <v>1.55</v>
      </c>
      <c r="DN122" s="21">
        <v>98</v>
      </c>
      <c r="DO122" s="23">
        <v>14.53</v>
      </c>
      <c r="DP122" s="21">
        <v>93</v>
      </c>
      <c r="DQ122" s="23">
        <v>0</v>
      </c>
      <c r="DR122" s="19">
        <v>0</v>
      </c>
      <c r="DS122" s="23">
        <v>14.53</v>
      </c>
      <c r="DT122" s="21">
        <v>93</v>
      </c>
      <c r="DU122" s="23" t="s">
        <v>151</v>
      </c>
      <c r="DV122" s="21" t="s">
        <v>151</v>
      </c>
      <c r="DW122" s="23">
        <v>14.53</v>
      </c>
      <c r="DX122" s="21">
        <v>93</v>
      </c>
      <c r="DY122" s="18" t="s">
        <v>151</v>
      </c>
      <c r="DZ122" s="22" t="s">
        <v>151</v>
      </c>
      <c r="EA122" s="22" t="s">
        <v>151</v>
      </c>
      <c r="EB122" s="21">
        <v>4077</v>
      </c>
      <c r="EC122" s="20">
        <v>2</v>
      </c>
      <c r="ED122" s="19">
        <v>0.05</v>
      </c>
      <c r="EE122" s="21">
        <v>276</v>
      </c>
      <c r="EF122" s="20">
        <v>4</v>
      </c>
      <c r="EG122" s="19">
        <v>1.47</v>
      </c>
      <c r="EH122" s="16" t="s">
        <v>198</v>
      </c>
      <c r="EI122" s="17" t="s">
        <v>151</v>
      </c>
      <c r="EJ122" s="17" t="s">
        <v>151</v>
      </c>
      <c r="EK122" s="18">
        <v>1</v>
      </c>
      <c r="EL122" s="18" t="s">
        <v>151</v>
      </c>
      <c r="EM122" s="18" t="s">
        <v>151</v>
      </c>
      <c r="EN122" s="18" t="s">
        <v>151</v>
      </c>
      <c r="EO122" s="18">
        <v>1</v>
      </c>
      <c r="EP122" s="17" t="s">
        <v>151</v>
      </c>
      <c r="EQ122" s="16" t="s">
        <v>151</v>
      </c>
      <c r="ER122" s="16" t="s">
        <v>151</v>
      </c>
      <c r="ES122" s="3">
        <f>HYPERLINK("https://my.pitchbook.com?c=462628-09","View Company Online")</f>
      </c>
    </row>
    <row r="123">
      <c r="A123" s="30" t="s">
        <v>2981</v>
      </c>
      <c r="B123" s="30" t="s">
        <v>2982</v>
      </c>
      <c r="C123" s="31">
        <v>1</v>
      </c>
      <c r="D123" s="30" t="s">
        <v>151</v>
      </c>
      <c r="E123" s="30" t="s">
        <v>151</v>
      </c>
      <c r="F123" s="30" t="s">
        <v>2983</v>
      </c>
      <c r="G123" s="30" t="s">
        <v>151</v>
      </c>
      <c r="H123" s="30" t="s">
        <v>151</v>
      </c>
      <c r="I123" s="30" t="s">
        <v>2984</v>
      </c>
      <c r="J123" s="30" t="s">
        <v>2981</v>
      </c>
      <c r="K123" s="30" t="s">
        <v>2985</v>
      </c>
      <c r="L123" s="30" t="s">
        <v>205</v>
      </c>
      <c r="M123" s="30" t="s">
        <v>448</v>
      </c>
      <c r="N123" s="30" t="s">
        <v>449</v>
      </c>
      <c r="O123" s="30" t="s">
        <v>2986</v>
      </c>
      <c r="P123" s="30" t="s">
        <v>2987</v>
      </c>
      <c r="Q123" s="30" t="s">
        <v>2988</v>
      </c>
      <c r="R123" s="30" t="s">
        <v>151</v>
      </c>
      <c r="S123" s="30" t="s">
        <v>162</v>
      </c>
      <c r="T123" s="37">
        <v>18</v>
      </c>
      <c r="U123" s="30" t="s">
        <v>163</v>
      </c>
      <c r="V123" s="30" t="s">
        <v>164</v>
      </c>
      <c r="W123" s="30" t="s">
        <v>165</v>
      </c>
      <c r="X123" s="28" t="s">
        <v>2989</v>
      </c>
      <c r="Y123" s="28" t="s">
        <v>2990</v>
      </c>
      <c r="Z123" s="40">
        <v>20</v>
      </c>
      <c r="AA123" s="30" t="s">
        <v>2991</v>
      </c>
      <c r="AB123" s="30" t="s">
        <v>151</v>
      </c>
      <c r="AC123" s="30" t="s">
        <v>151</v>
      </c>
      <c r="AD123" s="39">
        <v>2019</v>
      </c>
      <c r="AE123" s="30" t="s">
        <v>151</v>
      </c>
      <c r="AF123" s="35">
        <v>45580</v>
      </c>
      <c r="AG123" s="30" t="s">
        <v>151</v>
      </c>
      <c r="AH123" s="30" t="s">
        <v>151</v>
      </c>
      <c r="AI123" s="38" t="s">
        <v>151</v>
      </c>
      <c r="AJ123" s="32" t="s">
        <v>151</v>
      </c>
      <c r="AK123" s="38" t="s">
        <v>151</v>
      </c>
      <c r="AL123" s="38" t="s">
        <v>151</v>
      </c>
      <c r="AM123" s="38" t="s">
        <v>151</v>
      </c>
      <c r="AN123" s="38" t="s">
        <v>151</v>
      </c>
      <c r="AO123" s="38" t="s">
        <v>151</v>
      </c>
      <c r="AP123" s="38" t="s">
        <v>151</v>
      </c>
      <c r="AQ123" s="38" t="s">
        <v>151</v>
      </c>
      <c r="AR123" s="29" t="s">
        <v>151</v>
      </c>
      <c r="AS123" s="30" t="s">
        <v>2992</v>
      </c>
      <c r="AT123" s="30" t="s">
        <v>2993</v>
      </c>
      <c r="AU123" s="31">
        <v>17</v>
      </c>
      <c r="AV123" s="30" t="s">
        <v>151</v>
      </c>
      <c r="AW123" s="30" t="s">
        <v>151</v>
      </c>
      <c r="AX123" s="30" t="s">
        <v>151</v>
      </c>
      <c r="AY123" s="30" t="s">
        <v>2994</v>
      </c>
      <c r="AZ123" s="30" t="s">
        <v>151</v>
      </c>
      <c r="BA123" s="30" t="s">
        <v>151</v>
      </c>
      <c r="BB123" s="30" t="s">
        <v>2995</v>
      </c>
      <c r="BC123" s="30" t="s">
        <v>490</v>
      </c>
      <c r="BD123" s="30" t="s">
        <v>2996</v>
      </c>
      <c r="BE123" s="30" t="s">
        <v>2997</v>
      </c>
      <c r="BF123" s="30" t="s">
        <v>465</v>
      </c>
      <c r="BG123" s="30" t="s">
        <v>2998</v>
      </c>
      <c r="BH123" s="30" t="s">
        <v>151</v>
      </c>
      <c r="BI123" s="30" t="s">
        <v>764</v>
      </c>
      <c r="BJ123" s="30" t="s">
        <v>2999</v>
      </c>
      <c r="BK123" s="30" t="s">
        <v>3000</v>
      </c>
      <c r="BL123" s="30" t="s">
        <v>767</v>
      </c>
      <c r="BM123" s="30" t="s">
        <v>184</v>
      </c>
      <c r="BN123" s="29" t="s">
        <v>3001</v>
      </c>
      <c r="BO123" s="30" t="s">
        <v>186</v>
      </c>
      <c r="BP123" s="29" t="s">
        <v>151</v>
      </c>
      <c r="BQ123" s="29" t="s">
        <v>151</v>
      </c>
      <c r="BR123" s="30" t="s">
        <v>151</v>
      </c>
      <c r="BS123" s="30" t="s">
        <v>187</v>
      </c>
      <c r="BT123" s="30" t="s">
        <v>188</v>
      </c>
      <c r="BU123" s="35">
        <v>44326</v>
      </c>
      <c r="BV123" s="37">
        <v>0.8</v>
      </c>
      <c r="BW123" s="30" t="s">
        <v>192</v>
      </c>
      <c r="BX123" s="37">
        <v>3.2</v>
      </c>
      <c r="BY123" s="30" t="s">
        <v>192</v>
      </c>
      <c r="BZ123" s="30" t="s">
        <v>293</v>
      </c>
      <c r="CA123" s="30" t="s">
        <v>293</v>
      </c>
      <c r="CB123" s="30" t="s">
        <v>151</v>
      </c>
      <c r="CC123" s="30" t="s">
        <v>165</v>
      </c>
      <c r="CD123" s="30" t="s">
        <v>151</v>
      </c>
      <c r="CE123" s="30" t="s">
        <v>191</v>
      </c>
      <c r="CF123" s="35">
        <v>45303</v>
      </c>
      <c r="CG123" s="37">
        <v>7.7</v>
      </c>
      <c r="CH123" s="30" t="s">
        <v>192</v>
      </c>
      <c r="CI123" s="37" t="s">
        <v>151</v>
      </c>
      <c r="CJ123" s="30" t="s">
        <v>151</v>
      </c>
      <c r="CK123" s="29" t="s">
        <v>151</v>
      </c>
      <c r="CL123" s="30" t="s">
        <v>293</v>
      </c>
      <c r="CM123" s="30" t="s">
        <v>293</v>
      </c>
      <c r="CN123" s="30" t="s">
        <v>151</v>
      </c>
      <c r="CO123" s="30" t="s">
        <v>165</v>
      </c>
      <c r="CP123" s="35">
        <v>45303</v>
      </c>
      <c r="CQ123" s="37" t="s">
        <v>151</v>
      </c>
      <c r="CR123" s="30" t="s">
        <v>151</v>
      </c>
      <c r="CS123" s="30" t="s">
        <v>191</v>
      </c>
      <c r="CT123" s="29">
        <v>94</v>
      </c>
      <c r="CU123" s="30" t="s">
        <v>196</v>
      </c>
      <c r="CV123" s="32">
        <v>88</v>
      </c>
      <c r="CW123" s="32">
        <v>12</v>
      </c>
      <c r="CX123" s="30" t="s">
        <v>294</v>
      </c>
      <c r="CY123" s="32">
        <v>1</v>
      </c>
      <c r="CZ123" s="32">
        <v>87</v>
      </c>
      <c r="DA123" s="37">
        <v>27</v>
      </c>
      <c r="DB123" s="35">
        <v>45119</v>
      </c>
      <c r="DC123" s="30" t="s">
        <v>293</v>
      </c>
      <c r="DD123" s="29">
        <v>1.1</v>
      </c>
      <c r="DE123" s="32" t="s">
        <v>151</v>
      </c>
      <c r="DF123" s="34" t="s">
        <v>151</v>
      </c>
      <c r="DG123" s="32" t="s">
        <v>151</v>
      </c>
      <c r="DH123" s="32" t="s">
        <v>151</v>
      </c>
      <c r="DI123" s="32" t="s">
        <v>151</v>
      </c>
      <c r="DJ123" s="34" t="s">
        <v>151</v>
      </c>
      <c r="DK123" s="32" t="s">
        <v>151</v>
      </c>
      <c r="DL123" s="34" t="s">
        <v>151</v>
      </c>
      <c r="DM123" s="32" t="s">
        <v>151</v>
      </c>
      <c r="DN123" s="34" t="s">
        <v>151</v>
      </c>
      <c r="DO123" s="36" t="s">
        <v>151</v>
      </c>
      <c r="DP123" s="34" t="s">
        <v>151</v>
      </c>
      <c r="DQ123" s="36" t="s">
        <v>151</v>
      </c>
      <c r="DR123" s="32" t="s">
        <v>151</v>
      </c>
      <c r="DS123" s="36" t="s">
        <v>151</v>
      </c>
      <c r="DT123" s="34" t="s">
        <v>151</v>
      </c>
      <c r="DU123" s="36" t="s">
        <v>151</v>
      </c>
      <c r="DV123" s="34" t="s">
        <v>151</v>
      </c>
      <c r="DW123" s="36" t="s">
        <v>151</v>
      </c>
      <c r="DX123" s="34" t="s">
        <v>151</v>
      </c>
      <c r="DY123" s="31" t="s">
        <v>151</v>
      </c>
      <c r="DZ123" s="35" t="s">
        <v>151</v>
      </c>
      <c r="EA123" s="35" t="s">
        <v>151</v>
      </c>
      <c r="EB123" s="34" t="s">
        <v>151</v>
      </c>
      <c r="EC123" s="33" t="s">
        <v>151</v>
      </c>
      <c r="ED123" s="32" t="s">
        <v>151</v>
      </c>
      <c r="EE123" s="34" t="s">
        <v>151</v>
      </c>
      <c r="EF123" s="33" t="s">
        <v>151</v>
      </c>
      <c r="EG123" s="32" t="s">
        <v>151</v>
      </c>
      <c r="EH123" s="29" t="s">
        <v>198</v>
      </c>
      <c r="EI123" s="30" t="s">
        <v>151</v>
      </c>
      <c r="EJ123" s="30" t="s">
        <v>151</v>
      </c>
      <c r="EK123" s="31">
        <v>1</v>
      </c>
      <c r="EL123" s="31" t="s">
        <v>151</v>
      </c>
      <c r="EM123" s="31" t="s">
        <v>151</v>
      </c>
      <c r="EN123" s="31" t="s">
        <v>151</v>
      </c>
      <c r="EO123" s="31">
        <v>1</v>
      </c>
      <c r="EP123" s="30" t="s">
        <v>151</v>
      </c>
      <c r="EQ123" s="29" t="s">
        <v>151</v>
      </c>
      <c r="ER123" s="29" t="s">
        <v>151</v>
      </c>
      <c r="ES123" s="4">
        <f>HYPERLINK("https://my.pitchbook.com?c=481843-36","View Company Online")</f>
      </c>
    </row>
    <row r="124">
      <c r="A124" s="17" t="s">
        <v>3002</v>
      </c>
      <c r="B124" s="17" t="s">
        <v>3003</v>
      </c>
      <c r="C124" s="18">
        <v>1</v>
      </c>
      <c r="D124" s="17" t="s">
        <v>3004</v>
      </c>
      <c r="E124" s="17" t="s">
        <v>3005</v>
      </c>
      <c r="F124" s="17" t="s">
        <v>3006</v>
      </c>
      <c r="G124" s="17" t="s">
        <v>151</v>
      </c>
      <c r="H124" s="17" t="s">
        <v>151</v>
      </c>
      <c r="I124" s="17" t="s">
        <v>3007</v>
      </c>
      <c r="J124" s="17" t="s">
        <v>3002</v>
      </c>
      <c r="K124" s="17" t="s">
        <v>3008</v>
      </c>
      <c r="L124" s="17" t="s">
        <v>155</v>
      </c>
      <c r="M124" s="17" t="s">
        <v>2320</v>
      </c>
      <c r="N124" s="17" t="s">
        <v>2321</v>
      </c>
      <c r="O124" s="17" t="s">
        <v>2322</v>
      </c>
      <c r="P124" s="17" t="s">
        <v>3009</v>
      </c>
      <c r="Q124" s="17" t="s">
        <v>3010</v>
      </c>
      <c r="R124" s="17" t="s">
        <v>3011</v>
      </c>
      <c r="S124" s="17" t="s">
        <v>162</v>
      </c>
      <c r="T124" s="24">
        <v>8.84</v>
      </c>
      <c r="U124" s="17" t="s">
        <v>163</v>
      </c>
      <c r="V124" s="17" t="s">
        <v>164</v>
      </c>
      <c r="W124" s="17" t="s">
        <v>165</v>
      </c>
      <c r="X124" s="15" t="s">
        <v>3012</v>
      </c>
      <c r="Y124" s="15" t="s">
        <v>3013</v>
      </c>
      <c r="Z124" s="27">
        <v>28</v>
      </c>
      <c r="AA124" s="17" t="s">
        <v>3014</v>
      </c>
      <c r="AB124" s="17" t="s">
        <v>151</v>
      </c>
      <c r="AC124" s="17" t="s">
        <v>151</v>
      </c>
      <c r="AD124" s="26">
        <v>2018</v>
      </c>
      <c r="AE124" s="17" t="s">
        <v>151</v>
      </c>
      <c r="AF124" s="22">
        <v>45615</v>
      </c>
      <c r="AG124" s="17" t="s">
        <v>151</v>
      </c>
      <c r="AH124" s="17" t="s">
        <v>151</v>
      </c>
      <c r="AI124" s="25">
        <v>2.1</v>
      </c>
      <c r="AJ124" s="19">
        <v>169.23</v>
      </c>
      <c r="AK124" s="25" t="s">
        <v>151</v>
      </c>
      <c r="AL124" s="25" t="s">
        <v>151</v>
      </c>
      <c r="AM124" s="25" t="s">
        <v>151</v>
      </c>
      <c r="AN124" s="25" t="s">
        <v>151</v>
      </c>
      <c r="AO124" s="25" t="s">
        <v>151</v>
      </c>
      <c r="AP124" s="25" t="s">
        <v>151</v>
      </c>
      <c r="AQ124" s="25" t="s">
        <v>151</v>
      </c>
      <c r="AR124" s="16" t="s">
        <v>810</v>
      </c>
      <c r="AS124" s="17" t="s">
        <v>3015</v>
      </c>
      <c r="AT124" s="17" t="s">
        <v>3016</v>
      </c>
      <c r="AU124" s="18">
        <v>11</v>
      </c>
      <c r="AV124" s="17" t="s">
        <v>151</v>
      </c>
      <c r="AW124" s="17" t="s">
        <v>151</v>
      </c>
      <c r="AX124" s="17" t="s">
        <v>151</v>
      </c>
      <c r="AY124" s="17" t="s">
        <v>3017</v>
      </c>
      <c r="AZ124" s="17" t="s">
        <v>151</v>
      </c>
      <c r="BA124" s="17" t="s">
        <v>151</v>
      </c>
      <c r="BB124" s="17" t="s">
        <v>3018</v>
      </c>
      <c r="BC124" s="17" t="s">
        <v>3019</v>
      </c>
      <c r="BD124" s="17" t="s">
        <v>3020</v>
      </c>
      <c r="BE124" s="17" t="s">
        <v>3021</v>
      </c>
      <c r="BF124" s="17" t="s">
        <v>1280</v>
      </c>
      <c r="BG124" s="17" t="s">
        <v>3022</v>
      </c>
      <c r="BH124" s="17" t="s">
        <v>3023</v>
      </c>
      <c r="BI124" s="17" t="s">
        <v>3024</v>
      </c>
      <c r="BJ124" s="17" t="s">
        <v>3025</v>
      </c>
      <c r="BK124" s="17" t="s">
        <v>151</v>
      </c>
      <c r="BL124" s="17" t="s">
        <v>3026</v>
      </c>
      <c r="BM124" s="17" t="s">
        <v>3027</v>
      </c>
      <c r="BN124" s="16" t="s">
        <v>3028</v>
      </c>
      <c r="BO124" s="17" t="s">
        <v>186</v>
      </c>
      <c r="BP124" s="16" t="s">
        <v>3029</v>
      </c>
      <c r="BQ124" s="16" t="s">
        <v>151</v>
      </c>
      <c r="BR124" s="17" t="s">
        <v>3030</v>
      </c>
      <c r="BS124" s="17" t="s">
        <v>187</v>
      </c>
      <c r="BT124" s="17" t="s">
        <v>188</v>
      </c>
      <c r="BU124" s="22">
        <v>44197</v>
      </c>
      <c r="BV124" s="24" t="s">
        <v>151</v>
      </c>
      <c r="BW124" s="17" t="s">
        <v>151</v>
      </c>
      <c r="BX124" s="24" t="s">
        <v>151</v>
      </c>
      <c r="BY124" s="17" t="s">
        <v>151</v>
      </c>
      <c r="BZ124" s="17" t="s">
        <v>189</v>
      </c>
      <c r="CA124" s="17" t="s">
        <v>151</v>
      </c>
      <c r="CB124" s="17" t="s">
        <v>151</v>
      </c>
      <c r="CC124" s="17" t="s">
        <v>190</v>
      </c>
      <c r="CD124" s="17" t="s">
        <v>151</v>
      </c>
      <c r="CE124" s="17" t="s">
        <v>191</v>
      </c>
      <c r="CF124" s="22">
        <v>45483</v>
      </c>
      <c r="CG124" s="24" t="s">
        <v>151</v>
      </c>
      <c r="CH124" s="17" t="s">
        <v>151</v>
      </c>
      <c r="CI124" s="24" t="s">
        <v>151</v>
      </c>
      <c r="CJ124" s="17" t="s">
        <v>151</v>
      </c>
      <c r="CK124" s="16" t="s">
        <v>151</v>
      </c>
      <c r="CL124" s="17" t="s">
        <v>194</v>
      </c>
      <c r="CM124" s="17" t="s">
        <v>232</v>
      </c>
      <c r="CN124" s="17" t="s">
        <v>151</v>
      </c>
      <c r="CO124" s="17" t="s">
        <v>165</v>
      </c>
      <c r="CP124" s="22">
        <v>45483</v>
      </c>
      <c r="CQ124" s="24" t="s">
        <v>151</v>
      </c>
      <c r="CR124" s="17" t="s">
        <v>151</v>
      </c>
      <c r="CS124" s="17" t="s">
        <v>191</v>
      </c>
      <c r="CT124" s="16">
        <v>60</v>
      </c>
      <c r="CU124" s="17" t="s">
        <v>196</v>
      </c>
      <c r="CV124" s="19">
        <v>57</v>
      </c>
      <c r="CW124" s="19">
        <v>43</v>
      </c>
      <c r="CX124" s="17" t="s">
        <v>294</v>
      </c>
      <c r="CY124" s="19">
        <v>1</v>
      </c>
      <c r="CZ124" s="19">
        <v>56</v>
      </c>
      <c r="DA124" s="24">
        <v>38</v>
      </c>
      <c r="DB124" s="22">
        <v>45321</v>
      </c>
      <c r="DC124" s="17" t="s">
        <v>194</v>
      </c>
      <c r="DD124" s="16" t="s">
        <v>151</v>
      </c>
      <c r="DE124" s="19">
        <v>-1.99</v>
      </c>
      <c r="DF124" s="21">
        <v>2</v>
      </c>
      <c r="DG124" s="19">
        <v>0.03</v>
      </c>
      <c r="DH124" s="19">
        <v>1.53</v>
      </c>
      <c r="DI124" s="19">
        <v>-0.19</v>
      </c>
      <c r="DJ124" s="21">
        <v>9</v>
      </c>
      <c r="DK124" s="19" t="s">
        <v>151</v>
      </c>
      <c r="DL124" s="21" t="s">
        <v>151</v>
      </c>
      <c r="DM124" s="19">
        <v>-0.19</v>
      </c>
      <c r="DN124" s="21">
        <v>9</v>
      </c>
      <c r="DO124" s="23">
        <v>6.29</v>
      </c>
      <c r="DP124" s="21">
        <v>85</v>
      </c>
      <c r="DQ124" s="23">
        <v>0</v>
      </c>
      <c r="DR124" s="19">
        <v>0</v>
      </c>
      <c r="DS124" s="23">
        <v>10.42</v>
      </c>
      <c r="DT124" s="21">
        <v>90</v>
      </c>
      <c r="DU124" s="23" t="s">
        <v>151</v>
      </c>
      <c r="DV124" s="21" t="s">
        <v>151</v>
      </c>
      <c r="DW124" s="23">
        <v>10.42</v>
      </c>
      <c r="DX124" s="21">
        <v>90</v>
      </c>
      <c r="DY124" s="18" t="s">
        <v>151</v>
      </c>
      <c r="DZ124" s="22" t="s">
        <v>151</v>
      </c>
      <c r="EA124" s="22" t="s">
        <v>151</v>
      </c>
      <c r="EB124" s="21">
        <v>614</v>
      </c>
      <c r="EC124" s="20">
        <v>-9</v>
      </c>
      <c r="ED124" s="19">
        <v>-1.44</v>
      </c>
      <c r="EE124" s="21">
        <v>198</v>
      </c>
      <c r="EF124" s="20">
        <v>0</v>
      </c>
      <c r="EG124" s="19">
        <v>0</v>
      </c>
      <c r="EH124" s="16" t="s">
        <v>198</v>
      </c>
      <c r="EI124" s="17" t="s">
        <v>151</v>
      </c>
      <c r="EJ124" s="17" t="s">
        <v>151</v>
      </c>
      <c r="EK124" s="18">
        <v>1</v>
      </c>
      <c r="EL124" s="18">
        <v>1</v>
      </c>
      <c r="EM124" s="18" t="s">
        <v>151</v>
      </c>
      <c r="EN124" s="18" t="s">
        <v>151</v>
      </c>
      <c r="EO124" s="18" t="s">
        <v>151</v>
      </c>
      <c r="EP124" s="17" t="s">
        <v>3031</v>
      </c>
      <c r="EQ124" s="16" t="s">
        <v>151</v>
      </c>
      <c r="ER124" s="16" t="s">
        <v>151</v>
      </c>
      <c r="ES124" s="3">
        <f>HYPERLINK("https://my.pitchbook.com?c=459390-43","View Company Online")</f>
      </c>
    </row>
    <row r="125">
      <c r="A125" s="30" t="s">
        <v>3032</v>
      </c>
      <c r="B125" s="30" t="s">
        <v>3033</v>
      </c>
      <c r="C125" s="31">
        <v>1</v>
      </c>
      <c r="D125" s="30" t="s">
        <v>151</v>
      </c>
      <c r="E125" s="30" t="s">
        <v>151</v>
      </c>
      <c r="F125" s="30" t="s">
        <v>3034</v>
      </c>
      <c r="G125" s="30" t="s">
        <v>151</v>
      </c>
      <c r="H125" s="30" t="s">
        <v>151</v>
      </c>
      <c r="I125" s="30" t="s">
        <v>151</v>
      </c>
      <c r="J125" s="30" t="s">
        <v>3032</v>
      </c>
      <c r="K125" s="30" t="s">
        <v>3035</v>
      </c>
      <c r="L125" s="30" t="s">
        <v>205</v>
      </c>
      <c r="M125" s="30" t="s">
        <v>206</v>
      </c>
      <c r="N125" s="30" t="s">
        <v>2484</v>
      </c>
      <c r="O125" s="30" t="s">
        <v>3036</v>
      </c>
      <c r="P125" s="30" t="s">
        <v>2640</v>
      </c>
      <c r="Q125" s="30" t="s">
        <v>3037</v>
      </c>
      <c r="R125" s="30" t="s">
        <v>151</v>
      </c>
      <c r="S125" s="30" t="s">
        <v>162</v>
      </c>
      <c r="T125" s="37">
        <v>1.9</v>
      </c>
      <c r="U125" s="30" t="s">
        <v>163</v>
      </c>
      <c r="V125" s="30" t="s">
        <v>164</v>
      </c>
      <c r="W125" s="30" t="s">
        <v>165</v>
      </c>
      <c r="X125" s="28" t="s">
        <v>3038</v>
      </c>
      <c r="Y125" s="28" t="s">
        <v>3039</v>
      </c>
      <c r="Z125" s="40">
        <v>8</v>
      </c>
      <c r="AA125" s="30" t="s">
        <v>3040</v>
      </c>
      <c r="AB125" s="30" t="s">
        <v>151</v>
      </c>
      <c r="AC125" s="30" t="s">
        <v>151</v>
      </c>
      <c r="AD125" s="39">
        <v>2022</v>
      </c>
      <c r="AE125" s="30" t="s">
        <v>151</v>
      </c>
      <c r="AF125" s="35">
        <v>45587</v>
      </c>
      <c r="AG125" s="30" t="s">
        <v>151</v>
      </c>
      <c r="AH125" s="30" t="s">
        <v>151</v>
      </c>
      <c r="AI125" s="38" t="s">
        <v>151</v>
      </c>
      <c r="AJ125" s="32" t="s">
        <v>151</v>
      </c>
      <c r="AK125" s="38" t="s">
        <v>151</v>
      </c>
      <c r="AL125" s="38" t="s">
        <v>151</v>
      </c>
      <c r="AM125" s="38" t="s">
        <v>151</v>
      </c>
      <c r="AN125" s="38" t="s">
        <v>151</v>
      </c>
      <c r="AO125" s="38" t="s">
        <v>151</v>
      </c>
      <c r="AP125" s="38" t="s">
        <v>151</v>
      </c>
      <c r="AQ125" s="38" t="s">
        <v>151</v>
      </c>
      <c r="AR125" s="29" t="s">
        <v>151</v>
      </c>
      <c r="AS125" s="30" t="s">
        <v>3041</v>
      </c>
      <c r="AT125" s="30" t="s">
        <v>3042</v>
      </c>
      <c r="AU125" s="31">
        <v>9</v>
      </c>
      <c r="AV125" s="30" t="s">
        <v>151</v>
      </c>
      <c r="AW125" s="30" t="s">
        <v>151</v>
      </c>
      <c r="AX125" s="30" t="s">
        <v>151</v>
      </c>
      <c r="AY125" s="30" t="s">
        <v>3043</v>
      </c>
      <c r="AZ125" s="30" t="s">
        <v>151</v>
      </c>
      <c r="BA125" s="30" t="s">
        <v>151</v>
      </c>
      <c r="BB125" s="30" t="s">
        <v>151</v>
      </c>
      <c r="BC125" s="30" t="s">
        <v>151</v>
      </c>
      <c r="BD125" s="30" t="s">
        <v>3044</v>
      </c>
      <c r="BE125" s="30" t="s">
        <v>3045</v>
      </c>
      <c r="BF125" s="30" t="s">
        <v>221</v>
      </c>
      <c r="BG125" s="30" t="s">
        <v>3046</v>
      </c>
      <c r="BH125" s="30" t="s">
        <v>3047</v>
      </c>
      <c r="BI125" s="30" t="s">
        <v>764</v>
      </c>
      <c r="BJ125" s="30" t="s">
        <v>3048</v>
      </c>
      <c r="BK125" s="30" t="s">
        <v>151</v>
      </c>
      <c r="BL125" s="30" t="s">
        <v>767</v>
      </c>
      <c r="BM125" s="30" t="s">
        <v>184</v>
      </c>
      <c r="BN125" s="29" t="s">
        <v>3049</v>
      </c>
      <c r="BO125" s="30" t="s">
        <v>186</v>
      </c>
      <c r="BP125" s="29" t="s">
        <v>3047</v>
      </c>
      <c r="BQ125" s="29" t="s">
        <v>151</v>
      </c>
      <c r="BR125" s="30" t="s">
        <v>3050</v>
      </c>
      <c r="BS125" s="30" t="s">
        <v>187</v>
      </c>
      <c r="BT125" s="30" t="s">
        <v>188</v>
      </c>
      <c r="BU125" s="35">
        <v>45054</v>
      </c>
      <c r="BV125" s="37">
        <v>1.9</v>
      </c>
      <c r="BW125" s="30" t="s">
        <v>192</v>
      </c>
      <c r="BX125" s="37" t="s">
        <v>151</v>
      </c>
      <c r="BY125" s="30" t="s">
        <v>151</v>
      </c>
      <c r="BZ125" s="30" t="s">
        <v>231</v>
      </c>
      <c r="CA125" s="30" t="s">
        <v>151</v>
      </c>
      <c r="CB125" s="30" t="s">
        <v>151</v>
      </c>
      <c r="CC125" s="30" t="s">
        <v>165</v>
      </c>
      <c r="CD125" s="30" t="s">
        <v>151</v>
      </c>
      <c r="CE125" s="30" t="s">
        <v>191</v>
      </c>
      <c r="CF125" s="35">
        <v>45552</v>
      </c>
      <c r="CG125" s="37" t="s">
        <v>151</v>
      </c>
      <c r="CH125" s="30" t="s">
        <v>151</v>
      </c>
      <c r="CI125" s="37" t="s">
        <v>151</v>
      </c>
      <c r="CJ125" s="30" t="s">
        <v>151</v>
      </c>
      <c r="CK125" s="29" t="s">
        <v>151</v>
      </c>
      <c r="CL125" s="30" t="s">
        <v>231</v>
      </c>
      <c r="CM125" s="30" t="s">
        <v>151</v>
      </c>
      <c r="CN125" s="30" t="s">
        <v>151</v>
      </c>
      <c r="CO125" s="30" t="s">
        <v>165</v>
      </c>
      <c r="CP125" s="35">
        <v>45552</v>
      </c>
      <c r="CQ125" s="37" t="s">
        <v>151</v>
      </c>
      <c r="CR125" s="30" t="s">
        <v>151</v>
      </c>
      <c r="CS125" s="30" t="s">
        <v>191</v>
      </c>
      <c r="CT125" s="29">
        <v>63</v>
      </c>
      <c r="CU125" s="30" t="s">
        <v>196</v>
      </c>
      <c r="CV125" s="32">
        <v>59</v>
      </c>
      <c r="CW125" s="32">
        <v>41</v>
      </c>
      <c r="CX125" s="30" t="s">
        <v>294</v>
      </c>
      <c r="CY125" s="32">
        <v>2</v>
      </c>
      <c r="CZ125" s="32">
        <v>57</v>
      </c>
      <c r="DA125" s="37" t="s">
        <v>151</v>
      </c>
      <c r="DB125" s="35" t="s">
        <v>151</v>
      </c>
      <c r="DC125" s="30" t="s">
        <v>151</v>
      </c>
      <c r="DD125" s="29" t="s">
        <v>151</v>
      </c>
      <c r="DE125" s="32">
        <v>1.56</v>
      </c>
      <c r="DF125" s="34">
        <v>97</v>
      </c>
      <c r="DG125" s="32">
        <v>0</v>
      </c>
      <c r="DH125" s="32">
        <v>0</v>
      </c>
      <c r="DI125" s="32" t="s">
        <v>151</v>
      </c>
      <c r="DJ125" s="34" t="s">
        <v>151</v>
      </c>
      <c r="DK125" s="32" t="s">
        <v>151</v>
      </c>
      <c r="DL125" s="34" t="s">
        <v>151</v>
      </c>
      <c r="DM125" s="32" t="s">
        <v>151</v>
      </c>
      <c r="DN125" s="34" t="s">
        <v>151</v>
      </c>
      <c r="DO125" s="36">
        <v>0.69</v>
      </c>
      <c r="DP125" s="34">
        <v>42</v>
      </c>
      <c r="DQ125" s="36">
        <v>0</v>
      </c>
      <c r="DR125" s="32">
        <v>0</v>
      </c>
      <c r="DS125" s="36" t="s">
        <v>151</v>
      </c>
      <c r="DT125" s="34" t="s">
        <v>151</v>
      </c>
      <c r="DU125" s="36" t="s">
        <v>151</v>
      </c>
      <c r="DV125" s="34" t="s">
        <v>151</v>
      </c>
      <c r="DW125" s="36" t="s">
        <v>151</v>
      </c>
      <c r="DX125" s="34" t="s">
        <v>151</v>
      </c>
      <c r="DY125" s="31" t="s">
        <v>151</v>
      </c>
      <c r="DZ125" s="35" t="s">
        <v>151</v>
      </c>
      <c r="EA125" s="35" t="s">
        <v>151</v>
      </c>
      <c r="EB125" s="34">
        <v>553</v>
      </c>
      <c r="EC125" s="33">
        <v>42</v>
      </c>
      <c r="ED125" s="32">
        <v>8.22</v>
      </c>
      <c r="EE125" s="34" t="s">
        <v>151</v>
      </c>
      <c r="EF125" s="33" t="s">
        <v>151</v>
      </c>
      <c r="EG125" s="32" t="s">
        <v>151</v>
      </c>
      <c r="EH125" s="29" t="s">
        <v>198</v>
      </c>
      <c r="EI125" s="30" t="s">
        <v>151</v>
      </c>
      <c r="EJ125" s="30" t="s">
        <v>151</v>
      </c>
      <c r="EK125" s="31">
        <v>1</v>
      </c>
      <c r="EL125" s="31" t="s">
        <v>151</v>
      </c>
      <c r="EM125" s="31" t="s">
        <v>151</v>
      </c>
      <c r="EN125" s="31" t="s">
        <v>151</v>
      </c>
      <c r="EO125" s="31">
        <v>1</v>
      </c>
      <c r="EP125" s="30" t="s">
        <v>151</v>
      </c>
      <c r="EQ125" s="29" t="s">
        <v>151</v>
      </c>
      <c r="ER125" s="29" t="s">
        <v>151</v>
      </c>
      <c r="ES125" s="4">
        <f>HYPERLINK("https://my.pitchbook.com?c=515648-80","View Company Online")</f>
      </c>
    </row>
    <row r="126">
      <c r="A126" s="17" t="s">
        <v>3051</v>
      </c>
      <c r="B126" s="17" t="s">
        <v>3052</v>
      </c>
      <c r="C126" s="18">
        <v>1</v>
      </c>
      <c r="D126" s="17" t="s">
        <v>151</v>
      </c>
      <c r="E126" s="17" t="s">
        <v>151</v>
      </c>
      <c r="F126" s="17" t="s">
        <v>3053</v>
      </c>
      <c r="G126" s="17" t="s">
        <v>151</v>
      </c>
      <c r="H126" s="17" t="s">
        <v>151</v>
      </c>
      <c r="I126" s="17" t="s">
        <v>3054</v>
      </c>
      <c r="J126" s="17" t="s">
        <v>3051</v>
      </c>
      <c r="K126" s="17" t="s">
        <v>3055</v>
      </c>
      <c r="L126" s="17" t="s">
        <v>205</v>
      </c>
      <c r="M126" s="17" t="s">
        <v>206</v>
      </c>
      <c r="N126" s="17" t="s">
        <v>269</v>
      </c>
      <c r="O126" s="17" t="s">
        <v>3056</v>
      </c>
      <c r="P126" s="17" t="s">
        <v>1107</v>
      </c>
      <c r="Q126" s="17" t="s">
        <v>3057</v>
      </c>
      <c r="R126" s="17" t="s">
        <v>780</v>
      </c>
      <c r="S126" s="17" t="s">
        <v>162</v>
      </c>
      <c r="T126" s="24">
        <v>18.84</v>
      </c>
      <c r="U126" s="17" t="s">
        <v>163</v>
      </c>
      <c r="V126" s="17" t="s">
        <v>164</v>
      </c>
      <c r="W126" s="17" t="s">
        <v>165</v>
      </c>
      <c r="X126" s="15" t="s">
        <v>3058</v>
      </c>
      <c r="Y126" s="15" t="s">
        <v>3059</v>
      </c>
      <c r="Z126" s="27">
        <v>30</v>
      </c>
      <c r="AA126" s="17" t="s">
        <v>3060</v>
      </c>
      <c r="AB126" s="17" t="s">
        <v>151</v>
      </c>
      <c r="AC126" s="17" t="s">
        <v>151</v>
      </c>
      <c r="AD126" s="26">
        <v>2021</v>
      </c>
      <c r="AE126" s="17" t="s">
        <v>151</v>
      </c>
      <c r="AF126" s="22">
        <v>45595</v>
      </c>
      <c r="AG126" s="17" t="s">
        <v>151</v>
      </c>
      <c r="AH126" s="17" t="s">
        <v>3061</v>
      </c>
      <c r="AI126" s="25" t="s">
        <v>151</v>
      </c>
      <c r="AJ126" s="19" t="s">
        <v>151</v>
      </c>
      <c r="AK126" s="25" t="s">
        <v>151</v>
      </c>
      <c r="AL126" s="25" t="s">
        <v>151</v>
      </c>
      <c r="AM126" s="25" t="s">
        <v>151</v>
      </c>
      <c r="AN126" s="25" t="s">
        <v>151</v>
      </c>
      <c r="AO126" s="25" t="s">
        <v>151</v>
      </c>
      <c r="AP126" s="25" t="s">
        <v>151</v>
      </c>
      <c r="AQ126" s="25" t="s">
        <v>151</v>
      </c>
      <c r="AR126" s="16" t="s">
        <v>151</v>
      </c>
      <c r="AS126" s="17" t="s">
        <v>3062</v>
      </c>
      <c r="AT126" s="17" t="s">
        <v>3063</v>
      </c>
      <c r="AU126" s="18">
        <v>18</v>
      </c>
      <c r="AV126" s="17" t="s">
        <v>151</v>
      </c>
      <c r="AW126" s="17" t="s">
        <v>151</v>
      </c>
      <c r="AX126" s="17" t="s">
        <v>151</v>
      </c>
      <c r="AY126" s="17" t="s">
        <v>3064</v>
      </c>
      <c r="AZ126" s="17" t="s">
        <v>151</v>
      </c>
      <c r="BA126" s="17" t="s">
        <v>151</v>
      </c>
      <c r="BB126" s="17" t="s">
        <v>151</v>
      </c>
      <c r="BC126" s="17" t="s">
        <v>151</v>
      </c>
      <c r="BD126" s="17" t="s">
        <v>3065</v>
      </c>
      <c r="BE126" s="17" t="s">
        <v>3066</v>
      </c>
      <c r="BF126" s="17" t="s">
        <v>282</v>
      </c>
      <c r="BG126" s="17" t="s">
        <v>3067</v>
      </c>
      <c r="BH126" s="17" t="s">
        <v>151</v>
      </c>
      <c r="BI126" s="17" t="s">
        <v>906</v>
      </c>
      <c r="BJ126" s="17" t="s">
        <v>3068</v>
      </c>
      <c r="BK126" s="17" t="s">
        <v>3069</v>
      </c>
      <c r="BL126" s="17" t="s">
        <v>259</v>
      </c>
      <c r="BM126" s="17" t="s">
        <v>259</v>
      </c>
      <c r="BN126" s="16" t="s">
        <v>1476</v>
      </c>
      <c r="BO126" s="17" t="s">
        <v>186</v>
      </c>
      <c r="BP126" s="16" t="s">
        <v>151</v>
      </c>
      <c r="BQ126" s="16" t="s">
        <v>151</v>
      </c>
      <c r="BR126" s="17" t="s">
        <v>3070</v>
      </c>
      <c r="BS126" s="17" t="s">
        <v>187</v>
      </c>
      <c r="BT126" s="17" t="s">
        <v>188</v>
      </c>
      <c r="BU126" s="22">
        <v>44355</v>
      </c>
      <c r="BV126" s="24">
        <v>4.3</v>
      </c>
      <c r="BW126" s="17" t="s">
        <v>192</v>
      </c>
      <c r="BX126" s="24">
        <v>12.3</v>
      </c>
      <c r="BY126" s="17" t="s">
        <v>192</v>
      </c>
      <c r="BZ126" s="17" t="s">
        <v>293</v>
      </c>
      <c r="CA126" s="17" t="s">
        <v>293</v>
      </c>
      <c r="CB126" s="17" t="s">
        <v>151</v>
      </c>
      <c r="CC126" s="17" t="s">
        <v>165</v>
      </c>
      <c r="CD126" s="17" t="s">
        <v>151</v>
      </c>
      <c r="CE126" s="17" t="s">
        <v>191</v>
      </c>
      <c r="CF126" s="22">
        <v>45468</v>
      </c>
      <c r="CG126" s="24">
        <v>13</v>
      </c>
      <c r="CH126" s="17" t="s">
        <v>192</v>
      </c>
      <c r="CI126" s="24">
        <v>31.97</v>
      </c>
      <c r="CJ126" s="17" t="s">
        <v>193</v>
      </c>
      <c r="CK126" s="16" t="s">
        <v>151</v>
      </c>
      <c r="CL126" s="17" t="s">
        <v>293</v>
      </c>
      <c r="CM126" s="17" t="s">
        <v>293</v>
      </c>
      <c r="CN126" s="17" t="s">
        <v>151</v>
      </c>
      <c r="CO126" s="17" t="s">
        <v>165</v>
      </c>
      <c r="CP126" s="22">
        <v>45468</v>
      </c>
      <c r="CQ126" s="24" t="s">
        <v>151</v>
      </c>
      <c r="CR126" s="17" t="s">
        <v>151</v>
      </c>
      <c r="CS126" s="17" t="s">
        <v>191</v>
      </c>
      <c r="CT126" s="16">
        <v>96</v>
      </c>
      <c r="CU126" s="17" t="s">
        <v>196</v>
      </c>
      <c r="CV126" s="19">
        <v>90</v>
      </c>
      <c r="CW126" s="19">
        <v>10</v>
      </c>
      <c r="CX126" s="17" t="s">
        <v>294</v>
      </c>
      <c r="CY126" s="19">
        <v>1</v>
      </c>
      <c r="CZ126" s="19">
        <v>89</v>
      </c>
      <c r="DA126" s="24">
        <v>31.97</v>
      </c>
      <c r="DB126" s="22">
        <v>45468</v>
      </c>
      <c r="DC126" s="17" t="s">
        <v>293</v>
      </c>
      <c r="DD126" s="16" t="s">
        <v>151</v>
      </c>
      <c r="DE126" s="19">
        <v>3.16</v>
      </c>
      <c r="DF126" s="21">
        <v>99</v>
      </c>
      <c r="DG126" s="19">
        <v>0</v>
      </c>
      <c r="DH126" s="19">
        <v>0</v>
      </c>
      <c r="DI126" s="19" t="s">
        <v>151</v>
      </c>
      <c r="DJ126" s="21" t="s">
        <v>151</v>
      </c>
      <c r="DK126" s="19" t="s">
        <v>151</v>
      </c>
      <c r="DL126" s="21" t="s">
        <v>151</v>
      </c>
      <c r="DM126" s="19" t="s">
        <v>151</v>
      </c>
      <c r="DN126" s="21" t="s">
        <v>151</v>
      </c>
      <c r="DO126" s="23">
        <v>2.31</v>
      </c>
      <c r="DP126" s="21">
        <v>69</v>
      </c>
      <c r="DQ126" s="23">
        <v>0</v>
      </c>
      <c r="DR126" s="19">
        <v>0</v>
      </c>
      <c r="DS126" s="23" t="s">
        <v>151</v>
      </c>
      <c r="DT126" s="21" t="s">
        <v>151</v>
      </c>
      <c r="DU126" s="23" t="s">
        <v>151</v>
      </c>
      <c r="DV126" s="21" t="s">
        <v>151</v>
      </c>
      <c r="DW126" s="23" t="s">
        <v>151</v>
      </c>
      <c r="DX126" s="21" t="s">
        <v>151</v>
      </c>
      <c r="DY126" s="18" t="s">
        <v>151</v>
      </c>
      <c r="DZ126" s="22" t="s">
        <v>151</v>
      </c>
      <c r="EA126" s="22" t="s">
        <v>151</v>
      </c>
      <c r="EB126" s="21">
        <v>462</v>
      </c>
      <c r="EC126" s="20">
        <v>6</v>
      </c>
      <c r="ED126" s="19">
        <v>1.32</v>
      </c>
      <c r="EE126" s="21" t="s">
        <v>151</v>
      </c>
      <c r="EF126" s="20" t="s">
        <v>151</v>
      </c>
      <c r="EG126" s="19" t="s">
        <v>151</v>
      </c>
      <c r="EH126" s="16" t="s">
        <v>198</v>
      </c>
      <c r="EI126" s="17" t="s">
        <v>151</v>
      </c>
      <c r="EJ126" s="17" t="s">
        <v>151</v>
      </c>
      <c r="EK126" s="18">
        <v>1</v>
      </c>
      <c r="EL126" s="18" t="s">
        <v>151</v>
      </c>
      <c r="EM126" s="18">
        <v>1</v>
      </c>
      <c r="EN126" s="18" t="s">
        <v>151</v>
      </c>
      <c r="EO126" s="18" t="s">
        <v>151</v>
      </c>
      <c r="EP126" s="17" t="s">
        <v>295</v>
      </c>
      <c r="EQ126" s="16" t="s">
        <v>151</v>
      </c>
      <c r="ER126" s="16" t="s">
        <v>151</v>
      </c>
      <c r="ES126" s="3">
        <f>HYPERLINK("https://my.pitchbook.com?c=469182-34","View Company Online")</f>
      </c>
    </row>
    <row r="127">
      <c r="A127" s="30" t="s">
        <v>3071</v>
      </c>
      <c r="B127" s="30" t="s">
        <v>3072</v>
      </c>
      <c r="C127" s="31">
        <v>1</v>
      </c>
      <c r="D127" s="30" t="s">
        <v>3073</v>
      </c>
      <c r="E127" s="30" t="s">
        <v>151</v>
      </c>
      <c r="F127" s="30" t="s">
        <v>3074</v>
      </c>
      <c r="G127" s="30" t="s">
        <v>151</v>
      </c>
      <c r="H127" s="30" t="s">
        <v>151</v>
      </c>
      <c r="I127" s="30" t="s">
        <v>151</v>
      </c>
      <c r="J127" s="30" t="s">
        <v>3071</v>
      </c>
      <c r="K127" s="30" t="s">
        <v>3075</v>
      </c>
      <c r="L127" s="30" t="s">
        <v>616</v>
      </c>
      <c r="M127" s="30" t="s">
        <v>834</v>
      </c>
      <c r="N127" s="30" t="s">
        <v>3076</v>
      </c>
      <c r="O127" s="30" t="s">
        <v>3077</v>
      </c>
      <c r="P127" s="30" t="s">
        <v>1652</v>
      </c>
      <c r="Q127" s="30" t="s">
        <v>3078</v>
      </c>
      <c r="R127" s="30" t="s">
        <v>151</v>
      </c>
      <c r="S127" s="30" t="s">
        <v>162</v>
      </c>
      <c r="T127" s="37">
        <v>24.6</v>
      </c>
      <c r="U127" s="30" t="s">
        <v>163</v>
      </c>
      <c r="V127" s="30" t="s">
        <v>164</v>
      </c>
      <c r="W127" s="30" t="s">
        <v>165</v>
      </c>
      <c r="X127" s="28" t="s">
        <v>3079</v>
      </c>
      <c r="Y127" s="28" t="s">
        <v>3080</v>
      </c>
      <c r="Z127" s="40">
        <v>44</v>
      </c>
      <c r="AA127" s="30" t="s">
        <v>3081</v>
      </c>
      <c r="AB127" s="30" t="s">
        <v>151</v>
      </c>
      <c r="AC127" s="30" t="s">
        <v>151</v>
      </c>
      <c r="AD127" s="39">
        <v>2020</v>
      </c>
      <c r="AE127" s="30" t="s">
        <v>151</v>
      </c>
      <c r="AF127" s="35">
        <v>45596</v>
      </c>
      <c r="AG127" s="30" t="s">
        <v>151</v>
      </c>
      <c r="AH127" s="30" t="s">
        <v>151</v>
      </c>
      <c r="AI127" s="38" t="s">
        <v>151</v>
      </c>
      <c r="AJ127" s="32" t="s">
        <v>151</v>
      </c>
      <c r="AK127" s="38" t="s">
        <v>151</v>
      </c>
      <c r="AL127" s="38" t="s">
        <v>151</v>
      </c>
      <c r="AM127" s="38" t="s">
        <v>151</v>
      </c>
      <c r="AN127" s="38" t="s">
        <v>151</v>
      </c>
      <c r="AO127" s="38" t="s">
        <v>151</v>
      </c>
      <c r="AP127" s="38" t="s">
        <v>151</v>
      </c>
      <c r="AQ127" s="38" t="s">
        <v>151</v>
      </c>
      <c r="AR127" s="29" t="s">
        <v>151</v>
      </c>
      <c r="AS127" s="30" t="s">
        <v>3082</v>
      </c>
      <c r="AT127" s="30" t="s">
        <v>3083</v>
      </c>
      <c r="AU127" s="31">
        <v>15</v>
      </c>
      <c r="AV127" s="30" t="s">
        <v>151</v>
      </c>
      <c r="AW127" s="30" t="s">
        <v>151</v>
      </c>
      <c r="AX127" s="30" t="s">
        <v>151</v>
      </c>
      <c r="AY127" s="30" t="s">
        <v>3084</v>
      </c>
      <c r="AZ127" s="30" t="s">
        <v>151</v>
      </c>
      <c r="BA127" s="30" t="s">
        <v>151</v>
      </c>
      <c r="BB127" s="30" t="s">
        <v>151</v>
      </c>
      <c r="BC127" s="30" t="s">
        <v>151</v>
      </c>
      <c r="BD127" s="30" t="s">
        <v>3085</v>
      </c>
      <c r="BE127" s="30" t="s">
        <v>3086</v>
      </c>
      <c r="BF127" s="30" t="s">
        <v>3087</v>
      </c>
      <c r="BG127" s="30" t="s">
        <v>3088</v>
      </c>
      <c r="BH127" s="30" t="s">
        <v>3089</v>
      </c>
      <c r="BI127" s="30" t="s">
        <v>3090</v>
      </c>
      <c r="BJ127" s="30" t="s">
        <v>3091</v>
      </c>
      <c r="BK127" s="30" t="s">
        <v>2678</v>
      </c>
      <c r="BL127" s="30" t="s">
        <v>3092</v>
      </c>
      <c r="BM127" s="30" t="s">
        <v>3093</v>
      </c>
      <c r="BN127" s="29" t="s">
        <v>3094</v>
      </c>
      <c r="BO127" s="30" t="s">
        <v>186</v>
      </c>
      <c r="BP127" s="29" t="s">
        <v>3089</v>
      </c>
      <c r="BQ127" s="29" t="s">
        <v>151</v>
      </c>
      <c r="BR127" s="30" t="s">
        <v>3095</v>
      </c>
      <c r="BS127" s="30" t="s">
        <v>187</v>
      </c>
      <c r="BT127" s="30" t="s">
        <v>188</v>
      </c>
      <c r="BU127" s="35">
        <v>43831</v>
      </c>
      <c r="BV127" s="37">
        <v>0.08</v>
      </c>
      <c r="BW127" s="30" t="s">
        <v>192</v>
      </c>
      <c r="BX127" s="37" t="s">
        <v>151</v>
      </c>
      <c r="BY127" s="30" t="s">
        <v>151</v>
      </c>
      <c r="BZ127" s="30" t="s">
        <v>501</v>
      </c>
      <c r="CA127" s="30" t="s">
        <v>151</v>
      </c>
      <c r="CB127" s="30" t="s">
        <v>151</v>
      </c>
      <c r="CC127" s="30" t="s">
        <v>190</v>
      </c>
      <c r="CD127" s="30" t="s">
        <v>151</v>
      </c>
      <c r="CE127" s="30" t="s">
        <v>191</v>
      </c>
      <c r="CF127" s="35">
        <v>45449</v>
      </c>
      <c r="CG127" s="37" t="s">
        <v>151</v>
      </c>
      <c r="CH127" s="30" t="s">
        <v>151</v>
      </c>
      <c r="CI127" s="37" t="s">
        <v>151</v>
      </c>
      <c r="CJ127" s="30" t="s">
        <v>151</v>
      </c>
      <c r="CK127" s="29" t="s">
        <v>151</v>
      </c>
      <c r="CL127" s="30" t="s">
        <v>189</v>
      </c>
      <c r="CM127" s="30" t="s">
        <v>151</v>
      </c>
      <c r="CN127" s="30" t="s">
        <v>151</v>
      </c>
      <c r="CO127" s="30" t="s">
        <v>190</v>
      </c>
      <c r="CP127" s="35">
        <v>45449</v>
      </c>
      <c r="CQ127" s="37" t="s">
        <v>151</v>
      </c>
      <c r="CR127" s="30" t="s">
        <v>151</v>
      </c>
      <c r="CS127" s="30" t="s">
        <v>191</v>
      </c>
      <c r="CT127" s="29">
        <v>92</v>
      </c>
      <c r="CU127" s="30" t="s">
        <v>196</v>
      </c>
      <c r="CV127" s="32">
        <v>84</v>
      </c>
      <c r="CW127" s="32">
        <v>16</v>
      </c>
      <c r="CX127" s="30" t="s">
        <v>294</v>
      </c>
      <c r="CY127" s="32">
        <v>2</v>
      </c>
      <c r="CZ127" s="32">
        <v>82</v>
      </c>
      <c r="DA127" s="37">
        <v>24.3</v>
      </c>
      <c r="DB127" s="35">
        <v>44929</v>
      </c>
      <c r="DC127" s="30" t="s">
        <v>231</v>
      </c>
      <c r="DD127" s="29">
        <v>1.19</v>
      </c>
      <c r="DE127" s="32">
        <v>0.29</v>
      </c>
      <c r="DF127" s="34">
        <v>92</v>
      </c>
      <c r="DG127" s="32">
        <v>0</v>
      </c>
      <c r="DH127" s="32">
        <v>0</v>
      </c>
      <c r="DI127" s="32" t="s">
        <v>151</v>
      </c>
      <c r="DJ127" s="34" t="s">
        <v>151</v>
      </c>
      <c r="DK127" s="32" t="s">
        <v>151</v>
      </c>
      <c r="DL127" s="34" t="s">
        <v>151</v>
      </c>
      <c r="DM127" s="32" t="s">
        <v>151</v>
      </c>
      <c r="DN127" s="34" t="s">
        <v>151</v>
      </c>
      <c r="DO127" s="36">
        <v>3.38</v>
      </c>
      <c r="DP127" s="34">
        <v>77</v>
      </c>
      <c r="DQ127" s="36">
        <v>0</v>
      </c>
      <c r="DR127" s="32">
        <v>0</v>
      </c>
      <c r="DS127" s="36" t="s">
        <v>151</v>
      </c>
      <c r="DT127" s="34" t="s">
        <v>151</v>
      </c>
      <c r="DU127" s="36" t="s">
        <v>151</v>
      </c>
      <c r="DV127" s="34" t="s">
        <v>151</v>
      </c>
      <c r="DW127" s="36" t="s">
        <v>151</v>
      </c>
      <c r="DX127" s="34" t="s">
        <v>151</v>
      </c>
      <c r="DY127" s="31" t="s">
        <v>151</v>
      </c>
      <c r="DZ127" s="35" t="s">
        <v>151</v>
      </c>
      <c r="EA127" s="35" t="s">
        <v>151</v>
      </c>
      <c r="EB127" s="34">
        <v>5178</v>
      </c>
      <c r="EC127" s="33">
        <v>130</v>
      </c>
      <c r="ED127" s="32">
        <v>2.58</v>
      </c>
      <c r="EE127" s="34" t="s">
        <v>151</v>
      </c>
      <c r="EF127" s="33" t="s">
        <v>151</v>
      </c>
      <c r="EG127" s="32" t="s">
        <v>151</v>
      </c>
      <c r="EH127" s="29" t="s">
        <v>198</v>
      </c>
      <c r="EI127" s="30" t="s">
        <v>151</v>
      </c>
      <c r="EJ127" s="30" t="s">
        <v>151</v>
      </c>
      <c r="EK127" s="31">
        <v>1</v>
      </c>
      <c r="EL127" s="31" t="s">
        <v>151</v>
      </c>
      <c r="EM127" s="31" t="s">
        <v>151</v>
      </c>
      <c r="EN127" s="31" t="s">
        <v>151</v>
      </c>
      <c r="EO127" s="31">
        <v>1</v>
      </c>
      <c r="EP127" s="30" t="s">
        <v>151</v>
      </c>
      <c r="EQ127" s="29" t="s">
        <v>151</v>
      </c>
      <c r="ER127" s="29" t="s">
        <v>151</v>
      </c>
      <c r="ES127" s="4">
        <f>HYPERLINK("https://my.pitchbook.com?c=438451-57","View Company Online")</f>
      </c>
    </row>
    <row r="128">
      <c r="A128" s="17" t="s">
        <v>3096</v>
      </c>
      <c r="B128" s="17" t="s">
        <v>3097</v>
      </c>
      <c r="C128" s="18">
        <v>1</v>
      </c>
      <c r="D128" s="17" t="s">
        <v>3098</v>
      </c>
      <c r="E128" s="17" t="s">
        <v>151</v>
      </c>
      <c r="F128" s="17" t="s">
        <v>3099</v>
      </c>
      <c r="G128" s="17" t="s">
        <v>151</v>
      </c>
      <c r="H128" s="17" t="s">
        <v>151</v>
      </c>
      <c r="I128" s="17" t="s">
        <v>151</v>
      </c>
      <c r="J128" s="17" t="s">
        <v>3096</v>
      </c>
      <c r="K128" s="17" t="s">
        <v>3100</v>
      </c>
      <c r="L128" s="17" t="s">
        <v>205</v>
      </c>
      <c r="M128" s="17" t="s">
        <v>206</v>
      </c>
      <c r="N128" s="17" t="s">
        <v>269</v>
      </c>
      <c r="O128" s="17" t="s">
        <v>563</v>
      </c>
      <c r="P128" s="17" t="s">
        <v>1153</v>
      </c>
      <c r="Q128" s="17" t="s">
        <v>3101</v>
      </c>
      <c r="R128" s="17" t="s">
        <v>151</v>
      </c>
      <c r="S128" s="17" t="s">
        <v>162</v>
      </c>
      <c r="T128" s="24">
        <v>0.87</v>
      </c>
      <c r="U128" s="17" t="s">
        <v>163</v>
      </c>
      <c r="V128" s="17" t="s">
        <v>164</v>
      </c>
      <c r="W128" s="17" t="s">
        <v>165</v>
      </c>
      <c r="X128" s="15" t="s">
        <v>3102</v>
      </c>
      <c r="Y128" s="15" t="s">
        <v>3103</v>
      </c>
      <c r="Z128" s="27">
        <v>9</v>
      </c>
      <c r="AA128" s="17" t="s">
        <v>3104</v>
      </c>
      <c r="AB128" s="17" t="s">
        <v>151</v>
      </c>
      <c r="AC128" s="17" t="s">
        <v>151</v>
      </c>
      <c r="AD128" s="26">
        <v>2021</v>
      </c>
      <c r="AE128" s="17" t="s">
        <v>151</v>
      </c>
      <c r="AF128" s="22">
        <v>45600</v>
      </c>
      <c r="AG128" s="17" t="s">
        <v>151</v>
      </c>
      <c r="AH128" s="17" t="s">
        <v>151</v>
      </c>
      <c r="AI128" s="25" t="s">
        <v>151</v>
      </c>
      <c r="AJ128" s="19" t="s">
        <v>151</v>
      </c>
      <c r="AK128" s="25" t="s">
        <v>151</v>
      </c>
      <c r="AL128" s="25" t="s">
        <v>151</v>
      </c>
      <c r="AM128" s="25" t="s">
        <v>151</v>
      </c>
      <c r="AN128" s="25" t="s">
        <v>151</v>
      </c>
      <c r="AO128" s="25" t="s">
        <v>151</v>
      </c>
      <c r="AP128" s="25" t="s">
        <v>151</v>
      </c>
      <c r="AQ128" s="25" t="s">
        <v>151</v>
      </c>
      <c r="AR128" s="16" t="s">
        <v>151</v>
      </c>
      <c r="AS128" s="17" t="s">
        <v>3105</v>
      </c>
      <c r="AT128" s="17" t="s">
        <v>3106</v>
      </c>
      <c r="AU128" s="18">
        <v>3</v>
      </c>
      <c r="AV128" s="17" t="s">
        <v>151</v>
      </c>
      <c r="AW128" s="17" t="s">
        <v>151</v>
      </c>
      <c r="AX128" s="17" t="s">
        <v>151</v>
      </c>
      <c r="AY128" s="17" t="s">
        <v>3107</v>
      </c>
      <c r="AZ128" s="17" t="s">
        <v>151</v>
      </c>
      <c r="BA128" s="17" t="s">
        <v>151</v>
      </c>
      <c r="BB128" s="17" t="s">
        <v>151</v>
      </c>
      <c r="BC128" s="17" t="s">
        <v>2582</v>
      </c>
      <c r="BD128" s="17" t="s">
        <v>3108</v>
      </c>
      <c r="BE128" s="17" t="s">
        <v>3109</v>
      </c>
      <c r="BF128" s="17" t="s">
        <v>493</v>
      </c>
      <c r="BG128" s="17" t="s">
        <v>3110</v>
      </c>
      <c r="BH128" s="17" t="s">
        <v>3111</v>
      </c>
      <c r="BI128" s="17" t="s">
        <v>3112</v>
      </c>
      <c r="BJ128" s="17" t="s">
        <v>3113</v>
      </c>
      <c r="BK128" s="17" t="s">
        <v>151</v>
      </c>
      <c r="BL128" s="17" t="s">
        <v>3114</v>
      </c>
      <c r="BM128" s="17" t="s">
        <v>2591</v>
      </c>
      <c r="BN128" s="16" t="s">
        <v>3115</v>
      </c>
      <c r="BO128" s="17" t="s">
        <v>186</v>
      </c>
      <c r="BP128" s="16" t="s">
        <v>3111</v>
      </c>
      <c r="BQ128" s="16" t="s">
        <v>151</v>
      </c>
      <c r="BR128" s="17" t="s">
        <v>3116</v>
      </c>
      <c r="BS128" s="17" t="s">
        <v>187</v>
      </c>
      <c r="BT128" s="17" t="s">
        <v>188</v>
      </c>
      <c r="BU128" s="22">
        <v>45597</v>
      </c>
      <c r="BV128" s="24">
        <v>0.87</v>
      </c>
      <c r="BW128" s="17" t="s">
        <v>192</v>
      </c>
      <c r="BX128" s="24" t="s">
        <v>151</v>
      </c>
      <c r="BY128" s="17" t="s">
        <v>151</v>
      </c>
      <c r="BZ128" s="17" t="s">
        <v>293</v>
      </c>
      <c r="CA128" s="17" t="s">
        <v>293</v>
      </c>
      <c r="CB128" s="17" t="s">
        <v>151</v>
      </c>
      <c r="CC128" s="17" t="s">
        <v>165</v>
      </c>
      <c r="CD128" s="17" t="s">
        <v>151</v>
      </c>
      <c r="CE128" s="17" t="s">
        <v>191</v>
      </c>
      <c r="CF128" s="22">
        <v>45597</v>
      </c>
      <c r="CG128" s="24">
        <v>0.87</v>
      </c>
      <c r="CH128" s="17" t="s">
        <v>192</v>
      </c>
      <c r="CI128" s="24" t="s">
        <v>151</v>
      </c>
      <c r="CJ128" s="17" t="s">
        <v>151</v>
      </c>
      <c r="CK128" s="16" t="s">
        <v>151</v>
      </c>
      <c r="CL128" s="17" t="s">
        <v>293</v>
      </c>
      <c r="CM128" s="17" t="s">
        <v>293</v>
      </c>
      <c r="CN128" s="17" t="s">
        <v>151</v>
      </c>
      <c r="CO128" s="17" t="s">
        <v>165</v>
      </c>
      <c r="CP128" s="22">
        <v>45597</v>
      </c>
      <c r="CQ128" s="24" t="s">
        <v>151</v>
      </c>
      <c r="CR128" s="17" t="s">
        <v>151</v>
      </c>
      <c r="CS128" s="17" t="s">
        <v>191</v>
      </c>
      <c r="CT128" s="16" t="s">
        <v>151</v>
      </c>
      <c r="CU128" s="17" t="s">
        <v>151</v>
      </c>
      <c r="CV128" s="19" t="s">
        <v>151</v>
      </c>
      <c r="CW128" s="19" t="s">
        <v>151</v>
      </c>
      <c r="CX128" s="17" t="s">
        <v>151</v>
      </c>
      <c r="CY128" s="19" t="s">
        <v>151</v>
      </c>
      <c r="CZ128" s="19" t="s">
        <v>151</v>
      </c>
      <c r="DA128" s="24" t="s">
        <v>151</v>
      </c>
      <c r="DB128" s="22" t="s">
        <v>151</v>
      </c>
      <c r="DC128" s="17" t="s">
        <v>151</v>
      </c>
      <c r="DD128" s="16" t="s">
        <v>151</v>
      </c>
      <c r="DE128" s="19">
        <v>0.69</v>
      </c>
      <c r="DF128" s="21">
        <v>95</v>
      </c>
      <c r="DG128" s="19">
        <v>0</v>
      </c>
      <c r="DH128" s="19">
        <v>0</v>
      </c>
      <c r="DI128" s="19">
        <v>0</v>
      </c>
      <c r="DJ128" s="21">
        <v>10</v>
      </c>
      <c r="DK128" s="19" t="s">
        <v>151</v>
      </c>
      <c r="DL128" s="21" t="s">
        <v>151</v>
      </c>
      <c r="DM128" s="19">
        <v>0</v>
      </c>
      <c r="DN128" s="21">
        <v>10</v>
      </c>
      <c r="DO128" s="23">
        <v>1.02</v>
      </c>
      <c r="DP128" s="21">
        <v>51</v>
      </c>
      <c r="DQ128" s="23">
        <v>0</v>
      </c>
      <c r="DR128" s="19">
        <v>0</v>
      </c>
      <c r="DS128" s="23">
        <v>1.26</v>
      </c>
      <c r="DT128" s="21">
        <v>55</v>
      </c>
      <c r="DU128" s="23" t="s">
        <v>151</v>
      </c>
      <c r="DV128" s="21" t="s">
        <v>151</v>
      </c>
      <c r="DW128" s="23">
        <v>1.26</v>
      </c>
      <c r="DX128" s="21">
        <v>55</v>
      </c>
      <c r="DY128" s="18" t="s">
        <v>151</v>
      </c>
      <c r="DZ128" s="22" t="s">
        <v>151</v>
      </c>
      <c r="EA128" s="22" t="s">
        <v>151</v>
      </c>
      <c r="EB128" s="21">
        <v>134</v>
      </c>
      <c r="EC128" s="20">
        <v>-10</v>
      </c>
      <c r="ED128" s="19">
        <v>-6.94</v>
      </c>
      <c r="EE128" s="21">
        <v>24</v>
      </c>
      <c r="EF128" s="20">
        <v>0</v>
      </c>
      <c r="EG128" s="19">
        <v>0</v>
      </c>
      <c r="EH128" s="16" t="s">
        <v>198</v>
      </c>
      <c r="EI128" s="17" t="s">
        <v>151</v>
      </c>
      <c r="EJ128" s="17" t="s">
        <v>151</v>
      </c>
      <c r="EK128" s="18">
        <v>1</v>
      </c>
      <c r="EL128" s="18" t="s">
        <v>151</v>
      </c>
      <c r="EM128" s="18">
        <v>1</v>
      </c>
      <c r="EN128" s="18" t="s">
        <v>151</v>
      </c>
      <c r="EO128" s="18" t="s">
        <v>151</v>
      </c>
      <c r="EP128" s="17" t="s">
        <v>741</v>
      </c>
      <c r="EQ128" s="16" t="s">
        <v>151</v>
      </c>
      <c r="ER128" s="16" t="s">
        <v>151</v>
      </c>
      <c r="ES128" s="3">
        <f>HYPERLINK("https://my.pitchbook.com?c=530514-46","View Company Online")</f>
      </c>
    </row>
    <row r="129">
      <c r="A129" s="30" t="s">
        <v>3117</v>
      </c>
      <c r="B129" s="30" t="s">
        <v>3118</v>
      </c>
      <c r="C129" s="31">
        <v>1</v>
      </c>
      <c r="D129" s="30" t="s">
        <v>151</v>
      </c>
      <c r="E129" s="30" t="s">
        <v>151</v>
      </c>
      <c r="F129" s="30" t="s">
        <v>3119</v>
      </c>
      <c r="G129" s="30" t="s">
        <v>151</v>
      </c>
      <c r="H129" s="30" t="s">
        <v>151</v>
      </c>
      <c r="I129" s="30" t="s">
        <v>151</v>
      </c>
      <c r="J129" s="30" t="s">
        <v>3117</v>
      </c>
      <c r="K129" s="30" t="s">
        <v>3120</v>
      </c>
      <c r="L129" s="30" t="s">
        <v>205</v>
      </c>
      <c r="M129" s="30" t="s">
        <v>206</v>
      </c>
      <c r="N129" s="30" t="s">
        <v>3121</v>
      </c>
      <c r="O129" s="30" t="s">
        <v>3122</v>
      </c>
      <c r="P129" s="30" t="s">
        <v>1769</v>
      </c>
      <c r="Q129" s="30" t="s">
        <v>3123</v>
      </c>
      <c r="R129" s="30" t="s">
        <v>151</v>
      </c>
      <c r="S129" s="30" t="s">
        <v>162</v>
      </c>
      <c r="T129" s="37">
        <v>12.4</v>
      </c>
      <c r="U129" s="30" t="s">
        <v>163</v>
      </c>
      <c r="V129" s="30" t="s">
        <v>164</v>
      </c>
      <c r="W129" s="30" t="s">
        <v>165</v>
      </c>
      <c r="X129" s="28" t="s">
        <v>3124</v>
      </c>
      <c r="Y129" s="28" t="s">
        <v>3125</v>
      </c>
      <c r="Z129" s="40">
        <v>18</v>
      </c>
      <c r="AA129" s="30" t="s">
        <v>3126</v>
      </c>
      <c r="AB129" s="30" t="s">
        <v>151</v>
      </c>
      <c r="AC129" s="30" t="s">
        <v>151</v>
      </c>
      <c r="AD129" s="39">
        <v>2020</v>
      </c>
      <c r="AE129" s="30" t="s">
        <v>151</v>
      </c>
      <c r="AF129" s="35">
        <v>45604</v>
      </c>
      <c r="AG129" s="30" t="s">
        <v>151</v>
      </c>
      <c r="AH129" s="30" t="s">
        <v>151</v>
      </c>
      <c r="AI129" s="38" t="s">
        <v>151</v>
      </c>
      <c r="AJ129" s="32" t="s">
        <v>151</v>
      </c>
      <c r="AK129" s="38" t="s">
        <v>151</v>
      </c>
      <c r="AL129" s="38" t="s">
        <v>151</v>
      </c>
      <c r="AM129" s="38" t="s">
        <v>151</v>
      </c>
      <c r="AN129" s="38" t="s">
        <v>151</v>
      </c>
      <c r="AO129" s="38" t="s">
        <v>151</v>
      </c>
      <c r="AP129" s="38" t="s">
        <v>151</v>
      </c>
      <c r="AQ129" s="38" t="s">
        <v>151</v>
      </c>
      <c r="AR129" s="29" t="s">
        <v>151</v>
      </c>
      <c r="AS129" s="30" t="s">
        <v>3127</v>
      </c>
      <c r="AT129" s="30" t="s">
        <v>3128</v>
      </c>
      <c r="AU129" s="31">
        <v>23</v>
      </c>
      <c r="AV129" s="30" t="s">
        <v>151</v>
      </c>
      <c r="AW129" s="30" t="s">
        <v>151</v>
      </c>
      <c r="AX129" s="30" t="s">
        <v>151</v>
      </c>
      <c r="AY129" s="30" t="s">
        <v>3129</v>
      </c>
      <c r="AZ129" s="30" t="s">
        <v>151</v>
      </c>
      <c r="BA129" s="30" t="s">
        <v>151</v>
      </c>
      <c r="BB129" s="30" t="s">
        <v>151</v>
      </c>
      <c r="BC129" s="30" t="s">
        <v>2424</v>
      </c>
      <c r="BD129" s="30" t="s">
        <v>3130</v>
      </c>
      <c r="BE129" s="30" t="s">
        <v>3131</v>
      </c>
      <c r="BF129" s="30" t="s">
        <v>221</v>
      </c>
      <c r="BG129" s="30" t="s">
        <v>3132</v>
      </c>
      <c r="BH129" s="30" t="s">
        <v>151</v>
      </c>
      <c r="BI129" s="30" t="s">
        <v>1040</v>
      </c>
      <c r="BJ129" s="30" t="s">
        <v>3133</v>
      </c>
      <c r="BK129" s="30" t="s">
        <v>3134</v>
      </c>
      <c r="BL129" s="30" t="s">
        <v>1042</v>
      </c>
      <c r="BM129" s="30" t="s">
        <v>1043</v>
      </c>
      <c r="BN129" s="29" t="s">
        <v>151</v>
      </c>
      <c r="BO129" s="30" t="s">
        <v>186</v>
      </c>
      <c r="BP129" s="29" t="s">
        <v>151</v>
      </c>
      <c r="BQ129" s="29" t="s">
        <v>151</v>
      </c>
      <c r="BR129" s="30" t="s">
        <v>3135</v>
      </c>
      <c r="BS129" s="30" t="s">
        <v>187</v>
      </c>
      <c r="BT129" s="30" t="s">
        <v>188</v>
      </c>
      <c r="BU129" s="35">
        <v>44124</v>
      </c>
      <c r="BV129" s="37">
        <v>3.5</v>
      </c>
      <c r="BW129" s="30" t="s">
        <v>192</v>
      </c>
      <c r="BX129" s="37" t="s">
        <v>151</v>
      </c>
      <c r="BY129" s="30" t="s">
        <v>151</v>
      </c>
      <c r="BZ129" s="30" t="s">
        <v>293</v>
      </c>
      <c r="CA129" s="30" t="s">
        <v>293</v>
      </c>
      <c r="CB129" s="30" t="s">
        <v>151</v>
      </c>
      <c r="CC129" s="30" t="s">
        <v>165</v>
      </c>
      <c r="CD129" s="30" t="s">
        <v>151</v>
      </c>
      <c r="CE129" s="30" t="s">
        <v>191</v>
      </c>
      <c r="CF129" s="35">
        <v>45326</v>
      </c>
      <c r="CG129" s="37">
        <v>8.9</v>
      </c>
      <c r="CH129" s="30" t="s">
        <v>192</v>
      </c>
      <c r="CI129" s="37" t="s">
        <v>151</v>
      </c>
      <c r="CJ129" s="30" t="s">
        <v>151</v>
      </c>
      <c r="CK129" s="29" t="s">
        <v>151</v>
      </c>
      <c r="CL129" s="30" t="s">
        <v>231</v>
      </c>
      <c r="CM129" s="30" t="s">
        <v>232</v>
      </c>
      <c r="CN129" s="30" t="s">
        <v>151</v>
      </c>
      <c r="CO129" s="30" t="s">
        <v>165</v>
      </c>
      <c r="CP129" s="35">
        <v>45326</v>
      </c>
      <c r="CQ129" s="37" t="s">
        <v>151</v>
      </c>
      <c r="CR129" s="30" t="s">
        <v>151</v>
      </c>
      <c r="CS129" s="30" t="s">
        <v>191</v>
      </c>
      <c r="CT129" s="29">
        <v>67</v>
      </c>
      <c r="CU129" s="30" t="s">
        <v>196</v>
      </c>
      <c r="CV129" s="32">
        <v>63</v>
      </c>
      <c r="CW129" s="32">
        <v>37</v>
      </c>
      <c r="CX129" s="30" t="s">
        <v>294</v>
      </c>
      <c r="CY129" s="32">
        <v>1</v>
      </c>
      <c r="CZ129" s="32">
        <v>62</v>
      </c>
      <c r="DA129" s="37" t="s">
        <v>151</v>
      </c>
      <c r="DB129" s="35" t="s">
        <v>151</v>
      </c>
      <c r="DC129" s="30" t="s">
        <v>151</v>
      </c>
      <c r="DD129" s="29" t="s">
        <v>151</v>
      </c>
      <c r="DE129" s="32">
        <v>0.84</v>
      </c>
      <c r="DF129" s="34">
        <v>96</v>
      </c>
      <c r="DG129" s="32">
        <v>0</v>
      </c>
      <c r="DH129" s="32">
        <v>0</v>
      </c>
      <c r="DI129" s="32">
        <v>0.95</v>
      </c>
      <c r="DJ129" s="34">
        <v>96</v>
      </c>
      <c r="DK129" s="32" t="s">
        <v>151</v>
      </c>
      <c r="DL129" s="34" t="s">
        <v>151</v>
      </c>
      <c r="DM129" s="32">
        <v>0.95</v>
      </c>
      <c r="DN129" s="34">
        <v>96</v>
      </c>
      <c r="DO129" s="36">
        <v>27.88</v>
      </c>
      <c r="DP129" s="34">
        <v>96</v>
      </c>
      <c r="DQ129" s="36">
        <v>0</v>
      </c>
      <c r="DR129" s="32">
        <v>0</v>
      </c>
      <c r="DS129" s="36">
        <v>54.37</v>
      </c>
      <c r="DT129" s="34">
        <v>98</v>
      </c>
      <c r="DU129" s="36" t="s">
        <v>151</v>
      </c>
      <c r="DV129" s="34" t="s">
        <v>151</v>
      </c>
      <c r="DW129" s="36">
        <v>54.37</v>
      </c>
      <c r="DX129" s="34">
        <v>98</v>
      </c>
      <c r="DY129" s="31" t="s">
        <v>151</v>
      </c>
      <c r="DZ129" s="35" t="s">
        <v>151</v>
      </c>
      <c r="EA129" s="35" t="s">
        <v>151</v>
      </c>
      <c r="EB129" s="34">
        <v>86251</v>
      </c>
      <c r="EC129" s="33">
        <v>856</v>
      </c>
      <c r="ED129" s="32">
        <v>1</v>
      </c>
      <c r="EE129" s="34">
        <v>1033</v>
      </c>
      <c r="EF129" s="33">
        <v>4</v>
      </c>
      <c r="EG129" s="32">
        <v>0.39</v>
      </c>
      <c r="EH129" s="29" t="s">
        <v>198</v>
      </c>
      <c r="EI129" s="30" t="s">
        <v>151</v>
      </c>
      <c r="EJ129" s="30" t="s">
        <v>151</v>
      </c>
      <c r="EK129" s="31">
        <v>1</v>
      </c>
      <c r="EL129" s="31" t="s">
        <v>151</v>
      </c>
      <c r="EM129" s="31" t="s">
        <v>151</v>
      </c>
      <c r="EN129" s="31" t="s">
        <v>151</v>
      </c>
      <c r="EO129" s="31">
        <v>1</v>
      </c>
      <c r="EP129" s="30" t="s">
        <v>151</v>
      </c>
      <c r="EQ129" s="29" t="s">
        <v>151</v>
      </c>
      <c r="ER129" s="29" t="s">
        <v>151</v>
      </c>
      <c r="ES129" s="4">
        <f>HYPERLINK("https://my.pitchbook.com?c=442755-10","View Company Online")</f>
      </c>
    </row>
    <row r="130">
      <c r="A130" s="17" t="s">
        <v>3136</v>
      </c>
      <c r="B130" s="17" t="s">
        <v>3137</v>
      </c>
      <c r="C130" s="18">
        <v>1</v>
      </c>
      <c r="D130" s="17" t="s">
        <v>151</v>
      </c>
      <c r="E130" s="17" t="s">
        <v>3138</v>
      </c>
      <c r="F130" s="17" t="s">
        <v>3139</v>
      </c>
      <c r="G130" s="17" t="s">
        <v>151</v>
      </c>
      <c r="H130" s="17" t="s">
        <v>151</v>
      </c>
      <c r="I130" s="17" t="s">
        <v>151</v>
      </c>
      <c r="J130" s="17" t="s">
        <v>3136</v>
      </c>
      <c r="K130" s="17" t="s">
        <v>3140</v>
      </c>
      <c r="L130" s="17" t="s">
        <v>205</v>
      </c>
      <c r="M130" s="17" t="s">
        <v>206</v>
      </c>
      <c r="N130" s="17" t="s">
        <v>1268</v>
      </c>
      <c r="O130" s="17" t="s">
        <v>3141</v>
      </c>
      <c r="P130" s="17" t="s">
        <v>2130</v>
      </c>
      <c r="Q130" s="17" t="s">
        <v>3142</v>
      </c>
      <c r="R130" s="17" t="s">
        <v>151</v>
      </c>
      <c r="S130" s="17" t="s">
        <v>162</v>
      </c>
      <c r="T130" s="24">
        <v>1.18</v>
      </c>
      <c r="U130" s="17" t="s">
        <v>163</v>
      </c>
      <c r="V130" s="17" t="s">
        <v>164</v>
      </c>
      <c r="W130" s="17" t="s">
        <v>165</v>
      </c>
      <c r="X130" s="15" t="s">
        <v>3143</v>
      </c>
      <c r="Y130" s="15" t="s">
        <v>3144</v>
      </c>
      <c r="Z130" s="27">
        <v>4</v>
      </c>
      <c r="AA130" s="17" t="s">
        <v>3145</v>
      </c>
      <c r="AB130" s="17" t="s">
        <v>151</v>
      </c>
      <c r="AC130" s="17" t="s">
        <v>151</v>
      </c>
      <c r="AD130" s="26">
        <v>2020</v>
      </c>
      <c r="AE130" s="17" t="s">
        <v>151</v>
      </c>
      <c r="AF130" s="22">
        <v>45450</v>
      </c>
      <c r="AG130" s="17" t="s">
        <v>151</v>
      </c>
      <c r="AH130" s="17" t="s">
        <v>151</v>
      </c>
      <c r="AI130" s="25" t="s">
        <v>151</v>
      </c>
      <c r="AJ130" s="19" t="s">
        <v>151</v>
      </c>
      <c r="AK130" s="25" t="s">
        <v>151</v>
      </c>
      <c r="AL130" s="25" t="s">
        <v>151</v>
      </c>
      <c r="AM130" s="25" t="s">
        <v>151</v>
      </c>
      <c r="AN130" s="25" t="s">
        <v>151</v>
      </c>
      <c r="AO130" s="25" t="s">
        <v>151</v>
      </c>
      <c r="AP130" s="25" t="s">
        <v>151</v>
      </c>
      <c r="AQ130" s="25" t="s">
        <v>151</v>
      </c>
      <c r="AR130" s="16" t="s">
        <v>151</v>
      </c>
      <c r="AS130" s="17" t="s">
        <v>3146</v>
      </c>
      <c r="AT130" s="17" t="s">
        <v>3147</v>
      </c>
      <c r="AU130" s="18">
        <v>7</v>
      </c>
      <c r="AV130" s="17" t="s">
        <v>151</v>
      </c>
      <c r="AW130" s="17" t="s">
        <v>151</v>
      </c>
      <c r="AX130" s="17" t="s">
        <v>151</v>
      </c>
      <c r="AY130" s="17" t="s">
        <v>3148</v>
      </c>
      <c r="AZ130" s="17" t="s">
        <v>151</v>
      </c>
      <c r="BA130" s="17" t="s">
        <v>151</v>
      </c>
      <c r="BB130" s="17" t="s">
        <v>151</v>
      </c>
      <c r="BC130" s="17" t="s">
        <v>151</v>
      </c>
      <c r="BD130" s="17" t="s">
        <v>3149</v>
      </c>
      <c r="BE130" s="17" t="s">
        <v>3150</v>
      </c>
      <c r="BF130" s="17" t="s">
        <v>221</v>
      </c>
      <c r="BG130" s="17" t="s">
        <v>3151</v>
      </c>
      <c r="BH130" s="17" t="s">
        <v>151</v>
      </c>
      <c r="BI130" s="17" t="s">
        <v>3152</v>
      </c>
      <c r="BJ130" s="17" t="s">
        <v>3153</v>
      </c>
      <c r="BK130" s="17" t="s">
        <v>1712</v>
      </c>
      <c r="BL130" s="17" t="s">
        <v>3154</v>
      </c>
      <c r="BM130" s="17" t="s">
        <v>3155</v>
      </c>
      <c r="BN130" s="16" t="s">
        <v>3156</v>
      </c>
      <c r="BO130" s="17" t="s">
        <v>186</v>
      </c>
      <c r="BP130" s="16" t="s">
        <v>151</v>
      </c>
      <c r="BQ130" s="16" t="s">
        <v>151</v>
      </c>
      <c r="BR130" s="17" t="s">
        <v>3157</v>
      </c>
      <c r="BS130" s="17" t="s">
        <v>187</v>
      </c>
      <c r="BT130" s="17" t="s">
        <v>188</v>
      </c>
      <c r="BU130" s="22">
        <v>44000</v>
      </c>
      <c r="BV130" s="24">
        <v>0.05</v>
      </c>
      <c r="BW130" s="17" t="s">
        <v>192</v>
      </c>
      <c r="BX130" s="24" t="s">
        <v>151</v>
      </c>
      <c r="BY130" s="17" t="s">
        <v>151</v>
      </c>
      <c r="BZ130" s="17" t="s">
        <v>231</v>
      </c>
      <c r="CA130" s="17" t="s">
        <v>151</v>
      </c>
      <c r="CB130" s="17" t="s">
        <v>151</v>
      </c>
      <c r="CC130" s="17" t="s">
        <v>165</v>
      </c>
      <c r="CD130" s="17" t="s">
        <v>151</v>
      </c>
      <c r="CE130" s="17" t="s">
        <v>191</v>
      </c>
      <c r="CF130" s="22">
        <v>44295</v>
      </c>
      <c r="CG130" s="24">
        <v>1</v>
      </c>
      <c r="CH130" s="17" t="s">
        <v>192</v>
      </c>
      <c r="CI130" s="24" t="s">
        <v>151</v>
      </c>
      <c r="CJ130" s="17" t="s">
        <v>151</v>
      </c>
      <c r="CK130" s="16" t="s">
        <v>151</v>
      </c>
      <c r="CL130" s="17" t="s">
        <v>231</v>
      </c>
      <c r="CM130" s="17" t="s">
        <v>472</v>
      </c>
      <c r="CN130" s="17" t="s">
        <v>151</v>
      </c>
      <c r="CO130" s="17" t="s">
        <v>165</v>
      </c>
      <c r="CP130" s="22">
        <v>44295</v>
      </c>
      <c r="CQ130" s="24" t="s">
        <v>151</v>
      </c>
      <c r="CR130" s="17" t="s">
        <v>151</v>
      </c>
      <c r="CS130" s="17" t="s">
        <v>191</v>
      </c>
      <c r="CT130" s="16">
        <v>15</v>
      </c>
      <c r="CU130" s="17" t="s">
        <v>263</v>
      </c>
      <c r="CV130" s="19">
        <v>16</v>
      </c>
      <c r="CW130" s="19">
        <v>84</v>
      </c>
      <c r="CX130" s="17" t="s">
        <v>263</v>
      </c>
      <c r="CY130" s="19">
        <v>1</v>
      </c>
      <c r="CZ130" s="19">
        <v>15</v>
      </c>
      <c r="DA130" s="24">
        <v>1.79</v>
      </c>
      <c r="DB130" s="22">
        <v>44269</v>
      </c>
      <c r="DC130" s="17" t="s">
        <v>189</v>
      </c>
      <c r="DD130" s="16" t="s">
        <v>151</v>
      </c>
      <c r="DE130" s="19">
        <v>0</v>
      </c>
      <c r="DF130" s="21">
        <v>11</v>
      </c>
      <c r="DG130" s="19">
        <v>0</v>
      </c>
      <c r="DH130" s="19">
        <v>0</v>
      </c>
      <c r="DI130" s="19">
        <v>0</v>
      </c>
      <c r="DJ130" s="21">
        <v>10</v>
      </c>
      <c r="DK130" s="19" t="s">
        <v>151</v>
      </c>
      <c r="DL130" s="21" t="s">
        <v>151</v>
      </c>
      <c r="DM130" s="19">
        <v>0</v>
      </c>
      <c r="DN130" s="21">
        <v>10</v>
      </c>
      <c r="DO130" s="23">
        <v>0.94</v>
      </c>
      <c r="DP130" s="21">
        <v>48</v>
      </c>
      <c r="DQ130" s="23">
        <v>0</v>
      </c>
      <c r="DR130" s="19">
        <v>0</v>
      </c>
      <c r="DS130" s="23">
        <v>1.58</v>
      </c>
      <c r="DT130" s="21">
        <v>60</v>
      </c>
      <c r="DU130" s="23" t="s">
        <v>151</v>
      </c>
      <c r="DV130" s="21" t="s">
        <v>151</v>
      </c>
      <c r="DW130" s="23">
        <v>1.58</v>
      </c>
      <c r="DX130" s="21">
        <v>60</v>
      </c>
      <c r="DY130" s="18" t="s">
        <v>151</v>
      </c>
      <c r="DZ130" s="22" t="s">
        <v>151</v>
      </c>
      <c r="EA130" s="22" t="s">
        <v>151</v>
      </c>
      <c r="EB130" s="21">
        <v>147</v>
      </c>
      <c r="EC130" s="20">
        <v>26</v>
      </c>
      <c r="ED130" s="19">
        <v>21.49</v>
      </c>
      <c r="EE130" s="21">
        <v>30</v>
      </c>
      <c r="EF130" s="20">
        <v>0</v>
      </c>
      <c r="EG130" s="19">
        <v>0</v>
      </c>
      <c r="EH130" s="16" t="s">
        <v>198</v>
      </c>
      <c r="EI130" s="17" t="s">
        <v>151</v>
      </c>
      <c r="EJ130" s="17" t="s">
        <v>151</v>
      </c>
      <c r="EK130" s="18">
        <v>1</v>
      </c>
      <c r="EL130" s="18" t="s">
        <v>151</v>
      </c>
      <c r="EM130" s="18" t="s">
        <v>151</v>
      </c>
      <c r="EN130" s="18" t="s">
        <v>151</v>
      </c>
      <c r="EO130" s="18">
        <v>1</v>
      </c>
      <c r="EP130" s="17" t="s">
        <v>151</v>
      </c>
      <c r="EQ130" s="16" t="s">
        <v>151</v>
      </c>
      <c r="ER130" s="16" t="s">
        <v>151</v>
      </c>
      <c r="ES130" s="3">
        <f>HYPERLINK("https://my.pitchbook.com?c=454285-18","View Company Online")</f>
      </c>
    </row>
    <row r="131">
      <c r="A131" s="30" t="s">
        <v>3158</v>
      </c>
      <c r="B131" s="30" t="s">
        <v>3159</v>
      </c>
      <c r="C131" s="31">
        <v>1</v>
      </c>
      <c r="D131" s="30" t="s">
        <v>151</v>
      </c>
      <c r="E131" s="30" t="s">
        <v>151</v>
      </c>
      <c r="F131" s="30" t="s">
        <v>3160</v>
      </c>
      <c r="G131" s="30" t="s">
        <v>151</v>
      </c>
      <c r="H131" s="30" t="s">
        <v>151</v>
      </c>
      <c r="I131" s="30" t="s">
        <v>151</v>
      </c>
      <c r="J131" s="30" t="s">
        <v>3158</v>
      </c>
      <c r="K131" s="30" t="s">
        <v>3161</v>
      </c>
      <c r="L131" s="30" t="s">
        <v>155</v>
      </c>
      <c r="M131" s="30" t="s">
        <v>361</v>
      </c>
      <c r="N131" s="30" t="s">
        <v>3162</v>
      </c>
      <c r="O131" s="30" t="s">
        <v>3163</v>
      </c>
      <c r="P131" s="30" t="s">
        <v>3164</v>
      </c>
      <c r="Q131" s="30" t="s">
        <v>3165</v>
      </c>
      <c r="R131" s="30" t="s">
        <v>151</v>
      </c>
      <c r="S131" s="30" t="s">
        <v>162</v>
      </c>
      <c r="T131" s="37">
        <v>5.28</v>
      </c>
      <c r="U131" s="30" t="s">
        <v>163</v>
      </c>
      <c r="V131" s="30" t="s">
        <v>164</v>
      </c>
      <c r="W131" s="30" t="s">
        <v>165</v>
      </c>
      <c r="X131" s="28" t="s">
        <v>3166</v>
      </c>
      <c r="Y131" s="28" t="s">
        <v>3167</v>
      </c>
      <c r="Z131" s="40">
        <v>15</v>
      </c>
      <c r="AA131" s="30" t="s">
        <v>3168</v>
      </c>
      <c r="AB131" s="30" t="s">
        <v>151</v>
      </c>
      <c r="AC131" s="30" t="s">
        <v>151</v>
      </c>
      <c r="AD131" s="39">
        <v>2021</v>
      </c>
      <c r="AE131" s="30" t="s">
        <v>151</v>
      </c>
      <c r="AF131" s="35">
        <v>45609</v>
      </c>
      <c r="AG131" s="30" t="s">
        <v>151</v>
      </c>
      <c r="AH131" s="30" t="s">
        <v>151</v>
      </c>
      <c r="AI131" s="38" t="s">
        <v>151</v>
      </c>
      <c r="AJ131" s="32" t="s">
        <v>151</v>
      </c>
      <c r="AK131" s="38" t="s">
        <v>151</v>
      </c>
      <c r="AL131" s="38" t="s">
        <v>151</v>
      </c>
      <c r="AM131" s="38" t="s">
        <v>151</v>
      </c>
      <c r="AN131" s="38" t="s">
        <v>151</v>
      </c>
      <c r="AO131" s="38" t="s">
        <v>151</v>
      </c>
      <c r="AP131" s="38" t="s">
        <v>151</v>
      </c>
      <c r="AQ131" s="38" t="s">
        <v>151</v>
      </c>
      <c r="AR131" s="29" t="s">
        <v>151</v>
      </c>
      <c r="AS131" s="30" t="s">
        <v>3169</v>
      </c>
      <c r="AT131" s="30" t="s">
        <v>3170</v>
      </c>
      <c r="AU131" s="31">
        <v>4</v>
      </c>
      <c r="AV131" s="30" t="s">
        <v>151</v>
      </c>
      <c r="AW131" s="30" t="s">
        <v>151</v>
      </c>
      <c r="AX131" s="30" t="s">
        <v>151</v>
      </c>
      <c r="AY131" s="30" t="s">
        <v>3171</v>
      </c>
      <c r="AZ131" s="30" t="s">
        <v>151</v>
      </c>
      <c r="BA131" s="30" t="s">
        <v>151</v>
      </c>
      <c r="BB131" s="30" t="s">
        <v>3172</v>
      </c>
      <c r="BC131" s="30" t="s">
        <v>151</v>
      </c>
      <c r="BD131" s="30" t="s">
        <v>3173</v>
      </c>
      <c r="BE131" s="30" t="s">
        <v>3174</v>
      </c>
      <c r="BF131" s="30" t="s">
        <v>493</v>
      </c>
      <c r="BG131" s="30" t="s">
        <v>3175</v>
      </c>
      <c r="BH131" s="30" t="s">
        <v>3176</v>
      </c>
      <c r="BI131" s="30" t="s">
        <v>1409</v>
      </c>
      <c r="BJ131" s="30" t="s">
        <v>3177</v>
      </c>
      <c r="BK131" s="30" t="s">
        <v>3178</v>
      </c>
      <c r="BL131" s="30" t="s">
        <v>1412</v>
      </c>
      <c r="BM131" s="30" t="s">
        <v>823</v>
      </c>
      <c r="BN131" s="29" t="s">
        <v>3179</v>
      </c>
      <c r="BO131" s="30" t="s">
        <v>186</v>
      </c>
      <c r="BP131" s="29" t="s">
        <v>3176</v>
      </c>
      <c r="BQ131" s="29" t="s">
        <v>151</v>
      </c>
      <c r="BR131" s="30" t="s">
        <v>151</v>
      </c>
      <c r="BS131" s="30" t="s">
        <v>187</v>
      </c>
      <c r="BT131" s="30" t="s">
        <v>188</v>
      </c>
      <c r="BU131" s="35">
        <v>44579</v>
      </c>
      <c r="BV131" s="37">
        <v>1.75</v>
      </c>
      <c r="BW131" s="30" t="s">
        <v>192</v>
      </c>
      <c r="BX131" s="37">
        <v>11.75</v>
      </c>
      <c r="BY131" s="30" t="s">
        <v>192</v>
      </c>
      <c r="BZ131" s="30" t="s">
        <v>293</v>
      </c>
      <c r="CA131" s="30" t="s">
        <v>293</v>
      </c>
      <c r="CB131" s="30" t="s">
        <v>151</v>
      </c>
      <c r="CC131" s="30" t="s">
        <v>165</v>
      </c>
      <c r="CD131" s="30" t="s">
        <v>151</v>
      </c>
      <c r="CE131" s="30" t="s">
        <v>191</v>
      </c>
      <c r="CF131" s="35">
        <v>45337</v>
      </c>
      <c r="CG131" s="37">
        <v>3</v>
      </c>
      <c r="CH131" s="30" t="s">
        <v>192</v>
      </c>
      <c r="CI131" s="37">
        <v>18</v>
      </c>
      <c r="CJ131" s="30" t="s">
        <v>192</v>
      </c>
      <c r="CK131" s="29" t="s">
        <v>151</v>
      </c>
      <c r="CL131" s="30" t="s">
        <v>293</v>
      </c>
      <c r="CM131" s="30" t="s">
        <v>293</v>
      </c>
      <c r="CN131" s="30" t="s">
        <v>151</v>
      </c>
      <c r="CO131" s="30" t="s">
        <v>165</v>
      </c>
      <c r="CP131" s="35">
        <v>45337</v>
      </c>
      <c r="CQ131" s="37" t="s">
        <v>151</v>
      </c>
      <c r="CR131" s="30" t="s">
        <v>151</v>
      </c>
      <c r="CS131" s="30" t="s">
        <v>859</v>
      </c>
      <c r="CT131" s="29">
        <v>46</v>
      </c>
      <c r="CU131" s="30" t="s">
        <v>263</v>
      </c>
      <c r="CV131" s="32">
        <v>45</v>
      </c>
      <c r="CW131" s="32">
        <v>55</v>
      </c>
      <c r="CX131" s="30" t="s">
        <v>263</v>
      </c>
      <c r="CY131" s="32">
        <v>1</v>
      </c>
      <c r="CZ131" s="32">
        <v>44</v>
      </c>
      <c r="DA131" s="37">
        <v>18</v>
      </c>
      <c r="DB131" s="35">
        <v>45337</v>
      </c>
      <c r="DC131" s="30" t="s">
        <v>293</v>
      </c>
      <c r="DD131" s="29" t="s">
        <v>151</v>
      </c>
      <c r="DE131" s="32">
        <v>0.45</v>
      </c>
      <c r="DF131" s="34">
        <v>94</v>
      </c>
      <c r="DG131" s="32">
        <v>0</v>
      </c>
      <c r="DH131" s="32">
        <v>0</v>
      </c>
      <c r="DI131" s="32">
        <v>0</v>
      </c>
      <c r="DJ131" s="34">
        <v>10</v>
      </c>
      <c r="DK131" s="32" t="s">
        <v>151</v>
      </c>
      <c r="DL131" s="34" t="s">
        <v>151</v>
      </c>
      <c r="DM131" s="32">
        <v>0</v>
      </c>
      <c r="DN131" s="34">
        <v>10</v>
      </c>
      <c r="DO131" s="36">
        <v>1.63</v>
      </c>
      <c r="DP131" s="34">
        <v>61</v>
      </c>
      <c r="DQ131" s="36">
        <v>0</v>
      </c>
      <c r="DR131" s="32">
        <v>0</v>
      </c>
      <c r="DS131" s="36">
        <v>2.11</v>
      </c>
      <c r="DT131" s="34">
        <v>67</v>
      </c>
      <c r="DU131" s="36" t="s">
        <v>151</v>
      </c>
      <c r="DV131" s="34" t="s">
        <v>151</v>
      </c>
      <c r="DW131" s="36">
        <v>2.11</v>
      </c>
      <c r="DX131" s="34">
        <v>67</v>
      </c>
      <c r="DY131" s="31" t="s">
        <v>151</v>
      </c>
      <c r="DZ131" s="35" t="s">
        <v>151</v>
      </c>
      <c r="EA131" s="35" t="s">
        <v>151</v>
      </c>
      <c r="EB131" s="34">
        <v>641</v>
      </c>
      <c r="EC131" s="33">
        <v>111</v>
      </c>
      <c r="ED131" s="32">
        <v>20.94</v>
      </c>
      <c r="EE131" s="34">
        <v>40</v>
      </c>
      <c r="EF131" s="33">
        <v>0</v>
      </c>
      <c r="EG131" s="32">
        <v>0</v>
      </c>
      <c r="EH131" s="29" t="s">
        <v>198</v>
      </c>
      <c r="EI131" s="30" t="s">
        <v>151</v>
      </c>
      <c r="EJ131" s="30" t="s">
        <v>151</v>
      </c>
      <c r="EK131" s="31">
        <v>1</v>
      </c>
      <c r="EL131" s="31" t="s">
        <v>151</v>
      </c>
      <c r="EM131" s="31">
        <v>1</v>
      </c>
      <c r="EN131" s="31" t="s">
        <v>151</v>
      </c>
      <c r="EO131" s="31" t="s">
        <v>151</v>
      </c>
      <c r="EP131" s="30" t="s">
        <v>741</v>
      </c>
      <c r="EQ131" s="29" t="s">
        <v>151</v>
      </c>
      <c r="ER131" s="29" t="s">
        <v>151</v>
      </c>
      <c r="ES131" s="4">
        <f>HYPERLINK("https://my.pitchbook.com?c=490234-78","View Company Online")</f>
      </c>
    </row>
    <row r="132">
      <c r="A132" s="17" t="s">
        <v>3180</v>
      </c>
      <c r="B132" s="17" t="s">
        <v>3181</v>
      </c>
      <c r="C132" s="18">
        <v>1</v>
      </c>
      <c r="D132" s="17" t="s">
        <v>151</v>
      </c>
      <c r="E132" s="17" t="s">
        <v>151</v>
      </c>
      <c r="F132" s="17" t="s">
        <v>3182</v>
      </c>
      <c r="G132" s="17" t="s">
        <v>151</v>
      </c>
      <c r="H132" s="17" t="s">
        <v>151</v>
      </c>
      <c r="I132" s="17" t="s">
        <v>151</v>
      </c>
      <c r="J132" s="17" t="s">
        <v>3180</v>
      </c>
      <c r="K132" s="17" t="s">
        <v>3183</v>
      </c>
      <c r="L132" s="17" t="s">
        <v>205</v>
      </c>
      <c r="M132" s="17" t="s">
        <v>206</v>
      </c>
      <c r="N132" s="17" t="s">
        <v>269</v>
      </c>
      <c r="O132" s="17" t="s">
        <v>1106</v>
      </c>
      <c r="P132" s="17" t="s">
        <v>151</v>
      </c>
      <c r="Q132" s="17" t="s">
        <v>3184</v>
      </c>
      <c r="R132" s="17" t="s">
        <v>151</v>
      </c>
      <c r="S132" s="17" t="s">
        <v>162</v>
      </c>
      <c r="T132" s="24">
        <v>2.6</v>
      </c>
      <c r="U132" s="17" t="s">
        <v>163</v>
      </c>
      <c r="V132" s="17" t="s">
        <v>164</v>
      </c>
      <c r="W132" s="17" t="s">
        <v>165</v>
      </c>
      <c r="X132" s="15" t="s">
        <v>3185</v>
      </c>
      <c r="Y132" s="15" t="s">
        <v>3186</v>
      </c>
      <c r="Z132" s="27">
        <v>5</v>
      </c>
      <c r="AA132" s="17" t="s">
        <v>2622</v>
      </c>
      <c r="AB132" s="17" t="s">
        <v>151</v>
      </c>
      <c r="AC132" s="17" t="s">
        <v>151</v>
      </c>
      <c r="AD132" s="26">
        <v>2020</v>
      </c>
      <c r="AE132" s="17" t="s">
        <v>151</v>
      </c>
      <c r="AF132" s="22">
        <v>45531</v>
      </c>
      <c r="AG132" s="17" t="s">
        <v>151</v>
      </c>
      <c r="AH132" s="17" t="s">
        <v>151</v>
      </c>
      <c r="AI132" s="25" t="s">
        <v>151</v>
      </c>
      <c r="AJ132" s="19" t="s">
        <v>151</v>
      </c>
      <c r="AK132" s="25" t="s">
        <v>151</v>
      </c>
      <c r="AL132" s="25" t="s">
        <v>151</v>
      </c>
      <c r="AM132" s="25" t="s">
        <v>151</v>
      </c>
      <c r="AN132" s="25" t="s">
        <v>151</v>
      </c>
      <c r="AO132" s="25" t="s">
        <v>151</v>
      </c>
      <c r="AP132" s="25" t="s">
        <v>151</v>
      </c>
      <c r="AQ132" s="25" t="s">
        <v>151</v>
      </c>
      <c r="AR132" s="16" t="s">
        <v>151</v>
      </c>
      <c r="AS132" s="17" t="s">
        <v>3187</v>
      </c>
      <c r="AT132" s="17" t="s">
        <v>3188</v>
      </c>
      <c r="AU132" s="18">
        <v>6</v>
      </c>
      <c r="AV132" s="17" t="s">
        <v>151</v>
      </c>
      <c r="AW132" s="17" t="s">
        <v>151</v>
      </c>
      <c r="AX132" s="17" t="s">
        <v>151</v>
      </c>
      <c r="AY132" s="17" t="s">
        <v>3189</v>
      </c>
      <c r="AZ132" s="17" t="s">
        <v>151</v>
      </c>
      <c r="BA132" s="17" t="s">
        <v>151</v>
      </c>
      <c r="BB132" s="17" t="s">
        <v>151</v>
      </c>
      <c r="BC132" s="17" t="s">
        <v>490</v>
      </c>
      <c r="BD132" s="17" t="s">
        <v>3190</v>
      </c>
      <c r="BE132" s="17" t="s">
        <v>3191</v>
      </c>
      <c r="BF132" s="17" t="s">
        <v>221</v>
      </c>
      <c r="BG132" s="17" t="s">
        <v>3192</v>
      </c>
      <c r="BH132" s="17" t="s">
        <v>151</v>
      </c>
      <c r="BI132" s="17" t="s">
        <v>906</v>
      </c>
      <c r="BJ132" s="17" t="s">
        <v>3193</v>
      </c>
      <c r="BK132" s="17" t="s">
        <v>2957</v>
      </c>
      <c r="BL132" s="17" t="s">
        <v>259</v>
      </c>
      <c r="BM132" s="17" t="s">
        <v>259</v>
      </c>
      <c r="BN132" s="16" t="s">
        <v>3194</v>
      </c>
      <c r="BO132" s="17" t="s">
        <v>186</v>
      </c>
      <c r="BP132" s="16" t="s">
        <v>151</v>
      </c>
      <c r="BQ132" s="16" t="s">
        <v>151</v>
      </c>
      <c r="BR132" s="17" t="s">
        <v>3195</v>
      </c>
      <c r="BS132" s="17" t="s">
        <v>187</v>
      </c>
      <c r="BT132" s="17" t="s">
        <v>188</v>
      </c>
      <c r="BU132" s="22">
        <v>44317</v>
      </c>
      <c r="BV132" s="24">
        <v>0.1</v>
      </c>
      <c r="BW132" s="17" t="s">
        <v>192</v>
      </c>
      <c r="BX132" s="24">
        <v>3</v>
      </c>
      <c r="BY132" s="17" t="s">
        <v>192</v>
      </c>
      <c r="BZ132" s="17" t="s">
        <v>293</v>
      </c>
      <c r="CA132" s="17" t="s">
        <v>293</v>
      </c>
      <c r="CB132" s="17" t="s">
        <v>151</v>
      </c>
      <c r="CC132" s="17" t="s">
        <v>165</v>
      </c>
      <c r="CD132" s="17" t="s">
        <v>151</v>
      </c>
      <c r="CE132" s="17" t="s">
        <v>191</v>
      </c>
      <c r="CF132" s="22">
        <v>45170</v>
      </c>
      <c r="CG132" s="24">
        <v>2.5</v>
      </c>
      <c r="CH132" s="17" t="s">
        <v>192</v>
      </c>
      <c r="CI132" s="24">
        <v>9</v>
      </c>
      <c r="CJ132" s="17" t="s">
        <v>192</v>
      </c>
      <c r="CK132" s="16">
        <v>2.17</v>
      </c>
      <c r="CL132" s="17" t="s">
        <v>293</v>
      </c>
      <c r="CM132" s="17" t="s">
        <v>293</v>
      </c>
      <c r="CN132" s="17" t="s">
        <v>151</v>
      </c>
      <c r="CO132" s="17" t="s">
        <v>165</v>
      </c>
      <c r="CP132" s="22">
        <v>45170</v>
      </c>
      <c r="CQ132" s="24" t="s">
        <v>151</v>
      </c>
      <c r="CR132" s="17" t="s">
        <v>151</v>
      </c>
      <c r="CS132" s="17" t="s">
        <v>191</v>
      </c>
      <c r="CT132" s="16">
        <v>45</v>
      </c>
      <c r="CU132" s="17" t="s">
        <v>263</v>
      </c>
      <c r="CV132" s="19">
        <v>44</v>
      </c>
      <c r="CW132" s="19">
        <v>56</v>
      </c>
      <c r="CX132" s="17" t="s">
        <v>263</v>
      </c>
      <c r="CY132" s="19">
        <v>1</v>
      </c>
      <c r="CZ132" s="19">
        <v>43</v>
      </c>
      <c r="DA132" s="24">
        <v>9</v>
      </c>
      <c r="DB132" s="22">
        <v>45170</v>
      </c>
      <c r="DC132" s="17" t="s">
        <v>293</v>
      </c>
      <c r="DD132" s="16">
        <v>2.17</v>
      </c>
      <c r="DE132" s="19">
        <v>0</v>
      </c>
      <c r="DF132" s="21">
        <v>11</v>
      </c>
      <c r="DG132" s="19">
        <v>0</v>
      </c>
      <c r="DH132" s="19">
        <v>0</v>
      </c>
      <c r="DI132" s="19">
        <v>0</v>
      </c>
      <c r="DJ132" s="21">
        <v>10</v>
      </c>
      <c r="DK132" s="19" t="s">
        <v>151</v>
      </c>
      <c r="DL132" s="21" t="s">
        <v>151</v>
      </c>
      <c r="DM132" s="19">
        <v>0</v>
      </c>
      <c r="DN132" s="21">
        <v>10</v>
      </c>
      <c r="DO132" s="23">
        <v>1.03</v>
      </c>
      <c r="DP132" s="21">
        <v>51</v>
      </c>
      <c r="DQ132" s="23">
        <v>0</v>
      </c>
      <c r="DR132" s="19">
        <v>0</v>
      </c>
      <c r="DS132" s="23">
        <v>1.68</v>
      </c>
      <c r="DT132" s="21">
        <v>62</v>
      </c>
      <c r="DU132" s="23" t="s">
        <v>151</v>
      </c>
      <c r="DV132" s="21" t="s">
        <v>151</v>
      </c>
      <c r="DW132" s="23">
        <v>1.68</v>
      </c>
      <c r="DX132" s="21">
        <v>61</v>
      </c>
      <c r="DY132" s="18" t="s">
        <v>151</v>
      </c>
      <c r="DZ132" s="22" t="s">
        <v>151</v>
      </c>
      <c r="EA132" s="22" t="s">
        <v>151</v>
      </c>
      <c r="EB132" s="21">
        <v>77</v>
      </c>
      <c r="EC132" s="20">
        <v>13</v>
      </c>
      <c r="ED132" s="19">
        <v>20.31</v>
      </c>
      <c r="EE132" s="21">
        <v>32</v>
      </c>
      <c r="EF132" s="20">
        <v>0</v>
      </c>
      <c r="EG132" s="19">
        <v>0</v>
      </c>
      <c r="EH132" s="16" t="s">
        <v>198</v>
      </c>
      <c r="EI132" s="17" t="s">
        <v>151</v>
      </c>
      <c r="EJ132" s="17" t="s">
        <v>151</v>
      </c>
      <c r="EK132" s="18">
        <v>1</v>
      </c>
      <c r="EL132" s="18" t="s">
        <v>151</v>
      </c>
      <c r="EM132" s="18">
        <v>1</v>
      </c>
      <c r="EN132" s="18" t="s">
        <v>151</v>
      </c>
      <c r="EO132" s="18" t="s">
        <v>151</v>
      </c>
      <c r="EP132" s="17" t="s">
        <v>3031</v>
      </c>
      <c r="EQ132" s="16" t="s">
        <v>151</v>
      </c>
      <c r="ER132" s="16" t="s">
        <v>151</v>
      </c>
      <c r="ES132" s="3">
        <f>HYPERLINK("https://my.pitchbook.com?c=481841-20","View Company Online")</f>
      </c>
    </row>
    <row r="133">
      <c r="A133" s="30" t="s">
        <v>3196</v>
      </c>
      <c r="B133" s="30" t="s">
        <v>3197</v>
      </c>
      <c r="C133" s="31">
        <v>1</v>
      </c>
      <c r="D133" s="30" t="s">
        <v>151</v>
      </c>
      <c r="E133" s="30" t="s">
        <v>151</v>
      </c>
      <c r="F133" s="30" t="s">
        <v>3198</v>
      </c>
      <c r="G133" s="30" t="s">
        <v>151</v>
      </c>
      <c r="H133" s="30" t="s">
        <v>151</v>
      </c>
      <c r="I133" s="30" t="s">
        <v>3199</v>
      </c>
      <c r="J133" s="30" t="s">
        <v>3196</v>
      </c>
      <c r="K133" s="30" t="s">
        <v>3200</v>
      </c>
      <c r="L133" s="30" t="s">
        <v>1792</v>
      </c>
      <c r="M133" s="30" t="s">
        <v>2199</v>
      </c>
      <c r="N133" s="30" t="s">
        <v>2200</v>
      </c>
      <c r="O133" s="30" t="s">
        <v>3201</v>
      </c>
      <c r="P133" s="30" t="s">
        <v>3202</v>
      </c>
      <c r="Q133" s="30" t="s">
        <v>3203</v>
      </c>
      <c r="R133" s="30" t="s">
        <v>151</v>
      </c>
      <c r="S133" s="30" t="s">
        <v>162</v>
      </c>
      <c r="T133" s="37">
        <v>3.51</v>
      </c>
      <c r="U133" s="30" t="s">
        <v>163</v>
      </c>
      <c r="V133" s="30" t="s">
        <v>164</v>
      </c>
      <c r="W133" s="30" t="s">
        <v>165</v>
      </c>
      <c r="X133" s="28" t="s">
        <v>3204</v>
      </c>
      <c r="Y133" s="28" t="s">
        <v>3205</v>
      </c>
      <c r="Z133" s="40">
        <v>13</v>
      </c>
      <c r="AA133" s="30" t="s">
        <v>3206</v>
      </c>
      <c r="AB133" s="30" t="s">
        <v>151</v>
      </c>
      <c r="AC133" s="30" t="s">
        <v>151</v>
      </c>
      <c r="AD133" s="39">
        <v>2020</v>
      </c>
      <c r="AE133" s="30" t="s">
        <v>151</v>
      </c>
      <c r="AF133" s="35">
        <v>45607</v>
      </c>
      <c r="AG133" s="30" t="s">
        <v>151</v>
      </c>
      <c r="AH133" s="30" t="s">
        <v>151</v>
      </c>
      <c r="AI133" s="38" t="s">
        <v>151</v>
      </c>
      <c r="AJ133" s="32" t="s">
        <v>151</v>
      </c>
      <c r="AK133" s="38" t="s">
        <v>151</v>
      </c>
      <c r="AL133" s="38" t="s">
        <v>151</v>
      </c>
      <c r="AM133" s="38" t="s">
        <v>151</v>
      </c>
      <c r="AN133" s="38" t="s">
        <v>151</v>
      </c>
      <c r="AO133" s="38" t="s">
        <v>151</v>
      </c>
      <c r="AP133" s="38" t="s">
        <v>151</v>
      </c>
      <c r="AQ133" s="38" t="s">
        <v>151</v>
      </c>
      <c r="AR133" s="29" t="s">
        <v>151</v>
      </c>
      <c r="AS133" s="30" t="s">
        <v>3207</v>
      </c>
      <c r="AT133" s="30" t="s">
        <v>3208</v>
      </c>
      <c r="AU133" s="31">
        <v>14</v>
      </c>
      <c r="AV133" s="30" t="s">
        <v>151</v>
      </c>
      <c r="AW133" s="30" t="s">
        <v>151</v>
      </c>
      <c r="AX133" s="30" t="s">
        <v>151</v>
      </c>
      <c r="AY133" s="30" t="s">
        <v>3209</v>
      </c>
      <c r="AZ133" s="30" t="s">
        <v>151</v>
      </c>
      <c r="BA133" s="30" t="s">
        <v>151</v>
      </c>
      <c r="BB133" s="30" t="s">
        <v>151</v>
      </c>
      <c r="BC133" s="30" t="s">
        <v>374</v>
      </c>
      <c r="BD133" s="30" t="s">
        <v>3210</v>
      </c>
      <c r="BE133" s="30" t="s">
        <v>3211</v>
      </c>
      <c r="BF133" s="30" t="s">
        <v>221</v>
      </c>
      <c r="BG133" s="30" t="s">
        <v>3212</v>
      </c>
      <c r="BH133" s="30" t="s">
        <v>3213</v>
      </c>
      <c r="BI133" s="30" t="s">
        <v>3214</v>
      </c>
      <c r="BJ133" s="30" t="s">
        <v>3215</v>
      </c>
      <c r="BK133" s="30" t="s">
        <v>151</v>
      </c>
      <c r="BL133" s="30" t="s">
        <v>3216</v>
      </c>
      <c r="BM133" s="30" t="s">
        <v>3217</v>
      </c>
      <c r="BN133" s="29" t="s">
        <v>3218</v>
      </c>
      <c r="BO133" s="30" t="s">
        <v>186</v>
      </c>
      <c r="BP133" s="29" t="s">
        <v>151</v>
      </c>
      <c r="BQ133" s="29" t="s">
        <v>151</v>
      </c>
      <c r="BR133" s="30" t="s">
        <v>3219</v>
      </c>
      <c r="BS133" s="30" t="s">
        <v>187</v>
      </c>
      <c r="BT133" s="30" t="s">
        <v>188</v>
      </c>
      <c r="BU133" s="35">
        <v>44562</v>
      </c>
      <c r="BV133" s="37" t="s">
        <v>151</v>
      </c>
      <c r="BW133" s="30" t="s">
        <v>151</v>
      </c>
      <c r="BX133" s="37" t="s">
        <v>151</v>
      </c>
      <c r="BY133" s="30" t="s">
        <v>151</v>
      </c>
      <c r="BZ133" s="30" t="s">
        <v>1075</v>
      </c>
      <c r="CA133" s="30" t="s">
        <v>1075</v>
      </c>
      <c r="CB133" s="30" t="s">
        <v>151</v>
      </c>
      <c r="CC133" s="30" t="s">
        <v>585</v>
      </c>
      <c r="CD133" s="30" t="s">
        <v>151</v>
      </c>
      <c r="CE133" s="30" t="s">
        <v>191</v>
      </c>
      <c r="CF133" s="35">
        <v>45482</v>
      </c>
      <c r="CG133" s="37">
        <v>3.49</v>
      </c>
      <c r="CH133" s="30" t="s">
        <v>192</v>
      </c>
      <c r="CI133" s="37">
        <v>10</v>
      </c>
      <c r="CJ133" s="30" t="s">
        <v>192</v>
      </c>
      <c r="CK133" s="29" t="s">
        <v>151</v>
      </c>
      <c r="CL133" s="30" t="s">
        <v>293</v>
      </c>
      <c r="CM133" s="30" t="s">
        <v>293</v>
      </c>
      <c r="CN133" s="30" t="s">
        <v>151</v>
      </c>
      <c r="CO133" s="30" t="s">
        <v>165</v>
      </c>
      <c r="CP133" s="35">
        <v>45482</v>
      </c>
      <c r="CQ133" s="37" t="s">
        <v>151</v>
      </c>
      <c r="CR133" s="30" t="s">
        <v>151</v>
      </c>
      <c r="CS133" s="30" t="s">
        <v>191</v>
      </c>
      <c r="CT133" s="29">
        <v>73</v>
      </c>
      <c r="CU133" s="30" t="s">
        <v>196</v>
      </c>
      <c r="CV133" s="32">
        <v>68</v>
      </c>
      <c r="CW133" s="32">
        <v>32</v>
      </c>
      <c r="CX133" s="30" t="s">
        <v>294</v>
      </c>
      <c r="CY133" s="32">
        <v>1</v>
      </c>
      <c r="CZ133" s="32">
        <v>67</v>
      </c>
      <c r="DA133" s="37">
        <v>10</v>
      </c>
      <c r="DB133" s="35">
        <v>45482</v>
      </c>
      <c r="DC133" s="30" t="s">
        <v>293</v>
      </c>
      <c r="DD133" s="29" t="s">
        <v>151</v>
      </c>
      <c r="DE133" s="32">
        <v>0</v>
      </c>
      <c r="DF133" s="34">
        <v>11</v>
      </c>
      <c r="DG133" s="32">
        <v>0</v>
      </c>
      <c r="DH133" s="32">
        <v>0</v>
      </c>
      <c r="DI133" s="32">
        <v>0</v>
      </c>
      <c r="DJ133" s="34">
        <v>10</v>
      </c>
      <c r="DK133" s="32" t="s">
        <v>151</v>
      </c>
      <c r="DL133" s="34" t="s">
        <v>151</v>
      </c>
      <c r="DM133" s="32">
        <v>0</v>
      </c>
      <c r="DN133" s="34">
        <v>10</v>
      </c>
      <c r="DO133" s="36">
        <v>3.37</v>
      </c>
      <c r="DP133" s="34">
        <v>76</v>
      </c>
      <c r="DQ133" s="36">
        <v>0</v>
      </c>
      <c r="DR133" s="32">
        <v>0</v>
      </c>
      <c r="DS133" s="36">
        <v>3.37</v>
      </c>
      <c r="DT133" s="34">
        <v>76</v>
      </c>
      <c r="DU133" s="36" t="s">
        <v>151</v>
      </c>
      <c r="DV133" s="34" t="s">
        <v>151</v>
      </c>
      <c r="DW133" s="36">
        <v>3.37</v>
      </c>
      <c r="DX133" s="34">
        <v>76</v>
      </c>
      <c r="DY133" s="31">
        <v>1</v>
      </c>
      <c r="DZ133" s="35">
        <v>45398</v>
      </c>
      <c r="EA133" s="35" t="s">
        <v>3220</v>
      </c>
      <c r="EB133" s="34">
        <v>510</v>
      </c>
      <c r="EC133" s="33">
        <v>40</v>
      </c>
      <c r="ED133" s="32">
        <v>8.51</v>
      </c>
      <c r="EE133" s="34">
        <v>64</v>
      </c>
      <c r="EF133" s="33">
        <v>1</v>
      </c>
      <c r="EG133" s="32">
        <v>1.59</v>
      </c>
      <c r="EH133" s="29" t="s">
        <v>198</v>
      </c>
      <c r="EI133" s="30" t="s">
        <v>151</v>
      </c>
      <c r="EJ133" s="30" t="s">
        <v>151</v>
      </c>
      <c r="EK133" s="31">
        <v>1</v>
      </c>
      <c r="EL133" s="31" t="s">
        <v>151</v>
      </c>
      <c r="EM133" s="31">
        <v>1</v>
      </c>
      <c r="EN133" s="31" t="s">
        <v>151</v>
      </c>
      <c r="EO133" s="31" t="s">
        <v>151</v>
      </c>
      <c r="EP133" s="30" t="s">
        <v>1761</v>
      </c>
      <c r="EQ133" s="29" t="s">
        <v>151</v>
      </c>
      <c r="ER133" s="29" t="s">
        <v>151</v>
      </c>
      <c r="ES133" s="4">
        <f>HYPERLINK("https://my.pitchbook.com?c=481794-04","View Company Online")</f>
      </c>
    </row>
    <row r="134">
      <c r="A134" s="17" t="s">
        <v>3221</v>
      </c>
      <c r="B134" s="17" t="s">
        <v>3222</v>
      </c>
      <c r="C134" s="18">
        <v>1</v>
      </c>
      <c r="D134" s="17" t="s">
        <v>151</v>
      </c>
      <c r="E134" s="17" t="s">
        <v>3223</v>
      </c>
      <c r="F134" s="17" t="s">
        <v>3224</v>
      </c>
      <c r="G134" s="17" t="s">
        <v>151</v>
      </c>
      <c r="H134" s="17" t="s">
        <v>151</v>
      </c>
      <c r="I134" s="17" t="s">
        <v>151</v>
      </c>
      <c r="J134" s="17" t="s">
        <v>3221</v>
      </c>
      <c r="K134" s="17" t="s">
        <v>3225</v>
      </c>
      <c r="L134" s="17" t="s">
        <v>205</v>
      </c>
      <c r="M134" s="17" t="s">
        <v>448</v>
      </c>
      <c r="N134" s="17" t="s">
        <v>478</v>
      </c>
      <c r="O134" s="17" t="s">
        <v>3226</v>
      </c>
      <c r="P134" s="17" t="s">
        <v>3227</v>
      </c>
      <c r="Q134" s="17" t="s">
        <v>3228</v>
      </c>
      <c r="R134" s="17" t="s">
        <v>151</v>
      </c>
      <c r="S134" s="17" t="s">
        <v>162</v>
      </c>
      <c r="T134" s="24">
        <v>0.37</v>
      </c>
      <c r="U134" s="17" t="s">
        <v>163</v>
      </c>
      <c r="V134" s="17" t="s">
        <v>164</v>
      </c>
      <c r="W134" s="17" t="s">
        <v>165</v>
      </c>
      <c r="X134" s="15" t="s">
        <v>3229</v>
      </c>
      <c r="Y134" s="15" t="s">
        <v>151</v>
      </c>
      <c r="Z134" s="27">
        <v>4</v>
      </c>
      <c r="AA134" s="17" t="s">
        <v>3230</v>
      </c>
      <c r="AB134" s="17" t="s">
        <v>151</v>
      </c>
      <c r="AC134" s="17" t="s">
        <v>151</v>
      </c>
      <c r="AD134" s="26">
        <v>2017</v>
      </c>
      <c r="AE134" s="17" t="s">
        <v>151</v>
      </c>
      <c r="AF134" s="22">
        <v>45573</v>
      </c>
      <c r="AG134" s="17" t="s">
        <v>151</v>
      </c>
      <c r="AH134" s="17" t="s">
        <v>151</v>
      </c>
      <c r="AI134" s="25" t="s">
        <v>151</v>
      </c>
      <c r="AJ134" s="19" t="s">
        <v>151</v>
      </c>
      <c r="AK134" s="25" t="s">
        <v>151</v>
      </c>
      <c r="AL134" s="25" t="s">
        <v>151</v>
      </c>
      <c r="AM134" s="25" t="s">
        <v>151</v>
      </c>
      <c r="AN134" s="25" t="s">
        <v>151</v>
      </c>
      <c r="AO134" s="25" t="s">
        <v>151</v>
      </c>
      <c r="AP134" s="25" t="s">
        <v>151</v>
      </c>
      <c r="AQ134" s="25" t="s">
        <v>151</v>
      </c>
      <c r="AR134" s="16" t="s">
        <v>151</v>
      </c>
      <c r="AS134" s="17" t="s">
        <v>3231</v>
      </c>
      <c r="AT134" s="17" t="s">
        <v>3232</v>
      </c>
      <c r="AU134" s="18">
        <v>2</v>
      </c>
      <c r="AV134" s="17" t="s">
        <v>151</v>
      </c>
      <c r="AW134" s="17" t="s">
        <v>3233</v>
      </c>
      <c r="AX134" s="17" t="s">
        <v>151</v>
      </c>
      <c r="AY134" s="17" t="s">
        <v>3234</v>
      </c>
      <c r="AZ134" s="17" t="s">
        <v>3235</v>
      </c>
      <c r="BA134" s="17" t="s">
        <v>151</v>
      </c>
      <c r="BB134" s="17" t="s">
        <v>151</v>
      </c>
      <c r="BC134" s="17" t="s">
        <v>151</v>
      </c>
      <c r="BD134" s="17" t="s">
        <v>3236</v>
      </c>
      <c r="BE134" s="17" t="s">
        <v>3237</v>
      </c>
      <c r="BF134" s="17" t="s">
        <v>465</v>
      </c>
      <c r="BG134" s="17" t="s">
        <v>3238</v>
      </c>
      <c r="BH134" s="17" t="s">
        <v>3239</v>
      </c>
      <c r="BI134" s="17" t="s">
        <v>3240</v>
      </c>
      <c r="BJ134" s="17" t="s">
        <v>3241</v>
      </c>
      <c r="BK134" s="17" t="s">
        <v>988</v>
      </c>
      <c r="BL134" s="17" t="s">
        <v>3242</v>
      </c>
      <c r="BM134" s="17" t="s">
        <v>1983</v>
      </c>
      <c r="BN134" s="16" t="s">
        <v>3243</v>
      </c>
      <c r="BO134" s="17" t="s">
        <v>186</v>
      </c>
      <c r="BP134" s="16" t="s">
        <v>3244</v>
      </c>
      <c r="BQ134" s="16" t="s">
        <v>151</v>
      </c>
      <c r="BR134" s="17" t="s">
        <v>151</v>
      </c>
      <c r="BS134" s="17" t="s">
        <v>187</v>
      </c>
      <c r="BT134" s="17" t="s">
        <v>188</v>
      </c>
      <c r="BU134" s="22">
        <v>43509</v>
      </c>
      <c r="BV134" s="24">
        <v>0.23</v>
      </c>
      <c r="BW134" s="17" t="s">
        <v>192</v>
      </c>
      <c r="BX134" s="24" t="s">
        <v>151</v>
      </c>
      <c r="BY134" s="17" t="s">
        <v>151</v>
      </c>
      <c r="BZ134" s="17" t="s">
        <v>501</v>
      </c>
      <c r="CA134" s="17" t="s">
        <v>151</v>
      </c>
      <c r="CB134" s="17" t="s">
        <v>151</v>
      </c>
      <c r="CC134" s="17" t="s">
        <v>190</v>
      </c>
      <c r="CD134" s="17" t="s">
        <v>151</v>
      </c>
      <c r="CE134" s="17" t="s">
        <v>191</v>
      </c>
      <c r="CF134" s="22">
        <v>44517</v>
      </c>
      <c r="CG134" s="24">
        <v>0.05</v>
      </c>
      <c r="CH134" s="17" t="s">
        <v>192</v>
      </c>
      <c r="CI134" s="24" t="s">
        <v>151</v>
      </c>
      <c r="CJ134" s="17" t="s">
        <v>151</v>
      </c>
      <c r="CK134" s="16" t="s">
        <v>151</v>
      </c>
      <c r="CL134" s="17" t="s">
        <v>231</v>
      </c>
      <c r="CM134" s="17" t="s">
        <v>151</v>
      </c>
      <c r="CN134" s="17" t="s">
        <v>151</v>
      </c>
      <c r="CO134" s="17" t="s">
        <v>165</v>
      </c>
      <c r="CP134" s="22">
        <v>44517</v>
      </c>
      <c r="CQ134" s="24" t="s">
        <v>151</v>
      </c>
      <c r="CR134" s="17" t="s">
        <v>151</v>
      </c>
      <c r="CS134" s="17" t="s">
        <v>191</v>
      </c>
      <c r="CT134" s="16">
        <v>14</v>
      </c>
      <c r="CU134" s="17" t="s">
        <v>263</v>
      </c>
      <c r="CV134" s="19">
        <v>15</v>
      </c>
      <c r="CW134" s="19">
        <v>85</v>
      </c>
      <c r="CX134" s="17" t="s">
        <v>263</v>
      </c>
      <c r="CY134" s="19">
        <v>1</v>
      </c>
      <c r="CZ134" s="19">
        <v>14</v>
      </c>
      <c r="DA134" s="24" t="s">
        <v>151</v>
      </c>
      <c r="DB134" s="22" t="s">
        <v>151</v>
      </c>
      <c r="DC134" s="17" t="s">
        <v>151</v>
      </c>
      <c r="DD134" s="16" t="s">
        <v>151</v>
      </c>
      <c r="DE134" s="19">
        <v>0</v>
      </c>
      <c r="DF134" s="21">
        <v>11</v>
      </c>
      <c r="DG134" s="19">
        <v>0</v>
      </c>
      <c r="DH134" s="19">
        <v>0</v>
      </c>
      <c r="DI134" s="19">
        <v>0</v>
      </c>
      <c r="DJ134" s="21">
        <v>10</v>
      </c>
      <c r="DK134" s="19" t="s">
        <v>151</v>
      </c>
      <c r="DL134" s="21" t="s">
        <v>151</v>
      </c>
      <c r="DM134" s="19">
        <v>0</v>
      </c>
      <c r="DN134" s="21">
        <v>10</v>
      </c>
      <c r="DO134" s="23">
        <v>2.05</v>
      </c>
      <c r="DP134" s="21">
        <v>67</v>
      </c>
      <c r="DQ134" s="23">
        <v>0</v>
      </c>
      <c r="DR134" s="19">
        <v>0</v>
      </c>
      <c r="DS134" s="23">
        <v>2.05</v>
      </c>
      <c r="DT134" s="21">
        <v>67</v>
      </c>
      <c r="DU134" s="23" t="s">
        <v>151</v>
      </c>
      <c r="DV134" s="21" t="s">
        <v>151</v>
      </c>
      <c r="DW134" s="23">
        <v>2.05</v>
      </c>
      <c r="DX134" s="21">
        <v>66</v>
      </c>
      <c r="DY134" s="18" t="s">
        <v>151</v>
      </c>
      <c r="DZ134" s="22" t="s">
        <v>151</v>
      </c>
      <c r="EA134" s="22" t="s">
        <v>151</v>
      </c>
      <c r="EB134" s="21">
        <v>0</v>
      </c>
      <c r="EC134" s="20">
        <v>0</v>
      </c>
      <c r="ED134" s="19">
        <v>0</v>
      </c>
      <c r="EE134" s="21">
        <v>39</v>
      </c>
      <c r="EF134" s="20">
        <v>0</v>
      </c>
      <c r="EG134" s="19">
        <v>0</v>
      </c>
      <c r="EH134" s="16" t="s">
        <v>198</v>
      </c>
      <c r="EI134" s="17" t="s">
        <v>151</v>
      </c>
      <c r="EJ134" s="17" t="s">
        <v>151</v>
      </c>
      <c r="EK134" s="18">
        <v>1</v>
      </c>
      <c r="EL134" s="18" t="s">
        <v>151</v>
      </c>
      <c r="EM134" s="18">
        <v>1</v>
      </c>
      <c r="EN134" s="18" t="s">
        <v>151</v>
      </c>
      <c r="EO134" s="18" t="s">
        <v>151</v>
      </c>
      <c r="EP134" s="17" t="s">
        <v>3245</v>
      </c>
      <c r="EQ134" s="16" t="s">
        <v>151</v>
      </c>
      <c r="ER134" s="16" t="s">
        <v>151</v>
      </c>
      <c r="ES134" s="3">
        <f>HYPERLINK("https://my.pitchbook.com?c=467221-06","View Company Online")</f>
      </c>
    </row>
    <row r="135">
      <c r="A135" s="30" t="s">
        <v>3246</v>
      </c>
      <c r="B135" s="30" t="s">
        <v>3247</v>
      </c>
      <c r="C135" s="31">
        <v>1</v>
      </c>
      <c r="D135" s="30" t="s">
        <v>151</v>
      </c>
      <c r="E135" s="30" t="s">
        <v>151</v>
      </c>
      <c r="F135" s="30" t="s">
        <v>3248</v>
      </c>
      <c r="G135" s="30" t="s">
        <v>151</v>
      </c>
      <c r="H135" s="30" t="s">
        <v>151</v>
      </c>
      <c r="I135" s="30" t="s">
        <v>151</v>
      </c>
      <c r="J135" s="30" t="s">
        <v>3246</v>
      </c>
      <c r="K135" s="30" t="s">
        <v>3249</v>
      </c>
      <c r="L135" s="30" t="s">
        <v>205</v>
      </c>
      <c r="M135" s="30" t="s">
        <v>206</v>
      </c>
      <c r="N135" s="30" t="s">
        <v>1268</v>
      </c>
      <c r="O135" s="30" t="s">
        <v>2129</v>
      </c>
      <c r="P135" s="30" t="s">
        <v>3250</v>
      </c>
      <c r="Q135" s="30" t="s">
        <v>3251</v>
      </c>
      <c r="R135" s="30" t="s">
        <v>211</v>
      </c>
      <c r="S135" s="30" t="s">
        <v>162</v>
      </c>
      <c r="T135" s="37">
        <v>0.85</v>
      </c>
      <c r="U135" s="30" t="s">
        <v>163</v>
      </c>
      <c r="V135" s="30" t="s">
        <v>164</v>
      </c>
      <c r="W135" s="30" t="s">
        <v>165</v>
      </c>
      <c r="X135" s="28" t="s">
        <v>3252</v>
      </c>
      <c r="Y135" s="28" t="s">
        <v>3253</v>
      </c>
      <c r="Z135" s="40">
        <v>17</v>
      </c>
      <c r="AA135" s="30" t="s">
        <v>3254</v>
      </c>
      <c r="AB135" s="30" t="s">
        <v>151</v>
      </c>
      <c r="AC135" s="30" t="s">
        <v>151</v>
      </c>
      <c r="AD135" s="39">
        <v>2019</v>
      </c>
      <c r="AE135" s="30" t="s">
        <v>151</v>
      </c>
      <c r="AF135" s="35">
        <v>45273</v>
      </c>
      <c r="AG135" s="30" t="s">
        <v>151</v>
      </c>
      <c r="AH135" s="30" t="s">
        <v>151</v>
      </c>
      <c r="AI135" s="38" t="s">
        <v>151</v>
      </c>
      <c r="AJ135" s="32" t="s">
        <v>151</v>
      </c>
      <c r="AK135" s="38" t="s">
        <v>151</v>
      </c>
      <c r="AL135" s="38" t="s">
        <v>151</v>
      </c>
      <c r="AM135" s="38" t="s">
        <v>151</v>
      </c>
      <c r="AN135" s="38" t="s">
        <v>151</v>
      </c>
      <c r="AO135" s="38" t="s">
        <v>151</v>
      </c>
      <c r="AP135" s="38" t="s">
        <v>151</v>
      </c>
      <c r="AQ135" s="38" t="s">
        <v>151</v>
      </c>
      <c r="AR135" s="29" t="s">
        <v>151</v>
      </c>
      <c r="AS135" s="30" t="s">
        <v>3255</v>
      </c>
      <c r="AT135" s="30" t="s">
        <v>3256</v>
      </c>
      <c r="AU135" s="31">
        <v>2</v>
      </c>
      <c r="AV135" s="30" t="s">
        <v>151</v>
      </c>
      <c r="AW135" s="30" t="s">
        <v>151</v>
      </c>
      <c r="AX135" s="30" t="s">
        <v>151</v>
      </c>
      <c r="AY135" s="30" t="s">
        <v>3257</v>
      </c>
      <c r="AZ135" s="30" t="s">
        <v>151</v>
      </c>
      <c r="BA135" s="30" t="s">
        <v>151</v>
      </c>
      <c r="BB135" s="30" t="s">
        <v>151</v>
      </c>
      <c r="BC135" s="30" t="s">
        <v>151</v>
      </c>
      <c r="BD135" s="30" t="s">
        <v>3258</v>
      </c>
      <c r="BE135" s="30" t="s">
        <v>3259</v>
      </c>
      <c r="BF135" s="30" t="s">
        <v>931</v>
      </c>
      <c r="BG135" s="30" t="s">
        <v>3260</v>
      </c>
      <c r="BH135" s="30" t="s">
        <v>3261</v>
      </c>
      <c r="BI135" s="30" t="s">
        <v>3262</v>
      </c>
      <c r="BJ135" s="30" t="s">
        <v>3263</v>
      </c>
      <c r="BK135" s="30" t="s">
        <v>151</v>
      </c>
      <c r="BL135" s="30" t="s">
        <v>3264</v>
      </c>
      <c r="BM135" s="30" t="s">
        <v>184</v>
      </c>
      <c r="BN135" s="29" t="s">
        <v>3265</v>
      </c>
      <c r="BO135" s="30" t="s">
        <v>186</v>
      </c>
      <c r="BP135" s="29" t="s">
        <v>3261</v>
      </c>
      <c r="BQ135" s="29" t="s">
        <v>151</v>
      </c>
      <c r="BR135" s="30" t="s">
        <v>3266</v>
      </c>
      <c r="BS135" s="30" t="s">
        <v>187</v>
      </c>
      <c r="BT135" s="30" t="s">
        <v>188</v>
      </c>
      <c r="BU135" s="35">
        <v>44136</v>
      </c>
      <c r="BV135" s="37">
        <v>0.85</v>
      </c>
      <c r="BW135" s="30" t="s">
        <v>192</v>
      </c>
      <c r="BX135" s="37">
        <v>15</v>
      </c>
      <c r="BY135" s="30" t="s">
        <v>192</v>
      </c>
      <c r="BZ135" s="30" t="s">
        <v>293</v>
      </c>
      <c r="CA135" s="30" t="s">
        <v>293</v>
      </c>
      <c r="CB135" s="30" t="s">
        <v>151</v>
      </c>
      <c r="CC135" s="30" t="s">
        <v>165</v>
      </c>
      <c r="CD135" s="30" t="s">
        <v>151</v>
      </c>
      <c r="CE135" s="30" t="s">
        <v>191</v>
      </c>
      <c r="CF135" s="35">
        <v>44136</v>
      </c>
      <c r="CG135" s="37">
        <v>0.85</v>
      </c>
      <c r="CH135" s="30" t="s">
        <v>192</v>
      </c>
      <c r="CI135" s="37">
        <v>15</v>
      </c>
      <c r="CJ135" s="30" t="s">
        <v>192</v>
      </c>
      <c r="CK135" s="29" t="s">
        <v>151</v>
      </c>
      <c r="CL135" s="30" t="s">
        <v>293</v>
      </c>
      <c r="CM135" s="30" t="s">
        <v>293</v>
      </c>
      <c r="CN135" s="30" t="s">
        <v>151</v>
      </c>
      <c r="CO135" s="30" t="s">
        <v>165</v>
      </c>
      <c r="CP135" s="35">
        <v>44136</v>
      </c>
      <c r="CQ135" s="37" t="s">
        <v>151</v>
      </c>
      <c r="CR135" s="30" t="s">
        <v>151</v>
      </c>
      <c r="CS135" s="30" t="s">
        <v>191</v>
      </c>
      <c r="CT135" s="29" t="s">
        <v>151</v>
      </c>
      <c r="CU135" s="30" t="s">
        <v>151</v>
      </c>
      <c r="CV135" s="32" t="s">
        <v>151</v>
      </c>
      <c r="CW135" s="32" t="s">
        <v>151</v>
      </c>
      <c r="CX135" s="30" t="s">
        <v>151</v>
      </c>
      <c r="CY135" s="32" t="s">
        <v>151</v>
      </c>
      <c r="CZ135" s="32" t="s">
        <v>151</v>
      </c>
      <c r="DA135" s="37">
        <v>15</v>
      </c>
      <c r="DB135" s="35">
        <v>44136</v>
      </c>
      <c r="DC135" s="30" t="s">
        <v>293</v>
      </c>
      <c r="DD135" s="29" t="s">
        <v>151</v>
      </c>
      <c r="DE135" s="32">
        <v>0.39</v>
      </c>
      <c r="DF135" s="34">
        <v>93</v>
      </c>
      <c r="DG135" s="32">
        <v>0</v>
      </c>
      <c r="DH135" s="32">
        <v>0</v>
      </c>
      <c r="DI135" s="32">
        <v>0</v>
      </c>
      <c r="DJ135" s="34">
        <v>10</v>
      </c>
      <c r="DK135" s="32" t="s">
        <v>151</v>
      </c>
      <c r="DL135" s="34" t="s">
        <v>151</v>
      </c>
      <c r="DM135" s="32">
        <v>0</v>
      </c>
      <c r="DN135" s="34">
        <v>10</v>
      </c>
      <c r="DO135" s="36">
        <v>1.02</v>
      </c>
      <c r="DP135" s="34">
        <v>51</v>
      </c>
      <c r="DQ135" s="36">
        <v>0</v>
      </c>
      <c r="DR135" s="32">
        <v>0</v>
      </c>
      <c r="DS135" s="36">
        <v>0.74</v>
      </c>
      <c r="DT135" s="34">
        <v>42</v>
      </c>
      <c r="DU135" s="36" t="s">
        <v>151</v>
      </c>
      <c r="DV135" s="34" t="s">
        <v>151</v>
      </c>
      <c r="DW135" s="36">
        <v>0.74</v>
      </c>
      <c r="DX135" s="34">
        <v>42</v>
      </c>
      <c r="DY135" s="31" t="s">
        <v>151</v>
      </c>
      <c r="DZ135" s="35" t="s">
        <v>151</v>
      </c>
      <c r="EA135" s="35" t="s">
        <v>151</v>
      </c>
      <c r="EB135" s="34">
        <v>161</v>
      </c>
      <c r="EC135" s="33">
        <v>4</v>
      </c>
      <c r="ED135" s="32">
        <v>2.55</v>
      </c>
      <c r="EE135" s="34">
        <v>14</v>
      </c>
      <c r="EF135" s="33">
        <v>0</v>
      </c>
      <c r="EG135" s="32">
        <v>0</v>
      </c>
      <c r="EH135" s="29" t="s">
        <v>198</v>
      </c>
      <c r="EI135" s="30" t="s">
        <v>151</v>
      </c>
      <c r="EJ135" s="30" t="s">
        <v>151</v>
      </c>
      <c r="EK135" s="31">
        <v>1</v>
      </c>
      <c r="EL135" s="31" t="s">
        <v>151</v>
      </c>
      <c r="EM135" s="31">
        <v>1</v>
      </c>
      <c r="EN135" s="31" t="s">
        <v>151</v>
      </c>
      <c r="EO135" s="31" t="s">
        <v>151</v>
      </c>
      <c r="EP135" s="30" t="s">
        <v>741</v>
      </c>
      <c r="EQ135" s="29" t="s">
        <v>151</v>
      </c>
      <c r="ER135" s="29" t="s">
        <v>151</v>
      </c>
      <c r="ES135" s="4">
        <f>HYPERLINK("https://my.pitchbook.com?c=491787-19","View Company Online")</f>
      </c>
    </row>
    <row r="136">
      <c r="A136" s="17" t="s">
        <v>3267</v>
      </c>
      <c r="B136" s="17" t="s">
        <v>3268</v>
      </c>
      <c r="C136" s="18">
        <v>1</v>
      </c>
      <c r="D136" s="17" t="s">
        <v>151</v>
      </c>
      <c r="E136" s="17" t="s">
        <v>3269</v>
      </c>
      <c r="F136" s="17" t="s">
        <v>3270</v>
      </c>
      <c r="G136" s="17" t="s">
        <v>151</v>
      </c>
      <c r="H136" s="17" t="s">
        <v>151</v>
      </c>
      <c r="I136" s="17" t="s">
        <v>3271</v>
      </c>
      <c r="J136" s="17" t="s">
        <v>3267</v>
      </c>
      <c r="K136" s="17" t="s">
        <v>3272</v>
      </c>
      <c r="L136" s="17" t="s">
        <v>155</v>
      </c>
      <c r="M136" s="17" t="s">
        <v>2320</v>
      </c>
      <c r="N136" s="17" t="s">
        <v>2321</v>
      </c>
      <c r="O136" s="17" t="s">
        <v>3273</v>
      </c>
      <c r="P136" s="17" t="s">
        <v>2640</v>
      </c>
      <c r="Q136" s="17" t="s">
        <v>3274</v>
      </c>
      <c r="R136" s="17" t="s">
        <v>151</v>
      </c>
      <c r="S136" s="17" t="s">
        <v>162</v>
      </c>
      <c r="T136" s="24">
        <v>6.36</v>
      </c>
      <c r="U136" s="17" t="s">
        <v>163</v>
      </c>
      <c r="V136" s="17" t="s">
        <v>164</v>
      </c>
      <c r="W136" s="17" t="s">
        <v>165</v>
      </c>
      <c r="X136" s="15" t="s">
        <v>3275</v>
      </c>
      <c r="Y136" s="15" t="s">
        <v>3276</v>
      </c>
      <c r="Z136" s="27">
        <v>42</v>
      </c>
      <c r="AA136" s="17" t="s">
        <v>3277</v>
      </c>
      <c r="AB136" s="17" t="s">
        <v>151</v>
      </c>
      <c r="AC136" s="17" t="s">
        <v>151</v>
      </c>
      <c r="AD136" s="26">
        <v>2021</v>
      </c>
      <c r="AE136" s="17" t="s">
        <v>151</v>
      </c>
      <c r="AF136" s="22">
        <v>45532</v>
      </c>
      <c r="AG136" s="17" t="s">
        <v>151</v>
      </c>
      <c r="AH136" s="17" t="s">
        <v>151</v>
      </c>
      <c r="AI136" s="25" t="s">
        <v>151</v>
      </c>
      <c r="AJ136" s="19" t="s">
        <v>151</v>
      </c>
      <c r="AK136" s="25" t="s">
        <v>151</v>
      </c>
      <c r="AL136" s="25" t="s">
        <v>151</v>
      </c>
      <c r="AM136" s="25" t="s">
        <v>151</v>
      </c>
      <c r="AN136" s="25" t="s">
        <v>151</v>
      </c>
      <c r="AO136" s="25" t="s">
        <v>151</v>
      </c>
      <c r="AP136" s="25" t="s">
        <v>151</v>
      </c>
      <c r="AQ136" s="25" t="s">
        <v>151</v>
      </c>
      <c r="AR136" s="16" t="s">
        <v>151</v>
      </c>
      <c r="AS136" s="17" t="s">
        <v>3278</v>
      </c>
      <c r="AT136" s="17" t="s">
        <v>3279</v>
      </c>
      <c r="AU136" s="18">
        <v>13</v>
      </c>
      <c r="AV136" s="17" t="s">
        <v>151</v>
      </c>
      <c r="AW136" s="17" t="s">
        <v>151</v>
      </c>
      <c r="AX136" s="17" t="s">
        <v>151</v>
      </c>
      <c r="AY136" s="17" t="s">
        <v>3280</v>
      </c>
      <c r="AZ136" s="17" t="s">
        <v>151</v>
      </c>
      <c r="BA136" s="17" t="s">
        <v>151</v>
      </c>
      <c r="BB136" s="17" t="s">
        <v>151</v>
      </c>
      <c r="BC136" s="17" t="s">
        <v>151</v>
      </c>
      <c r="BD136" s="17" t="s">
        <v>3281</v>
      </c>
      <c r="BE136" s="17" t="s">
        <v>3282</v>
      </c>
      <c r="BF136" s="17" t="s">
        <v>3283</v>
      </c>
      <c r="BG136" s="17" t="s">
        <v>3284</v>
      </c>
      <c r="BH136" s="17" t="s">
        <v>3285</v>
      </c>
      <c r="BI136" s="17" t="s">
        <v>578</v>
      </c>
      <c r="BJ136" s="17" t="s">
        <v>3286</v>
      </c>
      <c r="BK136" s="17" t="s">
        <v>151</v>
      </c>
      <c r="BL136" s="17" t="s">
        <v>581</v>
      </c>
      <c r="BM136" s="17" t="s">
        <v>582</v>
      </c>
      <c r="BN136" s="16" t="s">
        <v>3287</v>
      </c>
      <c r="BO136" s="17" t="s">
        <v>186</v>
      </c>
      <c r="BP136" s="16" t="s">
        <v>3288</v>
      </c>
      <c r="BQ136" s="16" t="s">
        <v>151</v>
      </c>
      <c r="BR136" s="17" t="s">
        <v>3289</v>
      </c>
      <c r="BS136" s="17" t="s">
        <v>187</v>
      </c>
      <c r="BT136" s="17" t="s">
        <v>188</v>
      </c>
      <c r="BU136" s="22">
        <v>44428</v>
      </c>
      <c r="BV136" s="24">
        <v>1.57</v>
      </c>
      <c r="BW136" s="17" t="s">
        <v>192</v>
      </c>
      <c r="BX136" s="24">
        <v>4.57</v>
      </c>
      <c r="BY136" s="17" t="s">
        <v>192</v>
      </c>
      <c r="BZ136" s="17" t="s">
        <v>293</v>
      </c>
      <c r="CA136" s="17" t="s">
        <v>293</v>
      </c>
      <c r="CB136" s="17" t="s">
        <v>151</v>
      </c>
      <c r="CC136" s="17" t="s">
        <v>165</v>
      </c>
      <c r="CD136" s="17" t="s">
        <v>151</v>
      </c>
      <c r="CE136" s="17" t="s">
        <v>191</v>
      </c>
      <c r="CF136" s="22">
        <v>45317</v>
      </c>
      <c r="CG136" s="24">
        <v>1.29</v>
      </c>
      <c r="CH136" s="17" t="s">
        <v>192</v>
      </c>
      <c r="CI136" s="24">
        <v>6.5</v>
      </c>
      <c r="CJ136" s="17" t="s">
        <v>192</v>
      </c>
      <c r="CK136" s="16">
        <v>0.39</v>
      </c>
      <c r="CL136" s="17" t="s">
        <v>293</v>
      </c>
      <c r="CM136" s="17" t="s">
        <v>293</v>
      </c>
      <c r="CN136" s="17" t="s">
        <v>151</v>
      </c>
      <c r="CO136" s="17" t="s">
        <v>165</v>
      </c>
      <c r="CP136" s="22">
        <v>45317</v>
      </c>
      <c r="CQ136" s="24" t="s">
        <v>151</v>
      </c>
      <c r="CR136" s="17" t="s">
        <v>151</v>
      </c>
      <c r="CS136" s="17" t="s">
        <v>191</v>
      </c>
      <c r="CT136" s="16">
        <v>91</v>
      </c>
      <c r="CU136" s="17" t="s">
        <v>196</v>
      </c>
      <c r="CV136" s="19">
        <v>84</v>
      </c>
      <c r="CW136" s="19">
        <v>16</v>
      </c>
      <c r="CX136" s="17" t="s">
        <v>294</v>
      </c>
      <c r="CY136" s="19">
        <v>1</v>
      </c>
      <c r="CZ136" s="19">
        <v>83</v>
      </c>
      <c r="DA136" s="24">
        <v>6.5</v>
      </c>
      <c r="DB136" s="22">
        <v>45317</v>
      </c>
      <c r="DC136" s="17" t="s">
        <v>293</v>
      </c>
      <c r="DD136" s="16">
        <v>0.39</v>
      </c>
      <c r="DE136" s="19">
        <v>-1.27</v>
      </c>
      <c r="DF136" s="21">
        <v>3</v>
      </c>
      <c r="DG136" s="19">
        <v>0</v>
      </c>
      <c r="DH136" s="19">
        <v>0</v>
      </c>
      <c r="DI136" s="19">
        <v>-1.27</v>
      </c>
      <c r="DJ136" s="21">
        <v>3</v>
      </c>
      <c r="DK136" s="19" t="s">
        <v>151</v>
      </c>
      <c r="DL136" s="21" t="s">
        <v>151</v>
      </c>
      <c r="DM136" s="19">
        <v>-1.27</v>
      </c>
      <c r="DN136" s="21">
        <v>3</v>
      </c>
      <c r="DO136" s="23">
        <v>5.37</v>
      </c>
      <c r="DP136" s="21">
        <v>83</v>
      </c>
      <c r="DQ136" s="23">
        <v>0</v>
      </c>
      <c r="DR136" s="19">
        <v>0</v>
      </c>
      <c r="DS136" s="23">
        <v>5.37</v>
      </c>
      <c r="DT136" s="21">
        <v>83</v>
      </c>
      <c r="DU136" s="23" t="s">
        <v>151</v>
      </c>
      <c r="DV136" s="21" t="s">
        <v>151</v>
      </c>
      <c r="DW136" s="23">
        <v>5.37</v>
      </c>
      <c r="DX136" s="21">
        <v>83</v>
      </c>
      <c r="DY136" s="18" t="s">
        <v>151</v>
      </c>
      <c r="DZ136" s="22" t="s">
        <v>151</v>
      </c>
      <c r="EA136" s="22" t="s">
        <v>151</v>
      </c>
      <c r="EB136" s="21">
        <v>1715</v>
      </c>
      <c r="EC136" s="20">
        <v>-62</v>
      </c>
      <c r="ED136" s="19">
        <v>-3.49</v>
      </c>
      <c r="EE136" s="21">
        <v>102</v>
      </c>
      <c r="EF136" s="20">
        <v>-1</v>
      </c>
      <c r="EG136" s="19">
        <v>-0.97</v>
      </c>
      <c r="EH136" s="16" t="s">
        <v>198</v>
      </c>
      <c r="EI136" s="17" t="s">
        <v>151</v>
      </c>
      <c r="EJ136" s="17" t="s">
        <v>151</v>
      </c>
      <c r="EK136" s="18">
        <v>1</v>
      </c>
      <c r="EL136" s="18">
        <v>1</v>
      </c>
      <c r="EM136" s="18" t="s">
        <v>151</v>
      </c>
      <c r="EN136" s="18" t="s">
        <v>151</v>
      </c>
      <c r="EO136" s="18" t="s">
        <v>151</v>
      </c>
      <c r="EP136" s="17" t="s">
        <v>151</v>
      </c>
      <c r="EQ136" s="16" t="s">
        <v>151</v>
      </c>
      <c r="ER136" s="16" t="s">
        <v>151</v>
      </c>
      <c r="ES136" s="3">
        <f>HYPERLINK("https://my.pitchbook.com?c=471756-07","View Company Online")</f>
      </c>
    </row>
    <row r="137">
      <c r="A137" s="30" t="s">
        <v>3290</v>
      </c>
      <c r="B137" s="30" t="s">
        <v>3291</v>
      </c>
      <c r="C137" s="31">
        <v>1</v>
      </c>
      <c r="D137" s="30" t="s">
        <v>151</v>
      </c>
      <c r="E137" s="30" t="s">
        <v>151</v>
      </c>
      <c r="F137" s="30" t="s">
        <v>3292</v>
      </c>
      <c r="G137" s="30" t="s">
        <v>151</v>
      </c>
      <c r="H137" s="30" t="s">
        <v>151</v>
      </c>
      <c r="I137" s="30" t="s">
        <v>151</v>
      </c>
      <c r="J137" s="30" t="s">
        <v>3290</v>
      </c>
      <c r="K137" s="30" t="s">
        <v>3293</v>
      </c>
      <c r="L137" s="30" t="s">
        <v>205</v>
      </c>
      <c r="M137" s="30" t="s">
        <v>206</v>
      </c>
      <c r="N137" s="30" t="s">
        <v>1082</v>
      </c>
      <c r="O137" s="30" t="s">
        <v>3294</v>
      </c>
      <c r="P137" s="30" t="s">
        <v>3295</v>
      </c>
      <c r="Q137" s="30" t="s">
        <v>3296</v>
      </c>
      <c r="R137" s="30" t="s">
        <v>151</v>
      </c>
      <c r="S137" s="30" t="s">
        <v>162</v>
      </c>
      <c r="T137" s="37">
        <v>6.48</v>
      </c>
      <c r="U137" s="30" t="s">
        <v>163</v>
      </c>
      <c r="V137" s="30" t="s">
        <v>164</v>
      </c>
      <c r="W137" s="30" t="s">
        <v>165</v>
      </c>
      <c r="X137" s="28" t="s">
        <v>3297</v>
      </c>
      <c r="Y137" s="28" t="s">
        <v>3298</v>
      </c>
      <c r="Z137" s="40">
        <v>8</v>
      </c>
      <c r="AA137" s="30" t="s">
        <v>3299</v>
      </c>
      <c r="AB137" s="30" t="s">
        <v>151</v>
      </c>
      <c r="AC137" s="30" t="s">
        <v>151</v>
      </c>
      <c r="AD137" s="39">
        <v>2019</v>
      </c>
      <c r="AE137" s="30" t="s">
        <v>151</v>
      </c>
      <c r="AF137" s="35">
        <v>45600</v>
      </c>
      <c r="AG137" s="30" t="s">
        <v>151</v>
      </c>
      <c r="AH137" s="30" t="s">
        <v>151</v>
      </c>
      <c r="AI137" s="38" t="s">
        <v>151</v>
      </c>
      <c r="AJ137" s="32" t="s">
        <v>151</v>
      </c>
      <c r="AK137" s="38" t="s">
        <v>151</v>
      </c>
      <c r="AL137" s="38" t="s">
        <v>151</v>
      </c>
      <c r="AM137" s="38" t="s">
        <v>151</v>
      </c>
      <c r="AN137" s="38" t="s">
        <v>151</v>
      </c>
      <c r="AO137" s="38" t="s">
        <v>151</v>
      </c>
      <c r="AP137" s="38" t="s">
        <v>151</v>
      </c>
      <c r="AQ137" s="38" t="s">
        <v>151</v>
      </c>
      <c r="AR137" s="29" t="s">
        <v>151</v>
      </c>
      <c r="AS137" s="30" t="s">
        <v>3300</v>
      </c>
      <c r="AT137" s="30" t="s">
        <v>3301</v>
      </c>
      <c r="AU137" s="31">
        <v>13</v>
      </c>
      <c r="AV137" s="30" t="s">
        <v>151</v>
      </c>
      <c r="AW137" s="30" t="s">
        <v>151</v>
      </c>
      <c r="AX137" s="30" t="s">
        <v>151</v>
      </c>
      <c r="AY137" s="30" t="s">
        <v>3302</v>
      </c>
      <c r="AZ137" s="30" t="s">
        <v>151</v>
      </c>
      <c r="BA137" s="30" t="s">
        <v>151</v>
      </c>
      <c r="BB137" s="30" t="s">
        <v>151</v>
      </c>
      <c r="BC137" s="30" t="s">
        <v>1115</v>
      </c>
      <c r="BD137" s="30" t="s">
        <v>3303</v>
      </c>
      <c r="BE137" s="30" t="s">
        <v>3304</v>
      </c>
      <c r="BF137" s="30" t="s">
        <v>493</v>
      </c>
      <c r="BG137" s="30" t="s">
        <v>3305</v>
      </c>
      <c r="BH137" s="30" t="s">
        <v>3306</v>
      </c>
      <c r="BI137" s="30" t="s">
        <v>2652</v>
      </c>
      <c r="BJ137" s="30" t="s">
        <v>3307</v>
      </c>
      <c r="BK137" s="30" t="s">
        <v>1122</v>
      </c>
      <c r="BL137" s="30" t="s">
        <v>2654</v>
      </c>
      <c r="BM137" s="30" t="s">
        <v>1576</v>
      </c>
      <c r="BN137" s="29" t="s">
        <v>3308</v>
      </c>
      <c r="BO137" s="30" t="s">
        <v>186</v>
      </c>
      <c r="BP137" s="29" t="s">
        <v>3309</v>
      </c>
      <c r="BQ137" s="29" t="s">
        <v>151</v>
      </c>
      <c r="BR137" s="30" t="s">
        <v>3310</v>
      </c>
      <c r="BS137" s="30" t="s">
        <v>187</v>
      </c>
      <c r="BT137" s="30" t="s">
        <v>188</v>
      </c>
      <c r="BU137" s="35">
        <v>43888</v>
      </c>
      <c r="BV137" s="37">
        <v>0.13</v>
      </c>
      <c r="BW137" s="30" t="s">
        <v>192</v>
      </c>
      <c r="BX137" s="37" t="s">
        <v>151</v>
      </c>
      <c r="BY137" s="30" t="s">
        <v>151</v>
      </c>
      <c r="BZ137" s="30" t="s">
        <v>189</v>
      </c>
      <c r="CA137" s="30" t="s">
        <v>151</v>
      </c>
      <c r="CB137" s="30" t="s">
        <v>151</v>
      </c>
      <c r="CC137" s="30" t="s">
        <v>190</v>
      </c>
      <c r="CD137" s="30" t="s">
        <v>151</v>
      </c>
      <c r="CE137" s="30" t="s">
        <v>191</v>
      </c>
      <c r="CF137" s="35">
        <v>44861</v>
      </c>
      <c r="CG137" s="37">
        <v>4.75</v>
      </c>
      <c r="CH137" s="30" t="s">
        <v>192</v>
      </c>
      <c r="CI137" s="37" t="s">
        <v>151</v>
      </c>
      <c r="CJ137" s="30" t="s">
        <v>151</v>
      </c>
      <c r="CK137" s="29" t="s">
        <v>151</v>
      </c>
      <c r="CL137" s="30" t="s">
        <v>293</v>
      </c>
      <c r="CM137" s="30" t="s">
        <v>293</v>
      </c>
      <c r="CN137" s="30" t="s">
        <v>151</v>
      </c>
      <c r="CO137" s="30" t="s">
        <v>165</v>
      </c>
      <c r="CP137" s="35">
        <v>44861</v>
      </c>
      <c r="CQ137" s="37" t="s">
        <v>151</v>
      </c>
      <c r="CR137" s="30" t="s">
        <v>151</v>
      </c>
      <c r="CS137" s="30" t="s">
        <v>191</v>
      </c>
      <c r="CT137" s="29">
        <v>86</v>
      </c>
      <c r="CU137" s="30" t="s">
        <v>196</v>
      </c>
      <c r="CV137" s="32">
        <v>78</v>
      </c>
      <c r="CW137" s="32">
        <v>22</v>
      </c>
      <c r="CX137" s="30" t="s">
        <v>294</v>
      </c>
      <c r="CY137" s="32">
        <v>1</v>
      </c>
      <c r="CZ137" s="32">
        <v>77</v>
      </c>
      <c r="DA137" s="37" t="s">
        <v>151</v>
      </c>
      <c r="DB137" s="35" t="s">
        <v>151</v>
      </c>
      <c r="DC137" s="30" t="s">
        <v>151</v>
      </c>
      <c r="DD137" s="29" t="s">
        <v>151</v>
      </c>
      <c r="DE137" s="32">
        <v>0</v>
      </c>
      <c r="DF137" s="34">
        <v>11</v>
      </c>
      <c r="DG137" s="32">
        <v>0</v>
      </c>
      <c r="DH137" s="32">
        <v>0</v>
      </c>
      <c r="DI137" s="32" t="s">
        <v>151</v>
      </c>
      <c r="DJ137" s="34" t="s">
        <v>151</v>
      </c>
      <c r="DK137" s="32" t="s">
        <v>151</v>
      </c>
      <c r="DL137" s="34" t="s">
        <v>151</v>
      </c>
      <c r="DM137" s="32" t="s">
        <v>151</v>
      </c>
      <c r="DN137" s="34" t="s">
        <v>151</v>
      </c>
      <c r="DO137" s="36">
        <v>0.62</v>
      </c>
      <c r="DP137" s="34">
        <v>38</v>
      </c>
      <c r="DQ137" s="36">
        <v>0</v>
      </c>
      <c r="DR137" s="32">
        <v>0</v>
      </c>
      <c r="DS137" s="36" t="s">
        <v>151</v>
      </c>
      <c r="DT137" s="34" t="s">
        <v>151</v>
      </c>
      <c r="DU137" s="36" t="s">
        <v>151</v>
      </c>
      <c r="DV137" s="34" t="s">
        <v>151</v>
      </c>
      <c r="DW137" s="36" t="s">
        <v>151</v>
      </c>
      <c r="DX137" s="34" t="s">
        <v>151</v>
      </c>
      <c r="DY137" s="31" t="s">
        <v>151</v>
      </c>
      <c r="DZ137" s="35" t="s">
        <v>151</v>
      </c>
      <c r="EA137" s="35" t="s">
        <v>151</v>
      </c>
      <c r="EB137" s="34">
        <v>66</v>
      </c>
      <c r="EC137" s="33">
        <v>-154</v>
      </c>
      <c r="ED137" s="32">
        <v>-70</v>
      </c>
      <c r="EE137" s="34" t="s">
        <v>151</v>
      </c>
      <c r="EF137" s="33" t="s">
        <v>151</v>
      </c>
      <c r="EG137" s="32" t="s">
        <v>151</v>
      </c>
      <c r="EH137" s="29" t="s">
        <v>198</v>
      </c>
      <c r="EI137" s="30" t="s">
        <v>151</v>
      </c>
      <c r="EJ137" s="30" t="s">
        <v>151</v>
      </c>
      <c r="EK137" s="31">
        <v>1</v>
      </c>
      <c r="EL137" s="31" t="s">
        <v>151</v>
      </c>
      <c r="EM137" s="31" t="s">
        <v>151</v>
      </c>
      <c r="EN137" s="31" t="s">
        <v>151</v>
      </c>
      <c r="EO137" s="31">
        <v>1</v>
      </c>
      <c r="EP137" s="30" t="s">
        <v>151</v>
      </c>
      <c r="EQ137" s="29" t="s">
        <v>151</v>
      </c>
      <c r="ER137" s="29" t="s">
        <v>151</v>
      </c>
      <c r="ES137" s="4">
        <f>HYPERLINK("https://my.pitchbook.com?c=437880-52","View Company Online")</f>
      </c>
    </row>
    <row r="138">
      <c r="A138" s="17" t="s">
        <v>3311</v>
      </c>
      <c r="B138" s="17" t="s">
        <v>3312</v>
      </c>
      <c r="C138" s="18">
        <v>1</v>
      </c>
      <c r="D138" s="17" t="s">
        <v>151</v>
      </c>
      <c r="E138" s="17" t="s">
        <v>151</v>
      </c>
      <c r="F138" s="17" t="s">
        <v>3313</v>
      </c>
      <c r="G138" s="17" t="s">
        <v>151</v>
      </c>
      <c r="H138" s="17" t="s">
        <v>151</v>
      </c>
      <c r="I138" s="17" t="s">
        <v>3314</v>
      </c>
      <c r="J138" s="17" t="s">
        <v>3311</v>
      </c>
      <c r="K138" s="17" t="s">
        <v>3315</v>
      </c>
      <c r="L138" s="17" t="s">
        <v>155</v>
      </c>
      <c r="M138" s="17" t="s">
        <v>3316</v>
      </c>
      <c r="N138" s="17" t="s">
        <v>3317</v>
      </c>
      <c r="O138" s="17" t="s">
        <v>3318</v>
      </c>
      <c r="P138" s="17" t="s">
        <v>3319</v>
      </c>
      <c r="Q138" s="17" t="s">
        <v>3320</v>
      </c>
      <c r="R138" s="17" t="s">
        <v>151</v>
      </c>
      <c r="S138" s="17" t="s">
        <v>162</v>
      </c>
      <c r="T138" s="24">
        <v>5.66</v>
      </c>
      <c r="U138" s="17" t="s">
        <v>163</v>
      </c>
      <c r="V138" s="17" t="s">
        <v>164</v>
      </c>
      <c r="W138" s="17" t="s">
        <v>165</v>
      </c>
      <c r="X138" s="15" t="s">
        <v>3321</v>
      </c>
      <c r="Y138" s="15" t="s">
        <v>3322</v>
      </c>
      <c r="Z138" s="27">
        <v>37</v>
      </c>
      <c r="AA138" s="17" t="s">
        <v>3323</v>
      </c>
      <c r="AB138" s="17" t="s">
        <v>151</v>
      </c>
      <c r="AC138" s="17" t="s">
        <v>151</v>
      </c>
      <c r="AD138" s="26">
        <v>2019</v>
      </c>
      <c r="AE138" s="17" t="s">
        <v>151</v>
      </c>
      <c r="AF138" s="22">
        <v>45610</v>
      </c>
      <c r="AG138" s="17" t="s">
        <v>151</v>
      </c>
      <c r="AH138" s="17" t="s">
        <v>151</v>
      </c>
      <c r="AI138" s="25" t="s">
        <v>151</v>
      </c>
      <c r="AJ138" s="19" t="s">
        <v>151</v>
      </c>
      <c r="AK138" s="25" t="s">
        <v>151</v>
      </c>
      <c r="AL138" s="25" t="s">
        <v>151</v>
      </c>
      <c r="AM138" s="25" t="s">
        <v>151</v>
      </c>
      <c r="AN138" s="25" t="s">
        <v>151</v>
      </c>
      <c r="AO138" s="25" t="s">
        <v>151</v>
      </c>
      <c r="AP138" s="25" t="s">
        <v>151</v>
      </c>
      <c r="AQ138" s="25" t="s">
        <v>151</v>
      </c>
      <c r="AR138" s="16" t="s">
        <v>151</v>
      </c>
      <c r="AS138" s="17" t="s">
        <v>3324</v>
      </c>
      <c r="AT138" s="17" t="s">
        <v>3325</v>
      </c>
      <c r="AU138" s="18">
        <v>8</v>
      </c>
      <c r="AV138" s="17" t="s">
        <v>151</v>
      </c>
      <c r="AW138" s="17" t="s">
        <v>151</v>
      </c>
      <c r="AX138" s="17" t="s">
        <v>151</v>
      </c>
      <c r="AY138" s="17" t="s">
        <v>3326</v>
      </c>
      <c r="AZ138" s="17" t="s">
        <v>151</v>
      </c>
      <c r="BA138" s="17" t="s">
        <v>151</v>
      </c>
      <c r="BB138" s="17" t="s">
        <v>151</v>
      </c>
      <c r="BC138" s="17" t="s">
        <v>3327</v>
      </c>
      <c r="BD138" s="17" t="s">
        <v>3328</v>
      </c>
      <c r="BE138" s="17" t="s">
        <v>3329</v>
      </c>
      <c r="BF138" s="17" t="s">
        <v>3330</v>
      </c>
      <c r="BG138" s="17" t="s">
        <v>3331</v>
      </c>
      <c r="BH138" s="17" t="s">
        <v>3332</v>
      </c>
      <c r="BI138" s="17" t="s">
        <v>2265</v>
      </c>
      <c r="BJ138" s="17" t="s">
        <v>3333</v>
      </c>
      <c r="BK138" s="17" t="s">
        <v>151</v>
      </c>
      <c r="BL138" s="17" t="s">
        <v>2267</v>
      </c>
      <c r="BM138" s="17" t="s">
        <v>855</v>
      </c>
      <c r="BN138" s="16" t="s">
        <v>3334</v>
      </c>
      <c r="BO138" s="17" t="s">
        <v>186</v>
      </c>
      <c r="BP138" s="16" t="s">
        <v>3332</v>
      </c>
      <c r="BQ138" s="16" t="s">
        <v>151</v>
      </c>
      <c r="BR138" s="17" t="s">
        <v>3335</v>
      </c>
      <c r="BS138" s="17" t="s">
        <v>187</v>
      </c>
      <c r="BT138" s="17" t="s">
        <v>188</v>
      </c>
      <c r="BU138" s="22">
        <v>44760</v>
      </c>
      <c r="BV138" s="24">
        <v>2.08</v>
      </c>
      <c r="BW138" s="17" t="s">
        <v>192</v>
      </c>
      <c r="BX138" s="24">
        <v>7.08</v>
      </c>
      <c r="BY138" s="17" t="s">
        <v>192</v>
      </c>
      <c r="BZ138" s="17" t="s">
        <v>293</v>
      </c>
      <c r="CA138" s="17" t="s">
        <v>293</v>
      </c>
      <c r="CB138" s="17" t="s">
        <v>151</v>
      </c>
      <c r="CC138" s="17" t="s">
        <v>165</v>
      </c>
      <c r="CD138" s="17" t="s">
        <v>151</v>
      </c>
      <c r="CE138" s="17" t="s">
        <v>191</v>
      </c>
      <c r="CF138" s="22">
        <v>45588</v>
      </c>
      <c r="CG138" s="24">
        <v>0.31</v>
      </c>
      <c r="CH138" s="17" t="s">
        <v>192</v>
      </c>
      <c r="CI138" s="24" t="s">
        <v>151</v>
      </c>
      <c r="CJ138" s="17" t="s">
        <v>151</v>
      </c>
      <c r="CK138" s="16" t="s">
        <v>151</v>
      </c>
      <c r="CL138" s="17" t="s">
        <v>194</v>
      </c>
      <c r="CM138" s="17" t="s">
        <v>151</v>
      </c>
      <c r="CN138" s="17" t="s">
        <v>151</v>
      </c>
      <c r="CO138" s="17" t="s">
        <v>165</v>
      </c>
      <c r="CP138" s="22">
        <v>45588</v>
      </c>
      <c r="CQ138" s="24" t="s">
        <v>151</v>
      </c>
      <c r="CR138" s="17" t="s">
        <v>151</v>
      </c>
      <c r="CS138" s="17" t="s">
        <v>191</v>
      </c>
      <c r="CT138" s="16">
        <v>67</v>
      </c>
      <c r="CU138" s="17" t="s">
        <v>196</v>
      </c>
      <c r="CV138" s="19">
        <v>63</v>
      </c>
      <c r="CW138" s="19">
        <v>37</v>
      </c>
      <c r="CX138" s="17" t="s">
        <v>294</v>
      </c>
      <c r="CY138" s="19">
        <v>1</v>
      </c>
      <c r="CZ138" s="19">
        <v>62</v>
      </c>
      <c r="DA138" s="24">
        <v>14.27</v>
      </c>
      <c r="DB138" s="22">
        <v>45028</v>
      </c>
      <c r="DC138" s="17" t="s">
        <v>293</v>
      </c>
      <c r="DD138" s="16">
        <v>1.55</v>
      </c>
      <c r="DE138" s="19">
        <v>-0.71</v>
      </c>
      <c r="DF138" s="21">
        <v>6</v>
      </c>
      <c r="DG138" s="19">
        <v>0</v>
      </c>
      <c r="DH138" s="19">
        <v>0</v>
      </c>
      <c r="DI138" s="19">
        <v>-0.79</v>
      </c>
      <c r="DJ138" s="21">
        <v>5</v>
      </c>
      <c r="DK138" s="19" t="s">
        <v>151</v>
      </c>
      <c r="DL138" s="21" t="s">
        <v>151</v>
      </c>
      <c r="DM138" s="19">
        <v>-0.79</v>
      </c>
      <c r="DN138" s="21">
        <v>5</v>
      </c>
      <c r="DO138" s="23">
        <v>5.08</v>
      </c>
      <c r="DP138" s="21">
        <v>83</v>
      </c>
      <c r="DQ138" s="23">
        <v>0</v>
      </c>
      <c r="DR138" s="19">
        <v>0</v>
      </c>
      <c r="DS138" s="23">
        <v>7.16</v>
      </c>
      <c r="DT138" s="21">
        <v>86</v>
      </c>
      <c r="DU138" s="23" t="s">
        <v>151</v>
      </c>
      <c r="DV138" s="21" t="s">
        <v>151</v>
      </c>
      <c r="DW138" s="23">
        <v>7.16</v>
      </c>
      <c r="DX138" s="21">
        <v>86</v>
      </c>
      <c r="DY138" s="18" t="s">
        <v>151</v>
      </c>
      <c r="DZ138" s="22" t="s">
        <v>151</v>
      </c>
      <c r="EA138" s="22" t="s">
        <v>151</v>
      </c>
      <c r="EB138" s="21">
        <v>389</v>
      </c>
      <c r="EC138" s="20">
        <v>13</v>
      </c>
      <c r="ED138" s="19">
        <v>3.46</v>
      </c>
      <c r="EE138" s="21">
        <v>136</v>
      </c>
      <c r="EF138" s="20">
        <v>0</v>
      </c>
      <c r="EG138" s="19">
        <v>0</v>
      </c>
      <c r="EH138" s="16" t="s">
        <v>198</v>
      </c>
      <c r="EI138" s="17" t="s">
        <v>151</v>
      </c>
      <c r="EJ138" s="17" t="s">
        <v>151</v>
      </c>
      <c r="EK138" s="18">
        <v>1</v>
      </c>
      <c r="EL138" s="18" t="s">
        <v>151</v>
      </c>
      <c r="EM138" s="18" t="s">
        <v>151</v>
      </c>
      <c r="EN138" s="18" t="s">
        <v>151</v>
      </c>
      <c r="EO138" s="18">
        <v>1</v>
      </c>
      <c r="EP138" s="17" t="s">
        <v>151</v>
      </c>
      <c r="EQ138" s="16" t="s">
        <v>151</v>
      </c>
      <c r="ER138" s="16" t="s">
        <v>151</v>
      </c>
      <c r="ES138" s="3">
        <f>HYPERLINK("https://my.pitchbook.com?c=465106-33","View Company Online")</f>
      </c>
    </row>
    <row r="139">
      <c r="A139" s="30" t="s">
        <v>3336</v>
      </c>
      <c r="B139" s="30" t="s">
        <v>3337</v>
      </c>
      <c r="C139" s="31">
        <v>1</v>
      </c>
      <c r="D139" s="30" t="s">
        <v>151</v>
      </c>
      <c r="E139" s="30" t="s">
        <v>151</v>
      </c>
      <c r="F139" s="30" t="s">
        <v>3338</v>
      </c>
      <c r="G139" s="30" t="s">
        <v>151</v>
      </c>
      <c r="H139" s="30" t="s">
        <v>151</v>
      </c>
      <c r="I139" s="30" t="s">
        <v>3339</v>
      </c>
      <c r="J139" s="30" t="s">
        <v>3336</v>
      </c>
      <c r="K139" s="30" t="s">
        <v>3340</v>
      </c>
      <c r="L139" s="30" t="s">
        <v>616</v>
      </c>
      <c r="M139" s="30" t="s">
        <v>834</v>
      </c>
      <c r="N139" s="30" t="s">
        <v>835</v>
      </c>
      <c r="O139" s="30" t="s">
        <v>3341</v>
      </c>
      <c r="P139" s="30" t="s">
        <v>3342</v>
      </c>
      <c r="Q139" s="30" t="s">
        <v>3343</v>
      </c>
      <c r="R139" s="30" t="s">
        <v>151</v>
      </c>
      <c r="S139" s="30" t="s">
        <v>162</v>
      </c>
      <c r="T139" s="37">
        <v>0.71</v>
      </c>
      <c r="U139" s="30" t="s">
        <v>163</v>
      </c>
      <c r="V139" s="30" t="s">
        <v>164</v>
      </c>
      <c r="W139" s="30" t="s">
        <v>165</v>
      </c>
      <c r="X139" s="28" t="s">
        <v>3344</v>
      </c>
      <c r="Y139" s="28" t="s">
        <v>3345</v>
      </c>
      <c r="Z139" s="40">
        <v>8</v>
      </c>
      <c r="AA139" s="30" t="s">
        <v>3346</v>
      </c>
      <c r="AB139" s="30" t="s">
        <v>151</v>
      </c>
      <c r="AC139" s="30" t="s">
        <v>151</v>
      </c>
      <c r="AD139" s="39">
        <v>2018</v>
      </c>
      <c r="AE139" s="30" t="s">
        <v>151</v>
      </c>
      <c r="AF139" s="35">
        <v>45558</v>
      </c>
      <c r="AG139" s="30" t="s">
        <v>151</v>
      </c>
      <c r="AH139" s="30" t="s">
        <v>151</v>
      </c>
      <c r="AI139" s="38" t="s">
        <v>151</v>
      </c>
      <c r="AJ139" s="32" t="s">
        <v>151</v>
      </c>
      <c r="AK139" s="38" t="s">
        <v>151</v>
      </c>
      <c r="AL139" s="38" t="s">
        <v>151</v>
      </c>
      <c r="AM139" s="38" t="s">
        <v>151</v>
      </c>
      <c r="AN139" s="38" t="s">
        <v>151</v>
      </c>
      <c r="AO139" s="38" t="s">
        <v>151</v>
      </c>
      <c r="AP139" s="38" t="s">
        <v>151</v>
      </c>
      <c r="AQ139" s="38" t="s">
        <v>151</v>
      </c>
      <c r="AR139" s="29" t="s">
        <v>151</v>
      </c>
      <c r="AS139" s="30" t="s">
        <v>3347</v>
      </c>
      <c r="AT139" s="30" t="s">
        <v>3348</v>
      </c>
      <c r="AU139" s="31">
        <v>7</v>
      </c>
      <c r="AV139" s="30" t="s">
        <v>151</v>
      </c>
      <c r="AW139" s="30" t="s">
        <v>3349</v>
      </c>
      <c r="AX139" s="30" t="s">
        <v>151</v>
      </c>
      <c r="AY139" s="30" t="s">
        <v>3350</v>
      </c>
      <c r="AZ139" s="30" t="s">
        <v>3351</v>
      </c>
      <c r="BA139" s="30" t="s">
        <v>151</v>
      </c>
      <c r="BB139" s="30" t="s">
        <v>151</v>
      </c>
      <c r="BC139" s="30" t="s">
        <v>151</v>
      </c>
      <c r="BD139" s="30" t="s">
        <v>3352</v>
      </c>
      <c r="BE139" s="30" t="s">
        <v>3353</v>
      </c>
      <c r="BF139" s="30" t="s">
        <v>221</v>
      </c>
      <c r="BG139" s="30" t="s">
        <v>3354</v>
      </c>
      <c r="BH139" s="30" t="s">
        <v>151</v>
      </c>
      <c r="BI139" s="30" t="s">
        <v>2652</v>
      </c>
      <c r="BJ139" s="30" t="s">
        <v>3355</v>
      </c>
      <c r="BK139" s="30" t="s">
        <v>3356</v>
      </c>
      <c r="BL139" s="30" t="s">
        <v>2654</v>
      </c>
      <c r="BM139" s="30" t="s">
        <v>1576</v>
      </c>
      <c r="BN139" s="29" t="s">
        <v>3357</v>
      </c>
      <c r="BO139" s="30" t="s">
        <v>186</v>
      </c>
      <c r="BP139" s="29" t="s">
        <v>151</v>
      </c>
      <c r="BQ139" s="29" t="s">
        <v>151</v>
      </c>
      <c r="BR139" s="30" t="s">
        <v>3358</v>
      </c>
      <c r="BS139" s="30" t="s">
        <v>187</v>
      </c>
      <c r="BT139" s="30" t="s">
        <v>188</v>
      </c>
      <c r="BU139" s="35">
        <v>43665</v>
      </c>
      <c r="BV139" s="37" t="s">
        <v>151</v>
      </c>
      <c r="BW139" s="30" t="s">
        <v>151</v>
      </c>
      <c r="BX139" s="37" t="s">
        <v>151</v>
      </c>
      <c r="BY139" s="30" t="s">
        <v>151</v>
      </c>
      <c r="BZ139" s="30" t="s">
        <v>189</v>
      </c>
      <c r="CA139" s="30" t="s">
        <v>151</v>
      </c>
      <c r="CB139" s="30" t="s">
        <v>151</v>
      </c>
      <c r="CC139" s="30" t="s">
        <v>190</v>
      </c>
      <c r="CD139" s="30" t="s">
        <v>151</v>
      </c>
      <c r="CE139" s="30" t="s">
        <v>191</v>
      </c>
      <c r="CF139" s="35">
        <v>45190</v>
      </c>
      <c r="CG139" s="37">
        <v>1</v>
      </c>
      <c r="CH139" s="30" t="s">
        <v>192</v>
      </c>
      <c r="CI139" s="37" t="s">
        <v>151</v>
      </c>
      <c r="CJ139" s="30" t="s">
        <v>151</v>
      </c>
      <c r="CK139" s="29" t="s">
        <v>151</v>
      </c>
      <c r="CL139" s="30" t="s">
        <v>911</v>
      </c>
      <c r="CM139" s="30" t="s">
        <v>151</v>
      </c>
      <c r="CN139" s="30" t="s">
        <v>151</v>
      </c>
      <c r="CO139" s="30" t="s">
        <v>165</v>
      </c>
      <c r="CP139" s="35">
        <v>45190</v>
      </c>
      <c r="CQ139" s="37" t="s">
        <v>151</v>
      </c>
      <c r="CR139" s="30" t="s">
        <v>151</v>
      </c>
      <c r="CS139" s="30" t="s">
        <v>191</v>
      </c>
      <c r="CT139" s="29">
        <v>10</v>
      </c>
      <c r="CU139" s="30" t="s">
        <v>263</v>
      </c>
      <c r="CV139" s="32">
        <v>11</v>
      </c>
      <c r="CW139" s="32">
        <v>89</v>
      </c>
      <c r="CX139" s="30" t="s">
        <v>263</v>
      </c>
      <c r="CY139" s="32">
        <v>1</v>
      </c>
      <c r="CZ139" s="32">
        <v>10</v>
      </c>
      <c r="DA139" s="37">
        <v>4.14</v>
      </c>
      <c r="DB139" s="35">
        <v>44256</v>
      </c>
      <c r="DC139" s="30" t="s">
        <v>189</v>
      </c>
      <c r="DD139" s="29" t="s">
        <v>151</v>
      </c>
      <c r="DE139" s="32">
        <v>0</v>
      </c>
      <c r="DF139" s="34">
        <v>11</v>
      </c>
      <c r="DG139" s="32">
        <v>0</v>
      </c>
      <c r="DH139" s="32">
        <v>0</v>
      </c>
      <c r="DI139" s="32">
        <v>0</v>
      </c>
      <c r="DJ139" s="34">
        <v>10</v>
      </c>
      <c r="DK139" s="32" t="s">
        <v>151</v>
      </c>
      <c r="DL139" s="34" t="s">
        <v>151</v>
      </c>
      <c r="DM139" s="32">
        <v>0</v>
      </c>
      <c r="DN139" s="34">
        <v>10</v>
      </c>
      <c r="DO139" s="36">
        <v>1.68</v>
      </c>
      <c r="DP139" s="34">
        <v>62</v>
      </c>
      <c r="DQ139" s="36">
        <v>0</v>
      </c>
      <c r="DR139" s="32">
        <v>0</v>
      </c>
      <c r="DS139" s="36">
        <v>2.74</v>
      </c>
      <c r="DT139" s="34">
        <v>72</v>
      </c>
      <c r="DU139" s="36" t="s">
        <v>151</v>
      </c>
      <c r="DV139" s="34" t="s">
        <v>151</v>
      </c>
      <c r="DW139" s="36">
        <v>2.74</v>
      </c>
      <c r="DX139" s="34">
        <v>72</v>
      </c>
      <c r="DY139" s="31" t="s">
        <v>151</v>
      </c>
      <c r="DZ139" s="35" t="s">
        <v>151</v>
      </c>
      <c r="EA139" s="35" t="s">
        <v>151</v>
      </c>
      <c r="EB139" s="34">
        <v>505</v>
      </c>
      <c r="EC139" s="33">
        <v>-155</v>
      </c>
      <c r="ED139" s="32">
        <v>-23.48</v>
      </c>
      <c r="EE139" s="34">
        <v>52</v>
      </c>
      <c r="EF139" s="33">
        <v>0</v>
      </c>
      <c r="EG139" s="32">
        <v>0</v>
      </c>
      <c r="EH139" s="29" t="s">
        <v>198</v>
      </c>
      <c r="EI139" s="30" t="s">
        <v>151</v>
      </c>
      <c r="EJ139" s="30" t="s">
        <v>151</v>
      </c>
      <c r="EK139" s="31">
        <v>1</v>
      </c>
      <c r="EL139" s="31" t="s">
        <v>151</v>
      </c>
      <c r="EM139" s="31">
        <v>1</v>
      </c>
      <c r="EN139" s="31" t="s">
        <v>151</v>
      </c>
      <c r="EO139" s="31" t="s">
        <v>151</v>
      </c>
      <c r="EP139" s="30" t="s">
        <v>741</v>
      </c>
      <c r="EQ139" s="29" t="s">
        <v>151</v>
      </c>
      <c r="ER139" s="29" t="s">
        <v>151</v>
      </c>
      <c r="ES139" s="4">
        <f>HYPERLINK("https://my.pitchbook.com?c=463468-24","View Company Online")</f>
      </c>
    </row>
    <row r="140">
      <c r="A140" s="17" t="s">
        <v>3359</v>
      </c>
      <c r="B140" s="17" t="s">
        <v>3360</v>
      </c>
      <c r="C140" s="18">
        <v>1</v>
      </c>
      <c r="D140" s="17" t="s">
        <v>151</v>
      </c>
      <c r="E140" s="17" t="s">
        <v>151</v>
      </c>
      <c r="F140" s="17" t="s">
        <v>3361</v>
      </c>
      <c r="G140" s="17" t="s">
        <v>151</v>
      </c>
      <c r="H140" s="17" t="s">
        <v>151</v>
      </c>
      <c r="I140" s="17" t="s">
        <v>3362</v>
      </c>
      <c r="J140" s="17" t="s">
        <v>3359</v>
      </c>
      <c r="K140" s="17" t="s">
        <v>3363</v>
      </c>
      <c r="L140" s="17" t="s">
        <v>205</v>
      </c>
      <c r="M140" s="17" t="s">
        <v>206</v>
      </c>
      <c r="N140" s="17" t="s">
        <v>1268</v>
      </c>
      <c r="O140" s="17" t="s">
        <v>2129</v>
      </c>
      <c r="P140" s="17" t="s">
        <v>3364</v>
      </c>
      <c r="Q140" s="17" t="s">
        <v>3365</v>
      </c>
      <c r="R140" s="17" t="s">
        <v>151</v>
      </c>
      <c r="S140" s="17" t="s">
        <v>162</v>
      </c>
      <c r="T140" s="24">
        <v>24.97</v>
      </c>
      <c r="U140" s="17" t="s">
        <v>163</v>
      </c>
      <c r="V140" s="17" t="s">
        <v>164</v>
      </c>
      <c r="W140" s="17" t="s">
        <v>165</v>
      </c>
      <c r="X140" s="15" t="s">
        <v>3366</v>
      </c>
      <c r="Y140" s="15" t="s">
        <v>3367</v>
      </c>
      <c r="Z140" s="27">
        <v>64</v>
      </c>
      <c r="AA140" s="17" t="s">
        <v>3368</v>
      </c>
      <c r="AB140" s="17" t="s">
        <v>151</v>
      </c>
      <c r="AC140" s="17" t="s">
        <v>151</v>
      </c>
      <c r="AD140" s="26">
        <v>2018</v>
      </c>
      <c r="AE140" s="17" t="s">
        <v>151</v>
      </c>
      <c r="AF140" s="22">
        <v>45448</v>
      </c>
      <c r="AG140" s="17" t="s">
        <v>151</v>
      </c>
      <c r="AH140" s="17" t="s">
        <v>151</v>
      </c>
      <c r="AI140" s="25">
        <v>0.17</v>
      </c>
      <c r="AJ140" s="19" t="s">
        <v>151</v>
      </c>
      <c r="AK140" s="25" t="s">
        <v>151</v>
      </c>
      <c r="AL140" s="25" t="s">
        <v>151</v>
      </c>
      <c r="AM140" s="25" t="s">
        <v>151</v>
      </c>
      <c r="AN140" s="25" t="s">
        <v>151</v>
      </c>
      <c r="AO140" s="25" t="s">
        <v>151</v>
      </c>
      <c r="AP140" s="25" t="s">
        <v>151</v>
      </c>
      <c r="AQ140" s="25" t="s">
        <v>151</v>
      </c>
      <c r="AR140" s="16" t="s">
        <v>2328</v>
      </c>
      <c r="AS140" s="17" t="s">
        <v>3369</v>
      </c>
      <c r="AT140" s="17" t="s">
        <v>899</v>
      </c>
      <c r="AU140" s="18">
        <v>1</v>
      </c>
      <c r="AV140" s="17" t="s">
        <v>151</v>
      </c>
      <c r="AW140" s="17" t="s">
        <v>151</v>
      </c>
      <c r="AX140" s="17" t="s">
        <v>151</v>
      </c>
      <c r="AY140" s="17" t="s">
        <v>901</v>
      </c>
      <c r="AZ140" s="17" t="s">
        <v>151</v>
      </c>
      <c r="BA140" s="17" t="s">
        <v>151</v>
      </c>
      <c r="BB140" s="17" t="s">
        <v>1115</v>
      </c>
      <c r="BC140" s="17" t="s">
        <v>1115</v>
      </c>
      <c r="BD140" s="17" t="s">
        <v>3370</v>
      </c>
      <c r="BE140" s="17" t="s">
        <v>3371</v>
      </c>
      <c r="BF140" s="17" t="s">
        <v>731</v>
      </c>
      <c r="BG140" s="17" t="s">
        <v>3372</v>
      </c>
      <c r="BH140" s="17" t="s">
        <v>3373</v>
      </c>
      <c r="BI140" s="17" t="s">
        <v>3374</v>
      </c>
      <c r="BJ140" s="17" t="s">
        <v>3375</v>
      </c>
      <c r="BK140" s="17" t="s">
        <v>1712</v>
      </c>
      <c r="BL140" s="17" t="s">
        <v>3376</v>
      </c>
      <c r="BM140" s="17" t="s">
        <v>823</v>
      </c>
      <c r="BN140" s="16" t="s">
        <v>3377</v>
      </c>
      <c r="BO140" s="17" t="s">
        <v>186</v>
      </c>
      <c r="BP140" s="16" t="s">
        <v>3373</v>
      </c>
      <c r="BQ140" s="16" t="s">
        <v>151</v>
      </c>
      <c r="BR140" s="17" t="s">
        <v>3378</v>
      </c>
      <c r="BS140" s="17" t="s">
        <v>187</v>
      </c>
      <c r="BT140" s="17" t="s">
        <v>188</v>
      </c>
      <c r="BU140" s="22">
        <v>43696</v>
      </c>
      <c r="BV140" s="24">
        <v>3</v>
      </c>
      <c r="BW140" s="17" t="s">
        <v>192</v>
      </c>
      <c r="BX140" s="24" t="s">
        <v>151</v>
      </c>
      <c r="BY140" s="17" t="s">
        <v>151</v>
      </c>
      <c r="BZ140" s="17" t="s">
        <v>1075</v>
      </c>
      <c r="CA140" s="17" t="s">
        <v>1075</v>
      </c>
      <c r="CB140" s="17" t="s">
        <v>151</v>
      </c>
      <c r="CC140" s="17" t="s">
        <v>585</v>
      </c>
      <c r="CD140" s="17" t="s">
        <v>151</v>
      </c>
      <c r="CE140" s="17" t="s">
        <v>191</v>
      </c>
      <c r="CF140" s="22">
        <v>44434</v>
      </c>
      <c r="CG140" s="24">
        <v>19.02</v>
      </c>
      <c r="CH140" s="17" t="s">
        <v>192</v>
      </c>
      <c r="CI140" s="24">
        <v>119.02</v>
      </c>
      <c r="CJ140" s="17" t="s">
        <v>192</v>
      </c>
      <c r="CK140" s="16">
        <v>11.17</v>
      </c>
      <c r="CL140" s="17" t="s">
        <v>231</v>
      </c>
      <c r="CM140" s="17" t="s">
        <v>232</v>
      </c>
      <c r="CN140" s="17" t="s">
        <v>151</v>
      </c>
      <c r="CO140" s="17" t="s">
        <v>165</v>
      </c>
      <c r="CP140" s="22">
        <v>44434</v>
      </c>
      <c r="CQ140" s="24" t="s">
        <v>151</v>
      </c>
      <c r="CR140" s="17" t="s">
        <v>151</v>
      </c>
      <c r="CS140" s="17" t="s">
        <v>191</v>
      </c>
      <c r="CT140" s="16">
        <v>72</v>
      </c>
      <c r="CU140" s="17" t="s">
        <v>196</v>
      </c>
      <c r="CV140" s="19">
        <v>67</v>
      </c>
      <c r="CW140" s="19">
        <v>33</v>
      </c>
      <c r="CX140" s="17" t="s">
        <v>294</v>
      </c>
      <c r="CY140" s="19">
        <v>1</v>
      </c>
      <c r="CZ140" s="19">
        <v>66</v>
      </c>
      <c r="DA140" s="24">
        <v>119.02</v>
      </c>
      <c r="DB140" s="22">
        <v>44434</v>
      </c>
      <c r="DC140" s="17" t="s">
        <v>231</v>
      </c>
      <c r="DD140" s="16">
        <v>11.17</v>
      </c>
      <c r="DE140" s="19">
        <v>0</v>
      </c>
      <c r="DF140" s="21">
        <v>11</v>
      </c>
      <c r="DG140" s="19">
        <v>0</v>
      </c>
      <c r="DH140" s="19">
        <v>0</v>
      </c>
      <c r="DI140" s="19">
        <v>0</v>
      </c>
      <c r="DJ140" s="21">
        <v>10</v>
      </c>
      <c r="DK140" s="19" t="s">
        <v>151</v>
      </c>
      <c r="DL140" s="21" t="s">
        <v>151</v>
      </c>
      <c r="DM140" s="19">
        <v>0</v>
      </c>
      <c r="DN140" s="21">
        <v>10</v>
      </c>
      <c r="DO140" s="23">
        <v>4.78</v>
      </c>
      <c r="DP140" s="21">
        <v>82</v>
      </c>
      <c r="DQ140" s="23">
        <v>0</v>
      </c>
      <c r="DR140" s="19">
        <v>0</v>
      </c>
      <c r="DS140" s="23">
        <v>4.63</v>
      </c>
      <c r="DT140" s="21">
        <v>81</v>
      </c>
      <c r="DU140" s="23" t="s">
        <v>151</v>
      </c>
      <c r="DV140" s="21" t="s">
        <v>151</v>
      </c>
      <c r="DW140" s="23">
        <v>4.63</v>
      </c>
      <c r="DX140" s="21">
        <v>81</v>
      </c>
      <c r="DY140" s="18" t="s">
        <v>151</v>
      </c>
      <c r="DZ140" s="22" t="s">
        <v>151</v>
      </c>
      <c r="EA140" s="22" t="s">
        <v>151</v>
      </c>
      <c r="EB140" s="21" t="s">
        <v>151</v>
      </c>
      <c r="EC140" s="20" t="s">
        <v>151</v>
      </c>
      <c r="ED140" s="19" t="s">
        <v>151</v>
      </c>
      <c r="EE140" s="21">
        <v>88</v>
      </c>
      <c r="EF140" s="20">
        <v>0</v>
      </c>
      <c r="EG140" s="19">
        <v>0</v>
      </c>
      <c r="EH140" s="16" t="s">
        <v>198</v>
      </c>
      <c r="EI140" s="17" t="s">
        <v>151</v>
      </c>
      <c r="EJ140" s="17" t="s">
        <v>151</v>
      </c>
      <c r="EK140" s="18">
        <v>1</v>
      </c>
      <c r="EL140" s="18" t="s">
        <v>151</v>
      </c>
      <c r="EM140" s="18" t="s">
        <v>151</v>
      </c>
      <c r="EN140" s="18" t="s">
        <v>151</v>
      </c>
      <c r="EO140" s="18">
        <v>1</v>
      </c>
      <c r="EP140" s="17" t="s">
        <v>151</v>
      </c>
      <c r="EQ140" s="16" t="s">
        <v>151</v>
      </c>
      <c r="ER140" s="16" t="s">
        <v>151</v>
      </c>
      <c r="ES140" s="3">
        <f>HYPERLINK("https://my.pitchbook.com?c=437675-86","View Company Online")</f>
      </c>
    </row>
    <row r="141">
      <c r="A141" s="30" t="s">
        <v>3379</v>
      </c>
      <c r="B141" s="30" t="s">
        <v>3380</v>
      </c>
      <c r="C141" s="31">
        <v>1</v>
      </c>
      <c r="D141" s="30" t="s">
        <v>151</v>
      </c>
      <c r="E141" s="30" t="s">
        <v>151</v>
      </c>
      <c r="F141" s="30" t="s">
        <v>3381</v>
      </c>
      <c r="G141" s="30" t="s">
        <v>151</v>
      </c>
      <c r="H141" s="30" t="s">
        <v>151</v>
      </c>
      <c r="I141" s="30" t="s">
        <v>3382</v>
      </c>
      <c r="J141" s="30" t="s">
        <v>3379</v>
      </c>
      <c r="K141" s="30" t="s">
        <v>3383</v>
      </c>
      <c r="L141" s="30" t="s">
        <v>155</v>
      </c>
      <c r="M141" s="30" t="s">
        <v>3384</v>
      </c>
      <c r="N141" s="30" t="s">
        <v>3385</v>
      </c>
      <c r="O141" s="30" t="s">
        <v>3386</v>
      </c>
      <c r="P141" s="30" t="s">
        <v>3387</v>
      </c>
      <c r="Q141" s="30" t="s">
        <v>3388</v>
      </c>
      <c r="R141" s="30" t="s">
        <v>151</v>
      </c>
      <c r="S141" s="30" t="s">
        <v>162</v>
      </c>
      <c r="T141" s="37">
        <v>8.4</v>
      </c>
      <c r="U141" s="30" t="s">
        <v>163</v>
      </c>
      <c r="V141" s="30" t="s">
        <v>164</v>
      </c>
      <c r="W141" s="30" t="s">
        <v>165</v>
      </c>
      <c r="X141" s="28" t="s">
        <v>3389</v>
      </c>
      <c r="Y141" s="28" t="s">
        <v>3390</v>
      </c>
      <c r="Z141" s="40">
        <v>10</v>
      </c>
      <c r="AA141" s="30" t="s">
        <v>3391</v>
      </c>
      <c r="AB141" s="30" t="s">
        <v>151</v>
      </c>
      <c r="AC141" s="30" t="s">
        <v>151</v>
      </c>
      <c r="AD141" s="39">
        <v>2019</v>
      </c>
      <c r="AE141" s="30" t="s">
        <v>151</v>
      </c>
      <c r="AF141" s="35">
        <v>45580</v>
      </c>
      <c r="AG141" s="30" t="s">
        <v>151</v>
      </c>
      <c r="AH141" s="30" t="s">
        <v>151</v>
      </c>
      <c r="AI141" s="38">
        <v>1.5</v>
      </c>
      <c r="AJ141" s="32">
        <v>25</v>
      </c>
      <c r="AK141" s="38" t="s">
        <v>151</v>
      </c>
      <c r="AL141" s="38">
        <v>-3.29</v>
      </c>
      <c r="AM141" s="38" t="s">
        <v>151</v>
      </c>
      <c r="AN141" s="38" t="s">
        <v>151</v>
      </c>
      <c r="AO141" s="38" t="s">
        <v>151</v>
      </c>
      <c r="AP141" s="38" t="s">
        <v>151</v>
      </c>
      <c r="AQ141" s="38" t="s">
        <v>151</v>
      </c>
      <c r="AR141" s="29" t="s">
        <v>170</v>
      </c>
      <c r="AS141" s="30" t="s">
        <v>3392</v>
      </c>
      <c r="AT141" s="30" t="s">
        <v>3393</v>
      </c>
      <c r="AU141" s="31">
        <v>46</v>
      </c>
      <c r="AV141" s="30" t="s">
        <v>151</v>
      </c>
      <c r="AW141" s="30" t="s">
        <v>3394</v>
      </c>
      <c r="AX141" s="30" t="s">
        <v>151</v>
      </c>
      <c r="AY141" s="30" t="s">
        <v>3395</v>
      </c>
      <c r="AZ141" s="30" t="s">
        <v>3396</v>
      </c>
      <c r="BA141" s="30" t="s">
        <v>151</v>
      </c>
      <c r="BB141" s="30" t="s">
        <v>343</v>
      </c>
      <c r="BC141" s="30" t="s">
        <v>3397</v>
      </c>
      <c r="BD141" s="30" t="s">
        <v>3398</v>
      </c>
      <c r="BE141" s="30" t="s">
        <v>3399</v>
      </c>
      <c r="BF141" s="30" t="s">
        <v>3400</v>
      </c>
      <c r="BG141" s="30" t="s">
        <v>3401</v>
      </c>
      <c r="BH141" s="30" t="s">
        <v>3402</v>
      </c>
      <c r="BI141" s="30" t="s">
        <v>764</v>
      </c>
      <c r="BJ141" s="30" t="s">
        <v>3403</v>
      </c>
      <c r="BK141" s="30" t="s">
        <v>2073</v>
      </c>
      <c r="BL141" s="30" t="s">
        <v>767</v>
      </c>
      <c r="BM141" s="30" t="s">
        <v>184</v>
      </c>
      <c r="BN141" s="29" t="s">
        <v>1260</v>
      </c>
      <c r="BO141" s="30" t="s">
        <v>186</v>
      </c>
      <c r="BP141" s="29" t="s">
        <v>3402</v>
      </c>
      <c r="BQ141" s="29" t="s">
        <v>151</v>
      </c>
      <c r="BR141" s="30" t="s">
        <v>3404</v>
      </c>
      <c r="BS141" s="30" t="s">
        <v>187</v>
      </c>
      <c r="BT141" s="30" t="s">
        <v>188</v>
      </c>
      <c r="BU141" s="35">
        <v>43862</v>
      </c>
      <c r="BV141" s="37">
        <v>0.8</v>
      </c>
      <c r="BW141" s="30" t="s">
        <v>192</v>
      </c>
      <c r="BX141" s="37">
        <v>2.5</v>
      </c>
      <c r="BY141" s="30" t="s">
        <v>192</v>
      </c>
      <c r="BZ141" s="30" t="s">
        <v>293</v>
      </c>
      <c r="CA141" s="30" t="s">
        <v>293</v>
      </c>
      <c r="CB141" s="30" t="s">
        <v>151</v>
      </c>
      <c r="CC141" s="30" t="s">
        <v>165</v>
      </c>
      <c r="CD141" s="30" t="s">
        <v>151</v>
      </c>
      <c r="CE141" s="30" t="s">
        <v>191</v>
      </c>
      <c r="CF141" s="35" t="s">
        <v>151</v>
      </c>
      <c r="CG141" s="37" t="s">
        <v>151</v>
      </c>
      <c r="CH141" s="30" t="s">
        <v>151</v>
      </c>
      <c r="CI141" s="37" t="s">
        <v>151</v>
      </c>
      <c r="CJ141" s="30" t="s">
        <v>151</v>
      </c>
      <c r="CK141" s="29">
        <v>5.2</v>
      </c>
      <c r="CL141" s="30" t="s">
        <v>911</v>
      </c>
      <c r="CM141" s="30" t="s">
        <v>151</v>
      </c>
      <c r="CN141" s="30" t="s">
        <v>151</v>
      </c>
      <c r="CO141" s="30" t="s">
        <v>165</v>
      </c>
      <c r="CP141" s="35" t="s">
        <v>151</v>
      </c>
      <c r="CQ141" s="37" t="s">
        <v>151</v>
      </c>
      <c r="CR141" s="30" t="s">
        <v>151</v>
      </c>
      <c r="CS141" s="30" t="s">
        <v>191</v>
      </c>
      <c r="CT141" s="29">
        <v>73</v>
      </c>
      <c r="CU141" s="30" t="s">
        <v>196</v>
      </c>
      <c r="CV141" s="32">
        <v>68</v>
      </c>
      <c r="CW141" s="32">
        <v>32</v>
      </c>
      <c r="CX141" s="30" t="s">
        <v>294</v>
      </c>
      <c r="CY141" s="32">
        <v>1</v>
      </c>
      <c r="CZ141" s="32">
        <v>67</v>
      </c>
      <c r="DA141" s="37">
        <v>20.08</v>
      </c>
      <c r="DB141" s="35">
        <v>44385</v>
      </c>
      <c r="DC141" s="30" t="s">
        <v>231</v>
      </c>
      <c r="DD141" s="29">
        <v>5.2</v>
      </c>
      <c r="DE141" s="32">
        <v>-2.26</v>
      </c>
      <c r="DF141" s="34">
        <v>2</v>
      </c>
      <c r="DG141" s="32">
        <v>-0.01</v>
      </c>
      <c r="DH141" s="32">
        <v>-0.34</v>
      </c>
      <c r="DI141" s="32">
        <v>-4.57</v>
      </c>
      <c r="DJ141" s="34">
        <v>1</v>
      </c>
      <c r="DK141" s="32">
        <v>-9.54</v>
      </c>
      <c r="DL141" s="34">
        <v>1</v>
      </c>
      <c r="DM141" s="32">
        <v>0.39</v>
      </c>
      <c r="DN141" s="34">
        <v>94</v>
      </c>
      <c r="DO141" s="36">
        <v>149.01</v>
      </c>
      <c r="DP141" s="34">
        <v>100</v>
      </c>
      <c r="DQ141" s="36">
        <v>-0.1</v>
      </c>
      <c r="DR141" s="32">
        <v>-0.07</v>
      </c>
      <c r="DS141" s="36">
        <v>15.43</v>
      </c>
      <c r="DT141" s="34">
        <v>93</v>
      </c>
      <c r="DU141" s="36">
        <v>13.49</v>
      </c>
      <c r="DV141" s="34">
        <v>89</v>
      </c>
      <c r="DW141" s="36">
        <v>17.37</v>
      </c>
      <c r="DX141" s="34">
        <v>94</v>
      </c>
      <c r="DY141" s="31" t="s">
        <v>151</v>
      </c>
      <c r="DZ141" s="35" t="s">
        <v>151</v>
      </c>
      <c r="EA141" s="35" t="s">
        <v>151</v>
      </c>
      <c r="EB141" s="34">
        <v>2830</v>
      </c>
      <c r="EC141" s="33">
        <v>-469</v>
      </c>
      <c r="ED141" s="32">
        <v>-14.22</v>
      </c>
      <c r="EE141" s="34">
        <v>330</v>
      </c>
      <c r="EF141" s="33">
        <v>3</v>
      </c>
      <c r="EG141" s="32">
        <v>0.92</v>
      </c>
      <c r="EH141" s="29" t="s">
        <v>198</v>
      </c>
      <c r="EI141" s="30" t="s">
        <v>151</v>
      </c>
      <c r="EJ141" s="30" t="s">
        <v>151</v>
      </c>
      <c r="EK141" s="31">
        <v>1</v>
      </c>
      <c r="EL141" s="31" t="s">
        <v>151</v>
      </c>
      <c r="EM141" s="31">
        <v>1</v>
      </c>
      <c r="EN141" s="31" t="s">
        <v>151</v>
      </c>
      <c r="EO141" s="31" t="s">
        <v>151</v>
      </c>
      <c r="EP141" s="30" t="s">
        <v>3031</v>
      </c>
      <c r="EQ141" s="29" t="s">
        <v>151</v>
      </c>
      <c r="ER141" s="29" t="s">
        <v>151</v>
      </c>
      <c r="ES141" s="4">
        <f>HYPERLINK("https://my.pitchbook.com?c=433643-77","View Company Online")</f>
      </c>
    </row>
    <row r="142">
      <c r="A142" s="17" t="s">
        <v>3405</v>
      </c>
      <c r="B142" s="17" t="s">
        <v>3406</v>
      </c>
      <c r="C142" s="18">
        <v>1</v>
      </c>
      <c r="D142" s="17" t="s">
        <v>151</v>
      </c>
      <c r="E142" s="17" t="s">
        <v>151</v>
      </c>
      <c r="F142" s="17" t="s">
        <v>3407</v>
      </c>
      <c r="G142" s="17" t="s">
        <v>151</v>
      </c>
      <c r="H142" s="17" t="s">
        <v>151</v>
      </c>
      <c r="I142" s="17" t="s">
        <v>151</v>
      </c>
      <c r="J142" s="17" t="s">
        <v>3405</v>
      </c>
      <c r="K142" s="17" t="s">
        <v>3408</v>
      </c>
      <c r="L142" s="17" t="s">
        <v>205</v>
      </c>
      <c r="M142" s="17" t="s">
        <v>206</v>
      </c>
      <c r="N142" s="17" t="s">
        <v>269</v>
      </c>
      <c r="O142" s="17" t="s">
        <v>563</v>
      </c>
      <c r="P142" s="17" t="s">
        <v>2898</v>
      </c>
      <c r="Q142" s="17" t="s">
        <v>3409</v>
      </c>
      <c r="R142" s="17" t="s">
        <v>151</v>
      </c>
      <c r="S142" s="17" t="s">
        <v>162</v>
      </c>
      <c r="T142" s="24">
        <v>0.14</v>
      </c>
      <c r="U142" s="17" t="s">
        <v>163</v>
      </c>
      <c r="V142" s="17" t="s">
        <v>164</v>
      </c>
      <c r="W142" s="17" t="s">
        <v>165</v>
      </c>
      <c r="X142" s="15" t="s">
        <v>3410</v>
      </c>
      <c r="Y142" s="15" t="s">
        <v>3411</v>
      </c>
      <c r="Z142" s="27">
        <v>5</v>
      </c>
      <c r="AA142" s="17" t="s">
        <v>3412</v>
      </c>
      <c r="AB142" s="17" t="s">
        <v>151</v>
      </c>
      <c r="AC142" s="17" t="s">
        <v>151</v>
      </c>
      <c r="AD142" s="26">
        <v>2018</v>
      </c>
      <c r="AE142" s="17" t="s">
        <v>151</v>
      </c>
      <c r="AF142" s="22">
        <v>45510</v>
      </c>
      <c r="AG142" s="17" t="s">
        <v>151</v>
      </c>
      <c r="AH142" s="17" t="s">
        <v>151</v>
      </c>
      <c r="AI142" s="25" t="s">
        <v>151</v>
      </c>
      <c r="AJ142" s="19" t="s">
        <v>151</v>
      </c>
      <c r="AK142" s="25" t="s">
        <v>151</v>
      </c>
      <c r="AL142" s="25" t="s">
        <v>151</v>
      </c>
      <c r="AM142" s="25" t="s">
        <v>151</v>
      </c>
      <c r="AN142" s="25" t="s">
        <v>151</v>
      </c>
      <c r="AO142" s="25" t="s">
        <v>151</v>
      </c>
      <c r="AP142" s="25" t="s">
        <v>151</v>
      </c>
      <c r="AQ142" s="25" t="s">
        <v>151</v>
      </c>
      <c r="AR142" s="16" t="s">
        <v>151</v>
      </c>
      <c r="AS142" s="17" t="s">
        <v>3413</v>
      </c>
      <c r="AT142" s="17" t="s">
        <v>3414</v>
      </c>
      <c r="AU142" s="18">
        <v>9</v>
      </c>
      <c r="AV142" s="17" t="s">
        <v>151</v>
      </c>
      <c r="AW142" s="17" t="s">
        <v>151</v>
      </c>
      <c r="AX142" s="17" t="s">
        <v>151</v>
      </c>
      <c r="AY142" s="17" t="s">
        <v>3415</v>
      </c>
      <c r="AZ142" s="17" t="s">
        <v>151</v>
      </c>
      <c r="BA142" s="17" t="s">
        <v>151</v>
      </c>
      <c r="BB142" s="17" t="s">
        <v>151</v>
      </c>
      <c r="BC142" s="17" t="s">
        <v>151</v>
      </c>
      <c r="BD142" s="17" t="s">
        <v>3416</v>
      </c>
      <c r="BE142" s="17" t="s">
        <v>3417</v>
      </c>
      <c r="BF142" s="17" t="s">
        <v>3418</v>
      </c>
      <c r="BG142" s="17" t="s">
        <v>3419</v>
      </c>
      <c r="BH142" s="17" t="s">
        <v>3420</v>
      </c>
      <c r="BI142" s="17" t="s">
        <v>1068</v>
      </c>
      <c r="BJ142" s="17" t="s">
        <v>3421</v>
      </c>
      <c r="BK142" s="17" t="s">
        <v>2006</v>
      </c>
      <c r="BL142" s="17" t="s">
        <v>1071</v>
      </c>
      <c r="BM142" s="17" t="s">
        <v>1072</v>
      </c>
      <c r="BN142" s="16" t="s">
        <v>3422</v>
      </c>
      <c r="BO142" s="17" t="s">
        <v>186</v>
      </c>
      <c r="BP142" s="16" t="s">
        <v>3420</v>
      </c>
      <c r="BQ142" s="16" t="s">
        <v>151</v>
      </c>
      <c r="BR142" s="17" t="s">
        <v>151</v>
      </c>
      <c r="BS142" s="17" t="s">
        <v>187</v>
      </c>
      <c r="BT142" s="17" t="s">
        <v>188</v>
      </c>
      <c r="BU142" s="22">
        <v>43528</v>
      </c>
      <c r="BV142" s="24">
        <v>0.03</v>
      </c>
      <c r="BW142" s="17" t="s">
        <v>192</v>
      </c>
      <c r="BX142" s="24" t="s">
        <v>151</v>
      </c>
      <c r="BY142" s="17" t="s">
        <v>151</v>
      </c>
      <c r="BZ142" s="17" t="s">
        <v>501</v>
      </c>
      <c r="CA142" s="17" t="s">
        <v>151</v>
      </c>
      <c r="CB142" s="17" t="s">
        <v>151</v>
      </c>
      <c r="CC142" s="17" t="s">
        <v>190</v>
      </c>
      <c r="CD142" s="17" t="s">
        <v>151</v>
      </c>
      <c r="CE142" s="17" t="s">
        <v>191</v>
      </c>
      <c r="CF142" s="22">
        <v>45020</v>
      </c>
      <c r="CG142" s="24">
        <v>0.12</v>
      </c>
      <c r="CH142" s="17" t="s">
        <v>192</v>
      </c>
      <c r="CI142" s="24">
        <v>0.33</v>
      </c>
      <c r="CJ142" s="17" t="s">
        <v>192</v>
      </c>
      <c r="CK142" s="16" t="s">
        <v>151</v>
      </c>
      <c r="CL142" s="17" t="s">
        <v>189</v>
      </c>
      <c r="CM142" s="17" t="s">
        <v>151</v>
      </c>
      <c r="CN142" s="17" t="s">
        <v>151</v>
      </c>
      <c r="CO142" s="17" t="s">
        <v>190</v>
      </c>
      <c r="CP142" s="22">
        <v>45020</v>
      </c>
      <c r="CQ142" s="24">
        <v>0.1</v>
      </c>
      <c r="CR142" s="17" t="s">
        <v>2193</v>
      </c>
      <c r="CS142" s="17" t="s">
        <v>191</v>
      </c>
      <c r="CT142" s="16" t="s">
        <v>151</v>
      </c>
      <c r="CU142" s="17" t="s">
        <v>151</v>
      </c>
      <c r="CV142" s="19" t="s">
        <v>151</v>
      </c>
      <c r="CW142" s="19" t="s">
        <v>151</v>
      </c>
      <c r="CX142" s="17" t="s">
        <v>151</v>
      </c>
      <c r="CY142" s="19" t="s">
        <v>151</v>
      </c>
      <c r="CZ142" s="19" t="s">
        <v>151</v>
      </c>
      <c r="DA142" s="24">
        <v>0.33</v>
      </c>
      <c r="DB142" s="22">
        <v>45020</v>
      </c>
      <c r="DC142" s="17" t="s">
        <v>189</v>
      </c>
      <c r="DD142" s="16" t="s">
        <v>151</v>
      </c>
      <c r="DE142" s="19">
        <v>0</v>
      </c>
      <c r="DF142" s="21">
        <v>11</v>
      </c>
      <c r="DG142" s="19">
        <v>0</v>
      </c>
      <c r="DH142" s="19">
        <v>0</v>
      </c>
      <c r="DI142" s="19">
        <v>0</v>
      </c>
      <c r="DJ142" s="21">
        <v>10</v>
      </c>
      <c r="DK142" s="19" t="s">
        <v>151</v>
      </c>
      <c r="DL142" s="21" t="s">
        <v>151</v>
      </c>
      <c r="DM142" s="19">
        <v>0</v>
      </c>
      <c r="DN142" s="21">
        <v>10</v>
      </c>
      <c r="DO142" s="23">
        <v>0.72</v>
      </c>
      <c r="DP142" s="21">
        <v>42</v>
      </c>
      <c r="DQ142" s="23">
        <v>0</v>
      </c>
      <c r="DR142" s="19">
        <v>0</v>
      </c>
      <c r="DS142" s="23">
        <v>1.05</v>
      </c>
      <c r="DT142" s="21">
        <v>51</v>
      </c>
      <c r="DU142" s="23" t="s">
        <v>151</v>
      </c>
      <c r="DV142" s="21" t="s">
        <v>151</v>
      </c>
      <c r="DW142" s="23">
        <v>1.05</v>
      </c>
      <c r="DX142" s="21">
        <v>51</v>
      </c>
      <c r="DY142" s="18" t="s">
        <v>151</v>
      </c>
      <c r="DZ142" s="22" t="s">
        <v>151</v>
      </c>
      <c r="EA142" s="22" t="s">
        <v>151</v>
      </c>
      <c r="EB142" s="21">
        <v>10</v>
      </c>
      <c r="EC142" s="20">
        <v>-52</v>
      </c>
      <c r="ED142" s="19">
        <v>-83.87</v>
      </c>
      <c r="EE142" s="21">
        <v>20</v>
      </c>
      <c r="EF142" s="20">
        <v>0</v>
      </c>
      <c r="EG142" s="19">
        <v>0</v>
      </c>
      <c r="EH142" s="16" t="s">
        <v>198</v>
      </c>
      <c r="EI142" s="17" t="s">
        <v>151</v>
      </c>
      <c r="EJ142" s="17" t="s">
        <v>151</v>
      </c>
      <c r="EK142" s="18" t="s">
        <v>151</v>
      </c>
      <c r="EL142" s="18">
        <v>1</v>
      </c>
      <c r="EM142" s="18" t="s">
        <v>151</v>
      </c>
      <c r="EN142" s="18" t="s">
        <v>151</v>
      </c>
      <c r="EO142" s="18" t="s">
        <v>151</v>
      </c>
      <c r="EP142" s="17" t="s">
        <v>151</v>
      </c>
      <c r="EQ142" s="16" t="s">
        <v>151</v>
      </c>
      <c r="ER142" s="16" t="s">
        <v>151</v>
      </c>
      <c r="ES142" s="3">
        <f>HYPERLINK("https://my.pitchbook.com?c=435026-08","View Company Online")</f>
      </c>
    </row>
    <row r="143">
      <c r="A143" s="30" t="s">
        <v>3423</v>
      </c>
      <c r="B143" s="30" t="s">
        <v>3424</v>
      </c>
      <c r="C143" s="31">
        <v>1</v>
      </c>
      <c r="D143" s="30" t="s">
        <v>151</v>
      </c>
      <c r="E143" s="30" t="s">
        <v>151</v>
      </c>
      <c r="F143" s="30" t="s">
        <v>3425</v>
      </c>
      <c r="G143" s="30" t="s">
        <v>151</v>
      </c>
      <c r="H143" s="30" t="s">
        <v>151</v>
      </c>
      <c r="I143" s="30" t="s">
        <v>151</v>
      </c>
      <c r="J143" s="30" t="s">
        <v>3423</v>
      </c>
      <c r="K143" s="30" t="s">
        <v>3426</v>
      </c>
      <c r="L143" s="30" t="s">
        <v>155</v>
      </c>
      <c r="M143" s="30" t="s">
        <v>2320</v>
      </c>
      <c r="N143" s="30" t="s">
        <v>3427</v>
      </c>
      <c r="O143" s="30" t="s">
        <v>3428</v>
      </c>
      <c r="P143" s="30" t="s">
        <v>3429</v>
      </c>
      <c r="Q143" s="30" t="s">
        <v>3430</v>
      </c>
      <c r="R143" s="30" t="s">
        <v>3431</v>
      </c>
      <c r="S143" s="30" t="s">
        <v>162</v>
      </c>
      <c r="T143" s="37">
        <v>1.15</v>
      </c>
      <c r="U143" s="30" t="s">
        <v>163</v>
      </c>
      <c r="V143" s="30" t="s">
        <v>164</v>
      </c>
      <c r="W143" s="30" t="s">
        <v>165</v>
      </c>
      <c r="X143" s="28" t="s">
        <v>3432</v>
      </c>
      <c r="Y143" s="28" t="s">
        <v>3433</v>
      </c>
      <c r="Z143" s="40">
        <v>8</v>
      </c>
      <c r="AA143" s="30" t="s">
        <v>3434</v>
      </c>
      <c r="AB143" s="30" t="s">
        <v>151</v>
      </c>
      <c r="AC143" s="30" t="s">
        <v>151</v>
      </c>
      <c r="AD143" s="39">
        <v>2019</v>
      </c>
      <c r="AE143" s="30" t="s">
        <v>151</v>
      </c>
      <c r="AF143" s="35">
        <v>45608</v>
      </c>
      <c r="AG143" s="30" t="s">
        <v>151</v>
      </c>
      <c r="AH143" s="30" t="s">
        <v>151</v>
      </c>
      <c r="AI143" s="38" t="s">
        <v>151</v>
      </c>
      <c r="AJ143" s="32" t="s">
        <v>151</v>
      </c>
      <c r="AK143" s="38" t="s">
        <v>151</v>
      </c>
      <c r="AL143" s="38">
        <v>-0.02</v>
      </c>
      <c r="AM143" s="38" t="s">
        <v>151</v>
      </c>
      <c r="AN143" s="38" t="s">
        <v>151</v>
      </c>
      <c r="AO143" s="38" t="s">
        <v>151</v>
      </c>
      <c r="AP143" s="38" t="s">
        <v>151</v>
      </c>
      <c r="AQ143" s="38" t="s">
        <v>151</v>
      </c>
      <c r="AR143" s="29" t="s">
        <v>3435</v>
      </c>
      <c r="AS143" s="30" t="s">
        <v>3436</v>
      </c>
      <c r="AT143" s="30" t="s">
        <v>3437</v>
      </c>
      <c r="AU143" s="31">
        <v>13</v>
      </c>
      <c r="AV143" s="30" t="s">
        <v>151</v>
      </c>
      <c r="AW143" s="30" t="s">
        <v>151</v>
      </c>
      <c r="AX143" s="30" t="s">
        <v>151</v>
      </c>
      <c r="AY143" s="30" t="s">
        <v>3438</v>
      </c>
      <c r="AZ143" s="30" t="s">
        <v>151</v>
      </c>
      <c r="BA143" s="30" t="s">
        <v>151</v>
      </c>
      <c r="BB143" s="30" t="s">
        <v>151</v>
      </c>
      <c r="BC143" s="30" t="s">
        <v>2626</v>
      </c>
      <c r="BD143" s="30" t="s">
        <v>3439</v>
      </c>
      <c r="BE143" s="30" t="s">
        <v>3440</v>
      </c>
      <c r="BF143" s="30" t="s">
        <v>282</v>
      </c>
      <c r="BG143" s="30" t="s">
        <v>3441</v>
      </c>
      <c r="BH143" s="30" t="s">
        <v>3442</v>
      </c>
      <c r="BI143" s="30" t="s">
        <v>3443</v>
      </c>
      <c r="BJ143" s="30" t="s">
        <v>3444</v>
      </c>
      <c r="BK143" s="30" t="s">
        <v>3445</v>
      </c>
      <c r="BL143" s="30" t="s">
        <v>3446</v>
      </c>
      <c r="BM143" s="30" t="s">
        <v>184</v>
      </c>
      <c r="BN143" s="29" t="s">
        <v>3447</v>
      </c>
      <c r="BO143" s="30" t="s">
        <v>186</v>
      </c>
      <c r="BP143" s="29" t="s">
        <v>3442</v>
      </c>
      <c r="BQ143" s="29" t="s">
        <v>151</v>
      </c>
      <c r="BR143" s="30" t="s">
        <v>3448</v>
      </c>
      <c r="BS143" s="30" t="s">
        <v>187</v>
      </c>
      <c r="BT143" s="30" t="s">
        <v>188</v>
      </c>
      <c r="BU143" s="35">
        <v>43800</v>
      </c>
      <c r="BV143" s="37">
        <v>0.01</v>
      </c>
      <c r="BW143" s="30" t="s">
        <v>192</v>
      </c>
      <c r="BX143" s="37" t="s">
        <v>151</v>
      </c>
      <c r="BY143" s="30" t="s">
        <v>151</v>
      </c>
      <c r="BZ143" s="30" t="s">
        <v>1075</v>
      </c>
      <c r="CA143" s="30" t="s">
        <v>1075</v>
      </c>
      <c r="CB143" s="30" t="s">
        <v>151</v>
      </c>
      <c r="CC143" s="30" t="s">
        <v>585</v>
      </c>
      <c r="CD143" s="30" t="s">
        <v>3449</v>
      </c>
      <c r="CE143" s="30" t="s">
        <v>191</v>
      </c>
      <c r="CF143" s="35" t="s">
        <v>151</v>
      </c>
      <c r="CG143" s="37" t="s">
        <v>151</v>
      </c>
      <c r="CH143" s="30" t="s">
        <v>151</v>
      </c>
      <c r="CI143" s="37" t="s">
        <v>151</v>
      </c>
      <c r="CJ143" s="30" t="s">
        <v>151</v>
      </c>
      <c r="CK143" s="29" t="s">
        <v>151</v>
      </c>
      <c r="CL143" s="30" t="s">
        <v>189</v>
      </c>
      <c r="CM143" s="30" t="s">
        <v>151</v>
      </c>
      <c r="CN143" s="30" t="s">
        <v>151</v>
      </c>
      <c r="CO143" s="30" t="s">
        <v>190</v>
      </c>
      <c r="CP143" s="35" t="s">
        <v>151</v>
      </c>
      <c r="CQ143" s="37" t="s">
        <v>151</v>
      </c>
      <c r="CR143" s="30" t="s">
        <v>151</v>
      </c>
      <c r="CS143" s="30" t="s">
        <v>191</v>
      </c>
      <c r="CT143" s="29">
        <v>56</v>
      </c>
      <c r="CU143" s="30" t="s">
        <v>196</v>
      </c>
      <c r="CV143" s="32">
        <v>53</v>
      </c>
      <c r="CW143" s="32">
        <v>47</v>
      </c>
      <c r="CX143" s="30" t="s">
        <v>294</v>
      </c>
      <c r="CY143" s="32">
        <v>1</v>
      </c>
      <c r="CZ143" s="32">
        <v>52</v>
      </c>
      <c r="DA143" s="37">
        <v>5</v>
      </c>
      <c r="DB143" s="35">
        <v>44896</v>
      </c>
      <c r="DC143" s="30" t="s">
        <v>293</v>
      </c>
      <c r="DD143" s="29" t="s">
        <v>151</v>
      </c>
      <c r="DE143" s="32">
        <v>0</v>
      </c>
      <c r="DF143" s="34">
        <v>11</v>
      </c>
      <c r="DG143" s="32">
        <v>0</v>
      </c>
      <c r="DH143" s="32">
        <v>0</v>
      </c>
      <c r="DI143" s="32">
        <v>0</v>
      </c>
      <c r="DJ143" s="34">
        <v>10</v>
      </c>
      <c r="DK143" s="32" t="s">
        <v>151</v>
      </c>
      <c r="DL143" s="34" t="s">
        <v>151</v>
      </c>
      <c r="DM143" s="32">
        <v>0</v>
      </c>
      <c r="DN143" s="34">
        <v>10</v>
      </c>
      <c r="DO143" s="36">
        <v>1.74</v>
      </c>
      <c r="DP143" s="34">
        <v>63</v>
      </c>
      <c r="DQ143" s="36">
        <v>0</v>
      </c>
      <c r="DR143" s="32">
        <v>0</v>
      </c>
      <c r="DS143" s="36">
        <v>1.74</v>
      </c>
      <c r="DT143" s="34">
        <v>63</v>
      </c>
      <c r="DU143" s="36" t="s">
        <v>151</v>
      </c>
      <c r="DV143" s="34" t="s">
        <v>151</v>
      </c>
      <c r="DW143" s="36">
        <v>1.74</v>
      </c>
      <c r="DX143" s="34">
        <v>62</v>
      </c>
      <c r="DY143" s="31" t="s">
        <v>151</v>
      </c>
      <c r="DZ143" s="35" t="s">
        <v>151</v>
      </c>
      <c r="EA143" s="35" t="s">
        <v>151</v>
      </c>
      <c r="EB143" s="34">
        <v>0</v>
      </c>
      <c r="EC143" s="33">
        <v>0</v>
      </c>
      <c r="ED143" s="32">
        <v>0</v>
      </c>
      <c r="EE143" s="34">
        <v>33</v>
      </c>
      <c r="EF143" s="33">
        <v>0</v>
      </c>
      <c r="EG143" s="32">
        <v>0</v>
      </c>
      <c r="EH143" s="29" t="s">
        <v>198</v>
      </c>
      <c r="EI143" s="30" t="s">
        <v>151</v>
      </c>
      <c r="EJ143" s="30" t="s">
        <v>151</v>
      </c>
      <c r="EK143" s="31">
        <v>1</v>
      </c>
      <c r="EL143" s="31" t="s">
        <v>151</v>
      </c>
      <c r="EM143" s="31">
        <v>1</v>
      </c>
      <c r="EN143" s="31" t="s">
        <v>151</v>
      </c>
      <c r="EO143" s="31" t="s">
        <v>151</v>
      </c>
      <c r="EP143" s="30" t="s">
        <v>741</v>
      </c>
      <c r="EQ143" s="29" t="s">
        <v>151</v>
      </c>
      <c r="ER143" s="29" t="s">
        <v>151</v>
      </c>
      <c r="ES143" s="4">
        <f>HYPERLINK("https://my.pitchbook.com?c=469506-70","View Company Online")</f>
      </c>
    </row>
    <row r="144">
      <c r="A144" s="17" t="s">
        <v>3450</v>
      </c>
      <c r="B144" s="17" t="s">
        <v>3451</v>
      </c>
      <c r="C144" s="18">
        <v>1</v>
      </c>
      <c r="D144" s="17" t="s">
        <v>151</v>
      </c>
      <c r="E144" s="17" t="s">
        <v>3452</v>
      </c>
      <c r="F144" s="17" t="s">
        <v>3453</v>
      </c>
      <c r="G144" s="17" t="s">
        <v>151</v>
      </c>
      <c r="H144" s="17" t="s">
        <v>151</v>
      </c>
      <c r="I144" s="17" t="s">
        <v>151</v>
      </c>
      <c r="J144" s="17" t="s">
        <v>3450</v>
      </c>
      <c r="K144" s="17" t="s">
        <v>3454</v>
      </c>
      <c r="L144" s="17" t="s">
        <v>205</v>
      </c>
      <c r="M144" s="17" t="s">
        <v>206</v>
      </c>
      <c r="N144" s="17" t="s">
        <v>1268</v>
      </c>
      <c r="O144" s="17" t="s">
        <v>1269</v>
      </c>
      <c r="P144" s="17" t="s">
        <v>892</v>
      </c>
      <c r="Q144" s="17" t="s">
        <v>3455</v>
      </c>
      <c r="R144" s="17" t="s">
        <v>151</v>
      </c>
      <c r="S144" s="17" t="s">
        <v>162</v>
      </c>
      <c r="T144" s="24">
        <v>6.2</v>
      </c>
      <c r="U144" s="17" t="s">
        <v>163</v>
      </c>
      <c r="V144" s="17" t="s">
        <v>164</v>
      </c>
      <c r="W144" s="17" t="s">
        <v>165</v>
      </c>
      <c r="X144" s="15" t="s">
        <v>3456</v>
      </c>
      <c r="Y144" s="15" t="s">
        <v>3457</v>
      </c>
      <c r="Z144" s="27">
        <v>8</v>
      </c>
      <c r="AA144" s="17" t="s">
        <v>3458</v>
      </c>
      <c r="AB144" s="17" t="s">
        <v>151</v>
      </c>
      <c r="AC144" s="17" t="s">
        <v>151</v>
      </c>
      <c r="AD144" s="26">
        <v>2021</v>
      </c>
      <c r="AE144" s="17" t="s">
        <v>151</v>
      </c>
      <c r="AF144" s="22">
        <v>45588</v>
      </c>
      <c r="AG144" s="17" t="s">
        <v>151</v>
      </c>
      <c r="AH144" s="17" t="s">
        <v>151</v>
      </c>
      <c r="AI144" s="25" t="s">
        <v>151</v>
      </c>
      <c r="AJ144" s="19" t="s">
        <v>151</v>
      </c>
      <c r="AK144" s="25" t="s">
        <v>151</v>
      </c>
      <c r="AL144" s="25" t="s">
        <v>151</v>
      </c>
      <c r="AM144" s="25" t="s">
        <v>151</v>
      </c>
      <c r="AN144" s="25" t="s">
        <v>151</v>
      </c>
      <c r="AO144" s="25" t="s">
        <v>151</v>
      </c>
      <c r="AP144" s="25" t="s">
        <v>151</v>
      </c>
      <c r="AQ144" s="25" t="s">
        <v>151</v>
      </c>
      <c r="AR144" s="16" t="s">
        <v>151</v>
      </c>
      <c r="AS144" s="17" t="s">
        <v>3459</v>
      </c>
      <c r="AT144" s="17" t="s">
        <v>3460</v>
      </c>
      <c r="AU144" s="18">
        <v>9</v>
      </c>
      <c r="AV144" s="17" t="s">
        <v>151</v>
      </c>
      <c r="AW144" s="17" t="s">
        <v>151</v>
      </c>
      <c r="AX144" s="17" t="s">
        <v>151</v>
      </c>
      <c r="AY144" s="17" t="s">
        <v>3461</v>
      </c>
      <c r="AZ144" s="17" t="s">
        <v>151</v>
      </c>
      <c r="BA144" s="17" t="s">
        <v>151</v>
      </c>
      <c r="BB144" s="17" t="s">
        <v>151</v>
      </c>
      <c r="BC144" s="17" t="s">
        <v>343</v>
      </c>
      <c r="BD144" s="17" t="s">
        <v>3462</v>
      </c>
      <c r="BE144" s="17" t="s">
        <v>3463</v>
      </c>
      <c r="BF144" s="17" t="s">
        <v>3464</v>
      </c>
      <c r="BG144" s="17" t="s">
        <v>3465</v>
      </c>
      <c r="BH144" s="17" t="s">
        <v>3466</v>
      </c>
      <c r="BI144" s="17" t="s">
        <v>906</v>
      </c>
      <c r="BJ144" s="17" t="s">
        <v>3467</v>
      </c>
      <c r="BK144" s="17" t="s">
        <v>3468</v>
      </c>
      <c r="BL144" s="17" t="s">
        <v>259</v>
      </c>
      <c r="BM144" s="17" t="s">
        <v>259</v>
      </c>
      <c r="BN144" s="16" t="s">
        <v>3469</v>
      </c>
      <c r="BO144" s="17" t="s">
        <v>186</v>
      </c>
      <c r="BP144" s="16" t="s">
        <v>3466</v>
      </c>
      <c r="BQ144" s="16" t="s">
        <v>151</v>
      </c>
      <c r="BR144" s="17" t="s">
        <v>3470</v>
      </c>
      <c r="BS144" s="17" t="s">
        <v>187</v>
      </c>
      <c r="BT144" s="17" t="s">
        <v>188</v>
      </c>
      <c r="BU144" s="22">
        <v>44565</v>
      </c>
      <c r="BV144" s="24">
        <v>6.2</v>
      </c>
      <c r="BW144" s="17" t="s">
        <v>192</v>
      </c>
      <c r="BX144" s="24">
        <v>20</v>
      </c>
      <c r="BY144" s="17" t="s">
        <v>192</v>
      </c>
      <c r="BZ144" s="17" t="s">
        <v>293</v>
      </c>
      <c r="CA144" s="17" t="s">
        <v>293</v>
      </c>
      <c r="CB144" s="17" t="s">
        <v>151</v>
      </c>
      <c r="CC144" s="17" t="s">
        <v>165</v>
      </c>
      <c r="CD144" s="17" t="s">
        <v>151</v>
      </c>
      <c r="CE144" s="17" t="s">
        <v>191</v>
      </c>
      <c r="CF144" s="22">
        <v>44565</v>
      </c>
      <c r="CG144" s="24">
        <v>6.2</v>
      </c>
      <c r="CH144" s="17" t="s">
        <v>192</v>
      </c>
      <c r="CI144" s="24">
        <v>20</v>
      </c>
      <c r="CJ144" s="17" t="s">
        <v>192</v>
      </c>
      <c r="CK144" s="16" t="s">
        <v>151</v>
      </c>
      <c r="CL144" s="17" t="s">
        <v>293</v>
      </c>
      <c r="CM144" s="17" t="s">
        <v>293</v>
      </c>
      <c r="CN144" s="17" t="s">
        <v>151</v>
      </c>
      <c r="CO144" s="17" t="s">
        <v>165</v>
      </c>
      <c r="CP144" s="22">
        <v>44565</v>
      </c>
      <c r="CQ144" s="24" t="s">
        <v>151</v>
      </c>
      <c r="CR144" s="17" t="s">
        <v>151</v>
      </c>
      <c r="CS144" s="17" t="s">
        <v>191</v>
      </c>
      <c r="CT144" s="16" t="s">
        <v>151</v>
      </c>
      <c r="CU144" s="17" t="s">
        <v>151</v>
      </c>
      <c r="CV144" s="19" t="s">
        <v>151</v>
      </c>
      <c r="CW144" s="19" t="s">
        <v>151</v>
      </c>
      <c r="CX144" s="17" t="s">
        <v>151</v>
      </c>
      <c r="CY144" s="19" t="s">
        <v>151</v>
      </c>
      <c r="CZ144" s="19" t="s">
        <v>151</v>
      </c>
      <c r="DA144" s="24">
        <v>20</v>
      </c>
      <c r="DB144" s="22">
        <v>44565</v>
      </c>
      <c r="DC144" s="17" t="s">
        <v>293</v>
      </c>
      <c r="DD144" s="16" t="s">
        <v>151</v>
      </c>
      <c r="DE144" s="19">
        <v>0</v>
      </c>
      <c r="DF144" s="21">
        <v>11</v>
      </c>
      <c r="DG144" s="19">
        <v>0</v>
      </c>
      <c r="DH144" s="19">
        <v>0</v>
      </c>
      <c r="DI144" s="19">
        <v>0</v>
      </c>
      <c r="DJ144" s="21">
        <v>10</v>
      </c>
      <c r="DK144" s="19" t="s">
        <v>151</v>
      </c>
      <c r="DL144" s="21" t="s">
        <v>151</v>
      </c>
      <c r="DM144" s="19">
        <v>0</v>
      </c>
      <c r="DN144" s="21">
        <v>10</v>
      </c>
      <c r="DO144" s="23">
        <v>2.07</v>
      </c>
      <c r="DP144" s="21">
        <v>67</v>
      </c>
      <c r="DQ144" s="23">
        <v>0</v>
      </c>
      <c r="DR144" s="19">
        <v>0</v>
      </c>
      <c r="DS144" s="23">
        <v>3.53</v>
      </c>
      <c r="DT144" s="21">
        <v>77</v>
      </c>
      <c r="DU144" s="23" t="s">
        <v>151</v>
      </c>
      <c r="DV144" s="21" t="s">
        <v>151</v>
      </c>
      <c r="DW144" s="23">
        <v>3.53</v>
      </c>
      <c r="DX144" s="21">
        <v>77</v>
      </c>
      <c r="DY144" s="18" t="s">
        <v>151</v>
      </c>
      <c r="DZ144" s="22" t="s">
        <v>151</v>
      </c>
      <c r="EA144" s="22" t="s">
        <v>151</v>
      </c>
      <c r="EB144" s="21">
        <v>972</v>
      </c>
      <c r="EC144" s="20">
        <v>49</v>
      </c>
      <c r="ED144" s="19">
        <v>5.31</v>
      </c>
      <c r="EE144" s="21">
        <v>67</v>
      </c>
      <c r="EF144" s="20">
        <v>1</v>
      </c>
      <c r="EG144" s="19">
        <v>1.52</v>
      </c>
      <c r="EH144" s="16" t="s">
        <v>198</v>
      </c>
      <c r="EI144" s="17" t="s">
        <v>151</v>
      </c>
      <c r="EJ144" s="17" t="s">
        <v>151</v>
      </c>
      <c r="EK144" s="18">
        <v>1</v>
      </c>
      <c r="EL144" s="18" t="s">
        <v>151</v>
      </c>
      <c r="EM144" s="18">
        <v>1</v>
      </c>
      <c r="EN144" s="18" t="s">
        <v>151</v>
      </c>
      <c r="EO144" s="18" t="s">
        <v>151</v>
      </c>
      <c r="EP144" s="17" t="s">
        <v>295</v>
      </c>
      <c r="EQ144" s="16" t="s">
        <v>151</v>
      </c>
      <c r="ER144" s="16" t="s">
        <v>151</v>
      </c>
      <c r="ES144" s="3">
        <f>HYPERLINK("https://my.pitchbook.com?c=481553-56","View Company Online")</f>
      </c>
    </row>
    <row r="145">
      <c r="A145" s="30" t="s">
        <v>3471</v>
      </c>
      <c r="B145" s="30" t="s">
        <v>3472</v>
      </c>
      <c r="C145" s="31">
        <v>1</v>
      </c>
      <c r="D145" s="30" t="s">
        <v>151</v>
      </c>
      <c r="E145" s="30" t="s">
        <v>3473</v>
      </c>
      <c r="F145" s="30" t="s">
        <v>3474</v>
      </c>
      <c r="G145" s="30" t="s">
        <v>151</v>
      </c>
      <c r="H145" s="30" t="s">
        <v>151</v>
      </c>
      <c r="I145" s="30" t="s">
        <v>151</v>
      </c>
      <c r="J145" s="30" t="s">
        <v>3471</v>
      </c>
      <c r="K145" s="30" t="s">
        <v>3475</v>
      </c>
      <c r="L145" s="30" t="s">
        <v>205</v>
      </c>
      <c r="M145" s="30" t="s">
        <v>206</v>
      </c>
      <c r="N145" s="30" t="s">
        <v>917</v>
      </c>
      <c r="O145" s="30" t="s">
        <v>3476</v>
      </c>
      <c r="P145" s="30" t="s">
        <v>209</v>
      </c>
      <c r="Q145" s="30" t="s">
        <v>3477</v>
      </c>
      <c r="R145" s="30" t="s">
        <v>151</v>
      </c>
      <c r="S145" s="30" t="s">
        <v>162</v>
      </c>
      <c r="T145" s="37">
        <v>2</v>
      </c>
      <c r="U145" s="30" t="s">
        <v>163</v>
      </c>
      <c r="V145" s="30" t="s">
        <v>164</v>
      </c>
      <c r="W145" s="30" t="s">
        <v>165</v>
      </c>
      <c r="X145" s="28" t="s">
        <v>3478</v>
      </c>
      <c r="Y145" s="28" t="s">
        <v>3479</v>
      </c>
      <c r="Z145" s="40">
        <v>2</v>
      </c>
      <c r="AA145" s="30" t="s">
        <v>3480</v>
      </c>
      <c r="AB145" s="30" t="s">
        <v>151</v>
      </c>
      <c r="AC145" s="30" t="s">
        <v>151</v>
      </c>
      <c r="AD145" s="39">
        <v>2022</v>
      </c>
      <c r="AE145" s="30" t="s">
        <v>151</v>
      </c>
      <c r="AF145" s="35">
        <v>45496</v>
      </c>
      <c r="AG145" s="30" t="s">
        <v>151</v>
      </c>
      <c r="AH145" s="30" t="s">
        <v>151</v>
      </c>
      <c r="AI145" s="38" t="s">
        <v>151</v>
      </c>
      <c r="AJ145" s="32" t="s">
        <v>151</v>
      </c>
      <c r="AK145" s="38" t="s">
        <v>151</v>
      </c>
      <c r="AL145" s="38" t="s">
        <v>151</v>
      </c>
      <c r="AM145" s="38" t="s">
        <v>151</v>
      </c>
      <c r="AN145" s="38" t="s">
        <v>151</v>
      </c>
      <c r="AO145" s="38" t="s">
        <v>151</v>
      </c>
      <c r="AP145" s="38" t="s">
        <v>151</v>
      </c>
      <c r="AQ145" s="38" t="s">
        <v>151</v>
      </c>
      <c r="AR145" s="29" t="s">
        <v>151</v>
      </c>
      <c r="AS145" s="30" t="s">
        <v>3481</v>
      </c>
      <c r="AT145" s="30" t="s">
        <v>3482</v>
      </c>
      <c r="AU145" s="31">
        <v>15</v>
      </c>
      <c r="AV145" s="30" t="s">
        <v>151</v>
      </c>
      <c r="AW145" s="30" t="s">
        <v>151</v>
      </c>
      <c r="AX145" s="30" t="s">
        <v>151</v>
      </c>
      <c r="AY145" s="30" t="s">
        <v>3483</v>
      </c>
      <c r="AZ145" s="30" t="s">
        <v>151</v>
      </c>
      <c r="BA145" s="30" t="s">
        <v>151</v>
      </c>
      <c r="BB145" s="30" t="s">
        <v>151</v>
      </c>
      <c r="BC145" s="30" t="s">
        <v>151</v>
      </c>
      <c r="BD145" s="30" t="s">
        <v>3484</v>
      </c>
      <c r="BE145" s="30" t="s">
        <v>3485</v>
      </c>
      <c r="BF145" s="30" t="s">
        <v>403</v>
      </c>
      <c r="BG145" s="30" t="s">
        <v>151</v>
      </c>
      <c r="BH145" s="30" t="s">
        <v>151</v>
      </c>
      <c r="BI145" s="30" t="s">
        <v>906</v>
      </c>
      <c r="BJ145" s="30" t="s">
        <v>151</v>
      </c>
      <c r="BK145" s="30" t="s">
        <v>151</v>
      </c>
      <c r="BL145" s="30" t="s">
        <v>259</v>
      </c>
      <c r="BM145" s="30" t="s">
        <v>259</v>
      </c>
      <c r="BN145" s="29" t="s">
        <v>151</v>
      </c>
      <c r="BO145" s="30" t="s">
        <v>186</v>
      </c>
      <c r="BP145" s="29" t="s">
        <v>151</v>
      </c>
      <c r="BQ145" s="29" t="s">
        <v>151</v>
      </c>
      <c r="BR145" s="30" t="s">
        <v>151</v>
      </c>
      <c r="BS145" s="30" t="s">
        <v>187</v>
      </c>
      <c r="BT145" s="30" t="s">
        <v>188</v>
      </c>
      <c r="BU145" s="35">
        <v>44769</v>
      </c>
      <c r="BV145" s="37">
        <v>2</v>
      </c>
      <c r="BW145" s="30" t="s">
        <v>192</v>
      </c>
      <c r="BX145" s="37" t="s">
        <v>151</v>
      </c>
      <c r="BY145" s="30" t="s">
        <v>151</v>
      </c>
      <c r="BZ145" s="30" t="s">
        <v>293</v>
      </c>
      <c r="CA145" s="30" t="s">
        <v>293</v>
      </c>
      <c r="CB145" s="30" t="s">
        <v>151</v>
      </c>
      <c r="CC145" s="30" t="s">
        <v>165</v>
      </c>
      <c r="CD145" s="30" t="s">
        <v>151</v>
      </c>
      <c r="CE145" s="30" t="s">
        <v>191</v>
      </c>
      <c r="CF145" s="35">
        <v>44769</v>
      </c>
      <c r="CG145" s="37">
        <v>2</v>
      </c>
      <c r="CH145" s="30" t="s">
        <v>192</v>
      </c>
      <c r="CI145" s="37" t="s">
        <v>151</v>
      </c>
      <c r="CJ145" s="30" t="s">
        <v>151</v>
      </c>
      <c r="CK145" s="29" t="s">
        <v>151</v>
      </c>
      <c r="CL145" s="30" t="s">
        <v>293</v>
      </c>
      <c r="CM145" s="30" t="s">
        <v>293</v>
      </c>
      <c r="CN145" s="30" t="s">
        <v>151</v>
      </c>
      <c r="CO145" s="30" t="s">
        <v>165</v>
      </c>
      <c r="CP145" s="35">
        <v>44769</v>
      </c>
      <c r="CQ145" s="37" t="s">
        <v>151</v>
      </c>
      <c r="CR145" s="30" t="s">
        <v>151</v>
      </c>
      <c r="CS145" s="30" t="s">
        <v>191</v>
      </c>
      <c r="CT145" s="29" t="s">
        <v>151</v>
      </c>
      <c r="CU145" s="30" t="s">
        <v>151</v>
      </c>
      <c r="CV145" s="32" t="s">
        <v>151</v>
      </c>
      <c r="CW145" s="32" t="s">
        <v>151</v>
      </c>
      <c r="CX145" s="30" t="s">
        <v>151</v>
      </c>
      <c r="CY145" s="32" t="s">
        <v>151</v>
      </c>
      <c r="CZ145" s="32" t="s">
        <v>151</v>
      </c>
      <c r="DA145" s="37" t="s">
        <v>151</v>
      </c>
      <c r="DB145" s="35" t="s">
        <v>151</v>
      </c>
      <c r="DC145" s="30" t="s">
        <v>151</v>
      </c>
      <c r="DD145" s="29" t="s">
        <v>151</v>
      </c>
      <c r="DE145" s="32">
        <v>0</v>
      </c>
      <c r="DF145" s="34">
        <v>11</v>
      </c>
      <c r="DG145" s="32">
        <v>0</v>
      </c>
      <c r="DH145" s="32">
        <v>0</v>
      </c>
      <c r="DI145" s="32">
        <v>0</v>
      </c>
      <c r="DJ145" s="34">
        <v>10</v>
      </c>
      <c r="DK145" s="32" t="s">
        <v>151</v>
      </c>
      <c r="DL145" s="34" t="s">
        <v>151</v>
      </c>
      <c r="DM145" s="32">
        <v>0</v>
      </c>
      <c r="DN145" s="34">
        <v>10</v>
      </c>
      <c r="DO145" s="36">
        <v>0.89</v>
      </c>
      <c r="DP145" s="34">
        <v>47</v>
      </c>
      <c r="DQ145" s="36">
        <v>0</v>
      </c>
      <c r="DR145" s="32">
        <v>0</v>
      </c>
      <c r="DS145" s="36">
        <v>0.89</v>
      </c>
      <c r="DT145" s="34">
        <v>47</v>
      </c>
      <c r="DU145" s="36" t="s">
        <v>151</v>
      </c>
      <c r="DV145" s="34" t="s">
        <v>151</v>
      </c>
      <c r="DW145" s="36">
        <v>0.89</v>
      </c>
      <c r="DX145" s="34">
        <v>47</v>
      </c>
      <c r="DY145" s="31" t="s">
        <v>151</v>
      </c>
      <c r="DZ145" s="35" t="s">
        <v>151</v>
      </c>
      <c r="EA145" s="35" t="s">
        <v>151</v>
      </c>
      <c r="EB145" s="34">
        <v>0</v>
      </c>
      <c r="EC145" s="33">
        <v>0</v>
      </c>
      <c r="ED145" s="32">
        <v>0</v>
      </c>
      <c r="EE145" s="34">
        <v>17</v>
      </c>
      <c r="EF145" s="33">
        <v>0</v>
      </c>
      <c r="EG145" s="32">
        <v>0</v>
      </c>
      <c r="EH145" s="29" t="s">
        <v>198</v>
      </c>
      <c r="EI145" s="30" t="s">
        <v>151</v>
      </c>
      <c r="EJ145" s="30" t="s">
        <v>151</v>
      </c>
      <c r="EK145" s="31">
        <v>1</v>
      </c>
      <c r="EL145" s="31" t="s">
        <v>151</v>
      </c>
      <c r="EM145" s="31" t="s">
        <v>151</v>
      </c>
      <c r="EN145" s="31" t="s">
        <v>151</v>
      </c>
      <c r="EO145" s="31">
        <v>1</v>
      </c>
      <c r="EP145" s="30" t="s">
        <v>151</v>
      </c>
      <c r="EQ145" s="29" t="s">
        <v>151</v>
      </c>
      <c r="ER145" s="29" t="s">
        <v>151</v>
      </c>
      <c r="ES145" s="4">
        <f>HYPERLINK("https://my.pitchbook.com?c=502836-22","View Company Online")</f>
      </c>
    </row>
    <row r="146">
      <c r="A146" s="17" t="s">
        <v>3486</v>
      </c>
      <c r="B146" s="17" t="s">
        <v>3487</v>
      </c>
      <c r="C146" s="18">
        <v>1</v>
      </c>
      <c r="D146" s="17" t="s">
        <v>151</v>
      </c>
      <c r="E146" s="17" t="s">
        <v>151</v>
      </c>
      <c r="F146" s="17" t="s">
        <v>3488</v>
      </c>
      <c r="G146" s="17" t="s">
        <v>151</v>
      </c>
      <c r="H146" s="17" t="s">
        <v>151</v>
      </c>
      <c r="I146" s="17" t="s">
        <v>3489</v>
      </c>
      <c r="J146" s="17" t="s">
        <v>3486</v>
      </c>
      <c r="K146" s="17" t="s">
        <v>3490</v>
      </c>
      <c r="L146" s="17" t="s">
        <v>205</v>
      </c>
      <c r="M146" s="17" t="s">
        <v>206</v>
      </c>
      <c r="N146" s="17" t="s">
        <v>776</v>
      </c>
      <c r="O146" s="17" t="s">
        <v>3491</v>
      </c>
      <c r="P146" s="17" t="s">
        <v>778</v>
      </c>
      <c r="Q146" s="17" t="s">
        <v>3492</v>
      </c>
      <c r="R146" s="17" t="s">
        <v>780</v>
      </c>
      <c r="S146" s="17" t="s">
        <v>162</v>
      </c>
      <c r="T146" s="24">
        <v>3.8</v>
      </c>
      <c r="U146" s="17" t="s">
        <v>163</v>
      </c>
      <c r="V146" s="17" t="s">
        <v>164</v>
      </c>
      <c r="W146" s="17" t="s">
        <v>165</v>
      </c>
      <c r="X146" s="15" t="s">
        <v>3493</v>
      </c>
      <c r="Y146" s="15" t="s">
        <v>3494</v>
      </c>
      <c r="Z146" s="27">
        <v>23</v>
      </c>
      <c r="AA146" s="17" t="s">
        <v>3495</v>
      </c>
      <c r="AB146" s="17" t="s">
        <v>151</v>
      </c>
      <c r="AC146" s="17" t="s">
        <v>151</v>
      </c>
      <c r="AD146" s="26">
        <v>2019</v>
      </c>
      <c r="AE146" s="17" t="s">
        <v>151</v>
      </c>
      <c r="AF146" s="22">
        <v>45610</v>
      </c>
      <c r="AG146" s="17" t="s">
        <v>151</v>
      </c>
      <c r="AH146" s="17" t="s">
        <v>3496</v>
      </c>
      <c r="AI146" s="25" t="s">
        <v>151</v>
      </c>
      <c r="AJ146" s="19" t="s">
        <v>151</v>
      </c>
      <c r="AK146" s="25" t="s">
        <v>151</v>
      </c>
      <c r="AL146" s="25" t="s">
        <v>151</v>
      </c>
      <c r="AM146" s="25" t="s">
        <v>151</v>
      </c>
      <c r="AN146" s="25" t="s">
        <v>151</v>
      </c>
      <c r="AO146" s="25" t="s">
        <v>151</v>
      </c>
      <c r="AP146" s="25" t="s">
        <v>151</v>
      </c>
      <c r="AQ146" s="25" t="s">
        <v>151</v>
      </c>
      <c r="AR146" s="16" t="s">
        <v>151</v>
      </c>
      <c r="AS146" s="17" t="s">
        <v>3497</v>
      </c>
      <c r="AT146" s="17" t="s">
        <v>3498</v>
      </c>
      <c r="AU146" s="18">
        <v>6</v>
      </c>
      <c r="AV146" s="17" t="s">
        <v>151</v>
      </c>
      <c r="AW146" s="17" t="s">
        <v>151</v>
      </c>
      <c r="AX146" s="17" t="s">
        <v>151</v>
      </c>
      <c r="AY146" s="17" t="s">
        <v>3499</v>
      </c>
      <c r="AZ146" s="17" t="s">
        <v>151</v>
      </c>
      <c r="BA146" s="17" t="s">
        <v>151</v>
      </c>
      <c r="BB146" s="17" t="s">
        <v>151</v>
      </c>
      <c r="BC146" s="17" t="s">
        <v>151</v>
      </c>
      <c r="BD146" s="17" t="s">
        <v>3500</v>
      </c>
      <c r="BE146" s="17" t="s">
        <v>3501</v>
      </c>
      <c r="BF146" s="17" t="s">
        <v>3502</v>
      </c>
      <c r="BG146" s="17" t="s">
        <v>3503</v>
      </c>
      <c r="BH146" s="17" t="s">
        <v>3504</v>
      </c>
      <c r="BI146" s="17" t="s">
        <v>1144</v>
      </c>
      <c r="BJ146" s="17" t="s">
        <v>3505</v>
      </c>
      <c r="BK146" s="17" t="s">
        <v>3506</v>
      </c>
      <c r="BL146" s="17" t="s">
        <v>1145</v>
      </c>
      <c r="BM146" s="17" t="s">
        <v>184</v>
      </c>
      <c r="BN146" s="16" t="s">
        <v>3507</v>
      </c>
      <c r="BO146" s="17" t="s">
        <v>186</v>
      </c>
      <c r="BP146" s="16" t="s">
        <v>3504</v>
      </c>
      <c r="BQ146" s="16" t="s">
        <v>151</v>
      </c>
      <c r="BR146" s="17" t="s">
        <v>3508</v>
      </c>
      <c r="BS146" s="17" t="s">
        <v>187</v>
      </c>
      <c r="BT146" s="17" t="s">
        <v>188</v>
      </c>
      <c r="BU146" s="22">
        <v>44673</v>
      </c>
      <c r="BV146" s="24">
        <v>3.8</v>
      </c>
      <c r="BW146" s="17" t="s">
        <v>192</v>
      </c>
      <c r="BX146" s="24" t="s">
        <v>151</v>
      </c>
      <c r="BY146" s="17" t="s">
        <v>151</v>
      </c>
      <c r="BZ146" s="17" t="s">
        <v>293</v>
      </c>
      <c r="CA146" s="17" t="s">
        <v>293</v>
      </c>
      <c r="CB146" s="17" t="s">
        <v>151</v>
      </c>
      <c r="CC146" s="17" t="s">
        <v>165</v>
      </c>
      <c r="CD146" s="17" t="s">
        <v>3509</v>
      </c>
      <c r="CE146" s="17" t="s">
        <v>191</v>
      </c>
      <c r="CF146" s="22">
        <v>44673</v>
      </c>
      <c r="CG146" s="24">
        <v>3.8</v>
      </c>
      <c r="CH146" s="17" t="s">
        <v>192</v>
      </c>
      <c r="CI146" s="24" t="s">
        <v>151</v>
      </c>
      <c r="CJ146" s="17" t="s">
        <v>151</v>
      </c>
      <c r="CK146" s="16" t="s">
        <v>151</v>
      </c>
      <c r="CL146" s="17" t="s">
        <v>293</v>
      </c>
      <c r="CM146" s="17" t="s">
        <v>293</v>
      </c>
      <c r="CN146" s="17" t="s">
        <v>151</v>
      </c>
      <c r="CO146" s="17" t="s">
        <v>165</v>
      </c>
      <c r="CP146" s="22">
        <v>44673</v>
      </c>
      <c r="CQ146" s="24">
        <v>3.8</v>
      </c>
      <c r="CR146" s="17" t="s">
        <v>3509</v>
      </c>
      <c r="CS146" s="17" t="s">
        <v>191</v>
      </c>
      <c r="CT146" s="16" t="s">
        <v>151</v>
      </c>
      <c r="CU146" s="17" t="s">
        <v>151</v>
      </c>
      <c r="CV146" s="19" t="s">
        <v>151</v>
      </c>
      <c r="CW146" s="19" t="s">
        <v>151</v>
      </c>
      <c r="CX146" s="17" t="s">
        <v>151</v>
      </c>
      <c r="CY146" s="19" t="s">
        <v>151</v>
      </c>
      <c r="CZ146" s="19" t="s">
        <v>151</v>
      </c>
      <c r="DA146" s="24" t="s">
        <v>151</v>
      </c>
      <c r="DB146" s="22" t="s">
        <v>151</v>
      </c>
      <c r="DC146" s="17" t="s">
        <v>151</v>
      </c>
      <c r="DD146" s="16" t="s">
        <v>151</v>
      </c>
      <c r="DE146" s="19">
        <v>0.1</v>
      </c>
      <c r="DF146" s="21">
        <v>90</v>
      </c>
      <c r="DG146" s="19">
        <v>0</v>
      </c>
      <c r="DH146" s="19">
        <v>0</v>
      </c>
      <c r="DI146" s="19">
        <v>0.2</v>
      </c>
      <c r="DJ146" s="21">
        <v>93</v>
      </c>
      <c r="DK146" s="19" t="s">
        <v>151</v>
      </c>
      <c r="DL146" s="21" t="s">
        <v>151</v>
      </c>
      <c r="DM146" s="19">
        <v>0.2</v>
      </c>
      <c r="DN146" s="21">
        <v>93</v>
      </c>
      <c r="DO146" s="23">
        <v>42.18</v>
      </c>
      <c r="DP146" s="21">
        <v>98</v>
      </c>
      <c r="DQ146" s="23">
        <v>0</v>
      </c>
      <c r="DR146" s="19">
        <v>0</v>
      </c>
      <c r="DS146" s="23">
        <v>82.74</v>
      </c>
      <c r="DT146" s="21">
        <v>99</v>
      </c>
      <c r="DU146" s="23" t="s">
        <v>151</v>
      </c>
      <c r="DV146" s="21" t="s">
        <v>151</v>
      </c>
      <c r="DW146" s="23">
        <v>82.74</v>
      </c>
      <c r="DX146" s="21">
        <v>99</v>
      </c>
      <c r="DY146" s="18" t="s">
        <v>151</v>
      </c>
      <c r="DZ146" s="22" t="s">
        <v>151</v>
      </c>
      <c r="EA146" s="22" t="s">
        <v>151</v>
      </c>
      <c r="EB146" s="21">
        <v>83873</v>
      </c>
      <c r="EC146" s="20">
        <v>1933</v>
      </c>
      <c r="ED146" s="19">
        <v>2.36</v>
      </c>
      <c r="EE146" s="21">
        <v>1572</v>
      </c>
      <c r="EF146" s="20">
        <v>3</v>
      </c>
      <c r="EG146" s="19">
        <v>0.19</v>
      </c>
      <c r="EH146" s="16" t="s">
        <v>198</v>
      </c>
      <c r="EI146" s="17" t="s">
        <v>151</v>
      </c>
      <c r="EJ146" s="17" t="s">
        <v>151</v>
      </c>
      <c r="EK146" s="18">
        <v>1</v>
      </c>
      <c r="EL146" s="18" t="s">
        <v>151</v>
      </c>
      <c r="EM146" s="18">
        <v>1</v>
      </c>
      <c r="EN146" s="18" t="s">
        <v>151</v>
      </c>
      <c r="EO146" s="18" t="s">
        <v>151</v>
      </c>
      <c r="EP146" s="17" t="s">
        <v>3510</v>
      </c>
      <c r="EQ146" s="16" t="s">
        <v>151</v>
      </c>
      <c r="ER146" s="16" t="s">
        <v>151</v>
      </c>
      <c r="ES146" s="3">
        <f>HYPERLINK("https://my.pitchbook.com?c=492956-02","View Company Online")</f>
      </c>
    </row>
    <row r="147">
      <c r="A147" s="30" t="s">
        <v>3511</v>
      </c>
      <c r="B147" s="30" t="s">
        <v>3512</v>
      </c>
      <c r="C147" s="31">
        <v>1</v>
      </c>
      <c r="D147" s="30" t="s">
        <v>151</v>
      </c>
      <c r="E147" s="30" t="s">
        <v>151</v>
      </c>
      <c r="F147" s="30" t="s">
        <v>3513</v>
      </c>
      <c r="G147" s="30" t="s">
        <v>151</v>
      </c>
      <c r="H147" s="30" t="s">
        <v>151</v>
      </c>
      <c r="I147" s="30" t="s">
        <v>3514</v>
      </c>
      <c r="J147" s="30" t="s">
        <v>3511</v>
      </c>
      <c r="K147" s="30" t="s">
        <v>3515</v>
      </c>
      <c r="L147" s="30" t="s">
        <v>205</v>
      </c>
      <c r="M147" s="30" t="s">
        <v>206</v>
      </c>
      <c r="N147" s="30" t="s">
        <v>269</v>
      </c>
      <c r="O147" s="30" t="s">
        <v>3516</v>
      </c>
      <c r="P147" s="30" t="s">
        <v>3517</v>
      </c>
      <c r="Q147" s="30" t="s">
        <v>3518</v>
      </c>
      <c r="R147" s="30" t="s">
        <v>151</v>
      </c>
      <c r="S147" s="30" t="s">
        <v>162</v>
      </c>
      <c r="T147" s="37">
        <v>60.77</v>
      </c>
      <c r="U147" s="30" t="s">
        <v>163</v>
      </c>
      <c r="V147" s="30" t="s">
        <v>164</v>
      </c>
      <c r="W147" s="30" t="s">
        <v>165</v>
      </c>
      <c r="X147" s="28" t="s">
        <v>3519</v>
      </c>
      <c r="Y147" s="28" t="s">
        <v>3520</v>
      </c>
      <c r="Z147" s="40">
        <v>97</v>
      </c>
      <c r="AA147" s="30" t="s">
        <v>3521</v>
      </c>
      <c r="AB147" s="30" t="s">
        <v>151</v>
      </c>
      <c r="AC147" s="30" t="s">
        <v>151</v>
      </c>
      <c r="AD147" s="39">
        <v>2018</v>
      </c>
      <c r="AE147" s="30" t="s">
        <v>151</v>
      </c>
      <c r="AF147" s="35">
        <v>45588</v>
      </c>
      <c r="AG147" s="30" t="s">
        <v>151</v>
      </c>
      <c r="AH147" s="30" t="s">
        <v>151</v>
      </c>
      <c r="AI147" s="38">
        <v>3.5</v>
      </c>
      <c r="AJ147" s="32">
        <v>536.36</v>
      </c>
      <c r="AK147" s="38" t="s">
        <v>151</v>
      </c>
      <c r="AL147" s="38" t="s">
        <v>151</v>
      </c>
      <c r="AM147" s="38" t="s">
        <v>151</v>
      </c>
      <c r="AN147" s="38" t="s">
        <v>151</v>
      </c>
      <c r="AO147" s="38" t="s">
        <v>151</v>
      </c>
      <c r="AP147" s="38" t="s">
        <v>151</v>
      </c>
      <c r="AQ147" s="38" t="s">
        <v>151</v>
      </c>
      <c r="AR147" s="29" t="s">
        <v>810</v>
      </c>
      <c r="AS147" s="30" t="s">
        <v>3522</v>
      </c>
      <c r="AT147" s="30" t="s">
        <v>3523</v>
      </c>
      <c r="AU147" s="31">
        <v>15</v>
      </c>
      <c r="AV147" s="30" t="s">
        <v>151</v>
      </c>
      <c r="AW147" s="30" t="s">
        <v>151</v>
      </c>
      <c r="AX147" s="30" t="s">
        <v>151</v>
      </c>
      <c r="AY147" s="30" t="s">
        <v>3524</v>
      </c>
      <c r="AZ147" s="30" t="s">
        <v>151</v>
      </c>
      <c r="BA147" s="30" t="s">
        <v>151</v>
      </c>
      <c r="BB147" s="30" t="s">
        <v>151</v>
      </c>
      <c r="BC147" s="30" t="s">
        <v>343</v>
      </c>
      <c r="BD147" s="30" t="s">
        <v>3525</v>
      </c>
      <c r="BE147" s="30" t="s">
        <v>3526</v>
      </c>
      <c r="BF147" s="30" t="s">
        <v>3527</v>
      </c>
      <c r="BG147" s="30" t="s">
        <v>3528</v>
      </c>
      <c r="BH147" s="30" t="s">
        <v>3529</v>
      </c>
      <c r="BI147" s="30" t="s">
        <v>2265</v>
      </c>
      <c r="BJ147" s="30" t="s">
        <v>3530</v>
      </c>
      <c r="BK147" s="30" t="s">
        <v>3531</v>
      </c>
      <c r="BL147" s="30" t="s">
        <v>2267</v>
      </c>
      <c r="BM147" s="30" t="s">
        <v>855</v>
      </c>
      <c r="BN147" s="29" t="s">
        <v>3532</v>
      </c>
      <c r="BO147" s="30" t="s">
        <v>186</v>
      </c>
      <c r="BP147" s="29" t="s">
        <v>3529</v>
      </c>
      <c r="BQ147" s="29" t="s">
        <v>151</v>
      </c>
      <c r="BR147" s="30" t="s">
        <v>3533</v>
      </c>
      <c r="BS147" s="30" t="s">
        <v>187</v>
      </c>
      <c r="BT147" s="30" t="s">
        <v>188</v>
      </c>
      <c r="BU147" s="35">
        <v>43964</v>
      </c>
      <c r="BV147" s="37">
        <v>3.05</v>
      </c>
      <c r="BW147" s="30" t="s">
        <v>192</v>
      </c>
      <c r="BX147" s="37">
        <v>8.54</v>
      </c>
      <c r="BY147" s="30" t="s">
        <v>192</v>
      </c>
      <c r="BZ147" s="30" t="s">
        <v>293</v>
      </c>
      <c r="CA147" s="30" t="s">
        <v>293</v>
      </c>
      <c r="CB147" s="30" t="s">
        <v>151</v>
      </c>
      <c r="CC147" s="30" t="s">
        <v>165</v>
      </c>
      <c r="CD147" s="30" t="s">
        <v>3534</v>
      </c>
      <c r="CE147" s="30" t="s">
        <v>191</v>
      </c>
      <c r="CF147" s="35">
        <v>44565</v>
      </c>
      <c r="CG147" s="37">
        <v>45</v>
      </c>
      <c r="CH147" s="30" t="s">
        <v>192</v>
      </c>
      <c r="CI147" s="37">
        <v>348.93</v>
      </c>
      <c r="CJ147" s="30" t="s">
        <v>192</v>
      </c>
      <c r="CK147" s="29">
        <v>5.27</v>
      </c>
      <c r="CL147" s="30" t="s">
        <v>231</v>
      </c>
      <c r="CM147" s="30" t="s">
        <v>326</v>
      </c>
      <c r="CN147" s="30" t="s">
        <v>151</v>
      </c>
      <c r="CO147" s="30" t="s">
        <v>165</v>
      </c>
      <c r="CP147" s="35">
        <v>44565</v>
      </c>
      <c r="CQ147" s="37" t="s">
        <v>151</v>
      </c>
      <c r="CR147" s="30" t="s">
        <v>151</v>
      </c>
      <c r="CS147" s="30" t="s">
        <v>191</v>
      </c>
      <c r="CT147" s="29">
        <v>79</v>
      </c>
      <c r="CU147" s="30" t="s">
        <v>196</v>
      </c>
      <c r="CV147" s="32">
        <v>88</v>
      </c>
      <c r="CW147" s="32">
        <v>12</v>
      </c>
      <c r="CX147" s="30" t="s">
        <v>294</v>
      </c>
      <c r="CY147" s="32">
        <v>4</v>
      </c>
      <c r="CZ147" s="32">
        <v>84</v>
      </c>
      <c r="DA147" s="37">
        <v>348.93</v>
      </c>
      <c r="DB147" s="35">
        <v>44565</v>
      </c>
      <c r="DC147" s="30" t="s">
        <v>231</v>
      </c>
      <c r="DD147" s="29">
        <v>5.27</v>
      </c>
      <c r="DE147" s="32">
        <v>0.53</v>
      </c>
      <c r="DF147" s="34">
        <v>94</v>
      </c>
      <c r="DG147" s="32">
        <v>0</v>
      </c>
      <c r="DH147" s="32">
        <v>0</v>
      </c>
      <c r="DI147" s="32">
        <v>1.18</v>
      </c>
      <c r="DJ147" s="34">
        <v>97</v>
      </c>
      <c r="DK147" s="32" t="s">
        <v>151</v>
      </c>
      <c r="DL147" s="34" t="s">
        <v>151</v>
      </c>
      <c r="DM147" s="32">
        <v>1.18</v>
      </c>
      <c r="DN147" s="34">
        <v>97</v>
      </c>
      <c r="DO147" s="36">
        <v>23.36</v>
      </c>
      <c r="DP147" s="34">
        <v>96</v>
      </c>
      <c r="DQ147" s="36">
        <v>0</v>
      </c>
      <c r="DR147" s="32">
        <v>0</v>
      </c>
      <c r="DS147" s="36">
        <v>39.26</v>
      </c>
      <c r="DT147" s="34">
        <v>98</v>
      </c>
      <c r="DU147" s="36" t="s">
        <v>151</v>
      </c>
      <c r="DV147" s="34" t="s">
        <v>151</v>
      </c>
      <c r="DW147" s="36">
        <v>39.26</v>
      </c>
      <c r="DX147" s="34">
        <v>98</v>
      </c>
      <c r="DY147" s="31" t="s">
        <v>151</v>
      </c>
      <c r="DZ147" s="35" t="s">
        <v>151</v>
      </c>
      <c r="EA147" s="35" t="s">
        <v>151</v>
      </c>
      <c r="EB147" s="34">
        <v>4302</v>
      </c>
      <c r="EC147" s="33">
        <v>-58</v>
      </c>
      <c r="ED147" s="32">
        <v>-1.33</v>
      </c>
      <c r="EE147" s="34">
        <v>746</v>
      </c>
      <c r="EF147" s="33">
        <v>5</v>
      </c>
      <c r="EG147" s="32">
        <v>0.67</v>
      </c>
      <c r="EH147" s="29" t="s">
        <v>198</v>
      </c>
      <c r="EI147" s="30" t="s">
        <v>151</v>
      </c>
      <c r="EJ147" s="30" t="s">
        <v>151</v>
      </c>
      <c r="EK147" s="31">
        <v>1</v>
      </c>
      <c r="EL147" s="31" t="s">
        <v>151</v>
      </c>
      <c r="EM147" s="31">
        <v>1</v>
      </c>
      <c r="EN147" s="31" t="s">
        <v>151</v>
      </c>
      <c r="EO147" s="31" t="s">
        <v>151</v>
      </c>
      <c r="EP147" s="30" t="s">
        <v>295</v>
      </c>
      <c r="EQ147" s="29" t="s">
        <v>151</v>
      </c>
      <c r="ER147" s="29" t="s">
        <v>151</v>
      </c>
      <c r="ES147" s="4">
        <f>HYPERLINK("https://my.pitchbook.com?c=325344-07","View Company Online")</f>
      </c>
    </row>
    <row r="148">
      <c r="A148" s="17" t="s">
        <v>3535</v>
      </c>
      <c r="B148" s="17" t="s">
        <v>3536</v>
      </c>
      <c r="C148" s="18">
        <v>1</v>
      </c>
      <c r="D148" s="17" t="s">
        <v>151</v>
      </c>
      <c r="E148" s="17" t="s">
        <v>151</v>
      </c>
      <c r="F148" s="17" t="s">
        <v>3537</v>
      </c>
      <c r="G148" s="17" t="s">
        <v>151</v>
      </c>
      <c r="H148" s="17" t="s">
        <v>151</v>
      </c>
      <c r="I148" s="17" t="s">
        <v>151</v>
      </c>
      <c r="J148" s="17" t="s">
        <v>3535</v>
      </c>
      <c r="K148" s="17" t="s">
        <v>3538</v>
      </c>
      <c r="L148" s="17" t="s">
        <v>616</v>
      </c>
      <c r="M148" s="17" t="s">
        <v>834</v>
      </c>
      <c r="N148" s="17" t="s">
        <v>835</v>
      </c>
      <c r="O148" s="17" t="s">
        <v>3539</v>
      </c>
      <c r="P148" s="17" t="s">
        <v>2898</v>
      </c>
      <c r="Q148" s="17" t="s">
        <v>3540</v>
      </c>
      <c r="R148" s="17" t="s">
        <v>151</v>
      </c>
      <c r="S148" s="17" t="s">
        <v>162</v>
      </c>
      <c r="T148" s="24">
        <v>2.5</v>
      </c>
      <c r="U148" s="17" t="s">
        <v>163</v>
      </c>
      <c r="V148" s="17" t="s">
        <v>164</v>
      </c>
      <c r="W148" s="17" t="s">
        <v>165</v>
      </c>
      <c r="X148" s="15" t="s">
        <v>3541</v>
      </c>
      <c r="Y148" s="15" t="s">
        <v>3542</v>
      </c>
      <c r="Z148" s="27" t="s">
        <v>151</v>
      </c>
      <c r="AA148" s="17" t="s">
        <v>151</v>
      </c>
      <c r="AB148" s="17" t="s">
        <v>151</v>
      </c>
      <c r="AC148" s="17" t="s">
        <v>151</v>
      </c>
      <c r="AD148" s="26">
        <v>2016</v>
      </c>
      <c r="AE148" s="17" t="s">
        <v>151</v>
      </c>
      <c r="AF148" s="22">
        <v>45496</v>
      </c>
      <c r="AG148" s="17" t="s">
        <v>151</v>
      </c>
      <c r="AH148" s="17" t="s">
        <v>151</v>
      </c>
      <c r="AI148" s="25" t="s">
        <v>151</v>
      </c>
      <c r="AJ148" s="19" t="s">
        <v>151</v>
      </c>
      <c r="AK148" s="25" t="s">
        <v>151</v>
      </c>
      <c r="AL148" s="25" t="s">
        <v>151</v>
      </c>
      <c r="AM148" s="25" t="s">
        <v>151</v>
      </c>
      <c r="AN148" s="25" t="s">
        <v>151</v>
      </c>
      <c r="AO148" s="25" t="s">
        <v>151</v>
      </c>
      <c r="AP148" s="25" t="s">
        <v>151</v>
      </c>
      <c r="AQ148" s="25" t="s">
        <v>151</v>
      </c>
      <c r="AR148" s="16" t="s">
        <v>151</v>
      </c>
      <c r="AS148" s="17" t="s">
        <v>3543</v>
      </c>
      <c r="AT148" s="17" t="s">
        <v>3544</v>
      </c>
      <c r="AU148" s="18">
        <v>7</v>
      </c>
      <c r="AV148" s="17" t="s">
        <v>151</v>
      </c>
      <c r="AW148" s="17" t="s">
        <v>151</v>
      </c>
      <c r="AX148" s="17" t="s">
        <v>151</v>
      </c>
      <c r="AY148" s="17" t="s">
        <v>3545</v>
      </c>
      <c r="AZ148" s="17" t="s">
        <v>151</v>
      </c>
      <c r="BA148" s="17" t="s">
        <v>151</v>
      </c>
      <c r="BB148" s="17" t="s">
        <v>151</v>
      </c>
      <c r="BC148" s="17" t="s">
        <v>151</v>
      </c>
      <c r="BD148" s="17" t="s">
        <v>3546</v>
      </c>
      <c r="BE148" s="17" t="s">
        <v>3547</v>
      </c>
      <c r="BF148" s="17" t="s">
        <v>3548</v>
      </c>
      <c r="BG148" s="17" t="s">
        <v>3549</v>
      </c>
      <c r="BH148" s="17" t="s">
        <v>3550</v>
      </c>
      <c r="BI148" s="17" t="s">
        <v>934</v>
      </c>
      <c r="BJ148" s="17" t="s">
        <v>3551</v>
      </c>
      <c r="BK148" s="17" t="s">
        <v>3552</v>
      </c>
      <c r="BL148" s="17" t="s">
        <v>937</v>
      </c>
      <c r="BM148" s="17" t="s">
        <v>184</v>
      </c>
      <c r="BN148" s="16" t="s">
        <v>3553</v>
      </c>
      <c r="BO148" s="17" t="s">
        <v>186</v>
      </c>
      <c r="BP148" s="16" t="s">
        <v>3550</v>
      </c>
      <c r="BQ148" s="16" t="s">
        <v>151</v>
      </c>
      <c r="BR148" s="17" t="s">
        <v>151</v>
      </c>
      <c r="BS148" s="17" t="s">
        <v>187</v>
      </c>
      <c r="BT148" s="17" t="s">
        <v>188</v>
      </c>
      <c r="BU148" s="22">
        <v>43895</v>
      </c>
      <c r="BV148" s="24">
        <v>2.5</v>
      </c>
      <c r="BW148" s="17" t="s">
        <v>192</v>
      </c>
      <c r="BX148" s="24">
        <v>7</v>
      </c>
      <c r="BY148" s="17" t="s">
        <v>192</v>
      </c>
      <c r="BZ148" s="17" t="s">
        <v>293</v>
      </c>
      <c r="CA148" s="17" t="s">
        <v>293</v>
      </c>
      <c r="CB148" s="17" t="s">
        <v>151</v>
      </c>
      <c r="CC148" s="17" t="s">
        <v>165</v>
      </c>
      <c r="CD148" s="17" t="s">
        <v>151</v>
      </c>
      <c r="CE148" s="17" t="s">
        <v>191</v>
      </c>
      <c r="CF148" s="22">
        <v>43895</v>
      </c>
      <c r="CG148" s="24">
        <v>2.5</v>
      </c>
      <c r="CH148" s="17" t="s">
        <v>192</v>
      </c>
      <c r="CI148" s="24">
        <v>7</v>
      </c>
      <c r="CJ148" s="17" t="s">
        <v>192</v>
      </c>
      <c r="CK148" s="16" t="s">
        <v>151</v>
      </c>
      <c r="CL148" s="17" t="s">
        <v>293</v>
      </c>
      <c r="CM148" s="17" t="s">
        <v>293</v>
      </c>
      <c r="CN148" s="17" t="s">
        <v>151</v>
      </c>
      <c r="CO148" s="17" t="s">
        <v>165</v>
      </c>
      <c r="CP148" s="22">
        <v>43895</v>
      </c>
      <c r="CQ148" s="24" t="s">
        <v>151</v>
      </c>
      <c r="CR148" s="17" t="s">
        <v>151</v>
      </c>
      <c r="CS148" s="17" t="s">
        <v>191</v>
      </c>
      <c r="CT148" s="16" t="s">
        <v>151</v>
      </c>
      <c r="CU148" s="17" t="s">
        <v>151</v>
      </c>
      <c r="CV148" s="19" t="s">
        <v>151</v>
      </c>
      <c r="CW148" s="19" t="s">
        <v>151</v>
      </c>
      <c r="CX148" s="17" t="s">
        <v>151</v>
      </c>
      <c r="CY148" s="19" t="s">
        <v>151</v>
      </c>
      <c r="CZ148" s="19" t="s">
        <v>151</v>
      </c>
      <c r="DA148" s="24">
        <v>7</v>
      </c>
      <c r="DB148" s="22">
        <v>43895</v>
      </c>
      <c r="DC148" s="17" t="s">
        <v>293</v>
      </c>
      <c r="DD148" s="16" t="s">
        <v>151</v>
      </c>
      <c r="DE148" s="19" t="s">
        <v>151</v>
      </c>
      <c r="DF148" s="21" t="s">
        <v>151</v>
      </c>
      <c r="DG148" s="19" t="s">
        <v>151</v>
      </c>
      <c r="DH148" s="19" t="s">
        <v>151</v>
      </c>
      <c r="DI148" s="19" t="s">
        <v>151</v>
      </c>
      <c r="DJ148" s="21" t="s">
        <v>151</v>
      </c>
      <c r="DK148" s="19" t="s">
        <v>151</v>
      </c>
      <c r="DL148" s="21" t="s">
        <v>151</v>
      </c>
      <c r="DM148" s="19" t="s">
        <v>151</v>
      </c>
      <c r="DN148" s="21" t="s">
        <v>151</v>
      </c>
      <c r="DO148" s="23" t="s">
        <v>151</v>
      </c>
      <c r="DP148" s="21" t="s">
        <v>151</v>
      </c>
      <c r="DQ148" s="23" t="s">
        <v>151</v>
      </c>
      <c r="DR148" s="19" t="s">
        <v>151</v>
      </c>
      <c r="DS148" s="23" t="s">
        <v>151</v>
      </c>
      <c r="DT148" s="21" t="s">
        <v>151</v>
      </c>
      <c r="DU148" s="23" t="s">
        <v>151</v>
      </c>
      <c r="DV148" s="21" t="s">
        <v>151</v>
      </c>
      <c r="DW148" s="23" t="s">
        <v>151</v>
      </c>
      <c r="DX148" s="21" t="s">
        <v>151</v>
      </c>
      <c r="DY148" s="18" t="s">
        <v>151</v>
      </c>
      <c r="DZ148" s="22" t="s">
        <v>151</v>
      </c>
      <c r="EA148" s="22" t="s">
        <v>151</v>
      </c>
      <c r="EB148" s="21" t="s">
        <v>151</v>
      </c>
      <c r="EC148" s="20" t="s">
        <v>151</v>
      </c>
      <c r="ED148" s="19" t="s">
        <v>151</v>
      </c>
      <c r="EE148" s="21" t="s">
        <v>151</v>
      </c>
      <c r="EF148" s="20" t="s">
        <v>151</v>
      </c>
      <c r="EG148" s="19" t="s">
        <v>151</v>
      </c>
      <c r="EH148" s="16" t="s">
        <v>198</v>
      </c>
      <c r="EI148" s="17" t="s">
        <v>151</v>
      </c>
      <c r="EJ148" s="17" t="s">
        <v>151</v>
      </c>
      <c r="EK148" s="18">
        <v>1</v>
      </c>
      <c r="EL148" s="18" t="s">
        <v>151</v>
      </c>
      <c r="EM148" s="18" t="s">
        <v>151</v>
      </c>
      <c r="EN148" s="18" t="s">
        <v>151</v>
      </c>
      <c r="EO148" s="18">
        <v>1</v>
      </c>
      <c r="EP148" s="17" t="s">
        <v>151</v>
      </c>
      <c r="EQ148" s="16" t="s">
        <v>151</v>
      </c>
      <c r="ER148" s="16" t="s">
        <v>151</v>
      </c>
      <c r="ES148" s="3">
        <f>HYPERLINK("https://my.pitchbook.com?c=235076-50","View Company Online")</f>
      </c>
    </row>
    <row r="149">
      <c r="A149" s="30" t="s">
        <v>3554</v>
      </c>
      <c r="B149" s="30" t="s">
        <v>3555</v>
      </c>
      <c r="C149" s="31">
        <v>1</v>
      </c>
      <c r="D149" s="30" t="s">
        <v>151</v>
      </c>
      <c r="E149" s="30" t="s">
        <v>151</v>
      </c>
      <c r="F149" s="30" t="s">
        <v>3556</v>
      </c>
      <c r="G149" s="30" t="s">
        <v>151</v>
      </c>
      <c r="H149" s="30" t="s">
        <v>151</v>
      </c>
      <c r="I149" s="30" t="s">
        <v>151</v>
      </c>
      <c r="J149" s="30" t="s">
        <v>3554</v>
      </c>
      <c r="K149" s="30" t="s">
        <v>3557</v>
      </c>
      <c r="L149" s="30" t="s">
        <v>205</v>
      </c>
      <c r="M149" s="30" t="s">
        <v>206</v>
      </c>
      <c r="N149" s="30" t="s">
        <v>269</v>
      </c>
      <c r="O149" s="30" t="s">
        <v>3558</v>
      </c>
      <c r="P149" s="30" t="s">
        <v>2618</v>
      </c>
      <c r="Q149" s="30" t="s">
        <v>3559</v>
      </c>
      <c r="R149" s="30" t="s">
        <v>151</v>
      </c>
      <c r="S149" s="30" t="s">
        <v>162</v>
      </c>
      <c r="T149" s="37">
        <v>3.1</v>
      </c>
      <c r="U149" s="30" t="s">
        <v>1727</v>
      </c>
      <c r="V149" s="30" t="s">
        <v>164</v>
      </c>
      <c r="W149" s="30" t="s">
        <v>165</v>
      </c>
      <c r="X149" s="28" t="s">
        <v>3560</v>
      </c>
      <c r="Y149" s="28" t="s">
        <v>3561</v>
      </c>
      <c r="Z149" s="40">
        <v>6</v>
      </c>
      <c r="AA149" s="30" t="s">
        <v>3562</v>
      </c>
      <c r="AB149" s="30" t="s">
        <v>151</v>
      </c>
      <c r="AC149" s="30" t="s">
        <v>151</v>
      </c>
      <c r="AD149" s="39">
        <v>2022</v>
      </c>
      <c r="AE149" s="30" t="s">
        <v>151</v>
      </c>
      <c r="AF149" s="35">
        <v>45589</v>
      </c>
      <c r="AG149" s="30" t="s">
        <v>151</v>
      </c>
      <c r="AH149" s="30" t="s">
        <v>151</v>
      </c>
      <c r="AI149" s="38" t="s">
        <v>151</v>
      </c>
      <c r="AJ149" s="32" t="s">
        <v>151</v>
      </c>
      <c r="AK149" s="38" t="s">
        <v>151</v>
      </c>
      <c r="AL149" s="38" t="s">
        <v>151</v>
      </c>
      <c r="AM149" s="38" t="s">
        <v>151</v>
      </c>
      <c r="AN149" s="38" t="s">
        <v>151</v>
      </c>
      <c r="AO149" s="38" t="s">
        <v>151</v>
      </c>
      <c r="AP149" s="38" t="s">
        <v>151</v>
      </c>
      <c r="AQ149" s="38" t="s">
        <v>151</v>
      </c>
      <c r="AR149" s="29" t="s">
        <v>151</v>
      </c>
      <c r="AS149" s="30" t="s">
        <v>3563</v>
      </c>
      <c r="AT149" s="30" t="s">
        <v>3564</v>
      </c>
      <c r="AU149" s="31">
        <v>5</v>
      </c>
      <c r="AV149" s="30" t="s">
        <v>151</v>
      </c>
      <c r="AW149" s="30" t="s">
        <v>151</v>
      </c>
      <c r="AX149" s="30" t="s">
        <v>151</v>
      </c>
      <c r="AY149" s="30" t="s">
        <v>3565</v>
      </c>
      <c r="AZ149" s="30" t="s">
        <v>151</v>
      </c>
      <c r="BA149" s="30" t="s">
        <v>151</v>
      </c>
      <c r="BB149" s="30" t="s">
        <v>151</v>
      </c>
      <c r="BC149" s="30" t="s">
        <v>151</v>
      </c>
      <c r="BD149" s="30" t="s">
        <v>3566</v>
      </c>
      <c r="BE149" s="30" t="s">
        <v>3567</v>
      </c>
      <c r="BF149" s="30" t="s">
        <v>221</v>
      </c>
      <c r="BG149" s="30" t="s">
        <v>151</v>
      </c>
      <c r="BH149" s="30" t="s">
        <v>3568</v>
      </c>
      <c r="BI149" s="30" t="s">
        <v>906</v>
      </c>
      <c r="BJ149" s="30" t="s">
        <v>3569</v>
      </c>
      <c r="BK149" s="30" t="s">
        <v>3570</v>
      </c>
      <c r="BL149" s="30" t="s">
        <v>259</v>
      </c>
      <c r="BM149" s="30" t="s">
        <v>259</v>
      </c>
      <c r="BN149" s="29" t="s">
        <v>1476</v>
      </c>
      <c r="BO149" s="30" t="s">
        <v>186</v>
      </c>
      <c r="BP149" s="29" t="s">
        <v>151</v>
      </c>
      <c r="BQ149" s="29" t="s">
        <v>151</v>
      </c>
      <c r="BR149" s="30" t="s">
        <v>3571</v>
      </c>
      <c r="BS149" s="30" t="s">
        <v>187</v>
      </c>
      <c r="BT149" s="30" t="s">
        <v>188</v>
      </c>
      <c r="BU149" s="35">
        <v>44670</v>
      </c>
      <c r="BV149" s="37">
        <v>3.1</v>
      </c>
      <c r="BW149" s="30" t="s">
        <v>192</v>
      </c>
      <c r="BX149" s="37">
        <v>10.6</v>
      </c>
      <c r="BY149" s="30" t="s">
        <v>192</v>
      </c>
      <c r="BZ149" s="30" t="s">
        <v>293</v>
      </c>
      <c r="CA149" s="30" t="s">
        <v>293</v>
      </c>
      <c r="CB149" s="30" t="s">
        <v>151</v>
      </c>
      <c r="CC149" s="30" t="s">
        <v>165</v>
      </c>
      <c r="CD149" s="30" t="s">
        <v>151</v>
      </c>
      <c r="CE149" s="30" t="s">
        <v>191</v>
      </c>
      <c r="CF149" s="35">
        <v>45363</v>
      </c>
      <c r="CG149" s="37" t="s">
        <v>151</v>
      </c>
      <c r="CH149" s="30" t="s">
        <v>151</v>
      </c>
      <c r="CI149" s="37" t="s">
        <v>151</v>
      </c>
      <c r="CJ149" s="30" t="s">
        <v>151</v>
      </c>
      <c r="CK149" s="29" t="s">
        <v>151</v>
      </c>
      <c r="CL149" s="30" t="s">
        <v>189</v>
      </c>
      <c r="CM149" s="30" t="s">
        <v>151</v>
      </c>
      <c r="CN149" s="30" t="s">
        <v>151</v>
      </c>
      <c r="CO149" s="30" t="s">
        <v>190</v>
      </c>
      <c r="CP149" s="35">
        <v>45363</v>
      </c>
      <c r="CQ149" s="37" t="s">
        <v>151</v>
      </c>
      <c r="CR149" s="30" t="s">
        <v>151</v>
      </c>
      <c r="CS149" s="30" t="s">
        <v>191</v>
      </c>
      <c r="CT149" s="29" t="s">
        <v>151</v>
      </c>
      <c r="CU149" s="30" t="s">
        <v>151</v>
      </c>
      <c r="CV149" s="32" t="s">
        <v>151</v>
      </c>
      <c r="CW149" s="32" t="s">
        <v>151</v>
      </c>
      <c r="CX149" s="30" t="s">
        <v>151</v>
      </c>
      <c r="CY149" s="32" t="s">
        <v>151</v>
      </c>
      <c r="CZ149" s="32" t="s">
        <v>151</v>
      </c>
      <c r="DA149" s="37">
        <v>10.6</v>
      </c>
      <c r="DB149" s="35">
        <v>44670</v>
      </c>
      <c r="DC149" s="30" t="s">
        <v>293</v>
      </c>
      <c r="DD149" s="29" t="s">
        <v>151</v>
      </c>
      <c r="DE149" s="32">
        <v>0</v>
      </c>
      <c r="DF149" s="34">
        <v>11</v>
      </c>
      <c r="DG149" s="32">
        <v>0</v>
      </c>
      <c r="DH149" s="32">
        <v>0</v>
      </c>
      <c r="DI149" s="32">
        <v>0</v>
      </c>
      <c r="DJ149" s="34">
        <v>10</v>
      </c>
      <c r="DK149" s="32" t="s">
        <v>151</v>
      </c>
      <c r="DL149" s="34" t="s">
        <v>151</v>
      </c>
      <c r="DM149" s="32">
        <v>0</v>
      </c>
      <c r="DN149" s="34">
        <v>10</v>
      </c>
      <c r="DO149" s="36">
        <v>0.84</v>
      </c>
      <c r="DP149" s="34">
        <v>45</v>
      </c>
      <c r="DQ149" s="36">
        <v>0</v>
      </c>
      <c r="DR149" s="32">
        <v>0</v>
      </c>
      <c r="DS149" s="36">
        <v>0.84</v>
      </c>
      <c r="DT149" s="34">
        <v>46</v>
      </c>
      <c r="DU149" s="36" t="s">
        <v>151</v>
      </c>
      <c r="DV149" s="34" t="s">
        <v>151</v>
      </c>
      <c r="DW149" s="36">
        <v>0.84</v>
      </c>
      <c r="DX149" s="34">
        <v>45</v>
      </c>
      <c r="DY149" s="31" t="s">
        <v>151</v>
      </c>
      <c r="DZ149" s="35" t="s">
        <v>151</v>
      </c>
      <c r="EA149" s="35" t="s">
        <v>151</v>
      </c>
      <c r="EB149" s="34">
        <v>485</v>
      </c>
      <c r="EC149" s="33">
        <v>37</v>
      </c>
      <c r="ED149" s="32">
        <v>8.26</v>
      </c>
      <c r="EE149" s="34">
        <v>16</v>
      </c>
      <c r="EF149" s="33">
        <v>1</v>
      </c>
      <c r="EG149" s="32">
        <v>6.67</v>
      </c>
      <c r="EH149" s="29" t="s">
        <v>198</v>
      </c>
      <c r="EI149" s="30" t="s">
        <v>151</v>
      </c>
      <c r="EJ149" s="30" t="s">
        <v>151</v>
      </c>
      <c r="EK149" s="31">
        <v>1</v>
      </c>
      <c r="EL149" s="31" t="s">
        <v>151</v>
      </c>
      <c r="EM149" s="31">
        <v>1</v>
      </c>
      <c r="EN149" s="31" t="s">
        <v>151</v>
      </c>
      <c r="EO149" s="31" t="s">
        <v>151</v>
      </c>
      <c r="EP149" s="30" t="s">
        <v>741</v>
      </c>
      <c r="EQ149" s="29" t="s">
        <v>151</v>
      </c>
      <c r="ER149" s="29" t="s">
        <v>151</v>
      </c>
      <c r="ES149" s="4">
        <f>HYPERLINK("https://my.pitchbook.com?c=503061-49","View Company Online")</f>
      </c>
    </row>
    <row r="150">
      <c r="A150" s="17" t="s">
        <v>3572</v>
      </c>
      <c r="B150" s="17" t="s">
        <v>3573</v>
      </c>
      <c r="C150" s="18">
        <v>1</v>
      </c>
      <c r="D150" s="17" t="s">
        <v>151</v>
      </c>
      <c r="E150" s="17" t="s">
        <v>151</v>
      </c>
      <c r="F150" s="17" t="s">
        <v>3574</v>
      </c>
      <c r="G150" s="17" t="s">
        <v>151</v>
      </c>
      <c r="H150" s="17" t="s">
        <v>151</v>
      </c>
      <c r="I150" s="17" t="s">
        <v>151</v>
      </c>
      <c r="J150" s="17" t="s">
        <v>3572</v>
      </c>
      <c r="K150" s="17" t="s">
        <v>3575</v>
      </c>
      <c r="L150" s="17" t="s">
        <v>205</v>
      </c>
      <c r="M150" s="17" t="s">
        <v>206</v>
      </c>
      <c r="N150" s="17" t="s">
        <v>207</v>
      </c>
      <c r="O150" s="17" t="s">
        <v>3576</v>
      </c>
      <c r="P150" s="17" t="s">
        <v>3577</v>
      </c>
      <c r="Q150" s="17" t="s">
        <v>3578</v>
      </c>
      <c r="R150" s="17" t="s">
        <v>151</v>
      </c>
      <c r="S150" s="17" t="s">
        <v>162</v>
      </c>
      <c r="T150" s="24">
        <v>3</v>
      </c>
      <c r="U150" s="17" t="s">
        <v>1727</v>
      </c>
      <c r="V150" s="17" t="s">
        <v>164</v>
      </c>
      <c r="W150" s="17" t="s">
        <v>165</v>
      </c>
      <c r="X150" s="15" t="s">
        <v>3579</v>
      </c>
      <c r="Y150" s="15" t="s">
        <v>3580</v>
      </c>
      <c r="Z150" s="27">
        <v>27</v>
      </c>
      <c r="AA150" s="17" t="s">
        <v>3581</v>
      </c>
      <c r="AB150" s="17" t="s">
        <v>151</v>
      </c>
      <c r="AC150" s="17" t="s">
        <v>151</v>
      </c>
      <c r="AD150" s="26">
        <v>2021</v>
      </c>
      <c r="AE150" s="17" t="s">
        <v>151</v>
      </c>
      <c r="AF150" s="22">
        <v>45562</v>
      </c>
      <c r="AG150" s="17" t="s">
        <v>151</v>
      </c>
      <c r="AH150" s="17" t="s">
        <v>151</v>
      </c>
      <c r="AI150" s="25" t="s">
        <v>151</v>
      </c>
      <c r="AJ150" s="19" t="s">
        <v>151</v>
      </c>
      <c r="AK150" s="25" t="s">
        <v>151</v>
      </c>
      <c r="AL150" s="25" t="s">
        <v>151</v>
      </c>
      <c r="AM150" s="25" t="s">
        <v>151</v>
      </c>
      <c r="AN150" s="25" t="s">
        <v>151</v>
      </c>
      <c r="AO150" s="25" t="s">
        <v>151</v>
      </c>
      <c r="AP150" s="25" t="s">
        <v>151</v>
      </c>
      <c r="AQ150" s="25" t="s">
        <v>151</v>
      </c>
      <c r="AR150" s="16" t="s">
        <v>151</v>
      </c>
      <c r="AS150" s="17" t="s">
        <v>3582</v>
      </c>
      <c r="AT150" s="17" t="s">
        <v>3583</v>
      </c>
      <c r="AU150" s="18">
        <v>5</v>
      </c>
      <c r="AV150" s="17" t="s">
        <v>151</v>
      </c>
      <c r="AW150" s="17" t="s">
        <v>151</v>
      </c>
      <c r="AX150" s="17" t="s">
        <v>151</v>
      </c>
      <c r="AY150" s="17" t="s">
        <v>3584</v>
      </c>
      <c r="AZ150" s="17" t="s">
        <v>151</v>
      </c>
      <c r="BA150" s="17" t="s">
        <v>151</v>
      </c>
      <c r="BB150" s="17" t="s">
        <v>151</v>
      </c>
      <c r="BC150" s="17" t="s">
        <v>343</v>
      </c>
      <c r="BD150" s="17" t="s">
        <v>3585</v>
      </c>
      <c r="BE150" s="17" t="s">
        <v>3586</v>
      </c>
      <c r="BF150" s="17" t="s">
        <v>221</v>
      </c>
      <c r="BG150" s="17" t="s">
        <v>3587</v>
      </c>
      <c r="BH150" s="17" t="s">
        <v>151</v>
      </c>
      <c r="BI150" s="17" t="s">
        <v>906</v>
      </c>
      <c r="BJ150" s="17" t="s">
        <v>3588</v>
      </c>
      <c r="BK150" s="17" t="s">
        <v>3589</v>
      </c>
      <c r="BL150" s="17" t="s">
        <v>259</v>
      </c>
      <c r="BM150" s="17" t="s">
        <v>259</v>
      </c>
      <c r="BN150" s="16" t="s">
        <v>3590</v>
      </c>
      <c r="BO150" s="17" t="s">
        <v>186</v>
      </c>
      <c r="BP150" s="16" t="s">
        <v>151</v>
      </c>
      <c r="BQ150" s="16" t="s">
        <v>151</v>
      </c>
      <c r="BR150" s="17" t="s">
        <v>3591</v>
      </c>
      <c r="BS150" s="17" t="s">
        <v>187</v>
      </c>
      <c r="BT150" s="17" t="s">
        <v>188</v>
      </c>
      <c r="BU150" s="22">
        <v>44609</v>
      </c>
      <c r="BV150" s="24">
        <v>3</v>
      </c>
      <c r="BW150" s="17" t="s">
        <v>192</v>
      </c>
      <c r="BX150" s="24">
        <v>14</v>
      </c>
      <c r="BY150" s="17" t="s">
        <v>192</v>
      </c>
      <c r="BZ150" s="17" t="s">
        <v>293</v>
      </c>
      <c r="CA150" s="17" t="s">
        <v>293</v>
      </c>
      <c r="CB150" s="17" t="s">
        <v>151</v>
      </c>
      <c r="CC150" s="17" t="s">
        <v>165</v>
      </c>
      <c r="CD150" s="17" t="s">
        <v>151</v>
      </c>
      <c r="CE150" s="17" t="s">
        <v>191</v>
      </c>
      <c r="CF150" s="22">
        <v>45261</v>
      </c>
      <c r="CG150" s="24" t="s">
        <v>151</v>
      </c>
      <c r="CH150" s="17" t="s">
        <v>151</v>
      </c>
      <c r="CI150" s="24" t="s">
        <v>151</v>
      </c>
      <c r="CJ150" s="17" t="s">
        <v>151</v>
      </c>
      <c r="CK150" s="16" t="s">
        <v>151</v>
      </c>
      <c r="CL150" s="17" t="s">
        <v>231</v>
      </c>
      <c r="CM150" s="17" t="s">
        <v>151</v>
      </c>
      <c r="CN150" s="17" t="s">
        <v>151</v>
      </c>
      <c r="CO150" s="17" t="s">
        <v>165</v>
      </c>
      <c r="CP150" s="22">
        <v>45261</v>
      </c>
      <c r="CQ150" s="24" t="s">
        <v>151</v>
      </c>
      <c r="CR150" s="17" t="s">
        <v>151</v>
      </c>
      <c r="CS150" s="17" t="s">
        <v>191</v>
      </c>
      <c r="CT150" s="16">
        <v>67</v>
      </c>
      <c r="CU150" s="17" t="s">
        <v>196</v>
      </c>
      <c r="CV150" s="19">
        <v>63</v>
      </c>
      <c r="CW150" s="19">
        <v>37</v>
      </c>
      <c r="CX150" s="17" t="s">
        <v>294</v>
      </c>
      <c r="CY150" s="19">
        <v>1</v>
      </c>
      <c r="CZ150" s="19">
        <v>62</v>
      </c>
      <c r="DA150" s="24">
        <v>14</v>
      </c>
      <c r="DB150" s="22">
        <v>44609</v>
      </c>
      <c r="DC150" s="17" t="s">
        <v>293</v>
      </c>
      <c r="DD150" s="16" t="s">
        <v>151</v>
      </c>
      <c r="DE150" s="19">
        <v>0.42</v>
      </c>
      <c r="DF150" s="21">
        <v>93</v>
      </c>
      <c r="DG150" s="19">
        <v>0</v>
      </c>
      <c r="DH150" s="19">
        <v>0</v>
      </c>
      <c r="DI150" s="19">
        <v>0</v>
      </c>
      <c r="DJ150" s="21">
        <v>10</v>
      </c>
      <c r="DK150" s="19" t="s">
        <v>151</v>
      </c>
      <c r="DL150" s="21" t="s">
        <v>151</v>
      </c>
      <c r="DM150" s="19">
        <v>0</v>
      </c>
      <c r="DN150" s="21">
        <v>10</v>
      </c>
      <c r="DO150" s="23">
        <v>1.82</v>
      </c>
      <c r="DP150" s="21">
        <v>64</v>
      </c>
      <c r="DQ150" s="23">
        <v>0</v>
      </c>
      <c r="DR150" s="19">
        <v>0</v>
      </c>
      <c r="DS150" s="23">
        <v>1.26</v>
      </c>
      <c r="DT150" s="21">
        <v>55</v>
      </c>
      <c r="DU150" s="23" t="s">
        <v>151</v>
      </c>
      <c r="DV150" s="21" t="s">
        <v>151</v>
      </c>
      <c r="DW150" s="23">
        <v>1.26</v>
      </c>
      <c r="DX150" s="21">
        <v>55</v>
      </c>
      <c r="DY150" s="18" t="s">
        <v>151</v>
      </c>
      <c r="DZ150" s="22" t="s">
        <v>151</v>
      </c>
      <c r="EA150" s="22" t="s">
        <v>151</v>
      </c>
      <c r="EB150" s="21">
        <v>412</v>
      </c>
      <c r="EC150" s="20">
        <v>-25</v>
      </c>
      <c r="ED150" s="19">
        <v>-5.72</v>
      </c>
      <c r="EE150" s="21">
        <v>24</v>
      </c>
      <c r="EF150" s="20">
        <v>0</v>
      </c>
      <c r="EG150" s="19">
        <v>0</v>
      </c>
      <c r="EH150" s="16" t="s">
        <v>198</v>
      </c>
      <c r="EI150" s="17" t="s">
        <v>151</v>
      </c>
      <c r="EJ150" s="17" t="s">
        <v>151</v>
      </c>
      <c r="EK150" s="18">
        <v>1</v>
      </c>
      <c r="EL150" s="18">
        <v>1</v>
      </c>
      <c r="EM150" s="18" t="s">
        <v>151</v>
      </c>
      <c r="EN150" s="18" t="s">
        <v>151</v>
      </c>
      <c r="EO150" s="18" t="s">
        <v>151</v>
      </c>
      <c r="EP150" s="17" t="s">
        <v>151</v>
      </c>
      <c r="EQ150" s="16" t="s">
        <v>151</v>
      </c>
      <c r="ER150" s="16" t="s">
        <v>151</v>
      </c>
      <c r="ES150" s="3">
        <f>HYPERLINK("https://my.pitchbook.com?c=494477-47","View Company Online")</f>
      </c>
    </row>
    <row r="151">
      <c r="A151" s="30" t="s">
        <v>3592</v>
      </c>
      <c r="B151" s="30" t="s">
        <v>3593</v>
      </c>
      <c r="C151" s="31">
        <v>1</v>
      </c>
      <c r="D151" s="30" t="s">
        <v>151</v>
      </c>
      <c r="E151" s="30" t="s">
        <v>3594</v>
      </c>
      <c r="F151" s="30" t="s">
        <v>3595</v>
      </c>
      <c r="G151" s="30" t="s">
        <v>151</v>
      </c>
      <c r="H151" s="30" t="s">
        <v>151</v>
      </c>
      <c r="I151" s="30" t="s">
        <v>151</v>
      </c>
      <c r="J151" s="30" t="s">
        <v>3592</v>
      </c>
      <c r="K151" s="30" t="s">
        <v>3596</v>
      </c>
      <c r="L151" s="30" t="s">
        <v>155</v>
      </c>
      <c r="M151" s="30" t="s">
        <v>2320</v>
      </c>
      <c r="N151" s="30" t="s">
        <v>2321</v>
      </c>
      <c r="O151" s="30" t="s">
        <v>3597</v>
      </c>
      <c r="P151" s="30" t="s">
        <v>3429</v>
      </c>
      <c r="Q151" s="30" t="s">
        <v>3598</v>
      </c>
      <c r="R151" s="30" t="s">
        <v>151</v>
      </c>
      <c r="S151" s="30" t="s">
        <v>162</v>
      </c>
      <c r="T151" s="37">
        <v>3.5</v>
      </c>
      <c r="U151" s="30" t="s">
        <v>163</v>
      </c>
      <c r="V151" s="30" t="s">
        <v>164</v>
      </c>
      <c r="W151" s="30" t="s">
        <v>165</v>
      </c>
      <c r="X151" s="28" t="s">
        <v>3599</v>
      </c>
      <c r="Y151" s="28" t="s">
        <v>3600</v>
      </c>
      <c r="Z151" s="40">
        <v>10</v>
      </c>
      <c r="AA151" s="30" t="s">
        <v>3601</v>
      </c>
      <c r="AB151" s="30" t="s">
        <v>151</v>
      </c>
      <c r="AC151" s="30" t="s">
        <v>151</v>
      </c>
      <c r="AD151" s="39">
        <v>2020</v>
      </c>
      <c r="AE151" s="30" t="s">
        <v>151</v>
      </c>
      <c r="AF151" s="35">
        <v>45273</v>
      </c>
      <c r="AG151" s="30" t="s">
        <v>151</v>
      </c>
      <c r="AH151" s="30" t="s">
        <v>151</v>
      </c>
      <c r="AI151" s="38" t="s">
        <v>151</v>
      </c>
      <c r="AJ151" s="32" t="s">
        <v>151</v>
      </c>
      <c r="AK151" s="38" t="s">
        <v>151</v>
      </c>
      <c r="AL151" s="38" t="s">
        <v>151</v>
      </c>
      <c r="AM151" s="38" t="s">
        <v>151</v>
      </c>
      <c r="AN151" s="38" t="s">
        <v>151</v>
      </c>
      <c r="AO151" s="38" t="s">
        <v>151</v>
      </c>
      <c r="AP151" s="38" t="s">
        <v>151</v>
      </c>
      <c r="AQ151" s="38" t="s">
        <v>151</v>
      </c>
      <c r="AR151" s="29" t="s">
        <v>151</v>
      </c>
      <c r="AS151" s="30" t="s">
        <v>3602</v>
      </c>
      <c r="AT151" s="30" t="s">
        <v>3603</v>
      </c>
      <c r="AU151" s="31">
        <v>6</v>
      </c>
      <c r="AV151" s="30" t="s">
        <v>151</v>
      </c>
      <c r="AW151" s="30" t="s">
        <v>151</v>
      </c>
      <c r="AX151" s="30" t="s">
        <v>151</v>
      </c>
      <c r="AY151" s="30" t="s">
        <v>3604</v>
      </c>
      <c r="AZ151" s="30" t="s">
        <v>151</v>
      </c>
      <c r="BA151" s="30" t="s">
        <v>151</v>
      </c>
      <c r="BB151" s="30" t="s">
        <v>151</v>
      </c>
      <c r="BC151" s="30" t="s">
        <v>151</v>
      </c>
      <c r="BD151" s="30" t="s">
        <v>3605</v>
      </c>
      <c r="BE151" s="30" t="s">
        <v>3606</v>
      </c>
      <c r="BF151" s="30" t="s">
        <v>403</v>
      </c>
      <c r="BG151" s="30" t="s">
        <v>3607</v>
      </c>
      <c r="BH151" s="30" t="s">
        <v>3608</v>
      </c>
      <c r="BI151" s="30" t="s">
        <v>764</v>
      </c>
      <c r="BJ151" s="30" t="s">
        <v>151</v>
      </c>
      <c r="BK151" s="30" t="s">
        <v>151</v>
      </c>
      <c r="BL151" s="30" t="s">
        <v>767</v>
      </c>
      <c r="BM151" s="30" t="s">
        <v>184</v>
      </c>
      <c r="BN151" s="29" t="s">
        <v>151</v>
      </c>
      <c r="BO151" s="30" t="s">
        <v>186</v>
      </c>
      <c r="BP151" s="29" t="s">
        <v>151</v>
      </c>
      <c r="BQ151" s="29" t="s">
        <v>151</v>
      </c>
      <c r="BR151" s="30" t="s">
        <v>3609</v>
      </c>
      <c r="BS151" s="30" t="s">
        <v>187</v>
      </c>
      <c r="BT151" s="30" t="s">
        <v>188</v>
      </c>
      <c r="BU151" s="35">
        <v>44105</v>
      </c>
      <c r="BV151" s="37">
        <v>1</v>
      </c>
      <c r="BW151" s="30" t="s">
        <v>193</v>
      </c>
      <c r="BX151" s="37">
        <v>4</v>
      </c>
      <c r="BY151" s="30" t="s">
        <v>192</v>
      </c>
      <c r="BZ151" s="30" t="s">
        <v>293</v>
      </c>
      <c r="CA151" s="30" t="s">
        <v>293</v>
      </c>
      <c r="CB151" s="30" t="s">
        <v>151</v>
      </c>
      <c r="CC151" s="30" t="s">
        <v>165</v>
      </c>
      <c r="CD151" s="30" t="s">
        <v>151</v>
      </c>
      <c r="CE151" s="30" t="s">
        <v>191</v>
      </c>
      <c r="CF151" s="35">
        <v>44835</v>
      </c>
      <c r="CG151" s="37">
        <v>2.5</v>
      </c>
      <c r="CH151" s="30" t="s">
        <v>193</v>
      </c>
      <c r="CI151" s="37">
        <v>12.5</v>
      </c>
      <c r="CJ151" s="30" t="s">
        <v>192</v>
      </c>
      <c r="CK151" s="29">
        <v>2.5</v>
      </c>
      <c r="CL151" s="30" t="s">
        <v>293</v>
      </c>
      <c r="CM151" s="30" t="s">
        <v>293</v>
      </c>
      <c r="CN151" s="30" t="s">
        <v>151</v>
      </c>
      <c r="CO151" s="30" t="s">
        <v>165</v>
      </c>
      <c r="CP151" s="35">
        <v>44835</v>
      </c>
      <c r="CQ151" s="37" t="s">
        <v>151</v>
      </c>
      <c r="CR151" s="30" t="s">
        <v>151</v>
      </c>
      <c r="CS151" s="30" t="s">
        <v>191</v>
      </c>
      <c r="CT151" s="29">
        <v>23</v>
      </c>
      <c r="CU151" s="30" t="s">
        <v>263</v>
      </c>
      <c r="CV151" s="32">
        <v>25</v>
      </c>
      <c r="CW151" s="32">
        <v>75</v>
      </c>
      <c r="CX151" s="30" t="s">
        <v>263</v>
      </c>
      <c r="CY151" s="32">
        <v>1</v>
      </c>
      <c r="CZ151" s="32">
        <v>24</v>
      </c>
      <c r="DA151" s="37">
        <v>12.5</v>
      </c>
      <c r="DB151" s="35">
        <v>44835</v>
      </c>
      <c r="DC151" s="30" t="s">
        <v>293</v>
      </c>
      <c r="DD151" s="29">
        <v>2.5</v>
      </c>
      <c r="DE151" s="32">
        <v>0</v>
      </c>
      <c r="DF151" s="34">
        <v>11</v>
      </c>
      <c r="DG151" s="32">
        <v>0</v>
      </c>
      <c r="DH151" s="32">
        <v>0</v>
      </c>
      <c r="DI151" s="32">
        <v>0</v>
      </c>
      <c r="DJ151" s="34">
        <v>10</v>
      </c>
      <c r="DK151" s="32">
        <v>0</v>
      </c>
      <c r="DL151" s="34">
        <v>11</v>
      </c>
      <c r="DM151" s="32">
        <v>0</v>
      </c>
      <c r="DN151" s="34">
        <v>10</v>
      </c>
      <c r="DO151" s="36">
        <v>1.26</v>
      </c>
      <c r="DP151" s="34">
        <v>55</v>
      </c>
      <c r="DQ151" s="36">
        <v>0</v>
      </c>
      <c r="DR151" s="32">
        <v>0</v>
      </c>
      <c r="DS151" s="36">
        <v>1.26</v>
      </c>
      <c r="DT151" s="34">
        <v>55</v>
      </c>
      <c r="DU151" s="36">
        <v>0.88</v>
      </c>
      <c r="DV151" s="34">
        <v>47</v>
      </c>
      <c r="DW151" s="36">
        <v>1.63</v>
      </c>
      <c r="DX151" s="34">
        <v>61</v>
      </c>
      <c r="DY151" s="31" t="s">
        <v>151</v>
      </c>
      <c r="DZ151" s="35" t="s">
        <v>151</v>
      </c>
      <c r="EA151" s="35" t="s">
        <v>151</v>
      </c>
      <c r="EB151" s="34">
        <v>170</v>
      </c>
      <c r="EC151" s="33">
        <v>35</v>
      </c>
      <c r="ED151" s="32">
        <v>25.93</v>
      </c>
      <c r="EE151" s="34">
        <v>31</v>
      </c>
      <c r="EF151" s="33">
        <v>0</v>
      </c>
      <c r="EG151" s="32">
        <v>0</v>
      </c>
      <c r="EH151" s="29" t="s">
        <v>198</v>
      </c>
      <c r="EI151" s="30" t="s">
        <v>151</v>
      </c>
      <c r="EJ151" s="30" t="s">
        <v>151</v>
      </c>
      <c r="EK151" s="31">
        <v>1</v>
      </c>
      <c r="EL151" s="31">
        <v>1</v>
      </c>
      <c r="EM151" s="31" t="s">
        <v>151</v>
      </c>
      <c r="EN151" s="31" t="s">
        <v>151</v>
      </c>
      <c r="EO151" s="31" t="s">
        <v>151</v>
      </c>
      <c r="EP151" s="30" t="s">
        <v>2027</v>
      </c>
      <c r="EQ151" s="29" t="s">
        <v>151</v>
      </c>
      <c r="ER151" s="29" t="s">
        <v>151</v>
      </c>
      <c r="ES151" s="4">
        <f>HYPERLINK("https://my.pitchbook.com?c=458377-93","View Company Online")</f>
      </c>
    </row>
    <row r="152">
      <c r="A152" s="17" t="s">
        <v>3610</v>
      </c>
      <c r="B152" s="17" t="s">
        <v>3611</v>
      </c>
      <c r="C152" s="18">
        <v>1</v>
      </c>
      <c r="D152" s="17" t="s">
        <v>151</v>
      </c>
      <c r="E152" s="17" t="s">
        <v>3612</v>
      </c>
      <c r="F152" s="17" t="s">
        <v>3613</v>
      </c>
      <c r="G152" s="17" t="s">
        <v>151</v>
      </c>
      <c r="H152" s="17" t="s">
        <v>151</v>
      </c>
      <c r="I152" s="17" t="s">
        <v>151</v>
      </c>
      <c r="J152" s="17" t="s">
        <v>3610</v>
      </c>
      <c r="K152" s="17" t="s">
        <v>3614</v>
      </c>
      <c r="L152" s="17" t="s">
        <v>205</v>
      </c>
      <c r="M152" s="17" t="s">
        <v>206</v>
      </c>
      <c r="N152" s="17" t="s">
        <v>269</v>
      </c>
      <c r="O152" s="17" t="s">
        <v>1819</v>
      </c>
      <c r="P152" s="17" t="s">
        <v>151</v>
      </c>
      <c r="Q152" s="17" t="s">
        <v>3615</v>
      </c>
      <c r="R152" s="17" t="s">
        <v>151</v>
      </c>
      <c r="S152" s="17" t="s">
        <v>162</v>
      </c>
      <c r="T152" s="24">
        <v>0.02</v>
      </c>
      <c r="U152" s="17" t="s">
        <v>163</v>
      </c>
      <c r="V152" s="17" t="s">
        <v>164</v>
      </c>
      <c r="W152" s="17" t="s">
        <v>165</v>
      </c>
      <c r="X152" s="15" t="s">
        <v>3616</v>
      </c>
      <c r="Y152" s="15" t="s">
        <v>3617</v>
      </c>
      <c r="Z152" s="27">
        <v>2</v>
      </c>
      <c r="AA152" s="17" t="s">
        <v>3618</v>
      </c>
      <c r="AB152" s="17" t="s">
        <v>151</v>
      </c>
      <c r="AC152" s="17" t="s">
        <v>151</v>
      </c>
      <c r="AD152" s="26">
        <v>2017</v>
      </c>
      <c r="AE152" s="17" t="s">
        <v>151</v>
      </c>
      <c r="AF152" s="22">
        <v>45548</v>
      </c>
      <c r="AG152" s="17" t="s">
        <v>151</v>
      </c>
      <c r="AH152" s="17" t="s">
        <v>151</v>
      </c>
      <c r="AI152" s="25" t="s">
        <v>151</v>
      </c>
      <c r="AJ152" s="19" t="s">
        <v>151</v>
      </c>
      <c r="AK152" s="25" t="s">
        <v>151</v>
      </c>
      <c r="AL152" s="25" t="s">
        <v>151</v>
      </c>
      <c r="AM152" s="25" t="s">
        <v>151</v>
      </c>
      <c r="AN152" s="25" t="s">
        <v>151</v>
      </c>
      <c r="AO152" s="25" t="s">
        <v>151</v>
      </c>
      <c r="AP152" s="25" t="s">
        <v>151</v>
      </c>
      <c r="AQ152" s="25" t="s">
        <v>151</v>
      </c>
      <c r="AR152" s="16" t="s">
        <v>151</v>
      </c>
      <c r="AS152" s="17" t="s">
        <v>3619</v>
      </c>
      <c r="AT152" s="17" t="s">
        <v>3620</v>
      </c>
      <c r="AU152" s="18">
        <v>1</v>
      </c>
      <c r="AV152" s="17" t="s">
        <v>151</v>
      </c>
      <c r="AW152" s="17" t="s">
        <v>151</v>
      </c>
      <c r="AX152" s="17" t="s">
        <v>151</v>
      </c>
      <c r="AY152" s="17" t="s">
        <v>3621</v>
      </c>
      <c r="AZ152" s="17" t="s">
        <v>151</v>
      </c>
      <c r="BA152" s="17" t="s">
        <v>151</v>
      </c>
      <c r="BB152" s="17" t="s">
        <v>151</v>
      </c>
      <c r="BC152" s="17" t="s">
        <v>151</v>
      </c>
      <c r="BD152" s="17" t="s">
        <v>3622</v>
      </c>
      <c r="BE152" s="17" t="s">
        <v>3623</v>
      </c>
      <c r="BF152" s="17" t="s">
        <v>3624</v>
      </c>
      <c r="BG152" s="17" t="s">
        <v>3625</v>
      </c>
      <c r="BH152" s="17" t="s">
        <v>3626</v>
      </c>
      <c r="BI152" s="17" t="s">
        <v>3627</v>
      </c>
      <c r="BJ152" s="17" t="s">
        <v>151</v>
      </c>
      <c r="BK152" s="17" t="s">
        <v>151</v>
      </c>
      <c r="BL152" s="17" t="s">
        <v>3628</v>
      </c>
      <c r="BM152" s="17" t="s">
        <v>3217</v>
      </c>
      <c r="BN152" s="16" t="s">
        <v>151</v>
      </c>
      <c r="BO152" s="17" t="s">
        <v>186</v>
      </c>
      <c r="BP152" s="16" t="s">
        <v>3626</v>
      </c>
      <c r="BQ152" s="16" t="s">
        <v>151</v>
      </c>
      <c r="BR152" s="17" t="s">
        <v>3629</v>
      </c>
      <c r="BS152" s="17" t="s">
        <v>187</v>
      </c>
      <c r="BT152" s="17" t="s">
        <v>188</v>
      </c>
      <c r="BU152" s="22">
        <v>44265</v>
      </c>
      <c r="BV152" s="24">
        <v>0.02</v>
      </c>
      <c r="BW152" s="17" t="s">
        <v>192</v>
      </c>
      <c r="BX152" s="24" t="s">
        <v>151</v>
      </c>
      <c r="BY152" s="17" t="s">
        <v>151</v>
      </c>
      <c r="BZ152" s="17" t="s">
        <v>293</v>
      </c>
      <c r="CA152" s="17" t="s">
        <v>472</v>
      </c>
      <c r="CB152" s="17" t="s">
        <v>151</v>
      </c>
      <c r="CC152" s="17" t="s">
        <v>165</v>
      </c>
      <c r="CD152" s="17" t="s">
        <v>151</v>
      </c>
      <c r="CE152" s="17" t="s">
        <v>191</v>
      </c>
      <c r="CF152" s="22">
        <v>44265</v>
      </c>
      <c r="CG152" s="24">
        <v>0.02</v>
      </c>
      <c r="CH152" s="17" t="s">
        <v>192</v>
      </c>
      <c r="CI152" s="24" t="s">
        <v>151</v>
      </c>
      <c r="CJ152" s="17" t="s">
        <v>151</v>
      </c>
      <c r="CK152" s="16" t="s">
        <v>151</v>
      </c>
      <c r="CL152" s="17" t="s">
        <v>293</v>
      </c>
      <c r="CM152" s="17" t="s">
        <v>472</v>
      </c>
      <c r="CN152" s="17" t="s">
        <v>151</v>
      </c>
      <c r="CO152" s="17" t="s">
        <v>165</v>
      </c>
      <c r="CP152" s="22">
        <v>44265</v>
      </c>
      <c r="CQ152" s="24" t="s">
        <v>151</v>
      </c>
      <c r="CR152" s="17" t="s">
        <v>151</v>
      </c>
      <c r="CS152" s="17" t="s">
        <v>191</v>
      </c>
      <c r="CT152" s="16" t="s">
        <v>151</v>
      </c>
      <c r="CU152" s="17" t="s">
        <v>151</v>
      </c>
      <c r="CV152" s="19" t="s">
        <v>151</v>
      </c>
      <c r="CW152" s="19" t="s">
        <v>151</v>
      </c>
      <c r="CX152" s="17" t="s">
        <v>151</v>
      </c>
      <c r="CY152" s="19" t="s">
        <v>151</v>
      </c>
      <c r="CZ152" s="19" t="s">
        <v>151</v>
      </c>
      <c r="DA152" s="24" t="s">
        <v>151</v>
      </c>
      <c r="DB152" s="22" t="s">
        <v>151</v>
      </c>
      <c r="DC152" s="17" t="s">
        <v>151</v>
      </c>
      <c r="DD152" s="16" t="s">
        <v>151</v>
      </c>
      <c r="DE152" s="19">
        <v>0</v>
      </c>
      <c r="DF152" s="21">
        <v>11</v>
      </c>
      <c r="DG152" s="19">
        <v>0</v>
      </c>
      <c r="DH152" s="19">
        <v>0</v>
      </c>
      <c r="DI152" s="19" t="s">
        <v>151</v>
      </c>
      <c r="DJ152" s="21" t="s">
        <v>151</v>
      </c>
      <c r="DK152" s="19" t="s">
        <v>151</v>
      </c>
      <c r="DL152" s="21" t="s">
        <v>151</v>
      </c>
      <c r="DM152" s="19" t="s">
        <v>151</v>
      </c>
      <c r="DN152" s="21" t="s">
        <v>151</v>
      </c>
      <c r="DO152" s="23">
        <v>0.15</v>
      </c>
      <c r="DP152" s="21">
        <v>9</v>
      </c>
      <c r="DQ152" s="23">
        <v>0</v>
      </c>
      <c r="DR152" s="19">
        <v>0</v>
      </c>
      <c r="DS152" s="23" t="s">
        <v>151</v>
      </c>
      <c r="DT152" s="21" t="s">
        <v>151</v>
      </c>
      <c r="DU152" s="23" t="s">
        <v>151</v>
      </c>
      <c r="DV152" s="21" t="s">
        <v>151</v>
      </c>
      <c r="DW152" s="23" t="s">
        <v>151</v>
      </c>
      <c r="DX152" s="21" t="s">
        <v>151</v>
      </c>
      <c r="DY152" s="18" t="s">
        <v>151</v>
      </c>
      <c r="DZ152" s="22" t="s">
        <v>151</v>
      </c>
      <c r="EA152" s="22" t="s">
        <v>151</v>
      </c>
      <c r="EB152" s="21">
        <v>0</v>
      </c>
      <c r="EC152" s="20">
        <v>0</v>
      </c>
      <c r="ED152" s="19">
        <v>0</v>
      </c>
      <c r="EE152" s="21" t="s">
        <v>151</v>
      </c>
      <c r="EF152" s="20" t="s">
        <v>151</v>
      </c>
      <c r="EG152" s="19" t="s">
        <v>151</v>
      </c>
      <c r="EH152" s="16" t="s">
        <v>198</v>
      </c>
      <c r="EI152" s="17" t="s">
        <v>151</v>
      </c>
      <c r="EJ152" s="17" t="s">
        <v>151</v>
      </c>
      <c r="EK152" s="18">
        <v>1</v>
      </c>
      <c r="EL152" s="18" t="s">
        <v>151</v>
      </c>
      <c r="EM152" s="18">
        <v>1</v>
      </c>
      <c r="EN152" s="18" t="s">
        <v>151</v>
      </c>
      <c r="EO152" s="18" t="s">
        <v>151</v>
      </c>
      <c r="EP152" s="17" t="s">
        <v>2216</v>
      </c>
      <c r="EQ152" s="16" t="s">
        <v>151</v>
      </c>
      <c r="ER152" s="16" t="s">
        <v>151</v>
      </c>
      <c r="ES152" s="3">
        <f>HYPERLINK("https://my.pitchbook.com?c=463961-17","View Company Online")</f>
      </c>
    </row>
    <row r="153">
      <c r="A153" s="30" t="s">
        <v>3630</v>
      </c>
      <c r="B153" s="30" t="s">
        <v>3631</v>
      </c>
      <c r="C153" s="31">
        <v>1</v>
      </c>
      <c r="D153" s="30" t="s">
        <v>151</v>
      </c>
      <c r="E153" s="30" t="s">
        <v>151</v>
      </c>
      <c r="F153" s="30" t="s">
        <v>3632</v>
      </c>
      <c r="G153" s="30" t="s">
        <v>151</v>
      </c>
      <c r="H153" s="30" t="s">
        <v>151</v>
      </c>
      <c r="I153" s="30" t="s">
        <v>151</v>
      </c>
      <c r="J153" s="30" t="s">
        <v>3630</v>
      </c>
      <c r="K153" s="30" t="s">
        <v>3633</v>
      </c>
      <c r="L153" s="30" t="s">
        <v>205</v>
      </c>
      <c r="M153" s="30" t="s">
        <v>206</v>
      </c>
      <c r="N153" s="30" t="s">
        <v>269</v>
      </c>
      <c r="O153" s="30" t="s">
        <v>563</v>
      </c>
      <c r="P153" s="30" t="s">
        <v>3634</v>
      </c>
      <c r="Q153" s="30" t="s">
        <v>3635</v>
      </c>
      <c r="R153" s="30" t="s">
        <v>151</v>
      </c>
      <c r="S153" s="30" t="s">
        <v>162</v>
      </c>
      <c r="T153" s="37">
        <v>4.13</v>
      </c>
      <c r="U153" s="30" t="s">
        <v>163</v>
      </c>
      <c r="V153" s="30" t="s">
        <v>164</v>
      </c>
      <c r="W153" s="30" t="s">
        <v>165</v>
      </c>
      <c r="X153" s="28" t="s">
        <v>3636</v>
      </c>
      <c r="Y153" s="28" t="s">
        <v>3637</v>
      </c>
      <c r="Z153" s="40">
        <v>15</v>
      </c>
      <c r="AA153" s="30" t="s">
        <v>3638</v>
      </c>
      <c r="AB153" s="30" t="s">
        <v>151</v>
      </c>
      <c r="AC153" s="30" t="s">
        <v>151</v>
      </c>
      <c r="AD153" s="39">
        <v>2016</v>
      </c>
      <c r="AE153" s="30" t="s">
        <v>151</v>
      </c>
      <c r="AF153" s="35">
        <v>45603</v>
      </c>
      <c r="AG153" s="30" t="s">
        <v>151</v>
      </c>
      <c r="AH153" s="30" t="s">
        <v>151</v>
      </c>
      <c r="AI153" s="38" t="s">
        <v>151</v>
      </c>
      <c r="AJ153" s="32" t="s">
        <v>151</v>
      </c>
      <c r="AK153" s="38" t="s">
        <v>151</v>
      </c>
      <c r="AL153" s="38" t="s">
        <v>151</v>
      </c>
      <c r="AM153" s="38" t="s">
        <v>151</v>
      </c>
      <c r="AN153" s="38" t="s">
        <v>151</v>
      </c>
      <c r="AO153" s="38" t="s">
        <v>151</v>
      </c>
      <c r="AP153" s="38" t="s">
        <v>151</v>
      </c>
      <c r="AQ153" s="38" t="s">
        <v>151</v>
      </c>
      <c r="AR153" s="29" t="s">
        <v>151</v>
      </c>
      <c r="AS153" s="30" t="s">
        <v>3639</v>
      </c>
      <c r="AT153" s="30" t="s">
        <v>3640</v>
      </c>
      <c r="AU153" s="31">
        <v>4</v>
      </c>
      <c r="AV153" s="30" t="s">
        <v>151</v>
      </c>
      <c r="AW153" s="30" t="s">
        <v>3641</v>
      </c>
      <c r="AX153" s="30" t="s">
        <v>151</v>
      </c>
      <c r="AY153" s="30" t="s">
        <v>3642</v>
      </c>
      <c r="AZ153" s="30" t="s">
        <v>3643</v>
      </c>
      <c r="BA153" s="30" t="s">
        <v>151</v>
      </c>
      <c r="BB153" s="30" t="s">
        <v>2781</v>
      </c>
      <c r="BC153" s="30" t="s">
        <v>1115</v>
      </c>
      <c r="BD153" s="30" t="s">
        <v>3644</v>
      </c>
      <c r="BE153" s="30" t="s">
        <v>3645</v>
      </c>
      <c r="BF153" s="30" t="s">
        <v>493</v>
      </c>
      <c r="BG153" s="30" t="s">
        <v>3646</v>
      </c>
      <c r="BH153" s="30" t="s">
        <v>3647</v>
      </c>
      <c r="BI153" s="30" t="s">
        <v>2720</v>
      </c>
      <c r="BJ153" s="30" t="s">
        <v>3648</v>
      </c>
      <c r="BK153" s="30" t="s">
        <v>3649</v>
      </c>
      <c r="BL153" s="30" t="s">
        <v>2722</v>
      </c>
      <c r="BM153" s="30" t="s">
        <v>184</v>
      </c>
      <c r="BN153" s="29" t="s">
        <v>3650</v>
      </c>
      <c r="BO153" s="30" t="s">
        <v>186</v>
      </c>
      <c r="BP153" s="29" t="s">
        <v>3651</v>
      </c>
      <c r="BQ153" s="29" t="s">
        <v>151</v>
      </c>
      <c r="BR153" s="30" t="s">
        <v>3652</v>
      </c>
      <c r="BS153" s="30" t="s">
        <v>187</v>
      </c>
      <c r="BT153" s="30" t="s">
        <v>188</v>
      </c>
      <c r="BU153" s="35">
        <v>44297</v>
      </c>
      <c r="BV153" s="37" t="s">
        <v>151</v>
      </c>
      <c r="BW153" s="30" t="s">
        <v>151</v>
      </c>
      <c r="BX153" s="37" t="s">
        <v>151</v>
      </c>
      <c r="BY153" s="30" t="s">
        <v>151</v>
      </c>
      <c r="BZ153" s="30" t="s">
        <v>189</v>
      </c>
      <c r="CA153" s="30" t="s">
        <v>151</v>
      </c>
      <c r="CB153" s="30" t="s">
        <v>151</v>
      </c>
      <c r="CC153" s="30" t="s">
        <v>190</v>
      </c>
      <c r="CD153" s="30" t="s">
        <v>151</v>
      </c>
      <c r="CE153" s="30" t="s">
        <v>191</v>
      </c>
      <c r="CF153" s="35">
        <v>44927</v>
      </c>
      <c r="CG153" s="37" t="s">
        <v>151</v>
      </c>
      <c r="CH153" s="30" t="s">
        <v>151</v>
      </c>
      <c r="CI153" s="37" t="s">
        <v>151</v>
      </c>
      <c r="CJ153" s="30" t="s">
        <v>151</v>
      </c>
      <c r="CK153" s="29" t="s">
        <v>151</v>
      </c>
      <c r="CL153" s="30" t="s">
        <v>231</v>
      </c>
      <c r="CM153" s="30" t="s">
        <v>151</v>
      </c>
      <c r="CN153" s="30" t="s">
        <v>151</v>
      </c>
      <c r="CO153" s="30" t="s">
        <v>165</v>
      </c>
      <c r="CP153" s="35">
        <v>44927</v>
      </c>
      <c r="CQ153" s="37" t="s">
        <v>151</v>
      </c>
      <c r="CR153" s="30" t="s">
        <v>151</v>
      </c>
      <c r="CS153" s="30" t="s">
        <v>191</v>
      </c>
      <c r="CT153" s="29">
        <v>39</v>
      </c>
      <c r="CU153" s="30" t="s">
        <v>263</v>
      </c>
      <c r="CV153" s="32">
        <v>39</v>
      </c>
      <c r="CW153" s="32">
        <v>61</v>
      </c>
      <c r="CX153" s="30" t="s">
        <v>263</v>
      </c>
      <c r="CY153" s="32">
        <v>1</v>
      </c>
      <c r="CZ153" s="32">
        <v>38</v>
      </c>
      <c r="DA153" s="37">
        <v>12.13</v>
      </c>
      <c r="DB153" s="35">
        <v>44769</v>
      </c>
      <c r="DC153" s="30" t="s">
        <v>293</v>
      </c>
      <c r="DD153" s="29" t="s">
        <v>151</v>
      </c>
      <c r="DE153" s="32">
        <v>0</v>
      </c>
      <c r="DF153" s="34">
        <v>11</v>
      </c>
      <c r="DG153" s="32">
        <v>0</v>
      </c>
      <c r="DH153" s="32">
        <v>0</v>
      </c>
      <c r="DI153" s="32">
        <v>0</v>
      </c>
      <c r="DJ153" s="34">
        <v>10</v>
      </c>
      <c r="DK153" s="32" t="s">
        <v>151</v>
      </c>
      <c r="DL153" s="34" t="s">
        <v>151</v>
      </c>
      <c r="DM153" s="32">
        <v>0</v>
      </c>
      <c r="DN153" s="34">
        <v>10</v>
      </c>
      <c r="DO153" s="36">
        <v>1.21</v>
      </c>
      <c r="DP153" s="34">
        <v>54</v>
      </c>
      <c r="DQ153" s="36">
        <v>0</v>
      </c>
      <c r="DR153" s="32">
        <v>0</v>
      </c>
      <c r="DS153" s="36">
        <v>1.26</v>
      </c>
      <c r="DT153" s="34">
        <v>55</v>
      </c>
      <c r="DU153" s="36" t="s">
        <v>151</v>
      </c>
      <c r="DV153" s="34" t="s">
        <v>151</v>
      </c>
      <c r="DW153" s="36">
        <v>1.26</v>
      </c>
      <c r="DX153" s="34">
        <v>55</v>
      </c>
      <c r="DY153" s="31" t="s">
        <v>151</v>
      </c>
      <c r="DZ153" s="35" t="s">
        <v>151</v>
      </c>
      <c r="EA153" s="35" t="s">
        <v>151</v>
      </c>
      <c r="EB153" s="34">
        <v>0</v>
      </c>
      <c r="EC153" s="33">
        <v>0</v>
      </c>
      <c r="ED153" s="32">
        <v>0</v>
      </c>
      <c r="EE153" s="34">
        <v>24</v>
      </c>
      <c r="EF153" s="33">
        <v>0</v>
      </c>
      <c r="EG153" s="32">
        <v>0</v>
      </c>
      <c r="EH153" s="29" t="s">
        <v>198</v>
      </c>
      <c r="EI153" s="30" t="s">
        <v>151</v>
      </c>
      <c r="EJ153" s="30" t="s">
        <v>151</v>
      </c>
      <c r="EK153" s="31">
        <v>1</v>
      </c>
      <c r="EL153" s="31" t="s">
        <v>151</v>
      </c>
      <c r="EM153" s="31" t="s">
        <v>151</v>
      </c>
      <c r="EN153" s="31" t="s">
        <v>151</v>
      </c>
      <c r="EO153" s="31">
        <v>1</v>
      </c>
      <c r="EP153" s="30" t="s">
        <v>151</v>
      </c>
      <c r="EQ153" s="29" t="s">
        <v>151</v>
      </c>
      <c r="ER153" s="29" t="s">
        <v>151</v>
      </c>
      <c r="ES153" s="4">
        <f>HYPERLINK("https://my.pitchbook.com?c=235069-30","View Company Online")</f>
      </c>
    </row>
    <row r="154">
      <c r="A154" s="17" t="s">
        <v>3653</v>
      </c>
      <c r="B154" s="17" t="s">
        <v>3654</v>
      </c>
      <c r="C154" s="18">
        <v>1</v>
      </c>
      <c r="D154" s="17" t="s">
        <v>151</v>
      </c>
      <c r="E154" s="17" t="s">
        <v>3655</v>
      </c>
      <c r="F154" s="17" t="s">
        <v>3656</v>
      </c>
      <c r="G154" s="17" t="s">
        <v>151</v>
      </c>
      <c r="H154" s="17" t="s">
        <v>151</v>
      </c>
      <c r="I154" s="17" t="s">
        <v>151</v>
      </c>
      <c r="J154" s="17" t="s">
        <v>3653</v>
      </c>
      <c r="K154" s="17" t="s">
        <v>3657</v>
      </c>
      <c r="L154" s="17" t="s">
        <v>205</v>
      </c>
      <c r="M154" s="17" t="s">
        <v>448</v>
      </c>
      <c r="N154" s="17" t="s">
        <v>478</v>
      </c>
      <c r="O154" s="17" t="s">
        <v>3658</v>
      </c>
      <c r="P154" s="17" t="s">
        <v>393</v>
      </c>
      <c r="Q154" s="17" t="s">
        <v>3659</v>
      </c>
      <c r="R154" s="17" t="s">
        <v>151</v>
      </c>
      <c r="S154" s="17" t="s">
        <v>162</v>
      </c>
      <c r="T154" s="24">
        <v>3.4</v>
      </c>
      <c r="U154" s="17" t="s">
        <v>163</v>
      </c>
      <c r="V154" s="17" t="s">
        <v>164</v>
      </c>
      <c r="W154" s="17" t="s">
        <v>165</v>
      </c>
      <c r="X154" s="15" t="s">
        <v>3660</v>
      </c>
      <c r="Y154" s="15" t="s">
        <v>3661</v>
      </c>
      <c r="Z154" s="27">
        <v>11</v>
      </c>
      <c r="AA154" s="17" t="s">
        <v>3662</v>
      </c>
      <c r="AB154" s="17" t="s">
        <v>151</v>
      </c>
      <c r="AC154" s="17" t="s">
        <v>151</v>
      </c>
      <c r="AD154" s="26">
        <v>2016</v>
      </c>
      <c r="AE154" s="17" t="s">
        <v>151</v>
      </c>
      <c r="AF154" s="22">
        <v>45555</v>
      </c>
      <c r="AG154" s="17" t="s">
        <v>151</v>
      </c>
      <c r="AH154" s="17" t="s">
        <v>151</v>
      </c>
      <c r="AI154" s="25" t="s">
        <v>151</v>
      </c>
      <c r="AJ154" s="19" t="s">
        <v>151</v>
      </c>
      <c r="AK154" s="25" t="s">
        <v>151</v>
      </c>
      <c r="AL154" s="25" t="s">
        <v>151</v>
      </c>
      <c r="AM154" s="25" t="s">
        <v>151</v>
      </c>
      <c r="AN154" s="25" t="s">
        <v>151</v>
      </c>
      <c r="AO154" s="25" t="s">
        <v>151</v>
      </c>
      <c r="AP154" s="25" t="s">
        <v>151</v>
      </c>
      <c r="AQ154" s="25" t="s">
        <v>151</v>
      </c>
      <c r="AR154" s="16" t="s">
        <v>151</v>
      </c>
      <c r="AS154" s="17" t="s">
        <v>3663</v>
      </c>
      <c r="AT154" s="17" t="s">
        <v>3664</v>
      </c>
      <c r="AU154" s="18">
        <v>6</v>
      </c>
      <c r="AV154" s="17" t="s">
        <v>151</v>
      </c>
      <c r="AW154" s="17" t="s">
        <v>151</v>
      </c>
      <c r="AX154" s="17" t="s">
        <v>151</v>
      </c>
      <c r="AY154" s="17" t="s">
        <v>3665</v>
      </c>
      <c r="AZ154" s="17" t="s">
        <v>151</v>
      </c>
      <c r="BA154" s="17" t="s">
        <v>151</v>
      </c>
      <c r="BB154" s="17" t="s">
        <v>151</v>
      </c>
      <c r="BC154" s="17" t="s">
        <v>151</v>
      </c>
      <c r="BD154" s="17" t="s">
        <v>3666</v>
      </c>
      <c r="BE154" s="17" t="s">
        <v>3667</v>
      </c>
      <c r="BF154" s="17" t="s">
        <v>2427</v>
      </c>
      <c r="BG154" s="17" t="s">
        <v>3668</v>
      </c>
      <c r="BH154" s="17" t="s">
        <v>3669</v>
      </c>
      <c r="BI154" s="17" t="s">
        <v>1954</v>
      </c>
      <c r="BJ154" s="17" t="s">
        <v>3670</v>
      </c>
      <c r="BK154" s="17" t="s">
        <v>151</v>
      </c>
      <c r="BL154" s="17" t="s">
        <v>1956</v>
      </c>
      <c r="BM154" s="17" t="s">
        <v>1957</v>
      </c>
      <c r="BN154" s="16" t="s">
        <v>1958</v>
      </c>
      <c r="BO154" s="17" t="s">
        <v>186</v>
      </c>
      <c r="BP154" s="16" t="s">
        <v>3669</v>
      </c>
      <c r="BQ154" s="16" t="s">
        <v>151</v>
      </c>
      <c r="BR154" s="17" t="s">
        <v>3671</v>
      </c>
      <c r="BS154" s="17" t="s">
        <v>187</v>
      </c>
      <c r="BT154" s="17" t="s">
        <v>188</v>
      </c>
      <c r="BU154" s="22">
        <v>43101</v>
      </c>
      <c r="BV154" s="24" t="s">
        <v>151</v>
      </c>
      <c r="BW154" s="17" t="s">
        <v>151</v>
      </c>
      <c r="BX154" s="24" t="s">
        <v>151</v>
      </c>
      <c r="BY154" s="17" t="s">
        <v>151</v>
      </c>
      <c r="BZ154" s="17" t="s">
        <v>189</v>
      </c>
      <c r="CA154" s="17" t="s">
        <v>151</v>
      </c>
      <c r="CB154" s="17" t="s">
        <v>151</v>
      </c>
      <c r="CC154" s="17" t="s">
        <v>190</v>
      </c>
      <c r="CD154" s="17" t="s">
        <v>151</v>
      </c>
      <c r="CE154" s="17" t="s">
        <v>191</v>
      </c>
      <c r="CF154" s="22">
        <v>45474</v>
      </c>
      <c r="CG154" s="24" t="s">
        <v>151</v>
      </c>
      <c r="CH154" s="17" t="s">
        <v>151</v>
      </c>
      <c r="CI154" s="24" t="s">
        <v>151</v>
      </c>
      <c r="CJ154" s="17" t="s">
        <v>151</v>
      </c>
      <c r="CK154" s="16" t="s">
        <v>151</v>
      </c>
      <c r="CL154" s="17" t="s">
        <v>194</v>
      </c>
      <c r="CM154" s="17" t="s">
        <v>151</v>
      </c>
      <c r="CN154" s="17" t="s">
        <v>151</v>
      </c>
      <c r="CO154" s="17" t="s">
        <v>165</v>
      </c>
      <c r="CP154" s="22">
        <v>45474</v>
      </c>
      <c r="CQ154" s="24" t="s">
        <v>151</v>
      </c>
      <c r="CR154" s="17" t="s">
        <v>151</v>
      </c>
      <c r="CS154" s="17" t="s">
        <v>191</v>
      </c>
      <c r="CT154" s="16">
        <v>65</v>
      </c>
      <c r="CU154" s="17" t="s">
        <v>196</v>
      </c>
      <c r="CV154" s="19">
        <v>61</v>
      </c>
      <c r="CW154" s="19">
        <v>39</v>
      </c>
      <c r="CX154" s="17" t="s">
        <v>294</v>
      </c>
      <c r="CY154" s="19">
        <v>1</v>
      </c>
      <c r="CZ154" s="19">
        <v>60</v>
      </c>
      <c r="DA154" s="24">
        <v>12</v>
      </c>
      <c r="DB154" s="22">
        <v>44932</v>
      </c>
      <c r="DC154" s="17" t="s">
        <v>293</v>
      </c>
      <c r="DD154" s="16">
        <v>1.85</v>
      </c>
      <c r="DE154" s="19">
        <v>0</v>
      </c>
      <c r="DF154" s="21">
        <v>11</v>
      </c>
      <c r="DG154" s="19">
        <v>0</v>
      </c>
      <c r="DH154" s="19">
        <v>0</v>
      </c>
      <c r="DI154" s="19">
        <v>0</v>
      </c>
      <c r="DJ154" s="21">
        <v>10</v>
      </c>
      <c r="DK154" s="19" t="s">
        <v>151</v>
      </c>
      <c r="DL154" s="21" t="s">
        <v>151</v>
      </c>
      <c r="DM154" s="19">
        <v>0</v>
      </c>
      <c r="DN154" s="21">
        <v>10</v>
      </c>
      <c r="DO154" s="23">
        <v>1.03</v>
      </c>
      <c r="DP154" s="21">
        <v>51</v>
      </c>
      <c r="DQ154" s="23">
        <v>0</v>
      </c>
      <c r="DR154" s="19">
        <v>0</v>
      </c>
      <c r="DS154" s="23">
        <v>1.21</v>
      </c>
      <c r="DT154" s="21">
        <v>54</v>
      </c>
      <c r="DU154" s="23" t="s">
        <v>151</v>
      </c>
      <c r="DV154" s="21" t="s">
        <v>151</v>
      </c>
      <c r="DW154" s="23">
        <v>1.21</v>
      </c>
      <c r="DX154" s="21">
        <v>54</v>
      </c>
      <c r="DY154" s="18" t="s">
        <v>151</v>
      </c>
      <c r="DZ154" s="22" t="s">
        <v>151</v>
      </c>
      <c r="EA154" s="22" t="s">
        <v>151</v>
      </c>
      <c r="EB154" s="21" t="s">
        <v>151</v>
      </c>
      <c r="EC154" s="20" t="s">
        <v>151</v>
      </c>
      <c r="ED154" s="19" t="s">
        <v>151</v>
      </c>
      <c r="EE154" s="21">
        <v>23</v>
      </c>
      <c r="EF154" s="20">
        <v>0</v>
      </c>
      <c r="EG154" s="19">
        <v>0</v>
      </c>
      <c r="EH154" s="16" t="s">
        <v>198</v>
      </c>
      <c r="EI154" s="17" t="s">
        <v>151</v>
      </c>
      <c r="EJ154" s="17" t="s">
        <v>151</v>
      </c>
      <c r="EK154" s="18">
        <v>1</v>
      </c>
      <c r="EL154" s="18" t="s">
        <v>151</v>
      </c>
      <c r="EM154" s="18">
        <v>1</v>
      </c>
      <c r="EN154" s="18" t="s">
        <v>151</v>
      </c>
      <c r="EO154" s="18" t="s">
        <v>151</v>
      </c>
      <c r="EP154" s="17" t="s">
        <v>3672</v>
      </c>
      <c r="EQ154" s="16" t="s">
        <v>151</v>
      </c>
      <c r="ER154" s="16" t="s">
        <v>151</v>
      </c>
      <c r="ES154" s="3">
        <f>HYPERLINK("https://my.pitchbook.com?c=222045-31","View Company Online")</f>
      </c>
    </row>
    <row r="155">
      <c r="A155" s="30" t="s">
        <v>3673</v>
      </c>
      <c r="B155" s="30" t="s">
        <v>3674</v>
      </c>
      <c r="C155" s="31" t="s">
        <v>151</v>
      </c>
      <c r="D155" s="30" t="s">
        <v>3675</v>
      </c>
      <c r="E155" s="30" t="s">
        <v>151</v>
      </c>
      <c r="F155" s="30" t="s">
        <v>3676</v>
      </c>
      <c r="G155" s="30" t="s">
        <v>151</v>
      </c>
      <c r="H155" s="30" t="s">
        <v>151</v>
      </c>
      <c r="I155" s="30" t="s">
        <v>151</v>
      </c>
      <c r="J155" s="30" t="s">
        <v>3673</v>
      </c>
      <c r="K155" s="30" t="s">
        <v>3677</v>
      </c>
      <c r="L155" s="30" t="s">
        <v>616</v>
      </c>
      <c r="M155" s="30" t="s">
        <v>834</v>
      </c>
      <c r="N155" s="30" t="s">
        <v>835</v>
      </c>
      <c r="O155" s="30" t="s">
        <v>3678</v>
      </c>
      <c r="P155" s="30" t="s">
        <v>3679</v>
      </c>
      <c r="Q155" s="30" t="s">
        <v>3680</v>
      </c>
      <c r="R155" s="30" t="s">
        <v>151</v>
      </c>
      <c r="S155" s="30" t="s">
        <v>162</v>
      </c>
      <c r="T155" s="37">
        <v>2.5</v>
      </c>
      <c r="U155" s="30" t="s">
        <v>163</v>
      </c>
      <c r="V155" s="30" t="s">
        <v>164</v>
      </c>
      <c r="W155" s="30" t="s">
        <v>165</v>
      </c>
      <c r="X155" s="28" t="s">
        <v>3681</v>
      </c>
      <c r="Y155" s="28" t="s">
        <v>3682</v>
      </c>
      <c r="Z155" s="40">
        <v>11</v>
      </c>
      <c r="AA155" s="30" t="s">
        <v>3683</v>
      </c>
      <c r="AB155" s="30" t="s">
        <v>151</v>
      </c>
      <c r="AC155" s="30" t="s">
        <v>151</v>
      </c>
      <c r="AD155" s="39">
        <v>2020</v>
      </c>
      <c r="AE155" s="30" t="s">
        <v>151</v>
      </c>
      <c r="AF155" s="35">
        <v>45414</v>
      </c>
      <c r="AG155" s="30" t="s">
        <v>151</v>
      </c>
      <c r="AH155" s="30" t="s">
        <v>151</v>
      </c>
      <c r="AI155" s="38" t="s">
        <v>151</v>
      </c>
      <c r="AJ155" s="32" t="s">
        <v>151</v>
      </c>
      <c r="AK155" s="38" t="s">
        <v>151</v>
      </c>
      <c r="AL155" s="38" t="s">
        <v>151</v>
      </c>
      <c r="AM155" s="38" t="s">
        <v>151</v>
      </c>
      <c r="AN155" s="38" t="s">
        <v>151</v>
      </c>
      <c r="AO155" s="38" t="s">
        <v>151</v>
      </c>
      <c r="AP155" s="38" t="s">
        <v>151</v>
      </c>
      <c r="AQ155" s="38" t="s">
        <v>151</v>
      </c>
      <c r="AR155" s="29" t="s">
        <v>151</v>
      </c>
      <c r="AS155" s="30" t="s">
        <v>3684</v>
      </c>
      <c r="AT155" s="30" t="s">
        <v>3685</v>
      </c>
      <c r="AU155" s="31">
        <v>2</v>
      </c>
      <c r="AV155" s="30" t="s">
        <v>151</v>
      </c>
      <c r="AW155" s="30" t="s">
        <v>3686</v>
      </c>
      <c r="AX155" s="30" t="s">
        <v>151</v>
      </c>
      <c r="AY155" s="30" t="s">
        <v>3687</v>
      </c>
      <c r="AZ155" s="30" t="s">
        <v>3688</v>
      </c>
      <c r="BA155" s="30" t="s">
        <v>151</v>
      </c>
      <c r="BB155" s="30" t="s">
        <v>151</v>
      </c>
      <c r="BC155" s="30" t="s">
        <v>151</v>
      </c>
      <c r="BD155" s="30" t="s">
        <v>3689</v>
      </c>
      <c r="BE155" s="30" t="s">
        <v>3690</v>
      </c>
      <c r="BF155" s="30" t="s">
        <v>221</v>
      </c>
      <c r="BG155" s="30" t="s">
        <v>3691</v>
      </c>
      <c r="BH155" s="30" t="s">
        <v>3692</v>
      </c>
      <c r="BI155" s="30" t="s">
        <v>3693</v>
      </c>
      <c r="BJ155" s="30" t="s">
        <v>3694</v>
      </c>
      <c r="BK155" s="30" t="s">
        <v>151</v>
      </c>
      <c r="BL155" s="30" t="s">
        <v>3695</v>
      </c>
      <c r="BM155" s="30" t="s">
        <v>823</v>
      </c>
      <c r="BN155" s="29" t="s">
        <v>3696</v>
      </c>
      <c r="BO155" s="30" t="s">
        <v>186</v>
      </c>
      <c r="BP155" s="29" t="s">
        <v>3692</v>
      </c>
      <c r="BQ155" s="29" t="s">
        <v>151</v>
      </c>
      <c r="BR155" s="30" t="s">
        <v>3697</v>
      </c>
      <c r="BS155" s="30" t="s">
        <v>187</v>
      </c>
      <c r="BT155" s="30" t="s">
        <v>188</v>
      </c>
      <c r="BU155" s="35">
        <v>44279</v>
      </c>
      <c r="BV155" s="37">
        <v>2.5</v>
      </c>
      <c r="BW155" s="30" t="s">
        <v>192</v>
      </c>
      <c r="BX155" s="37" t="s">
        <v>151</v>
      </c>
      <c r="BY155" s="30" t="s">
        <v>151</v>
      </c>
      <c r="BZ155" s="30" t="s">
        <v>231</v>
      </c>
      <c r="CA155" s="30" t="s">
        <v>151</v>
      </c>
      <c r="CB155" s="30" t="s">
        <v>151</v>
      </c>
      <c r="CC155" s="30" t="s">
        <v>165</v>
      </c>
      <c r="CD155" s="30" t="s">
        <v>151</v>
      </c>
      <c r="CE155" s="30" t="s">
        <v>191</v>
      </c>
      <c r="CF155" s="35" t="s">
        <v>151</v>
      </c>
      <c r="CG155" s="37" t="s">
        <v>151</v>
      </c>
      <c r="CH155" s="30" t="s">
        <v>151</v>
      </c>
      <c r="CI155" s="37" t="s">
        <v>151</v>
      </c>
      <c r="CJ155" s="30" t="s">
        <v>151</v>
      </c>
      <c r="CK155" s="29" t="s">
        <v>151</v>
      </c>
      <c r="CL155" s="30" t="s">
        <v>911</v>
      </c>
      <c r="CM155" s="30" t="s">
        <v>151</v>
      </c>
      <c r="CN155" s="30" t="s">
        <v>151</v>
      </c>
      <c r="CO155" s="30" t="s">
        <v>165</v>
      </c>
      <c r="CP155" s="35" t="s">
        <v>151</v>
      </c>
      <c r="CQ155" s="37" t="s">
        <v>151</v>
      </c>
      <c r="CR155" s="30" t="s">
        <v>151</v>
      </c>
      <c r="CS155" s="30" t="s">
        <v>191</v>
      </c>
      <c r="CT155" s="29" t="s">
        <v>151</v>
      </c>
      <c r="CU155" s="30" t="s">
        <v>151</v>
      </c>
      <c r="CV155" s="32" t="s">
        <v>151</v>
      </c>
      <c r="CW155" s="32" t="s">
        <v>151</v>
      </c>
      <c r="CX155" s="30" t="s">
        <v>151</v>
      </c>
      <c r="CY155" s="32" t="s">
        <v>151</v>
      </c>
      <c r="CZ155" s="32" t="s">
        <v>151</v>
      </c>
      <c r="DA155" s="37" t="s">
        <v>151</v>
      </c>
      <c r="DB155" s="35" t="s">
        <v>151</v>
      </c>
      <c r="DC155" s="30" t="s">
        <v>151</v>
      </c>
      <c r="DD155" s="29" t="s">
        <v>151</v>
      </c>
      <c r="DE155" s="32">
        <v>0</v>
      </c>
      <c r="DF155" s="34">
        <v>11</v>
      </c>
      <c r="DG155" s="32">
        <v>0</v>
      </c>
      <c r="DH155" s="32">
        <v>0</v>
      </c>
      <c r="DI155" s="32">
        <v>0</v>
      </c>
      <c r="DJ155" s="34">
        <v>10</v>
      </c>
      <c r="DK155" s="32" t="s">
        <v>151</v>
      </c>
      <c r="DL155" s="34" t="s">
        <v>151</v>
      </c>
      <c r="DM155" s="32">
        <v>0</v>
      </c>
      <c r="DN155" s="34">
        <v>10</v>
      </c>
      <c r="DO155" s="36">
        <v>4.11</v>
      </c>
      <c r="DP155" s="34">
        <v>79</v>
      </c>
      <c r="DQ155" s="36">
        <v>0</v>
      </c>
      <c r="DR155" s="32">
        <v>0</v>
      </c>
      <c r="DS155" s="36">
        <v>4.11</v>
      </c>
      <c r="DT155" s="34">
        <v>79</v>
      </c>
      <c r="DU155" s="36" t="s">
        <v>151</v>
      </c>
      <c r="DV155" s="34" t="s">
        <v>151</v>
      </c>
      <c r="DW155" s="36">
        <v>4.11</v>
      </c>
      <c r="DX155" s="34">
        <v>79</v>
      </c>
      <c r="DY155" s="31" t="s">
        <v>151</v>
      </c>
      <c r="DZ155" s="35" t="s">
        <v>151</v>
      </c>
      <c r="EA155" s="35" t="s">
        <v>151</v>
      </c>
      <c r="EB155" s="34">
        <v>580</v>
      </c>
      <c r="EC155" s="33">
        <v>47</v>
      </c>
      <c r="ED155" s="32">
        <v>8.82</v>
      </c>
      <c r="EE155" s="34">
        <v>78</v>
      </c>
      <c r="EF155" s="33">
        <v>2</v>
      </c>
      <c r="EG155" s="32">
        <v>2.63</v>
      </c>
      <c r="EH155" s="29" t="s">
        <v>198</v>
      </c>
      <c r="EI155" s="30" t="s">
        <v>151</v>
      </c>
      <c r="EJ155" s="30" t="s">
        <v>151</v>
      </c>
      <c r="EK155" s="31" t="s">
        <v>151</v>
      </c>
      <c r="EL155" s="31" t="s">
        <v>151</v>
      </c>
      <c r="EM155" s="31" t="s">
        <v>151</v>
      </c>
      <c r="EN155" s="31" t="s">
        <v>151</v>
      </c>
      <c r="EO155" s="31" t="s">
        <v>151</v>
      </c>
      <c r="EP155" s="30" t="s">
        <v>151</v>
      </c>
      <c r="EQ155" s="29" t="s">
        <v>151</v>
      </c>
      <c r="ER155" s="29" t="s">
        <v>151</v>
      </c>
      <c r="ES155" s="4">
        <f>HYPERLINK("https://my.pitchbook.com?c=464306-05","View Company Online")</f>
      </c>
    </row>
    <row r="156">
      <c r="A156" s="17" t="s">
        <v>3698</v>
      </c>
      <c r="B156" s="17" t="s">
        <v>3699</v>
      </c>
      <c r="C156" s="18" t="s">
        <v>151</v>
      </c>
      <c r="D156" s="17" t="s">
        <v>151</v>
      </c>
      <c r="E156" s="17" t="s">
        <v>3700</v>
      </c>
      <c r="F156" s="17" t="s">
        <v>3701</v>
      </c>
      <c r="G156" s="17" t="s">
        <v>151</v>
      </c>
      <c r="H156" s="17" t="s">
        <v>151</v>
      </c>
      <c r="I156" s="17" t="s">
        <v>151</v>
      </c>
      <c r="J156" s="17" t="s">
        <v>3698</v>
      </c>
      <c r="K156" s="17" t="s">
        <v>3702</v>
      </c>
      <c r="L156" s="17" t="s">
        <v>205</v>
      </c>
      <c r="M156" s="17" t="s">
        <v>206</v>
      </c>
      <c r="N156" s="17" t="s">
        <v>269</v>
      </c>
      <c r="O156" s="17" t="s">
        <v>3703</v>
      </c>
      <c r="P156" s="17" t="s">
        <v>919</v>
      </c>
      <c r="Q156" s="17" t="s">
        <v>3704</v>
      </c>
      <c r="R156" s="17" t="s">
        <v>151</v>
      </c>
      <c r="S156" s="17" t="s">
        <v>162</v>
      </c>
      <c r="T156" s="24">
        <v>0.05</v>
      </c>
      <c r="U156" s="17" t="s">
        <v>163</v>
      </c>
      <c r="V156" s="17" t="s">
        <v>164</v>
      </c>
      <c r="W156" s="17" t="s">
        <v>165</v>
      </c>
      <c r="X156" s="15" t="s">
        <v>3705</v>
      </c>
      <c r="Y156" s="15" t="s">
        <v>3706</v>
      </c>
      <c r="Z156" s="27">
        <v>4</v>
      </c>
      <c r="AA156" s="17" t="s">
        <v>3707</v>
      </c>
      <c r="AB156" s="17" t="s">
        <v>151</v>
      </c>
      <c r="AC156" s="17" t="s">
        <v>151</v>
      </c>
      <c r="AD156" s="26">
        <v>2021</v>
      </c>
      <c r="AE156" s="17" t="s">
        <v>151</v>
      </c>
      <c r="AF156" s="22">
        <v>45566</v>
      </c>
      <c r="AG156" s="17" t="s">
        <v>151</v>
      </c>
      <c r="AH156" s="17" t="s">
        <v>151</v>
      </c>
      <c r="AI156" s="25" t="s">
        <v>151</v>
      </c>
      <c r="AJ156" s="19" t="s">
        <v>151</v>
      </c>
      <c r="AK156" s="25" t="s">
        <v>151</v>
      </c>
      <c r="AL156" s="25" t="s">
        <v>151</v>
      </c>
      <c r="AM156" s="25" t="s">
        <v>151</v>
      </c>
      <c r="AN156" s="25" t="s">
        <v>151</v>
      </c>
      <c r="AO156" s="25" t="s">
        <v>151</v>
      </c>
      <c r="AP156" s="25" t="s">
        <v>151</v>
      </c>
      <c r="AQ156" s="25" t="s">
        <v>151</v>
      </c>
      <c r="AR156" s="16" t="s">
        <v>151</v>
      </c>
      <c r="AS156" s="17" t="s">
        <v>3708</v>
      </c>
      <c r="AT156" s="17" t="s">
        <v>3709</v>
      </c>
      <c r="AU156" s="18">
        <v>1</v>
      </c>
      <c r="AV156" s="17" t="s">
        <v>151</v>
      </c>
      <c r="AW156" s="17" t="s">
        <v>151</v>
      </c>
      <c r="AX156" s="17" t="s">
        <v>151</v>
      </c>
      <c r="AY156" s="17" t="s">
        <v>3710</v>
      </c>
      <c r="AZ156" s="17" t="s">
        <v>151</v>
      </c>
      <c r="BA156" s="17" t="s">
        <v>151</v>
      </c>
      <c r="BB156" s="17" t="s">
        <v>151</v>
      </c>
      <c r="BC156" s="17" t="s">
        <v>3711</v>
      </c>
      <c r="BD156" s="17" t="s">
        <v>3712</v>
      </c>
      <c r="BE156" s="17" t="s">
        <v>3713</v>
      </c>
      <c r="BF156" s="17" t="s">
        <v>221</v>
      </c>
      <c r="BG156" s="17" t="s">
        <v>151</v>
      </c>
      <c r="BH156" s="17" t="s">
        <v>3714</v>
      </c>
      <c r="BI156" s="17" t="s">
        <v>3715</v>
      </c>
      <c r="BJ156" s="17" t="s">
        <v>151</v>
      </c>
      <c r="BK156" s="17" t="s">
        <v>151</v>
      </c>
      <c r="BL156" s="17" t="s">
        <v>3716</v>
      </c>
      <c r="BM156" s="17" t="s">
        <v>3717</v>
      </c>
      <c r="BN156" s="16" t="s">
        <v>151</v>
      </c>
      <c r="BO156" s="17" t="s">
        <v>186</v>
      </c>
      <c r="BP156" s="16" t="s">
        <v>3714</v>
      </c>
      <c r="BQ156" s="16" t="s">
        <v>151</v>
      </c>
      <c r="BR156" s="17" t="s">
        <v>3718</v>
      </c>
      <c r="BS156" s="17" t="s">
        <v>187</v>
      </c>
      <c r="BT156" s="17" t="s">
        <v>188</v>
      </c>
      <c r="BU156" s="22">
        <v>44636</v>
      </c>
      <c r="BV156" s="24">
        <v>0.05</v>
      </c>
      <c r="BW156" s="17" t="s">
        <v>192</v>
      </c>
      <c r="BX156" s="24" t="s">
        <v>151</v>
      </c>
      <c r="BY156" s="17" t="s">
        <v>151</v>
      </c>
      <c r="BZ156" s="17" t="s">
        <v>293</v>
      </c>
      <c r="CA156" s="17" t="s">
        <v>293</v>
      </c>
      <c r="CB156" s="17" t="s">
        <v>151</v>
      </c>
      <c r="CC156" s="17" t="s">
        <v>165</v>
      </c>
      <c r="CD156" s="17" t="s">
        <v>151</v>
      </c>
      <c r="CE156" s="17" t="s">
        <v>191</v>
      </c>
      <c r="CF156" s="22">
        <v>44636</v>
      </c>
      <c r="CG156" s="24">
        <v>0.05</v>
      </c>
      <c r="CH156" s="17" t="s">
        <v>192</v>
      </c>
      <c r="CI156" s="24" t="s">
        <v>151</v>
      </c>
      <c r="CJ156" s="17" t="s">
        <v>151</v>
      </c>
      <c r="CK156" s="16" t="s">
        <v>151</v>
      </c>
      <c r="CL156" s="17" t="s">
        <v>293</v>
      </c>
      <c r="CM156" s="17" t="s">
        <v>293</v>
      </c>
      <c r="CN156" s="17" t="s">
        <v>151</v>
      </c>
      <c r="CO156" s="17" t="s">
        <v>165</v>
      </c>
      <c r="CP156" s="22">
        <v>44636</v>
      </c>
      <c r="CQ156" s="24" t="s">
        <v>151</v>
      </c>
      <c r="CR156" s="17" t="s">
        <v>151</v>
      </c>
      <c r="CS156" s="17" t="s">
        <v>191</v>
      </c>
      <c r="CT156" s="16" t="s">
        <v>151</v>
      </c>
      <c r="CU156" s="17" t="s">
        <v>151</v>
      </c>
      <c r="CV156" s="19" t="s">
        <v>151</v>
      </c>
      <c r="CW156" s="19" t="s">
        <v>151</v>
      </c>
      <c r="CX156" s="17" t="s">
        <v>151</v>
      </c>
      <c r="CY156" s="19" t="s">
        <v>151</v>
      </c>
      <c r="CZ156" s="19" t="s">
        <v>151</v>
      </c>
      <c r="DA156" s="24" t="s">
        <v>151</v>
      </c>
      <c r="DB156" s="22" t="s">
        <v>151</v>
      </c>
      <c r="DC156" s="17" t="s">
        <v>151</v>
      </c>
      <c r="DD156" s="16" t="s">
        <v>151</v>
      </c>
      <c r="DE156" s="19">
        <v>0</v>
      </c>
      <c r="DF156" s="21">
        <v>11</v>
      </c>
      <c r="DG156" s="19">
        <v>0</v>
      </c>
      <c r="DH156" s="19">
        <v>0</v>
      </c>
      <c r="DI156" s="19">
        <v>0</v>
      </c>
      <c r="DJ156" s="21">
        <v>10</v>
      </c>
      <c r="DK156" s="19" t="s">
        <v>151</v>
      </c>
      <c r="DL156" s="21" t="s">
        <v>151</v>
      </c>
      <c r="DM156" s="19">
        <v>0</v>
      </c>
      <c r="DN156" s="21">
        <v>10</v>
      </c>
      <c r="DO156" s="23">
        <v>0.26</v>
      </c>
      <c r="DP156" s="21">
        <v>17</v>
      </c>
      <c r="DQ156" s="23">
        <v>0</v>
      </c>
      <c r="DR156" s="19">
        <v>0</v>
      </c>
      <c r="DS156" s="23">
        <v>0.21</v>
      </c>
      <c r="DT156" s="21">
        <v>14</v>
      </c>
      <c r="DU156" s="23" t="s">
        <v>151</v>
      </c>
      <c r="DV156" s="21" t="s">
        <v>151</v>
      </c>
      <c r="DW156" s="23">
        <v>0.21</v>
      </c>
      <c r="DX156" s="21">
        <v>14</v>
      </c>
      <c r="DY156" s="18" t="s">
        <v>151</v>
      </c>
      <c r="DZ156" s="22" t="s">
        <v>151</v>
      </c>
      <c r="EA156" s="22" t="s">
        <v>151</v>
      </c>
      <c r="EB156" s="21">
        <v>0</v>
      </c>
      <c r="EC156" s="20">
        <v>0</v>
      </c>
      <c r="ED156" s="19">
        <v>0</v>
      </c>
      <c r="EE156" s="21">
        <v>4</v>
      </c>
      <c r="EF156" s="20">
        <v>0</v>
      </c>
      <c r="EG156" s="19">
        <v>0</v>
      </c>
      <c r="EH156" s="16" t="s">
        <v>198</v>
      </c>
      <c r="EI156" s="17" t="s">
        <v>151</v>
      </c>
      <c r="EJ156" s="17" t="s">
        <v>151</v>
      </c>
      <c r="EK156" s="18" t="s">
        <v>151</v>
      </c>
      <c r="EL156" s="18" t="s">
        <v>151</v>
      </c>
      <c r="EM156" s="18" t="s">
        <v>151</v>
      </c>
      <c r="EN156" s="18" t="s">
        <v>151</v>
      </c>
      <c r="EO156" s="18" t="s">
        <v>151</v>
      </c>
      <c r="EP156" s="17" t="s">
        <v>151</v>
      </c>
      <c r="EQ156" s="16" t="s">
        <v>151</v>
      </c>
      <c r="ER156" s="16" t="s">
        <v>151</v>
      </c>
      <c r="ES156" s="3">
        <f>HYPERLINK("https://my.pitchbook.com?c=494307-28","View Company Online")</f>
      </c>
    </row>
    <row r="157">
      <c r="A157" s="30" t="s">
        <v>3719</v>
      </c>
      <c r="B157" s="30" t="s">
        <v>3720</v>
      </c>
      <c r="C157" s="31" t="s">
        <v>151</v>
      </c>
      <c r="D157" s="30" t="s">
        <v>151</v>
      </c>
      <c r="E157" s="30" t="s">
        <v>151</v>
      </c>
      <c r="F157" s="30" t="s">
        <v>3721</v>
      </c>
      <c r="G157" s="30" t="s">
        <v>151</v>
      </c>
      <c r="H157" s="30" t="s">
        <v>151</v>
      </c>
      <c r="I157" s="30" t="s">
        <v>151</v>
      </c>
      <c r="J157" s="30" t="s">
        <v>3719</v>
      </c>
      <c r="K157" s="30" t="s">
        <v>3722</v>
      </c>
      <c r="L157" s="30" t="s">
        <v>205</v>
      </c>
      <c r="M157" s="30" t="s">
        <v>206</v>
      </c>
      <c r="N157" s="30" t="s">
        <v>1268</v>
      </c>
      <c r="O157" s="30" t="s">
        <v>3723</v>
      </c>
      <c r="P157" s="30" t="s">
        <v>3724</v>
      </c>
      <c r="Q157" s="30" t="s">
        <v>3725</v>
      </c>
      <c r="R157" s="30" t="s">
        <v>151</v>
      </c>
      <c r="S157" s="30" t="s">
        <v>162</v>
      </c>
      <c r="T157" s="37">
        <v>7.12</v>
      </c>
      <c r="U157" s="30" t="s">
        <v>163</v>
      </c>
      <c r="V157" s="30" t="s">
        <v>164</v>
      </c>
      <c r="W157" s="30" t="s">
        <v>165</v>
      </c>
      <c r="X157" s="28" t="s">
        <v>3726</v>
      </c>
      <c r="Y157" s="28" t="s">
        <v>3727</v>
      </c>
      <c r="Z157" s="40">
        <v>7</v>
      </c>
      <c r="AA157" s="30" t="s">
        <v>3728</v>
      </c>
      <c r="AB157" s="30" t="s">
        <v>151</v>
      </c>
      <c r="AC157" s="30" t="s">
        <v>151</v>
      </c>
      <c r="AD157" s="39">
        <v>2015</v>
      </c>
      <c r="AE157" s="30" t="s">
        <v>151</v>
      </c>
      <c r="AF157" s="35">
        <v>45594</v>
      </c>
      <c r="AG157" s="30" t="s">
        <v>151</v>
      </c>
      <c r="AH157" s="30" t="s">
        <v>151</v>
      </c>
      <c r="AI157" s="38" t="s">
        <v>151</v>
      </c>
      <c r="AJ157" s="32" t="s">
        <v>151</v>
      </c>
      <c r="AK157" s="38" t="s">
        <v>151</v>
      </c>
      <c r="AL157" s="38" t="s">
        <v>151</v>
      </c>
      <c r="AM157" s="38" t="s">
        <v>151</v>
      </c>
      <c r="AN157" s="38" t="s">
        <v>151</v>
      </c>
      <c r="AO157" s="38" t="s">
        <v>151</v>
      </c>
      <c r="AP157" s="38" t="s">
        <v>151</v>
      </c>
      <c r="AQ157" s="38" t="s">
        <v>151</v>
      </c>
      <c r="AR157" s="29" t="s">
        <v>151</v>
      </c>
      <c r="AS157" s="30" t="s">
        <v>3729</v>
      </c>
      <c r="AT157" s="30" t="s">
        <v>3730</v>
      </c>
      <c r="AU157" s="31">
        <v>4</v>
      </c>
      <c r="AV157" s="30" t="s">
        <v>151</v>
      </c>
      <c r="AW157" s="30" t="s">
        <v>151</v>
      </c>
      <c r="AX157" s="30" t="s">
        <v>151</v>
      </c>
      <c r="AY157" s="30" t="s">
        <v>3731</v>
      </c>
      <c r="AZ157" s="30" t="s">
        <v>151</v>
      </c>
      <c r="BA157" s="30" t="s">
        <v>151</v>
      </c>
      <c r="BB157" s="30" t="s">
        <v>1115</v>
      </c>
      <c r="BC157" s="30" t="s">
        <v>1115</v>
      </c>
      <c r="BD157" s="30" t="s">
        <v>3732</v>
      </c>
      <c r="BE157" s="30" t="s">
        <v>3733</v>
      </c>
      <c r="BF157" s="30" t="s">
        <v>3734</v>
      </c>
      <c r="BG157" s="30" t="s">
        <v>3735</v>
      </c>
      <c r="BH157" s="30" t="s">
        <v>3736</v>
      </c>
      <c r="BI157" s="30" t="s">
        <v>906</v>
      </c>
      <c r="BJ157" s="30" t="s">
        <v>3737</v>
      </c>
      <c r="BK157" s="30" t="s">
        <v>1122</v>
      </c>
      <c r="BL157" s="30" t="s">
        <v>259</v>
      </c>
      <c r="BM157" s="30" t="s">
        <v>259</v>
      </c>
      <c r="BN157" s="29" t="s">
        <v>3738</v>
      </c>
      <c r="BO157" s="30" t="s">
        <v>186</v>
      </c>
      <c r="BP157" s="29" t="s">
        <v>151</v>
      </c>
      <c r="BQ157" s="29" t="s">
        <v>151</v>
      </c>
      <c r="BR157" s="30" t="s">
        <v>3739</v>
      </c>
      <c r="BS157" s="30" t="s">
        <v>187</v>
      </c>
      <c r="BT157" s="30" t="s">
        <v>188</v>
      </c>
      <c r="BU157" s="35">
        <v>42736</v>
      </c>
      <c r="BV157" s="37" t="s">
        <v>151</v>
      </c>
      <c r="BW157" s="30" t="s">
        <v>151</v>
      </c>
      <c r="BX157" s="37" t="s">
        <v>151</v>
      </c>
      <c r="BY157" s="30" t="s">
        <v>151</v>
      </c>
      <c r="BZ157" s="30" t="s">
        <v>189</v>
      </c>
      <c r="CA157" s="30" t="s">
        <v>151</v>
      </c>
      <c r="CB157" s="30" t="s">
        <v>151</v>
      </c>
      <c r="CC157" s="30" t="s">
        <v>190</v>
      </c>
      <c r="CD157" s="30" t="s">
        <v>151</v>
      </c>
      <c r="CE157" s="30" t="s">
        <v>191</v>
      </c>
      <c r="CF157" s="35">
        <v>44729</v>
      </c>
      <c r="CG157" s="37">
        <v>5.5</v>
      </c>
      <c r="CH157" s="30" t="s">
        <v>193</v>
      </c>
      <c r="CI157" s="37">
        <v>17</v>
      </c>
      <c r="CJ157" s="30" t="s">
        <v>192</v>
      </c>
      <c r="CK157" s="29">
        <v>1.63</v>
      </c>
      <c r="CL157" s="30" t="s">
        <v>293</v>
      </c>
      <c r="CM157" s="30" t="s">
        <v>293</v>
      </c>
      <c r="CN157" s="30" t="s">
        <v>151</v>
      </c>
      <c r="CO157" s="30" t="s">
        <v>165</v>
      </c>
      <c r="CP157" s="35">
        <v>44729</v>
      </c>
      <c r="CQ157" s="37">
        <v>1.5</v>
      </c>
      <c r="CR157" s="30" t="s">
        <v>3740</v>
      </c>
      <c r="CS157" s="30" t="s">
        <v>191</v>
      </c>
      <c r="CT157" s="29">
        <v>46</v>
      </c>
      <c r="CU157" s="30" t="s">
        <v>263</v>
      </c>
      <c r="CV157" s="32">
        <v>45</v>
      </c>
      <c r="CW157" s="32">
        <v>55</v>
      </c>
      <c r="CX157" s="30" t="s">
        <v>263</v>
      </c>
      <c r="CY157" s="32">
        <v>1</v>
      </c>
      <c r="CZ157" s="32">
        <v>44</v>
      </c>
      <c r="DA157" s="37">
        <v>17</v>
      </c>
      <c r="DB157" s="35">
        <v>44729</v>
      </c>
      <c r="DC157" s="30" t="s">
        <v>293</v>
      </c>
      <c r="DD157" s="29">
        <v>1.63</v>
      </c>
      <c r="DE157" s="32">
        <v>0</v>
      </c>
      <c r="DF157" s="34">
        <v>11</v>
      </c>
      <c r="DG157" s="32">
        <v>0</v>
      </c>
      <c r="DH157" s="32">
        <v>0</v>
      </c>
      <c r="DI157" s="32">
        <v>0</v>
      </c>
      <c r="DJ157" s="34">
        <v>10</v>
      </c>
      <c r="DK157" s="32" t="s">
        <v>151</v>
      </c>
      <c r="DL157" s="34" t="s">
        <v>151</v>
      </c>
      <c r="DM157" s="32">
        <v>0</v>
      </c>
      <c r="DN157" s="34">
        <v>10</v>
      </c>
      <c r="DO157" s="36">
        <v>2.21</v>
      </c>
      <c r="DP157" s="34">
        <v>68</v>
      </c>
      <c r="DQ157" s="36">
        <v>0</v>
      </c>
      <c r="DR157" s="32">
        <v>0</v>
      </c>
      <c r="DS157" s="36">
        <v>2.21</v>
      </c>
      <c r="DT157" s="34">
        <v>68</v>
      </c>
      <c r="DU157" s="36" t="s">
        <v>151</v>
      </c>
      <c r="DV157" s="34" t="s">
        <v>151</v>
      </c>
      <c r="DW157" s="36">
        <v>2.21</v>
      </c>
      <c r="DX157" s="34">
        <v>68</v>
      </c>
      <c r="DY157" s="31" t="s">
        <v>151</v>
      </c>
      <c r="DZ157" s="35" t="s">
        <v>151</v>
      </c>
      <c r="EA157" s="35" t="s">
        <v>151</v>
      </c>
      <c r="EB157" s="34" t="s">
        <v>151</v>
      </c>
      <c r="EC157" s="33" t="s">
        <v>151</v>
      </c>
      <c r="ED157" s="32" t="s">
        <v>151</v>
      </c>
      <c r="EE157" s="34">
        <v>42</v>
      </c>
      <c r="EF157" s="33">
        <v>1</v>
      </c>
      <c r="EG157" s="32">
        <v>2.44</v>
      </c>
      <c r="EH157" s="29" t="s">
        <v>198</v>
      </c>
      <c r="EI157" s="30" t="s">
        <v>151</v>
      </c>
      <c r="EJ157" s="30" t="s">
        <v>151</v>
      </c>
      <c r="EK157" s="31" t="s">
        <v>151</v>
      </c>
      <c r="EL157" s="31" t="s">
        <v>151</v>
      </c>
      <c r="EM157" s="31" t="s">
        <v>151</v>
      </c>
      <c r="EN157" s="31" t="s">
        <v>151</v>
      </c>
      <c r="EO157" s="31" t="s">
        <v>151</v>
      </c>
      <c r="EP157" s="30" t="s">
        <v>151</v>
      </c>
      <c r="EQ157" s="29" t="s">
        <v>151</v>
      </c>
      <c r="ER157" s="29" t="s">
        <v>151</v>
      </c>
      <c r="ES157" s="4">
        <f>HYPERLINK("https://my.pitchbook.com?c=178260-22","View Company Online")</f>
      </c>
    </row>
    <row r="158">
      <c r="A158" s="17" t="s">
        <v>3741</v>
      </c>
      <c r="B158" s="17" t="s">
        <v>3742</v>
      </c>
      <c r="C158" s="18" t="s">
        <v>151</v>
      </c>
      <c r="D158" s="17" t="s">
        <v>151</v>
      </c>
      <c r="E158" s="17" t="s">
        <v>3743</v>
      </c>
      <c r="F158" s="17" t="s">
        <v>3744</v>
      </c>
      <c r="G158" s="17" t="s">
        <v>151</v>
      </c>
      <c r="H158" s="17" t="s">
        <v>151</v>
      </c>
      <c r="I158" s="17" t="s">
        <v>3745</v>
      </c>
      <c r="J158" s="17" t="s">
        <v>3741</v>
      </c>
      <c r="K158" s="17" t="s">
        <v>3746</v>
      </c>
      <c r="L158" s="17" t="s">
        <v>1178</v>
      </c>
      <c r="M158" s="17" t="s">
        <v>1179</v>
      </c>
      <c r="N158" s="17" t="s">
        <v>3747</v>
      </c>
      <c r="O158" s="17" t="s">
        <v>3748</v>
      </c>
      <c r="P158" s="17" t="s">
        <v>2130</v>
      </c>
      <c r="Q158" s="17" t="s">
        <v>3749</v>
      </c>
      <c r="R158" s="17" t="s">
        <v>151</v>
      </c>
      <c r="S158" s="17" t="s">
        <v>162</v>
      </c>
      <c r="T158" s="24">
        <v>2.99</v>
      </c>
      <c r="U158" s="17" t="s">
        <v>163</v>
      </c>
      <c r="V158" s="17" t="s">
        <v>164</v>
      </c>
      <c r="W158" s="17" t="s">
        <v>165</v>
      </c>
      <c r="X158" s="15" t="s">
        <v>3750</v>
      </c>
      <c r="Y158" s="15" t="s">
        <v>3751</v>
      </c>
      <c r="Z158" s="27">
        <v>21</v>
      </c>
      <c r="AA158" s="17" t="s">
        <v>3752</v>
      </c>
      <c r="AB158" s="17" t="s">
        <v>151</v>
      </c>
      <c r="AC158" s="17" t="s">
        <v>151</v>
      </c>
      <c r="AD158" s="26">
        <v>2019</v>
      </c>
      <c r="AE158" s="17" t="s">
        <v>151</v>
      </c>
      <c r="AF158" s="22">
        <v>45562</v>
      </c>
      <c r="AG158" s="17" t="s">
        <v>151</v>
      </c>
      <c r="AH158" s="17" t="s">
        <v>151</v>
      </c>
      <c r="AI158" s="25" t="s">
        <v>151</v>
      </c>
      <c r="AJ158" s="19" t="s">
        <v>151</v>
      </c>
      <c r="AK158" s="25" t="s">
        <v>151</v>
      </c>
      <c r="AL158" s="25" t="s">
        <v>151</v>
      </c>
      <c r="AM158" s="25" t="s">
        <v>151</v>
      </c>
      <c r="AN158" s="25" t="s">
        <v>151</v>
      </c>
      <c r="AO158" s="25" t="s">
        <v>151</v>
      </c>
      <c r="AP158" s="25" t="s">
        <v>151</v>
      </c>
      <c r="AQ158" s="25" t="s">
        <v>151</v>
      </c>
      <c r="AR158" s="16" t="s">
        <v>151</v>
      </c>
      <c r="AS158" s="17" t="s">
        <v>3753</v>
      </c>
      <c r="AT158" s="17" t="s">
        <v>3754</v>
      </c>
      <c r="AU158" s="18">
        <v>11</v>
      </c>
      <c r="AV158" s="17" t="s">
        <v>151</v>
      </c>
      <c r="AW158" s="17" t="s">
        <v>151</v>
      </c>
      <c r="AX158" s="17" t="s">
        <v>151</v>
      </c>
      <c r="AY158" s="17" t="s">
        <v>3755</v>
      </c>
      <c r="AZ158" s="17" t="s">
        <v>151</v>
      </c>
      <c r="BA158" s="17" t="s">
        <v>151</v>
      </c>
      <c r="BB158" s="17" t="s">
        <v>151</v>
      </c>
      <c r="BC158" s="17" t="s">
        <v>3756</v>
      </c>
      <c r="BD158" s="17" t="s">
        <v>3757</v>
      </c>
      <c r="BE158" s="17" t="s">
        <v>3758</v>
      </c>
      <c r="BF158" s="17" t="s">
        <v>282</v>
      </c>
      <c r="BG158" s="17" t="s">
        <v>3759</v>
      </c>
      <c r="BH158" s="17" t="s">
        <v>151</v>
      </c>
      <c r="BI158" s="17" t="s">
        <v>3760</v>
      </c>
      <c r="BJ158" s="17" t="s">
        <v>3761</v>
      </c>
      <c r="BK158" s="17" t="s">
        <v>151</v>
      </c>
      <c r="BL158" s="17" t="s">
        <v>3762</v>
      </c>
      <c r="BM158" s="17" t="s">
        <v>259</v>
      </c>
      <c r="BN158" s="16" t="s">
        <v>3763</v>
      </c>
      <c r="BO158" s="17" t="s">
        <v>186</v>
      </c>
      <c r="BP158" s="16" t="s">
        <v>151</v>
      </c>
      <c r="BQ158" s="16" t="s">
        <v>151</v>
      </c>
      <c r="BR158" s="17" t="s">
        <v>3764</v>
      </c>
      <c r="BS158" s="17" t="s">
        <v>187</v>
      </c>
      <c r="BT158" s="17" t="s">
        <v>188</v>
      </c>
      <c r="BU158" s="22" t="s">
        <v>151</v>
      </c>
      <c r="BV158" s="24" t="s">
        <v>151</v>
      </c>
      <c r="BW158" s="17" t="s">
        <v>151</v>
      </c>
      <c r="BX158" s="24" t="s">
        <v>151</v>
      </c>
      <c r="BY158" s="17" t="s">
        <v>151</v>
      </c>
      <c r="BZ158" s="17" t="s">
        <v>189</v>
      </c>
      <c r="CA158" s="17" t="s">
        <v>151</v>
      </c>
      <c r="CB158" s="17" t="s">
        <v>151</v>
      </c>
      <c r="CC158" s="17" t="s">
        <v>190</v>
      </c>
      <c r="CD158" s="17" t="s">
        <v>151</v>
      </c>
      <c r="CE158" s="17" t="s">
        <v>191</v>
      </c>
      <c r="CF158" s="22">
        <v>45536</v>
      </c>
      <c r="CG158" s="24" t="s">
        <v>151</v>
      </c>
      <c r="CH158" s="17" t="s">
        <v>151</v>
      </c>
      <c r="CI158" s="24" t="s">
        <v>151</v>
      </c>
      <c r="CJ158" s="17" t="s">
        <v>151</v>
      </c>
      <c r="CK158" s="16" t="s">
        <v>151</v>
      </c>
      <c r="CL158" s="17" t="s">
        <v>194</v>
      </c>
      <c r="CM158" s="17" t="s">
        <v>151</v>
      </c>
      <c r="CN158" s="17" t="s">
        <v>151</v>
      </c>
      <c r="CO158" s="17" t="s">
        <v>165</v>
      </c>
      <c r="CP158" s="22">
        <v>45536</v>
      </c>
      <c r="CQ158" s="24" t="s">
        <v>151</v>
      </c>
      <c r="CR158" s="17" t="s">
        <v>151</v>
      </c>
      <c r="CS158" s="17" t="s">
        <v>191</v>
      </c>
      <c r="CT158" s="16">
        <v>72</v>
      </c>
      <c r="CU158" s="17" t="s">
        <v>196</v>
      </c>
      <c r="CV158" s="19">
        <v>67</v>
      </c>
      <c r="CW158" s="19">
        <v>33</v>
      </c>
      <c r="CX158" s="17" t="s">
        <v>294</v>
      </c>
      <c r="CY158" s="19">
        <v>1</v>
      </c>
      <c r="CZ158" s="19">
        <v>66</v>
      </c>
      <c r="DA158" s="24" t="s">
        <v>151</v>
      </c>
      <c r="DB158" s="22" t="s">
        <v>151</v>
      </c>
      <c r="DC158" s="17" t="s">
        <v>151</v>
      </c>
      <c r="DD158" s="16" t="s">
        <v>151</v>
      </c>
      <c r="DE158" s="19">
        <v>-0.64</v>
      </c>
      <c r="DF158" s="21">
        <v>6</v>
      </c>
      <c r="DG158" s="19">
        <v>0</v>
      </c>
      <c r="DH158" s="19">
        <v>0</v>
      </c>
      <c r="DI158" s="19">
        <v>-1.91</v>
      </c>
      <c r="DJ158" s="21">
        <v>2</v>
      </c>
      <c r="DK158" s="19">
        <v>0.29</v>
      </c>
      <c r="DL158" s="21">
        <v>90</v>
      </c>
      <c r="DM158" s="19">
        <v>-4.11</v>
      </c>
      <c r="DN158" s="21">
        <v>1</v>
      </c>
      <c r="DO158" s="23">
        <v>2.3</v>
      </c>
      <c r="DP158" s="21">
        <v>69</v>
      </c>
      <c r="DQ158" s="23">
        <v>0</v>
      </c>
      <c r="DR158" s="19">
        <v>0</v>
      </c>
      <c r="DS158" s="23">
        <v>2.98</v>
      </c>
      <c r="DT158" s="21">
        <v>74</v>
      </c>
      <c r="DU158" s="23">
        <v>0.81</v>
      </c>
      <c r="DV158" s="21">
        <v>44</v>
      </c>
      <c r="DW158" s="23">
        <v>5.16</v>
      </c>
      <c r="DX158" s="21">
        <v>82</v>
      </c>
      <c r="DY158" s="18" t="s">
        <v>151</v>
      </c>
      <c r="DZ158" s="22" t="s">
        <v>151</v>
      </c>
      <c r="EA158" s="22" t="s">
        <v>151</v>
      </c>
      <c r="EB158" s="21">
        <v>185</v>
      </c>
      <c r="EC158" s="20">
        <v>-169</v>
      </c>
      <c r="ED158" s="19">
        <v>-47.74</v>
      </c>
      <c r="EE158" s="21">
        <v>98</v>
      </c>
      <c r="EF158" s="20">
        <v>-4</v>
      </c>
      <c r="EG158" s="19">
        <v>-3.92</v>
      </c>
      <c r="EH158" s="16" t="s">
        <v>198</v>
      </c>
      <c r="EI158" s="17" t="s">
        <v>151</v>
      </c>
      <c r="EJ158" s="17" t="s">
        <v>151</v>
      </c>
      <c r="EK158" s="18" t="s">
        <v>151</v>
      </c>
      <c r="EL158" s="18" t="s">
        <v>151</v>
      </c>
      <c r="EM158" s="18" t="s">
        <v>151</v>
      </c>
      <c r="EN158" s="18" t="s">
        <v>151</v>
      </c>
      <c r="EO158" s="18" t="s">
        <v>151</v>
      </c>
      <c r="EP158" s="17" t="s">
        <v>151</v>
      </c>
      <c r="EQ158" s="16" t="s">
        <v>151</v>
      </c>
      <c r="ER158" s="16" t="s">
        <v>151</v>
      </c>
      <c r="ES158" s="3">
        <f>HYPERLINK("https://my.pitchbook.com?c=499941-37","View Company Online")</f>
      </c>
    </row>
    <row r="159">
      <c r="A159" s="30" t="s">
        <v>3765</v>
      </c>
      <c r="B159" s="30" t="s">
        <v>3766</v>
      </c>
      <c r="C159" s="31" t="s">
        <v>151</v>
      </c>
      <c r="D159" s="30" t="s">
        <v>3767</v>
      </c>
      <c r="E159" s="30" t="s">
        <v>151</v>
      </c>
      <c r="F159" s="30" t="s">
        <v>3768</v>
      </c>
      <c r="G159" s="30" t="s">
        <v>151</v>
      </c>
      <c r="H159" s="30" t="s">
        <v>151</v>
      </c>
      <c r="I159" s="30" t="s">
        <v>151</v>
      </c>
      <c r="J159" s="30" t="s">
        <v>3765</v>
      </c>
      <c r="K159" s="30" t="s">
        <v>3769</v>
      </c>
      <c r="L159" s="30" t="s">
        <v>205</v>
      </c>
      <c r="M159" s="30" t="s">
        <v>206</v>
      </c>
      <c r="N159" s="30" t="s">
        <v>269</v>
      </c>
      <c r="O159" s="30" t="s">
        <v>563</v>
      </c>
      <c r="P159" s="30" t="s">
        <v>3770</v>
      </c>
      <c r="Q159" s="30" t="s">
        <v>3771</v>
      </c>
      <c r="R159" s="30" t="s">
        <v>151</v>
      </c>
      <c r="S159" s="30" t="s">
        <v>162</v>
      </c>
      <c r="T159" s="37">
        <v>1.34</v>
      </c>
      <c r="U159" s="30" t="s">
        <v>163</v>
      </c>
      <c r="V159" s="30" t="s">
        <v>164</v>
      </c>
      <c r="W159" s="30" t="s">
        <v>165</v>
      </c>
      <c r="X159" s="28" t="s">
        <v>3772</v>
      </c>
      <c r="Y159" s="28" t="s">
        <v>3773</v>
      </c>
      <c r="Z159" s="40">
        <v>12</v>
      </c>
      <c r="AA159" s="30" t="s">
        <v>3774</v>
      </c>
      <c r="AB159" s="30" t="s">
        <v>151</v>
      </c>
      <c r="AC159" s="30" t="s">
        <v>151</v>
      </c>
      <c r="AD159" s="39">
        <v>2016</v>
      </c>
      <c r="AE159" s="30" t="s">
        <v>151</v>
      </c>
      <c r="AF159" s="35">
        <v>45454</v>
      </c>
      <c r="AG159" s="30" t="s">
        <v>151</v>
      </c>
      <c r="AH159" s="30" t="s">
        <v>151</v>
      </c>
      <c r="AI159" s="38" t="s">
        <v>151</v>
      </c>
      <c r="AJ159" s="32" t="s">
        <v>151</v>
      </c>
      <c r="AK159" s="38" t="s">
        <v>151</v>
      </c>
      <c r="AL159" s="38" t="s">
        <v>151</v>
      </c>
      <c r="AM159" s="38" t="s">
        <v>151</v>
      </c>
      <c r="AN159" s="38" t="s">
        <v>151</v>
      </c>
      <c r="AO159" s="38" t="s">
        <v>151</v>
      </c>
      <c r="AP159" s="38" t="s">
        <v>151</v>
      </c>
      <c r="AQ159" s="38" t="s">
        <v>151</v>
      </c>
      <c r="AR159" s="29" t="s">
        <v>151</v>
      </c>
      <c r="AS159" s="30" t="s">
        <v>3775</v>
      </c>
      <c r="AT159" s="30" t="s">
        <v>3776</v>
      </c>
      <c r="AU159" s="31">
        <v>4</v>
      </c>
      <c r="AV159" s="30" t="s">
        <v>151</v>
      </c>
      <c r="AW159" s="30" t="s">
        <v>151</v>
      </c>
      <c r="AX159" s="30" t="s">
        <v>151</v>
      </c>
      <c r="AY159" s="30" t="s">
        <v>3777</v>
      </c>
      <c r="AZ159" s="30" t="s">
        <v>151</v>
      </c>
      <c r="BA159" s="30" t="s">
        <v>151</v>
      </c>
      <c r="BB159" s="30" t="s">
        <v>151</v>
      </c>
      <c r="BC159" s="30" t="s">
        <v>151</v>
      </c>
      <c r="BD159" s="30" t="s">
        <v>3778</v>
      </c>
      <c r="BE159" s="30" t="s">
        <v>3779</v>
      </c>
      <c r="BF159" s="30" t="s">
        <v>403</v>
      </c>
      <c r="BG159" s="30" t="s">
        <v>3780</v>
      </c>
      <c r="BH159" s="30" t="s">
        <v>3781</v>
      </c>
      <c r="BI159" s="30" t="s">
        <v>1040</v>
      </c>
      <c r="BJ159" s="30" t="s">
        <v>3782</v>
      </c>
      <c r="BK159" s="30" t="s">
        <v>2678</v>
      </c>
      <c r="BL159" s="30" t="s">
        <v>1042</v>
      </c>
      <c r="BM159" s="30" t="s">
        <v>1043</v>
      </c>
      <c r="BN159" s="29" t="s">
        <v>3783</v>
      </c>
      <c r="BO159" s="30" t="s">
        <v>186</v>
      </c>
      <c r="BP159" s="29" t="s">
        <v>3781</v>
      </c>
      <c r="BQ159" s="29" t="s">
        <v>151</v>
      </c>
      <c r="BR159" s="30" t="s">
        <v>3784</v>
      </c>
      <c r="BS159" s="30" t="s">
        <v>187</v>
      </c>
      <c r="BT159" s="30" t="s">
        <v>188</v>
      </c>
      <c r="BU159" s="35">
        <v>43187</v>
      </c>
      <c r="BV159" s="37">
        <v>0.34</v>
      </c>
      <c r="BW159" s="30" t="s">
        <v>192</v>
      </c>
      <c r="BX159" s="37" t="s">
        <v>151</v>
      </c>
      <c r="BY159" s="30" t="s">
        <v>151</v>
      </c>
      <c r="BZ159" s="30" t="s">
        <v>1075</v>
      </c>
      <c r="CA159" s="30" t="s">
        <v>1075</v>
      </c>
      <c r="CB159" s="30" t="s">
        <v>151</v>
      </c>
      <c r="CC159" s="30" t="s">
        <v>585</v>
      </c>
      <c r="CD159" s="30" t="s">
        <v>151</v>
      </c>
      <c r="CE159" s="30" t="s">
        <v>191</v>
      </c>
      <c r="CF159" s="35">
        <v>44179</v>
      </c>
      <c r="CG159" s="37">
        <v>1</v>
      </c>
      <c r="CH159" s="30" t="s">
        <v>192</v>
      </c>
      <c r="CI159" s="37">
        <v>5</v>
      </c>
      <c r="CJ159" s="30" t="s">
        <v>192</v>
      </c>
      <c r="CK159" s="29" t="s">
        <v>151</v>
      </c>
      <c r="CL159" s="30" t="s">
        <v>231</v>
      </c>
      <c r="CM159" s="30" t="s">
        <v>151</v>
      </c>
      <c r="CN159" s="30" t="s">
        <v>151</v>
      </c>
      <c r="CO159" s="30" t="s">
        <v>165</v>
      </c>
      <c r="CP159" s="35">
        <v>44179</v>
      </c>
      <c r="CQ159" s="37" t="s">
        <v>151</v>
      </c>
      <c r="CR159" s="30" t="s">
        <v>151</v>
      </c>
      <c r="CS159" s="30" t="s">
        <v>191</v>
      </c>
      <c r="CT159" s="29">
        <v>16</v>
      </c>
      <c r="CU159" s="30" t="s">
        <v>263</v>
      </c>
      <c r="CV159" s="32">
        <v>18</v>
      </c>
      <c r="CW159" s="32">
        <v>82</v>
      </c>
      <c r="CX159" s="30" t="s">
        <v>263</v>
      </c>
      <c r="CY159" s="32">
        <v>1</v>
      </c>
      <c r="CZ159" s="32">
        <v>17</v>
      </c>
      <c r="DA159" s="37">
        <v>5</v>
      </c>
      <c r="DB159" s="35">
        <v>44179</v>
      </c>
      <c r="DC159" s="30" t="s">
        <v>231</v>
      </c>
      <c r="DD159" s="29" t="s">
        <v>151</v>
      </c>
      <c r="DE159" s="32" t="s">
        <v>151</v>
      </c>
      <c r="DF159" s="34" t="s">
        <v>151</v>
      </c>
      <c r="DG159" s="32" t="s">
        <v>151</v>
      </c>
      <c r="DH159" s="32" t="s">
        <v>151</v>
      </c>
      <c r="DI159" s="32" t="s">
        <v>151</v>
      </c>
      <c r="DJ159" s="34" t="s">
        <v>151</v>
      </c>
      <c r="DK159" s="32" t="s">
        <v>151</v>
      </c>
      <c r="DL159" s="34" t="s">
        <v>151</v>
      </c>
      <c r="DM159" s="32" t="s">
        <v>151</v>
      </c>
      <c r="DN159" s="34" t="s">
        <v>151</v>
      </c>
      <c r="DO159" s="36" t="s">
        <v>151</v>
      </c>
      <c r="DP159" s="34" t="s">
        <v>151</v>
      </c>
      <c r="DQ159" s="36" t="s">
        <v>151</v>
      </c>
      <c r="DR159" s="32" t="s">
        <v>151</v>
      </c>
      <c r="DS159" s="36" t="s">
        <v>151</v>
      </c>
      <c r="DT159" s="34" t="s">
        <v>151</v>
      </c>
      <c r="DU159" s="36" t="s">
        <v>151</v>
      </c>
      <c r="DV159" s="34" t="s">
        <v>151</v>
      </c>
      <c r="DW159" s="36" t="s">
        <v>151</v>
      </c>
      <c r="DX159" s="34" t="s">
        <v>151</v>
      </c>
      <c r="DY159" s="31">
        <v>2</v>
      </c>
      <c r="DZ159" s="35">
        <v>44649</v>
      </c>
      <c r="EA159" s="35" t="s">
        <v>3785</v>
      </c>
      <c r="EB159" s="34" t="s">
        <v>151</v>
      </c>
      <c r="EC159" s="33" t="s">
        <v>151</v>
      </c>
      <c r="ED159" s="32" t="s">
        <v>151</v>
      </c>
      <c r="EE159" s="34" t="s">
        <v>151</v>
      </c>
      <c r="EF159" s="33" t="s">
        <v>151</v>
      </c>
      <c r="EG159" s="32" t="s">
        <v>151</v>
      </c>
      <c r="EH159" s="29" t="s">
        <v>198</v>
      </c>
      <c r="EI159" s="30" t="s">
        <v>151</v>
      </c>
      <c r="EJ159" s="30" t="s">
        <v>151</v>
      </c>
      <c r="EK159" s="31" t="s">
        <v>151</v>
      </c>
      <c r="EL159" s="31" t="s">
        <v>151</v>
      </c>
      <c r="EM159" s="31" t="s">
        <v>151</v>
      </c>
      <c r="EN159" s="31" t="s">
        <v>151</v>
      </c>
      <c r="EO159" s="31" t="s">
        <v>151</v>
      </c>
      <c r="EP159" s="30" t="s">
        <v>151</v>
      </c>
      <c r="EQ159" s="29" t="s">
        <v>151</v>
      </c>
      <c r="ER159" s="29" t="s">
        <v>151</v>
      </c>
      <c r="ES159" s="4">
        <f>HYPERLINK("https://my.pitchbook.com?c=228211-12","View Company Online")</f>
      </c>
    </row>
    <row r="160">
      <c r="A160" s="17" t="s">
        <v>3786</v>
      </c>
      <c r="B160" s="17" t="s">
        <v>3787</v>
      </c>
      <c r="C160" s="18" t="s">
        <v>151</v>
      </c>
      <c r="D160" s="17" t="s">
        <v>3788</v>
      </c>
      <c r="E160" s="17" t="s">
        <v>151</v>
      </c>
      <c r="F160" s="17" t="s">
        <v>3789</v>
      </c>
      <c r="G160" s="17" t="s">
        <v>151</v>
      </c>
      <c r="H160" s="17" t="s">
        <v>151</v>
      </c>
      <c r="I160" s="17" t="s">
        <v>151</v>
      </c>
      <c r="J160" s="17" t="s">
        <v>3786</v>
      </c>
      <c r="K160" s="17" t="s">
        <v>3790</v>
      </c>
      <c r="L160" s="17" t="s">
        <v>205</v>
      </c>
      <c r="M160" s="17" t="s">
        <v>206</v>
      </c>
      <c r="N160" s="17" t="s">
        <v>269</v>
      </c>
      <c r="O160" s="17" t="s">
        <v>1106</v>
      </c>
      <c r="P160" s="17" t="s">
        <v>2416</v>
      </c>
      <c r="Q160" s="17" t="s">
        <v>3791</v>
      </c>
      <c r="R160" s="17" t="s">
        <v>151</v>
      </c>
      <c r="S160" s="17" t="s">
        <v>162</v>
      </c>
      <c r="T160" s="24">
        <v>2.53</v>
      </c>
      <c r="U160" s="17" t="s">
        <v>163</v>
      </c>
      <c r="V160" s="17" t="s">
        <v>164</v>
      </c>
      <c r="W160" s="17" t="s">
        <v>165</v>
      </c>
      <c r="X160" s="15" t="s">
        <v>3792</v>
      </c>
      <c r="Y160" s="15" t="s">
        <v>3793</v>
      </c>
      <c r="Z160" s="27">
        <v>5</v>
      </c>
      <c r="AA160" s="17" t="s">
        <v>3794</v>
      </c>
      <c r="AB160" s="17" t="s">
        <v>151</v>
      </c>
      <c r="AC160" s="17" t="s">
        <v>151</v>
      </c>
      <c r="AD160" s="26">
        <v>2020</v>
      </c>
      <c r="AE160" s="17" t="s">
        <v>151</v>
      </c>
      <c r="AF160" s="22">
        <v>45510</v>
      </c>
      <c r="AG160" s="17" t="s">
        <v>151</v>
      </c>
      <c r="AH160" s="17" t="s">
        <v>151</v>
      </c>
      <c r="AI160" s="25">
        <v>0.04</v>
      </c>
      <c r="AJ160" s="19" t="s">
        <v>151</v>
      </c>
      <c r="AK160" s="25" t="s">
        <v>151</v>
      </c>
      <c r="AL160" s="25" t="s">
        <v>151</v>
      </c>
      <c r="AM160" s="25" t="s">
        <v>151</v>
      </c>
      <c r="AN160" s="25" t="s">
        <v>151</v>
      </c>
      <c r="AO160" s="25" t="s">
        <v>151</v>
      </c>
      <c r="AP160" s="25" t="s">
        <v>151</v>
      </c>
      <c r="AQ160" s="25" t="s">
        <v>151</v>
      </c>
      <c r="AR160" s="16" t="s">
        <v>810</v>
      </c>
      <c r="AS160" s="17" t="s">
        <v>3795</v>
      </c>
      <c r="AT160" s="17" t="s">
        <v>3796</v>
      </c>
      <c r="AU160" s="18">
        <v>1</v>
      </c>
      <c r="AV160" s="17" t="s">
        <v>151</v>
      </c>
      <c r="AW160" s="17" t="s">
        <v>151</v>
      </c>
      <c r="AX160" s="17" t="s">
        <v>151</v>
      </c>
      <c r="AY160" s="17" t="s">
        <v>3797</v>
      </c>
      <c r="AZ160" s="17" t="s">
        <v>151</v>
      </c>
      <c r="BA160" s="17" t="s">
        <v>151</v>
      </c>
      <c r="BB160" s="17" t="s">
        <v>151</v>
      </c>
      <c r="BC160" s="17" t="s">
        <v>151</v>
      </c>
      <c r="BD160" s="17" t="s">
        <v>3798</v>
      </c>
      <c r="BE160" s="17" t="s">
        <v>3799</v>
      </c>
      <c r="BF160" s="17" t="s">
        <v>3800</v>
      </c>
      <c r="BG160" s="17" t="s">
        <v>3801</v>
      </c>
      <c r="BH160" s="17" t="s">
        <v>151</v>
      </c>
      <c r="BI160" s="17" t="s">
        <v>3802</v>
      </c>
      <c r="BJ160" s="17" t="s">
        <v>3803</v>
      </c>
      <c r="BK160" s="17" t="s">
        <v>151</v>
      </c>
      <c r="BL160" s="17" t="s">
        <v>3804</v>
      </c>
      <c r="BM160" s="17" t="s">
        <v>289</v>
      </c>
      <c r="BN160" s="16" t="s">
        <v>3805</v>
      </c>
      <c r="BO160" s="17" t="s">
        <v>186</v>
      </c>
      <c r="BP160" s="16" t="s">
        <v>3806</v>
      </c>
      <c r="BQ160" s="16" t="s">
        <v>151</v>
      </c>
      <c r="BR160" s="17" t="s">
        <v>3807</v>
      </c>
      <c r="BS160" s="17" t="s">
        <v>187</v>
      </c>
      <c r="BT160" s="17" t="s">
        <v>188</v>
      </c>
      <c r="BU160" s="22">
        <v>45035</v>
      </c>
      <c r="BV160" s="24">
        <v>2</v>
      </c>
      <c r="BW160" s="17" t="s">
        <v>192</v>
      </c>
      <c r="BX160" s="24" t="s">
        <v>151</v>
      </c>
      <c r="BY160" s="17" t="s">
        <v>151</v>
      </c>
      <c r="BZ160" s="17" t="s">
        <v>293</v>
      </c>
      <c r="CA160" s="17" t="s">
        <v>293</v>
      </c>
      <c r="CB160" s="17" t="s">
        <v>151</v>
      </c>
      <c r="CC160" s="17" t="s">
        <v>165</v>
      </c>
      <c r="CD160" s="17" t="s">
        <v>151</v>
      </c>
      <c r="CE160" s="17" t="s">
        <v>191</v>
      </c>
      <c r="CF160" s="22">
        <v>45337</v>
      </c>
      <c r="CG160" s="24">
        <v>0.53</v>
      </c>
      <c r="CH160" s="17" t="s">
        <v>192</v>
      </c>
      <c r="CI160" s="24" t="s">
        <v>151</v>
      </c>
      <c r="CJ160" s="17" t="s">
        <v>151</v>
      </c>
      <c r="CK160" s="16" t="s">
        <v>151</v>
      </c>
      <c r="CL160" s="17" t="s">
        <v>231</v>
      </c>
      <c r="CM160" s="17" t="s">
        <v>151</v>
      </c>
      <c r="CN160" s="17" t="s">
        <v>151</v>
      </c>
      <c r="CO160" s="17" t="s">
        <v>165</v>
      </c>
      <c r="CP160" s="22">
        <v>45337</v>
      </c>
      <c r="CQ160" s="24" t="s">
        <v>151</v>
      </c>
      <c r="CR160" s="17" t="s">
        <v>151</v>
      </c>
      <c r="CS160" s="17" t="s">
        <v>191</v>
      </c>
      <c r="CT160" s="16">
        <v>26</v>
      </c>
      <c r="CU160" s="17" t="s">
        <v>263</v>
      </c>
      <c r="CV160" s="19">
        <v>27</v>
      </c>
      <c r="CW160" s="19">
        <v>73</v>
      </c>
      <c r="CX160" s="17" t="s">
        <v>263</v>
      </c>
      <c r="CY160" s="19">
        <v>1</v>
      </c>
      <c r="CZ160" s="19">
        <v>26</v>
      </c>
      <c r="DA160" s="24" t="s">
        <v>151</v>
      </c>
      <c r="DB160" s="22" t="s">
        <v>151</v>
      </c>
      <c r="DC160" s="17" t="s">
        <v>151</v>
      </c>
      <c r="DD160" s="16" t="s">
        <v>151</v>
      </c>
      <c r="DE160" s="19">
        <v>0</v>
      </c>
      <c r="DF160" s="21">
        <v>11</v>
      </c>
      <c r="DG160" s="19">
        <v>0</v>
      </c>
      <c r="DH160" s="19">
        <v>0</v>
      </c>
      <c r="DI160" s="19">
        <v>0</v>
      </c>
      <c r="DJ160" s="21">
        <v>10</v>
      </c>
      <c r="DK160" s="19" t="s">
        <v>151</v>
      </c>
      <c r="DL160" s="21" t="s">
        <v>151</v>
      </c>
      <c r="DM160" s="19">
        <v>0</v>
      </c>
      <c r="DN160" s="21">
        <v>10</v>
      </c>
      <c r="DO160" s="23">
        <v>0.58</v>
      </c>
      <c r="DP160" s="21">
        <v>36</v>
      </c>
      <c r="DQ160" s="23">
        <v>0</v>
      </c>
      <c r="DR160" s="19">
        <v>0</v>
      </c>
      <c r="DS160" s="23">
        <v>0.58</v>
      </c>
      <c r="DT160" s="21">
        <v>36</v>
      </c>
      <c r="DU160" s="23" t="s">
        <v>151</v>
      </c>
      <c r="DV160" s="21" t="s">
        <v>151</v>
      </c>
      <c r="DW160" s="23">
        <v>0.58</v>
      </c>
      <c r="DX160" s="21">
        <v>36</v>
      </c>
      <c r="DY160" s="18" t="s">
        <v>151</v>
      </c>
      <c r="DZ160" s="22" t="s">
        <v>151</v>
      </c>
      <c r="EA160" s="22" t="s">
        <v>151</v>
      </c>
      <c r="EB160" s="21" t="s">
        <v>151</v>
      </c>
      <c r="EC160" s="20" t="s">
        <v>151</v>
      </c>
      <c r="ED160" s="19" t="s">
        <v>151</v>
      </c>
      <c r="EE160" s="21">
        <v>11</v>
      </c>
      <c r="EF160" s="20">
        <v>0</v>
      </c>
      <c r="EG160" s="19">
        <v>0</v>
      </c>
      <c r="EH160" s="16" t="s">
        <v>198</v>
      </c>
      <c r="EI160" s="17" t="s">
        <v>151</v>
      </c>
      <c r="EJ160" s="17" t="s">
        <v>151</v>
      </c>
      <c r="EK160" s="18" t="s">
        <v>151</v>
      </c>
      <c r="EL160" s="18" t="s">
        <v>151</v>
      </c>
      <c r="EM160" s="18" t="s">
        <v>151</v>
      </c>
      <c r="EN160" s="18" t="s">
        <v>151</v>
      </c>
      <c r="EO160" s="18" t="s">
        <v>151</v>
      </c>
      <c r="EP160" s="17" t="s">
        <v>151</v>
      </c>
      <c r="EQ160" s="16" t="s">
        <v>151</v>
      </c>
      <c r="ER160" s="16" t="s">
        <v>151</v>
      </c>
      <c r="ES160" s="3">
        <f>HYPERLINK("https://my.pitchbook.com?c=170502-94","View Company Online")</f>
      </c>
    </row>
    <row r="161">
      <c r="A161" s="30" t="s">
        <v>3808</v>
      </c>
      <c r="B161" s="30" t="s">
        <v>3809</v>
      </c>
      <c r="C161" s="31" t="s">
        <v>151</v>
      </c>
      <c r="D161" s="30" t="s">
        <v>151</v>
      </c>
      <c r="E161" s="30" t="s">
        <v>151</v>
      </c>
      <c r="F161" s="30" t="s">
        <v>3810</v>
      </c>
      <c r="G161" s="30" t="s">
        <v>151</v>
      </c>
      <c r="H161" s="30" t="s">
        <v>151</v>
      </c>
      <c r="I161" s="30" t="s">
        <v>151</v>
      </c>
      <c r="J161" s="30" t="s">
        <v>3808</v>
      </c>
      <c r="K161" s="30" t="s">
        <v>3811</v>
      </c>
      <c r="L161" s="30" t="s">
        <v>205</v>
      </c>
      <c r="M161" s="30" t="s">
        <v>448</v>
      </c>
      <c r="N161" s="30" t="s">
        <v>478</v>
      </c>
      <c r="O161" s="30" t="s">
        <v>3812</v>
      </c>
      <c r="P161" s="30" t="s">
        <v>3813</v>
      </c>
      <c r="Q161" s="30" t="s">
        <v>3814</v>
      </c>
      <c r="R161" s="30" t="s">
        <v>151</v>
      </c>
      <c r="S161" s="30" t="s">
        <v>162</v>
      </c>
      <c r="T161" s="37">
        <v>1.9</v>
      </c>
      <c r="U161" s="30" t="s">
        <v>163</v>
      </c>
      <c r="V161" s="30" t="s">
        <v>164</v>
      </c>
      <c r="W161" s="30" t="s">
        <v>165</v>
      </c>
      <c r="X161" s="28" t="s">
        <v>3815</v>
      </c>
      <c r="Y161" s="28" t="s">
        <v>3816</v>
      </c>
      <c r="Z161" s="40">
        <v>7</v>
      </c>
      <c r="AA161" s="30" t="s">
        <v>3817</v>
      </c>
      <c r="AB161" s="30" t="s">
        <v>151</v>
      </c>
      <c r="AC161" s="30" t="s">
        <v>151</v>
      </c>
      <c r="AD161" s="39">
        <v>2019</v>
      </c>
      <c r="AE161" s="30" t="s">
        <v>151</v>
      </c>
      <c r="AF161" s="35">
        <v>45575</v>
      </c>
      <c r="AG161" s="30" t="s">
        <v>151</v>
      </c>
      <c r="AH161" s="30" t="s">
        <v>151</v>
      </c>
      <c r="AI161" s="38" t="s">
        <v>151</v>
      </c>
      <c r="AJ161" s="32" t="s">
        <v>151</v>
      </c>
      <c r="AK161" s="38" t="s">
        <v>151</v>
      </c>
      <c r="AL161" s="38" t="s">
        <v>151</v>
      </c>
      <c r="AM161" s="38" t="s">
        <v>151</v>
      </c>
      <c r="AN161" s="38" t="s">
        <v>151</v>
      </c>
      <c r="AO161" s="38" t="s">
        <v>151</v>
      </c>
      <c r="AP161" s="38" t="s">
        <v>151</v>
      </c>
      <c r="AQ161" s="38" t="s">
        <v>151</v>
      </c>
      <c r="AR161" s="29" t="s">
        <v>151</v>
      </c>
      <c r="AS161" s="30" t="s">
        <v>3818</v>
      </c>
      <c r="AT161" s="30" t="s">
        <v>3819</v>
      </c>
      <c r="AU161" s="31">
        <v>7</v>
      </c>
      <c r="AV161" s="30" t="s">
        <v>151</v>
      </c>
      <c r="AW161" s="30" t="s">
        <v>151</v>
      </c>
      <c r="AX161" s="30" t="s">
        <v>151</v>
      </c>
      <c r="AY161" s="30" t="s">
        <v>3820</v>
      </c>
      <c r="AZ161" s="30" t="s">
        <v>151</v>
      </c>
      <c r="BA161" s="30" t="s">
        <v>151</v>
      </c>
      <c r="BB161" s="30" t="s">
        <v>151</v>
      </c>
      <c r="BC161" s="30" t="s">
        <v>151</v>
      </c>
      <c r="BD161" s="30" t="s">
        <v>3821</v>
      </c>
      <c r="BE161" s="30" t="s">
        <v>3822</v>
      </c>
      <c r="BF161" s="30" t="s">
        <v>3823</v>
      </c>
      <c r="BG161" s="30" t="s">
        <v>3824</v>
      </c>
      <c r="BH161" s="30" t="s">
        <v>3825</v>
      </c>
      <c r="BI161" s="30" t="s">
        <v>578</v>
      </c>
      <c r="BJ161" s="30" t="s">
        <v>3826</v>
      </c>
      <c r="BK161" s="30" t="s">
        <v>1620</v>
      </c>
      <c r="BL161" s="30" t="s">
        <v>581</v>
      </c>
      <c r="BM161" s="30" t="s">
        <v>582</v>
      </c>
      <c r="BN161" s="29" t="s">
        <v>3827</v>
      </c>
      <c r="BO161" s="30" t="s">
        <v>186</v>
      </c>
      <c r="BP161" s="29" t="s">
        <v>3825</v>
      </c>
      <c r="BQ161" s="29" t="s">
        <v>151</v>
      </c>
      <c r="BR161" s="30" t="s">
        <v>3828</v>
      </c>
      <c r="BS161" s="30" t="s">
        <v>187</v>
      </c>
      <c r="BT161" s="30" t="s">
        <v>188</v>
      </c>
      <c r="BU161" s="35">
        <v>43891</v>
      </c>
      <c r="BV161" s="37">
        <v>0.1</v>
      </c>
      <c r="BW161" s="30" t="s">
        <v>192</v>
      </c>
      <c r="BX161" s="37" t="s">
        <v>151</v>
      </c>
      <c r="BY161" s="30" t="s">
        <v>151</v>
      </c>
      <c r="BZ161" s="30" t="s">
        <v>501</v>
      </c>
      <c r="CA161" s="30" t="s">
        <v>151</v>
      </c>
      <c r="CB161" s="30" t="s">
        <v>151</v>
      </c>
      <c r="CC161" s="30" t="s">
        <v>190</v>
      </c>
      <c r="CD161" s="30" t="s">
        <v>151</v>
      </c>
      <c r="CE161" s="30" t="s">
        <v>191</v>
      </c>
      <c r="CF161" s="35">
        <v>45292</v>
      </c>
      <c r="CG161" s="37">
        <v>1.88</v>
      </c>
      <c r="CH161" s="30" t="s">
        <v>192</v>
      </c>
      <c r="CI161" s="37" t="s">
        <v>151</v>
      </c>
      <c r="CJ161" s="30" t="s">
        <v>151</v>
      </c>
      <c r="CK161" s="29" t="s">
        <v>151</v>
      </c>
      <c r="CL161" s="30" t="s">
        <v>293</v>
      </c>
      <c r="CM161" s="30" t="s">
        <v>293</v>
      </c>
      <c r="CN161" s="30" t="s">
        <v>151</v>
      </c>
      <c r="CO161" s="30" t="s">
        <v>165</v>
      </c>
      <c r="CP161" s="35">
        <v>45292</v>
      </c>
      <c r="CQ161" s="37" t="s">
        <v>151</v>
      </c>
      <c r="CR161" s="30" t="s">
        <v>151</v>
      </c>
      <c r="CS161" s="30" t="s">
        <v>191</v>
      </c>
      <c r="CT161" s="29" t="s">
        <v>151</v>
      </c>
      <c r="CU161" s="30" t="s">
        <v>151</v>
      </c>
      <c r="CV161" s="32" t="s">
        <v>151</v>
      </c>
      <c r="CW161" s="32" t="s">
        <v>151</v>
      </c>
      <c r="CX161" s="30" t="s">
        <v>151</v>
      </c>
      <c r="CY161" s="32" t="s">
        <v>151</v>
      </c>
      <c r="CZ161" s="32" t="s">
        <v>151</v>
      </c>
      <c r="DA161" s="37" t="s">
        <v>151</v>
      </c>
      <c r="DB161" s="35" t="s">
        <v>151</v>
      </c>
      <c r="DC161" s="30" t="s">
        <v>151</v>
      </c>
      <c r="DD161" s="29" t="s">
        <v>151</v>
      </c>
      <c r="DE161" s="32">
        <v>0</v>
      </c>
      <c r="DF161" s="34">
        <v>11</v>
      </c>
      <c r="DG161" s="32">
        <v>0</v>
      </c>
      <c r="DH161" s="32">
        <v>0</v>
      </c>
      <c r="DI161" s="32">
        <v>0</v>
      </c>
      <c r="DJ161" s="34">
        <v>10</v>
      </c>
      <c r="DK161" s="32" t="s">
        <v>151</v>
      </c>
      <c r="DL161" s="34" t="s">
        <v>151</v>
      </c>
      <c r="DM161" s="32">
        <v>0</v>
      </c>
      <c r="DN161" s="34">
        <v>10</v>
      </c>
      <c r="DO161" s="36">
        <v>0.53</v>
      </c>
      <c r="DP161" s="34">
        <v>33</v>
      </c>
      <c r="DQ161" s="36">
        <v>0</v>
      </c>
      <c r="DR161" s="32">
        <v>0</v>
      </c>
      <c r="DS161" s="36">
        <v>0.53</v>
      </c>
      <c r="DT161" s="34">
        <v>34</v>
      </c>
      <c r="DU161" s="36" t="s">
        <v>151</v>
      </c>
      <c r="DV161" s="34" t="s">
        <v>151</v>
      </c>
      <c r="DW161" s="36">
        <v>0.53</v>
      </c>
      <c r="DX161" s="34">
        <v>34</v>
      </c>
      <c r="DY161" s="31" t="s">
        <v>151</v>
      </c>
      <c r="DZ161" s="35" t="s">
        <v>151</v>
      </c>
      <c r="EA161" s="35" t="s">
        <v>151</v>
      </c>
      <c r="EB161" s="34">
        <v>11</v>
      </c>
      <c r="EC161" s="33">
        <v>-55</v>
      </c>
      <c r="ED161" s="32">
        <v>-83.33</v>
      </c>
      <c r="EE161" s="34">
        <v>10</v>
      </c>
      <c r="EF161" s="33">
        <v>0</v>
      </c>
      <c r="EG161" s="32">
        <v>0</v>
      </c>
      <c r="EH161" s="29" t="s">
        <v>198</v>
      </c>
      <c r="EI161" s="30" t="s">
        <v>151</v>
      </c>
      <c r="EJ161" s="30" t="s">
        <v>151</v>
      </c>
      <c r="EK161" s="31" t="s">
        <v>151</v>
      </c>
      <c r="EL161" s="31" t="s">
        <v>151</v>
      </c>
      <c r="EM161" s="31" t="s">
        <v>151</v>
      </c>
      <c r="EN161" s="31" t="s">
        <v>151</v>
      </c>
      <c r="EO161" s="31" t="s">
        <v>151</v>
      </c>
      <c r="EP161" s="30" t="s">
        <v>151</v>
      </c>
      <c r="EQ161" s="29" t="s">
        <v>151</v>
      </c>
      <c r="ER161" s="29" t="s">
        <v>151</v>
      </c>
      <c r="ES161" s="4">
        <f>HYPERLINK("https://my.pitchbook.com?c=483827-68","View Company Online")</f>
      </c>
    </row>
    <row r="162">
      <c r="A162" s="17" t="s">
        <v>3829</v>
      </c>
      <c r="B162" s="17" t="s">
        <v>3830</v>
      </c>
      <c r="C162" s="18" t="s">
        <v>151</v>
      </c>
      <c r="D162" s="17" t="s">
        <v>151</v>
      </c>
      <c r="E162" s="17" t="s">
        <v>151</v>
      </c>
      <c r="F162" s="17" t="s">
        <v>3831</v>
      </c>
      <c r="G162" s="17" t="s">
        <v>151</v>
      </c>
      <c r="H162" s="17" t="s">
        <v>151</v>
      </c>
      <c r="I162" s="17" t="s">
        <v>3832</v>
      </c>
      <c r="J162" s="17" t="s">
        <v>3829</v>
      </c>
      <c r="K162" s="17" t="s">
        <v>3833</v>
      </c>
      <c r="L162" s="17" t="s">
        <v>616</v>
      </c>
      <c r="M162" s="17" t="s">
        <v>834</v>
      </c>
      <c r="N162" s="17" t="s">
        <v>3834</v>
      </c>
      <c r="O162" s="17" t="s">
        <v>3835</v>
      </c>
      <c r="P162" s="17" t="s">
        <v>3836</v>
      </c>
      <c r="Q162" s="17" t="s">
        <v>3837</v>
      </c>
      <c r="R162" s="17" t="s">
        <v>151</v>
      </c>
      <c r="S162" s="17" t="s">
        <v>162</v>
      </c>
      <c r="T162" s="24">
        <v>5.63</v>
      </c>
      <c r="U162" s="17" t="s">
        <v>163</v>
      </c>
      <c r="V162" s="17" t="s">
        <v>164</v>
      </c>
      <c r="W162" s="17" t="s">
        <v>165</v>
      </c>
      <c r="X162" s="15" t="s">
        <v>3838</v>
      </c>
      <c r="Y162" s="15" t="s">
        <v>3839</v>
      </c>
      <c r="Z162" s="27">
        <v>26</v>
      </c>
      <c r="AA162" s="17" t="s">
        <v>3840</v>
      </c>
      <c r="AB162" s="17" t="s">
        <v>151</v>
      </c>
      <c r="AC162" s="17" t="s">
        <v>151</v>
      </c>
      <c r="AD162" s="26">
        <v>2022</v>
      </c>
      <c r="AE162" s="17" t="s">
        <v>151</v>
      </c>
      <c r="AF162" s="22">
        <v>45594</v>
      </c>
      <c r="AG162" s="17" t="s">
        <v>151</v>
      </c>
      <c r="AH162" s="17" t="s">
        <v>151</v>
      </c>
      <c r="AI162" s="25">
        <v>0.25</v>
      </c>
      <c r="AJ162" s="19" t="s">
        <v>151</v>
      </c>
      <c r="AK162" s="25" t="s">
        <v>151</v>
      </c>
      <c r="AL162" s="25" t="s">
        <v>151</v>
      </c>
      <c r="AM162" s="25" t="s">
        <v>151</v>
      </c>
      <c r="AN162" s="25" t="s">
        <v>151</v>
      </c>
      <c r="AO162" s="25" t="s">
        <v>151</v>
      </c>
      <c r="AP162" s="25" t="s">
        <v>151</v>
      </c>
      <c r="AQ162" s="25" t="s">
        <v>151</v>
      </c>
      <c r="AR162" s="16" t="s">
        <v>810</v>
      </c>
      <c r="AS162" s="17" t="s">
        <v>3841</v>
      </c>
      <c r="AT162" s="17" t="s">
        <v>3842</v>
      </c>
      <c r="AU162" s="18">
        <v>9</v>
      </c>
      <c r="AV162" s="17" t="s">
        <v>151</v>
      </c>
      <c r="AW162" s="17" t="s">
        <v>151</v>
      </c>
      <c r="AX162" s="17" t="s">
        <v>151</v>
      </c>
      <c r="AY162" s="17" t="s">
        <v>3843</v>
      </c>
      <c r="AZ162" s="17" t="s">
        <v>151</v>
      </c>
      <c r="BA162" s="17" t="s">
        <v>151</v>
      </c>
      <c r="BB162" s="17" t="s">
        <v>151</v>
      </c>
      <c r="BC162" s="17" t="s">
        <v>151</v>
      </c>
      <c r="BD162" s="17" t="s">
        <v>3844</v>
      </c>
      <c r="BE162" s="17" t="s">
        <v>3845</v>
      </c>
      <c r="BF162" s="17" t="s">
        <v>3846</v>
      </c>
      <c r="BG162" s="17" t="s">
        <v>3847</v>
      </c>
      <c r="BH162" s="17" t="s">
        <v>3848</v>
      </c>
      <c r="BI162" s="17" t="s">
        <v>906</v>
      </c>
      <c r="BJ162" s="17" t="s">
        <v>3849</v>
      </c>
      <c r="BK162" s="17" t="s">
        <v>151</v>
      </c>
      <c r="BL162" s="17" t="s">
        <v>259</v>
      </c>
      <c r="BM162" s="17" t="s">
        <v>259</v>
      </c>
      <c r="BN162" s="16" t="s">
        <v>1123</v>
      </c>
      <c r="BO162" s="17" t="s">
        <v>186</v>
      </c>
      <c r="BP162" s="16" t="s">
        <v>3850</v>
      </c>
      <c r="BQ162" s="16" t="s">
        <v>151</v>
      </c>
      <c r="BR162" s="17" t="s">
        <v>3851</v>
      </c>
      <c r="BS162" s="17" t="s">
        <v>187</v>
      </c>
      <c r="BT162" s="17" t="s">
        <v>188</v>
      </c>
      <c r="BU162" s="22">
        <v>44682</v>
      </c>
      <c r="BV162" s="24" t="s">
        <v>151</v>
      </c>
      <c r="BW162" s="17" t="s">
        <v>151</v>
      </c>
      <c r="BX162" s="24" t="s">
        <v>151</v>
      </c>
      <c r="BY162" s="17" t="s">
        <v>151</v>
      </c>
      <c r="BZ162" s="17" t="s">
        <v>189</v>
      </c>
      <c r="CA162" s="17" t="s">
        <v>151</v>
      </c>
      <c r="CB162" s="17" t="s">
        <v>151</v>
      </c>
      <c r="CC162" s="17" t="s">
        <v>190</v>
      </c>
      <c r="CD162" s="17" t="s">
        <v>151</v>
      </c>
      <c r="CE162" s="17" t="s">
        <v>191</v>
      </c>
      <c r="CF162" s="22">
        <v>45460</v>
      </c>
      <c r="CG162" s="24">
        <v>5.5</v>
      </c>
      <c r="CH162" s="17" t="s">
        <v>192</v>
      </c>
      <c r="CI162" s="24" t="s">
        <v>151</v>
      </c>
      <c r="CJ162" s="17" t="s">
        <v>151</v>
      </c>
      <c r="CK162" s="16" t="s">
        <v>151</v>
      </c>
      <c r="CL162" s="17" t="s">
        <v>293</v>
      </c>
      <c r="CM162" s="17" t="s">
        <v>293</v>
      </c>
      <c r="CN162" s="17" t="s">
        <v>151</v>
      </c>
      <c r="CO162" s="17" t="s">
        <v>165</v>
      </c>
      <c r="CP162" s="22">
        <v>45460</v>
      </c>
      <c r="CQ162" s="24" t="s">
        <v>151</v>
      </c>
      <c r="CR162" s="17" t="s">
        <v>151</v>
      </c>
      <c r="CS162" s="17" t="s">
        <v>191</v>
      </c>
      <c r="CT162" s="16" t="s">
        <v>151</v>
      </c>
      <c r="CU162" s="17" t="s">
        <v>151</v>
      </c>
      <c r="CV162" s="19" t="s">
        <v>151</v>
      </c>
      <c r="CW162" s="19" t="s">
        <v>151</v>
      </c>
      <c r="CX162" s="17" t="s">
        <v>151</v>
      </c>
      <c r="CY162" s="19" t="s">
        <v>151</v>
      </c>
      <c r="CZ162" s="19" t="s">
        <v>151</v>
      </c>
      <c r="DA162" s="24" t="s">
        <v>151</v>
      </c>
      <c r="DB162" s="22" t="s">
        <v>151</v>
      </c>
      <c r="DC162" s="17" t="s">
        <v>151</v>
      </c>
      <c r="DD162" s="16" t="s">
        <v>151</v>
      </c>
      <c r="DE162" s="19">
        <v>0</v>
      </c>
      <c r="DF162" s="21">
        <v>11</v>
      </c>
      <c r="DG162" s="19">
        <v>0</v>
      </c>
      <c r="DH162" s="19">
        <v>0</v>
      </c>
      <c r="DI162" s="19" t="s">
        <v>151</v>
      </c>
      <c r="DJ162" s="21" t="s">
        <v>151</v>
      </c>
      <c r="DK162" s="19" t="s">
        <v>151</v>
      </c>
      <c r="DL162" s="21" t="s">
        <v>151</v>
      </c>
      <c r="DM162" s="19" t="s">
        <v>151</v>
      </c>
      <c r="DN162" s="21" t="s">
        <v>151</v>
      </c>
      <c r="DO162" s="23">
        <v>2</v>
      </c>
      <c r="DP162" s="21">
        <v>66</v>
      </c>
      <c r="DQ162" s="23">
        <v>0</v>
      </c>
      <c r="DR162" s="19">
        <v>0</v>
      </c>
      <c r="DS162" s="23" t="s">
        <v>151</v>
      </c>
      <c r="DT162" s="21" t="s">
        <v>151</v>
      </c>
      <c r="DU162" s="23" t="s">
        <v>151</v>
      </c>
      <c r="DV162" s="21" t="s">
        <v>151</v>
      </c>
      <c r="DW162" s="23" t="s">
        <v>151</v>
      </c>
      <c r="DX162" s="21" t="s">
        <v>151</v>
      </c>
      <c r="DY162" s="18" t="s">
        <v>151</v>
      </c>
      <c r="DZ162" s="22" t="s">
        <v>151</v>
      </c>
      <c r="EA162" s="22" t="s">
        <v>151</v>
      </c>
      <c r="EB162" s="21">
        <v>916</v>
      </c>
      <c r="EC162" s="20">
        <v>-83</v>
      </c>
      <c r="ED162" s="19">
        <v>-8.31</v>
      </c>
      <c r="EE162" s="21" t="s">
        <v>151</v>
      </c>
      <c r="EF162" s="20" t="s">
        <v>151</v>
      </c>
      <c r="EG162" s="19" t="s">
        <v>151</v>
      </c>
      <c r="EH162" s="16" t="s">
        <v>198</v>
      </c>
      <c r="EI162" s="17" t="s">
        <v>151</v>
      </c>
      <c r="EJ162" s="17" t="s">
        <v>151</v>
      </c>
      <c r="EK162" s="18" t="s">
        <v>151</v>
      </c>
      <c r="EL162" s="18" t="s">
        <v>151</v>
      </c>
      <c r="EM162" s="18" t="s">
        <v>151</v>
      </c>
      <c r="EN162" s="18" t="s">
        <v>151</v>
      </c>
      <c r="EO162" s="18" t="s">
        <v>151</v>
      </c>
      <c r="EP162" s="17" t="s">
        <v>151</v>
      </c>
      <c r="EQ162" s="16" t="s">
        <v>151</v>
      </c>
      <c r="ER162" s="16" t="s">
        <v>151</v>
      </c>
      <c r="ES162" s="3">
        <f>HYPERLINK("https://my.pitchbook.com?c=502741-18","View Company Online")</f>
      </c>
    </row>
    <row r="163">
      <c r="A163" s="30" t="s">
        <v>3852</v>
      </c>
      <c r="B163" s="30" t="s">
        <v>3853</v>
      </c>
      <c r="C163" s="31" t="s">
        <v>151</v>
      </c>
      <c r="D163" s="30" t="s">
        <v>151</v>
      </c>
      <c r="E163" s="30" t="s">
        <v>3854</v>
      </c>
      <c r="F163" s="30" t="s">
        <v>3855</v>
      </c>
      <c r="G163" s="30" t="s">
        <v>151</v>
      </c>
      <c r="H163" s="30" t="s">
        <v>151</v>
      </c>
      <c r="I163" s="30" t="s">
        <v>151</v>
      </c>
      <c r="J163" s="30" t="s">
        <v>3852</v>
      </c>
      <c r="K163" s="30" t="s">
        <v>3856</v>
      </c>
      <c r="L163" s="30" t="s">
        <v>616</v>
      </c>
      <c r="M163" s="30" t="s">
        <v>834</v>
      </c>
      <c r="N163" s="30" t="s">
        <v>835</v>
      </c>
      <c r="O163" s="30" t="s">
        <v>3857</v>
      </c>
      <c r="P163" s="30" t="s">
        <v>3858</v>
      </c>
      <c r="Q163" s="30" t="s">
        <v>3859</v>
      </c>
      <c r="R163" s="30" t="s">
        <v>151</v>
      </c>
      <c r="S163" s="30" t="s">
        <v>162</v>
      </c>
      <c r="T163" s="37">
        <v>1.7</v>
      </c>
      <c r="U163" s="30" t="s">
        <v>163</v>
      </c>
      <c r="V163" s="30" t="s">
        <v>164</v>
      </c>
      <c r="W163" s="30" t="s">
        <v>165</v>
      </c>
      <c r="X163" s="28" t="s">
        <v>3860</v>
      </c>
      <c r="Y163" s="28" t="s">
        <v>3861</v>
      </c>
      <c r="Z163" s="40">
        <v>5</v>
      </c>
      <c r="AA163" s="30" t="s">
        <v>3862</v>
      </c>
      <c r="AB163" s="30" t="s">
        <v>151</v>
      </c>
      <c r="AC163" s="30" t="s">
        <v>151</v>
      </c>
      <c r="AD163" s="39">
        <v>2022</v>
      </c>
      <c r="AE163" s="30" t="s">
        <v>151</v>
      </c>
      <c r="AF163" s="35">
        <v>45434</v>
      </c>
      <c r="AG163" s="30" t="s">
        <v>151</v>
      </c>
      <c r="AH163" s="30" t="s">
        <v>151</v>
      </c>
      <c r="AI163" s="38" t="s">
        <v>151</v>
      </c>
      <c r="AJ163" s="32" t="s">
        <v>151</v>
      </c>
      <c r="AK163" s="38" t="s">
        <v>151</v>
      </c>
      <c r="AL163" s="38" t="s">
        <v>151</v>
      </c>
      <c r="AM163" s="38" t="s">
        <v>151</v>
      </c>
      <c r="AN163" s="38" t="s">
        <v>151</v>
      </c>
      <c r="AO163" s="38" t="s">
        <v>151</v>
      </c>
      <c r="AP163" s="38" t="s">
        <v>151</v>
      </c>
      <c r="AQ163" s="38" t="s">
        <v>151</v>
      </c>
      <c r="AR163" s="29" t="s">
        <v>151</v>
      </c>
      <c r="AS163" s="30" t="s">
        <v>3863</v>
      </c>
      <c r="AT163" s="30" t="s">
        <v>3864</v>
      </c>
      <c r="AU163" s="31">
        <v>8</v>
      </c>
      <c r="AV163" s="30" t="s">
        <v>151</v>
      </c>
      <c r="AW163" s="30" t="s">
        <v>151</v>
      </c>
      <c r="AX163" s="30" t="s">
        <v>151</v>
      </c>
      <c r="AY163" s="30" t="s">
        <v>3865</v>
      </c>
      <c r="AZ163" s="30" t="s">
        <v>151</v>
      </c>
      <c r="BA163" s="30" t="s">
        <v>151</v>
      </c>
      <c r="BB163" s="30" t="s">
        <v>151</v>
      </c>
      <c r="BC163" s="30" t="s">
        <v>151</v>
      </c>
      <c r="BD163" s="30" t="s">
        <v>3866</v>
      </c>
      <c r="BE163" s="30" t="s">
        <v>3867</v>
      </c>
      <c r="BF163" s="30" t="s">
        <v>282</v>
      </c>
      <c r="BG163" s="30" t="s">
        <v>151</v>
      </c>
      <c r="BH163" s="30" t="s">
        <v>3868</v>
      </c>
      <c r="BI163" s="30" t="s">
        <v>906</v>
      </c>
      <c r="BJ163" s="30" t="s">
        <v>3869</v>
      </c>
      <c r="BK163" s="30" t="s">
        <v>3870</v>
      </c>
      <c r="BL163" s="30" t="s">
        <v>259</v>
      </c>
      <c r="BM163" s="30" t="s">
        <v>259</v>
      </c>
      <c r="BN163" s="29" t="s">
        <v>3871</v>
      </c>
      <c r="BO163" s="30" t="s">
        <v>186</v>
      </c>
      <c r="BP163" s="29" t="s">
        <v>3868</v>
      </c>
      <c r="BQ163" s="29" t="s">
        <v>151</v>
      </c>
      <c r="BR163" s="30" t="s">
        <v>151</v>
      </c>
      <c r="BS163" s="30" t="s">
        <v>187</v>
      </c>
      <c r="BT163" s="30" t="s">
        <v>188</v>
      </c>
      <c r="BU163" s="35">
        <v>44902</v>
      </c>
      <c r="BV163" s="37">
        <v>1.7</v>
      </c>
      <c r="BW163" s="30" t="s">
        <v>192</v>
      </c>
      <c r="BX163" s="37" t="s">
        <v>151</v>
      </c>
      <c r="BY163" s="30" t="s">
        <v>151</v>
      </c>
      <c r="BZ163" s="30" t="s">
        <v>293</v>
      </c>
      <c r="CA163" s="30" t="s">
        <v>293</v>
      </c>
      <c r="CB163" s="30" t="s">
        <v>151</v>
      </c>
      <c r="CC163" s="30" t="s">
        <v>165</v>
      </c>
      <c r="CD163" s="30" t="s">
        <v>151</v>
      </c>
      <c r="CE163" s="30" t="s">
        <v>191</v>
      </c>
      <c r="CF163" s="35">
        <v>44902</v>
      </c>
      <c r="CG163" s="37">
        <v>1.7</v>
      </c>
      <c r="CH163" s="30" t="s">
        <v>192</v>
      </c>
      <c r="CI163" s="37" t="s">
        <v>151</v>
      </c>
      <c r="CJ163" s="30" t="s">
        <v>151</v>
      </c>
      <c r="CK163" s="29" t="s">
        <v>151</v>
      </c>
      <c r="CL163" s="30" t="s">
        <v>293</v>
      </c>
      <c r="CM163" s="30" t="s">
        <v>293</v>
      </c>
      <c r="CN163" s="30" t="s">
        <v>151</v>
      </c>
      <c r="CO163" s="30" t="s">
        <v>165</v>
      </c>
      <c r="CP163" s="35">
        <v>44902</v>
      </c>
      <c r="CQ163" s="37" t="s">
        <v>151</v>
      </c>
      <c r="CR163" s="30" t="s">
        <v>151</v>
      </c>
      <c r="CS163" s="30" t="s">
        <v>191</v>
      </c>
      <c r="CT163" s="29" t="s">
        <v>151</v>
      </c>
      <c r="CU163" s="30" t="s">
        <v>151</v>
      </c>
      <c r="CV163" s="32" t="s">
        <v>151</v>
      </c>
      <c r="CW163" s="32" t="s">
        <v>151</v>
      </c>
      <c r="CX163" s="30" t="s">
        <v>151</v>
      </c>
      <c r="CY163" s="32" t="s">
        <v>151</v>
      </c>
      <c r="CZ163" s="32" t="s">
        <v>151</v>
      </c>
      <c r="DA163" s="37" t="s">
        <v>151</v>
      </c>
      <c r="DB163" s="35" t="s">
        <v>151</v>
      </c>
      <c r="DC163" s="30" t="s">
        <v>151</v>
      </c>
      <c r="DD163" s="29" t="s">
        <v>151</v>
      </c>
      <c r="DE163" s="32">
        <v>0</v>
      </c>
      <c r="DF163" s="34">
        <v>11</v>
      </c>
      <c r="DG163" s="32">
        <v>0</v>
      </c>
      <c r="DH163" s="32">
        <v>0</v>
      </c>
      <c r="DI163" s="32">
        <v>0</v>
      </c>
      <c r="DJ163" s="34">
        <v>10</v>
      </c>
      <c r="DK163" s="32">
        <v>0</v>
      </c>
      <c r="DL163" s="34">
        <v>11</v>
      </c>
      <c r="DM163" s="32">
        <v>0</v>
      </c>
      <c r="DN163" s="34">
        <v>10</v>
      </c>
      <c r="DO163" s="36">
        <v>0.45</v>
      </c>
      <c r="DP163" s="34">
        <v>30</v>
      </c>
      <c r="DQ163" s="36">
        <v>0</v>
      </c>
      <c r="DR163" s="32">
        <v>0</v>
      </c>
      <c r="DS163" s="36">
        <v>0.52</v>
      </c>
      <c r="DT163" s="34">
        <v>34</v>
      </c>
      <c r="DU163" s="36">
        <v>0.04</v>
      </c>
      <c r="DV163" s="34">
        <v>23</v>
      </c>
      <c r="DW163" s="36">
        <v>1</v>
      </c>
      <c r="DX163" s="34">
        <v>49</v>
      </c>
      <c r="DY163" s="31" t="s">
        <v>151</v>
      </c>
      <c r="DZ163" s="35" t="s">
        <v>151</v>
      </c>
      <c r="EA163" s="35" t="s">
        <v>151</v>
      </c>
      <c r="EB163" s="34">
        <v>15</v>
      </c>
      <c r="EC163" s="33">
        <v>-47</v>
      </c>
      <c r="ED163" s="32">
        <v>-75.81</v>
      </c>
      <c r="EE163" s="34">
        <v>19</v>
      </c>
      <c r="EF163" s="33">
        <v>-1</v>
      </c>
      <c r="EG163" s="32">
        <v>-5</v>
      </c>
      <c r="EH163" s="29" t="s">
        <v>198</v>
      </c>
      <c r="EI163" s="30" t="s">
        <v>151</v>
      </c>
      <c r="EJ163" s="30" t="s">
        <v>151</v>
      </c>
      <c r="EK163" s="31" t="s">
        <v>151</v>
      </c>
      <c r="EL163" s="31" t="s">
        <v>151</v>
      </c>
      <c r="EM163" s="31" t="s">
        <v>151</v>
      </c>
      <c r="EN163" s="31" t="s">
        <v>151</v>
      </c>
      <c r="EO163" s="31" t="s">
        <v>151</v>
      </c>
      <c r="EP163" s="30" t="s">
        <v>151</v>
      </c>
      <c r="EQ163" s="29" t="s">
        <v>151</v>
      </c>
      <c r="ER163" s="29" t="s">
        <v>151</v>
      </c>
      <c r="ES163" s="4">
        <f>HYPERLINK("https://my.pitchbook.com?c=532754-38","View Company Online")</f>
      </c>
    </row>
    <row r="164">
      <c r="A164" s="17" t="s">
        <v>3872</v>
      </c>
      <c r="B164" s="17" t="s">
        <v>3873</v>
      </c>
      <c r="C164" s="18" t="s">
        <v>151</v>
      </c>
      <c r="D164" s="17" t="s">
        <v>151</v>
      </c>
      <c r="E164" s="17" t="s">
        <v>151</v>
      </c>
      <c r="F164" s="17" t="s">
        <v>3874</v>
      </c>
      <c r="G164" s="17" t="s">
        <v>151</v>
      </c>
      <c r="H164" s="17" t="s">
        <v>151</v>
      </c>
      <c r="I164" s="17" t="s">
        <v>3875</v>
      </c>
      <c r="J164" s="17" t="s">
        <v>3872</v>
      </c>
      <c r="K164" s="17" t="s">
        <v>3876</v>
      </c>
      <c r="L164" s="17" t="s">
        <v>205</v>
      </c>
      <c r="M164" s="17" t="s">
        <v>206</v>
      </c>
      <c r="N164" s="17" t="s">
        <v>269</v>
      </c>
      <c r="O164" s="17" t="s">
        <v>3877</v>
      </c>
      <c r="P164" s="17" t="s">
        <v>304</v>
      </c>
      <c r="Q164" s="17" t="s">
        <v>3878</v>
      </c>
      <c r="R164" s="17" t="s">
        <v>151</v>
      </c>
      <c r="S164" s="17" t="s">
        <v>162</v>
      </c>
      <c r="T164" s="24">
        <v>4</v>
      </c>
      <c r="U164" s="17" t="s">
        <v>163</v>
      </c>
      <c r="V164" s="17" t="s">
        <v>164</v>
      </c>
      <c r="W164" s="17" t="s">
        <v>165</v>
      </c>
      <c r="X164" s="15" t="s">
        <v>3879</v>
      </c>
      <c r="Y164" s="15" t="s">
        <v>3880</v>
      </c>
      <c r="Z164" s="27">
        <v>15</v>
      </c>
      <c r="AA164" s="17" t="s">
        <v>3881</v>
      </c>
      <c r="AB164" s="17" t="s">
        <v>151</v>
      </c>
      <c r="AC164" s="17" t="s">
        <v>151</v>
      </c>
      <c r="AD164" s="26">
        <v>2021</v>
      </c>
      <c r="AE164" s="17" t="s">
        <v>151</v>
      </c>
      <c r="AF164" s="22">
        <v>45617</v>
      </c>
      <c r="AG164" s="17" t="s">
        <v>151</v>
      </c>
      <c r="AH164" s="17" t="s">
        <v>151</v>
      </c>
      <c r="AI164" s="25" t="s">
        <v>151</v>
      </c>
      <c r="AJ164" s="19" t="s">
        <v>151</v>
      </c>
      <c r="AK164" s="25" t="s">
        <v>151</v>
      </c>
      <c r="AL164" s="25" t="s">
        <v>151</v>
      </c>
      <c r="AM164" s="25" t="s">
        <v>151</v>
      </c>
      <c r="AN164" s="25" t="s">
        <v>151</v>
      </c>
      <c r="AO164" s="25" t="s">
        <v>151</v>
      </c>
      <c r="AP164" s="25" t="s">
        <v>151</v>
      </c>
      <c r="AQ164" s="25" t="s">
        <v>151</v>
      </c>
      <c r="AR164" s="16" t="s">
        <v>151</v>
      </c>
      <c r="AS164" s="17" t="s">
        <v>3882</v>
      </c>
      <c r="AT164" s="17" t="s">
        <v>3883</v>
      </c>
      <c r="AU164" s="18">
        <v>7</v>
      </c>
      <c r="AV164" s="17" t="s">
        <v>151</v>
      </c>
      <c r="AW164" s="17" t="s">
        <v>151</v>
      </c>
      <c r="AX164" s="17" t="s">
        <v>151</v>
      </c>
      <c r="AY164" s="17" t="s">
        <v>3884</v>
      </c>
      <c r="AZ164" s="17" t="s">
        <v>151</v>
      </c>
      <c r="BA164" s="17" t="s">
        <v>151</v>
      </c>
      <c r="BB164" s="17" t="s">
        <v>151</v>
      </c>
      <c r="BC164" s="17" t="s">
        <v>151</v>
      </c>
      <c r="BD164" s="17" t="s">
        <v>3885</v>
      </c>
      <c r="BE164" s="17" t="s">
        <v>3886</v>
      </c>
      <c r="BF164" s="17" t="s">
        <v>403</v>
      </c>
      <c r="BG164" s="17" t="s">
        <v>3887</v>
      </c>
      <c r="BH164" s="17" t="s">
        <v>3888</v>
      </c>
      <c r="BI164" s="17" t="s">
        <v>906</v>
      </c>
      <c r="BJ164" s="17" t="s">
        <v>3889</v>
      </c>
      <c r="BK164" s="17" t="s">
        <v>3890</v>
      </c>
      <c r="BL164" s="17" t="s">
        <v>259</v>
      </c>
      <c r="BM164" s="17" t="s">
        <v>259</v>
      </c>
      <c r="BN164" s="16" t="s">
        <v>3891</v>
      </c>
      <c r="BO164" s="17" t="s">
        <v>186</v>
      </c>
      <c r="BP164" s="16" t="s">
        <v>3888</v>
      </c>
      <c r="BQ164" s="16" t="s">
        <v>151</v>
      </c>
      <c r="BR164" s="17" t="s">
        <v>3892</v>
      </c>
      <c r="BS164" s="17" t="s">
        <v>187</v>
      </c>
      <c r="BT164" s="17" t="s">
        <v>188</v>
      </c>
      <c r="BU164" s="22">
        <v>44957</v>
      </c>
      <c r="BV164" s="24">
        <v>4</v>
      </c>
      <c r="BW164" s="17" t="s">
        <v>192</v>
      </c>
      <c r="BX164" s="24" t="s">
        <v>151</v>
      </c>
      <c r="BY164" s="17" t="s">
        <v>151</v>
      </c>
      <c r="BZ164" s="17" t="s">
        <v>293</v>
      </c>
      <c r="CA164" s="17" t="s">
        <v>293</v>
      </c>
      <c r="CB164" s="17" t="s">
        <v>151</v>
      </c>
      <c r="CC164" s="17" t="s">
        <v>165</v>
      </c>
      <c r="CD164" s="17" t="s">
        <v>151</v>
      </c>
      <c r="CE164" s="17" t="s">
        <v>191</v>
      </c>
      <c r="CF164" s="22">
        <v>45534</v>
      </c>
      <c r="CG164" s="24" t="s">
        <v>151</v>
      </c>
      <c r="CH164" s="17" t="s">
        <v>151</v>
      </c>
      <c r="CI164" s="24" t="s">
        <v>151</v>
      </c>
      <c r="CJ164" s="17" t="s">
        <v>151</v>
      </c>
      <c r="CK164" s="16" t="s">
        <v>151</v>
      </c>
      <c r="CL164" s="17" t="s">
        <v>231</v>
      </c>
      <c r="CM164" s="17" t="s">
        <v>151</v>
      </c>
      <c r="CN164" s="17" t="s">
        <v>151</v>
      </c>
      <c r="CO164" s="17" t="s">
        <v>165</v>
      </c>
      <c r="CP164" s="22">
        <v>45534</v>
      </c>
      <c r="CQ164" s="24" t="s">
        <v>151</v>
      </c>
      <c r="CR164" s="17" t="s">
        <v>151</v>
      </c>
      <c r="CS164" s="17" t="s">
        <v>191</v>
      </c>
      <c r="CT164" s="16">
        <v>75</v>
      </c>
      <c r="CU164" s="17" t="s">
        <v>196</v>
      </c>
      <c r="CV164" s="19">
        <v>69</v>
      </c>
      <c r="CW164" s="19">
        <v>31</v>
      </c>
      <c r="CX164" s="17" t="s">
        <v>294</v>
      </c>
      <c r="CY164" s="19">
        <v>1</v>
      </c>
      <c r="CZ164" s="19">
        <v>68</v>
      </c>
      <c r="DA164" s="24" t="s">
        <v>151</v>
      </c>
      <c r="DB164" s="22" t="s">
        <v>151</v>
      </c>
      <c r="DC164" s="17" t="s">
        <v>151</v>
      </c>
      <c r="DD164" s="16" t="s">
        <v>151</v>
      </c>
      <c r="DE164" s="19">
        <v>0</v>
      </c>
      <c r="DF164" s="21">
        <v>11</v>
      </c>
      <c r="DG164" s="19">
        <v>0</v>
      </c>
      <c r="DH164" s="19">
        <v>0</v>
      </c>
      <c r="DI164" s="19">
        <v>0</v>
      </c>
      <c r="DJ164" s="21">
        <v>10</v>
      </c>
      <c r="DK164" s="19" t="s">
        <v>151</v>
      </c>
      <c r="DL164" s="21" t="s">
        <v>151</v>
      </c>
      <c r="DM164" s="19">
        <v>0</v>
      </c>
      <c r="DN164" s="21">
        <v>10</v>
      </c>
      <c r="DO164" s="23">
        <v>0.63</v>
      </c>
      <c r="DP164" s="21">
        <v>38</v>
      </c>
      <c r="DQ164" s="23">
        <v>0</v>
      </c>
      <c r="DR164" s="19">
        <v>0</v>
      </c>
      <c r="DS164" s="23">
        <v>0.63</v>
      </c>
      <c r="DT164" s="21">
        <v>39</v>
      </c>
      <c r="DU164" s="23" t="s">
        <v>151</v>
      </c>
      <c r="DV164" s="21" t="s">
        <v>151</v>
      </c>
      <c r="DW164" s="23">
        <v>0.63</v>
      </c>
      <c r="DX164" s="21">
        <v>38</v>
      </c>
      <c r="DY164" s="18" t="s">
        <v>151</v>
      </c>
      <c r="DZ164" s="22" t="s">
        <v>151</v>
      </c>
      <c r="EA164" s="22" t="s">
        <v>151</v>
      </c>
      <c r="EB164" s="21">
        <v>262</v>
      </c>
      <c r="EC164" s="20">
        <v>0</v>
      </c>
      <c r="ED164" s="19">
        <v>0</v>
      </c>
      <c r="EE164" s="21">
        <v>12</v>
      </c>
      <c r="EF164" s="20">
        <v>1</v>
      </c>
      <c r="EG164" s="19">
        <v>9.09</v>
      </c>
      <c r="EH164" s="16" t="s">
        <v>198</v>
      </c>
      <c r="EI164" s="17" t="s">
        <v>151</v>
      </c>
      <c r="EJ164" s="17" t="s">
        <v>151</v>
      </c>
      <c r="EK164" s="18" t="s">
        <v>151</v>
      </c>
      <c r="EL164" s="18" t="s">
        <v>151</v>
      </c>
      <c r="EM164" s="18" t="s">
        <v>151</v>
      </c>
      <c r="EN164" s="18" t="s">
        <v>151</v>
      </c>
      <c r="EO164" s="18" t="s">
        <v>151</v>
      </c>
      <c r="EP164" s="17" t="s">
        <v>151</v>
      </c>
      <c r="EQ164" s="16" t="s">
        <v>151</v>
      </c>
      <c r="ER164" s="16" t="s">
        <v>151</v>
      </c>
      <c r="ES164" s="3">
        <f>HYPERLINK("https://my.pitchbook.com?c=518079-16","View Company Online")</f>
      </c>
    </row>
    <row r="165">
      <c r="A165" s="30" t="s">
        <v>3893</v>
      </c>
      <c r="B165" s="30" t="s">
        <v>3894</v>
      </c>
      <c r="C165" s="31" t="s">
        <v>151</v>
      </c>
      <c r="D165" s="30" t="s">
        <v>151</v>
      </c>
      <c r="E165" s="30" t="s">
        <v>151</v>
      </c>
      <c r="F165" s="30" t="s">
        <v>3895</v>
      </c>
      <c r="G165" s="30" t="s">
        <v>151</v>
      </c>
      <c r="H165" s="30" t="s">
        <v>151</v>
      </c>
      <c r="I165" s="30" t="s">
        <v>151</v>
      </c>
      <c r="J165" s="30" t="s">
        <v>3893</v>
      </c>
      <c r="K165" s="30" t="s">
        <v>3896</v>
      </c>
      <c r="L165" s="30" t="s">
        <v>616</v>
      </c>
      <c r="M165" s="30" t="s">
        <v>834</v>
      </c>
      <c r="N165" s="30" t="s">
        <v>3897</v>
      </c>
      <c r="O165" s="30" t="s">
        <v>3898</v>
      </c>
      <c r="P165" s="30" t="s">
        <v>3899</v>
      </c>
      <c r="Q165" s="30" t="s">
        <v>3900</v>
      </c>
      <c r="R165" s="30" t="s">
        <v>151</v>
      </c>
      <c r="S165" s="30" t="s">
        <v>162</v>
      </c>
      <c r="T165" s="37">
        <v>1.79</v>
      </c>
      <c r="U165" s="30" t="s">
        <v>163</v>
      </c>
      <c r="V165" s="30" t="s">
        <v>164</v>
      </c>
      <c r="W165" s="30" t="s">
        <v>165</v>
      </c>
      <c r="X165" s="28" t="s">
        <v>3901</v>
      </c>
      <c r="Y165" s="28" t="s">
        <v>3902</v>
      </c>
      <c r="Z165" s="40">
        <v>2</v>
      </c>
      <c r="AA165" s="30" t="s">
        <v>3903</v>
      </c>
      <c r="AB165" s="30" t="s">
        <v>151</v>
      </c>
      <c r="AC165" s="30" t="s">
        <v>151</v>
      </c>
      <c r="AD165" s="39">
        <v>2020</v>
      </c>
      <c r="AE165" s="30" t="s">
        <v>151</v>
      </c>
      <c r="AF165" s="35">
        <v>45555</v>
      </c>
      <c r="AG165" s="30" t="s">
        <v>151</v>
      </c>
      <c r="AH165" s="30" t="s">
        <v>151</v>
      </c>
      <c r="AI165" s="38" t="s">
        <v>151</v>
      </c>
      <c r="AJ165" s="32" t="s">
        <v>151</v>
      </c>
      <c r="AK165" s="38" t="s">
        <v>151</v>
      </c>
      <c r="AL165" s="38" t="s">
        <v>151</v>
      </c>
      <c r="AM165" s="38" t="s">
        <v>151</v>
      </c>
      <c r="AN165" s="38" t="s">
        <v>151</v>
      </c>
      <c r="AO165" s="38" t="s">
        <v>151</v>
      </c>
      <c r="AP165" s="38" t="s">
        <v>151</v>
      </c>
      <c r="AQ165" s="38" t="s">
        <v>151</v>
      </c>
      <c r="AR165" s="29" t="s">
        <v>151</v>
      </c>
      <c r="AS165" s="30" t="s">
        <v>3904</v>
      </c>
      <c r="AT165" s="30" t="s">
        <v>3905</v>
      </c>
      <c r="AU165" s="31">
        <v>1</v>
      </c>
      <c r="AV165" s="30" t="s">
        <v>151</v>
      </c>
      <c r="AW165" s="30" t="s">
        <v>151</v>
      </c>
      <c r="AX165" s="30" t="s">
        <v>151</v>
      </c>
      <c r="AY165" s="30" t="s">
        <v>3906</v>
      </c>
      <c r="AZ165" s="30" t="s">
        <v>151</v>
      </c>
      <c r="BA165" s="30" t="s">
        <v>151</v>
      </c>
      <c r="BB165" s="30" t="s">
        <v>151</v>
      </c>
      <c r="BC165" s="30" t="s">
        <v>151</v>
      </c>
      <c r="BD165" s="30" t="s">
        <v>3907</v>
      </c>
      <c r="BE165" s="30" t="s">
        <v>3908</v>
      </c>
      <c r="BF165" s="30" t="s">
        <v>3909</v>
      </c>
      <c r="BG165" s="30" t="s">
        <v>3910</v>
      </c>
      <c r="BH165" s="30" t="s">
        <v>3911</v>
      </c>
      <c r="BI165" s="30" t="s">
        <v>3912</v>
      </c>
      <c r="BJ165" s="30" t="s">
        <v>3913</v>
      </c>
      <c r="BK165" s="30" t="s">
        <v>151</v>
      </c>
      <c r="BL165" s="30" t="s">
        <v>3914</v>
      </c>
      <c r="BM165" s="30" t="s">
        <v>322</v>
      </c>
      <c r="BN165" s="29" t="s">
        <v>3915</v>
      </c>
      <c r="BO165" s="30" t="s">
        <v>186</v>
      </c>
      <c r="BP165" s="29" t="s">
        <v>3911</v>
      </c>
      <c r="BQ165" s="29" t="s">
        <v>151</v>
      </c>
      <c r="BR165" s="30" t="s">
        <v>3916</v>
      </c>
      <c r="BS165" s="30" t="s">
        <v>187</v>
      </c>
      <c r="BT165" s="30" t="s">
        <v>188</v>
      </c>
      <c r="BU165" s="35">
        <v>44799</v>
      </c>
      <c r="BV165" s="37">
        <v>1.79</v>
      </c>
      <c r="BW165" s="30" t="s">
        <v>192</v>
      </c>
      <c r="BX165" s="37" t="s">
        <v>151</v>
      </c>
      <c r="BY165" s="30" t="s">
        <v>151</v>
      </c>
      <c r="BZ165" s="30" t="s">
        <v>293</v>
      </c>
      <c r="CA165" s="30" t="s">
        <v>293</v>
      </c>
      <c r="CB165" s="30" t="s">
        <v>151</v>
      </c>
      <c r="CC165" s="30" t="s">
        <v>165</v>
      </c>
      <c r="CD165" s="30" t="s">
        <v>3917</v>
      </c>
      <c r="CE165" s="30" t="s">
        <v>191</v>
      </c>
      <c r="CF165" s="35">
        <v>44799</v>
      </c>
      <c r="CG165" s="37">
        <v>1.79</v>
      </c>
      <c r="CH165" s="30" t="s">
        <v>192</v>
      </c>
      <c r="CI165" s="37" t="s">
        <v>151</v>
      </c>
      <c r="CJ165" s="30" t="s">
        <v>151</v>
      </c>
      <c r="CK165" s="29" t="s">
        <v>151</v>
      </c>
      <c r="CL165" s="30" t="s">
        <v>293</v>
      </c>
      <c r="CM165" s="30" t="s">
        <v>293</v>
      </c>
      <c r="CN165" s="30" t="s">
        <v>151</v>
      </c>
      <c r="CO165" s="30" t="s">
        <v>165</v>
      </c>
      <c r="CP165" s="35">
        <v>44799</v>
      </c>
      <c r="CQ165" s="37">
        <v>1.79</v>
      </c>
      <c r="CR165" s="30" t="s">
        <v>3917</v>
      </c>
      <c r="CS165" s="30" t="s">
        <v>191</v>
      </c>
      <c r="CT165" s="29" t="s">
        <v>151</v>
      </c>
      <c r="CU165" s="30" t="s">
        <v>151</v>
      </c>
      <c r="CV165" s="32" t="s">
        <v>151</v>
      </c>
      <c r="CW165" s="32" t="s">
        <v>151</v>
      </c>
      <c r="CX165" s="30" t="s">
        <v>151</v>
      </c>
      <c r="CY165" s="32" t="s">
        <v>151</v>
      </c>
      <c r="CZ165" s="32" t="s">
        <v>151</v>
      </c>
      <c r="DA165" s="37" t="s">
        <v>151</v>
      </c>
      <c r="DB165" s="35" t="s">
        <v>151</v>
      </c>
      <c r="DC165" s="30" t="s">
        <v>151</v>
      </c>
      <c r="DD165" s="29" t="s">
        <v>151</v>
      </c>
      <c r="DE165" s="32">
        <v>0</v>
      </c>
      <c r="DF165" s="34">
        <v>11</v>
      </c>
      <c r="DG165" s="32">
        <v>0</v>
      </c>
      <c r="DH165" s="32">
        <v>0</v>
      </c>
      <c r="DI165" s="32" t="s">
        <v>151</v>
      </c>
      <c r="DJ165" s="34" t="s">
        <v>151</v>
      </c>
      <c r="DK165" s="32" t="s">
        <v>151</v>
      </c>
      <c r="DL165" s="34" t="s">
        <v>151</v>
      </c>
      <c r="DM165" s="32" t="s">
        <v>151</v>
      </c>
      <c r="DN165" s="34" t="s">
        <v>151</v>
      </c>
      <c r="DO165" s="36">
        <v>0.15</v>
      </c>
      <c r="DP165" s="34">
        <v>9</v>
      </c>
      <c r="DQ165" s="36">
        <v>0</v>
      </c>
      <c r="DR165" s="32">
        <v>0</v>
      </c>
      <c r="DS165" s="36" t="s">
        <v>151</v>
      </c>
      <c r="DT165" s="34" t="s">
        <v>151</v>
      </c>
      <c r="DU165" s="36" t="s">
        <v>151</v>
      </c>
      <c r="DV165" s="34" t="s">
        <v>151</v>
      </c>
      <c r="DW165" s="36" t="s">
        <v>151</v>
      </c>
      <c r="DX165" s="34" t="s">
        <v>151</v>
      </c>
      <c r="DY165" s="31" t="s">
        <v>151</v>
      </c>
      <c r="DZ165" s="35" t="s">
        <v>151</v>
      </c>
      <c r="EA165" s="35" t="s">
        <v>151</v>
      </c>
      <c r="EB165" s="34">
        <v>0</v>
      </c>
      <c r="EC165" s="33">
        <v>0</v>
      </c>
      <c r="ED165" s="32">
        <v>0</v>
      </c>
      <c r="EE165" s="34" t="s">
        <v>151</v>
      </c>
      <c r="EF165" s="33" t="s">
        <v>151</v>
      </c>
      <c r="EG165" s="32" t="s">
        <v>151</v>
      </c>
      <c r="EH165" s="29" t="s">
        <v>198</v>
      </c>
      <c r="EI165" s="30" t="s">
        <v>151</v>
      </c>
      <c r="EJ165" s="30" t="s">
        <v>151</v>
      </c>
      <c r="EK165" s="31" t="s">
        <v>151</v>
      </c>
      <c r="EL165" s="31" t="s">
        <v>151</v>
      </c>
      <c r="EM165" s="31" t="s">
        <v>151</v>
      </c>
      <c r="EN165" s="31" t="s">
        <v>151</v>
      </c>
      <c r="EO165" s="31" t="s">
        <v>151</v>
      </c>
      <c r="EP165" s="30" t="s">
        <v>151</v>
      </c>
      <c r="EQ165" s="29" t="s">
        <v>151</v>
      </c>
      <c r="ER165" s="29" t="s">
        <v>151</v>
      </c>
      <c r="ES165" s="4">
        <f>HYPERLINK("https://my.pitchbook.com?c=472071-16","View Company Online")</f>
      </c>
    </row>
    <row r="166">
      <c r="A166" s="17" t="s">
        <v>3918</v>
      </c>
      <c r="B166" s="17" t="s">
        <v>3919</v>
      </c>
      <c r="C166" s="18" t="s">
        <v>151</v>
      </c>
      <c r="D166" s="17" t="s">
        <v>151</v>
      </c>
      <c r="E166" s="17" t="s">
        <v>3920</v>
      </c>
      <c r="F166" s="17" t="s">
        <v>151</v>
      </c>
      <c r="G166" s="17" t="s">
        <v>151</v>
      </c>
      <c r="H166" s="17" t="s">
        <v>151</v>
      </c>
      <c r="I166" s="17" t="s">
        <v>151</v>
      </c>
      <c r="J166" s="17" t="s">
        <v>3918</v>
      </c>
      <c r="K166" s="17" t="s">
        <v>3921</v>
      </c>
      <c r="L166" s="17" t="s">
        <v>205</v>
      </c>
      <c r="M166" s="17" t="s">
        <v>206</v>
      </c>
      <c r="N166" s="17" t="s">
        <v>694</v>
      </c>
      <c r="O166" s="17" t="s">
        <v>2300</v>
      </c>
      <c r="P166" s="17" t="s">
        <v>3922</v>
      </c>
      <c r="Q166" s="17" t="s">
        <v>3923</v>
      </c>
      <c r="R166" s="17" t="s">
        <v>151</v>
      </c>
      <c r="S166" s="17" t="s">
        <v>162</v>
      </c>
      <c r="T166" s="24">
        <v>0.1</v>
      </c>
      <c r="U166" s="17" t="s">
        <v>1727</v>
      </c>
      <c r="V166" s="17" t="s">
        <v>164</v>
      </c>
      <c r="W166" s="17" t="s">
        <v>165</v>
      </c>
      <c r="X166" s="15" t="s">
        <v>3924</v>
      </c>
      <c r="Y166" s="15" t="s">
        <v>3925</v>
      </c>
      <c r="Z166" s="27" t="s">
        <v>151</v>
      </c>
      <c r="AA166" s="17" t="s">
        <v>151</v>
      </c>
      <c r="AB166" s="17" t="s">
        <v>151</v>
      </c>
      <c r="AC166" s="17" t="s">
        <v>151</v>
      </c>
      <c r="AD166" s="26" t="s">
        <v>151</v>
      </c>
      <c r="AE166" s="17" t="s">
        <v>151</v>
      </c>
      <c r="AF166" s="22">
        <v>45595</v>
      </c>
      <c r="AG166" s="17" t="s">
        <v>151</v>
      </c>
      <c r="AH166" s="17" t="s">
        <v>151</v>
      </c>
      <c r="AI166" s="25" t="s">
        <v>151</v>
      </c>
      <c r="AJ166" s="19" t="s">
        <v>151</v>
      </c>
      <c r="AK166" s="25" t="s">
        <v>151</v>
      </c>
      <c r="AL166" s="25" t="s">
        <v>151</v>
      </c>
      <c r="AM166" s="25" t="s">
        <v>151</v>
      </c>
      <c r="AN166" s="25" t="s">
        <v>151</v>
      </c>
      <c r="AO166" s="25" t="s">
        <v>151</v>
      </c>
      <c r="AP166" s="25" t="s">
        <v>151</v>
      </c>
      <c r="AQ166" s="25" t="s">
        <v>151</v>
      </c>
      <c r="AR166" s="16" t="s">
        <v>151</v>
      </c>
      <c r="AS166" s="17" t="s">
        <v>3926</v>
      </c>
      <c r="AT166" s="17" t="s">
        <v>3927</v>
      </c>
      <c r="AU166" s="18">
        <v>3</v>
      </c>
      <c r="AV166" s="17" t="s">
        <v>151</v>
      </c>
      <c r="AW166" s="17" t="s">
        <v>151</v>
      </c>
      <c r="AX166" s="17" t="s">
        <v>151</v>
      </c>
      <c r="AY166" s="17" t="s">
        <v>3928</v>
      </c>
      <c r="AZ166" s="17" t="s">
        <v>151</v>
      </c>
      <c r="BA166" s="17" t="s">
        <v>151</v>
      </c>
      <c r="BB166" s="17" t="s">
        <v>151</v>
      </c>
      <c r="BC166" s="17" t="s">
        <v>151</v>
      </c>
      <c r="BD166" s="17" t="s">
        <v>3929</v>
      </c>
      <c r="BE166" s="17" t="s">
        <v>3930</v>
      </c>
      <c r="BF166" s="17" t="s">
        <v>221</v>
      </c>
      <c r="BG166" s="17" t="s">
        <v>3931</v>
      </c>
      <c r="BH166" s="17" t="s">
        <v>3932</v>
      </c>
      <c r="BI166" s="17" t="s">
        <v>578</v>
      </c>
      <c r="BJ166" s="17" t="s">
        <v>151</v>
      </c>
      <c r="BK166" s="17" t="s">
        <v>151</v>
      </c>
      <c r="BL166" s="17" t="s">
        <v>581</v>
      </c>
      <c r="BM166" s="17" t="s">
        <v>582</v>
      </c>
      <c r="BN166" s="16" t="s">
        <v>151</v>
      </c>
      <c r="BO166" s="17" t="s">
        <v>186</v>
      </c>
      <c r="BP166" s="16" t="s">
        <v>3932</v>
      </c>
      <c r="BQ166" s="16" t="s">
        <v>151</v>
      </c>
      <c r="BR166" s="17" t="s">
        <v>3933</v>
      </c>
      <c r="BS166" s="17" t="s">
        <v>187</v>
      </c>
      <c r="BT166" s="17" t="s">
        <v>188</v>
      </c>
      <c r="BU166" s="22">
        <v>44927</v>
      </c>
      <c r="BV166" s="24">
        <v>0.1</v>
      </c>
      <c r="BW166" s="17" t="s">
        <v>192</v>
      </c>
      <c r="BX166" s="24" t="s">
        <v>151</v>
      </c>
      <c r="BY166" s="17" t="s">
        <v>151</v>
      </c>
      <c r="BZ166" s="17" t="s">
        <v>293</v>
      </c>
      <c r="CA166" s="17" t="s">
        <v>293</v>
      </c>
      <c r="CB166" s="17" t="s">
        <v>151</v>
      </c>
      <c r="CC166" s="17" t="s">
        <v>165</v>
      </c>
      <c r="CD166" s="17" t="s">
        <v>151</v>
      </c>
      <c r="CE166" s="17" t="s">
        <v>191</v>
      </c>
      <c r="CF166" s="22">
        <v>45444</v>
      </c>
      <c r="CG166" s="24" t="s">
        <v>151</v>
      </c>
      <c r="CH166" s="17" t="s">
        <v>151</v>
      </c>
      <c r="CI166" s="24" t="s">
        <v>151</v>
      </c>
      <c r="CJ166" s="17" t="s">
        <v>151</v>
      </c>
      <c r="CK166" s="16" t="s">
        <v>151</v>
      </c>
      <c r="CL166" s="17" t="s">
        <v>231</v>
      </c>
      <c r="CM166" s="17" t="s">
        <v>151</v>
      </c>
      <c r="CN166" s="17" t="s">
        <v>151</v>
      </c>
      <c r="CO166" s="17" t="s">
        <v>165</v>
      </c>
      <c r="CP166" s="22">
        <v>45444</v>
      </c>
      <c r="CQ166" s="24" t="s">
        <v>151</v>
      </c>
      <c r="CR166" s="17" t="s">
        <v>151</v>
      </c>
      <c r="CS166" s="17" t="s">
        <v>191</v>
      </c>
      <c r="CT166" s="16">
        <v>52</v>
      </c>
      <c r="CU166" s="17" t="s">
        <v>263</v>
      </c>
      <c r="CV166" s="19">
        <v>50</v>
      </c>
      <c r="CW166" s="19">
        <v>50</v>
      </c>
      <c r="CX166" s="17" t="s">
        <v>263</v>
      </c>
      <c r="CY166" s="19">
        <v>1</v>
      </c>
      <c r="CZ166" s="19">
        <v>49</v>
      </c>
      <c r="DA166" s="24" t="s">
        <v>151</v>
      </c>
      <c r="DB166" s="22" t="s">
        <v>151</v>
      </c>
      <c r="DC166" s="17" t="s">
        <v>151</v>
      </c>
      <c r="DD166" s="16" t="s">
        <v>151</v>
      </c>
      <c r="DE166" s="19">
        <v>0</v>
      </c>
      <c r="DF166" s="21">
        <v>11</v>
      </c>
      <c r="DG166" s="19">
        <v>0</v>
      </c>
      <c r="DH166" s="19">
        <v>0</v>
      </c>
      <c r="DI166" s="19">
        <v>0</v>
      </c>
      <c r="DJ166" s="21">
        <v>10</v>
      </c>
      <c r="DK166" s="19" t="s">
        <v>151</v>
      </c>
      <c r="DL166" s="21" t="s">
        <v>151</v>
      </c>
      <c r="DM166" s="19">
        <v>0</v>
      </c>
      <c r="DN166" s="21">
        <v>10</v>
      </c>
      <c r="DO166" s="23">
        <v>0.26</v>
      </c>
      <c r="DP166" s="21">
        <v>17</v>
      </c>
      <c r="DQ166" s="23">
        <v>0</v>
      </c>
      <c r="DR166" s="19">
        <v>0</v>
      </c>
      <c r="DS166" s="23">
        <v>0.26</v>
      </c>
      <c r="DT166" s="21">
        <v>18</v>
      </c>
      <c r="DU166" s="23" t="s">
        <v>151</v>
      </c>
      <c r="DV166" s="21" t="s">
        <v>151</v>
      </c>
      <c r="DW166" s="23">
        <v>0.26</v>
      </c>
      <c r="DX166" s="21">
        <v>18</v>
      </c>
      <c r="DY166" s="18" t="s">
        <v>151</v>
      </c>
      <c r="DZ166" s="22" t="s">
        <v>151</v>
      </c>
      <c r="EA166" s="22" t="s">
        <v>151</v>
      </c>
      <c r="EB166" s="21">
        <v>8</v>
      </c>
      <c r="EC166" s="20">
        <v>-44</v>
      </c>
      <c r="ED166" s="19">
        <v>-84.62</v>
      </c>
      <c r="EE166" s="21">
        <v>5</v>
      </c>
      <c r="EF166" s="20">
        <v>0</v>
      </c>
      <c r="EG166" s="19">
        <v>0</v>
      </c>
      <c r="EH166" s="16" t="s">
        <v>198</v>
      </c>
      <c r="EI166" s="17" t="s">
        <v>151</v>
      </c>
      <c r="EJ166" s="17" t="s">
        <v>151</v>
      </c>
      <c r="EK166" s="18" t="s">
        <v>151</v>
      </c>
      <c r="EL166" s="18" t="s">
        <v>151</v>
      </c>
      <c r="EM166" s="18" t="s">
        <v>151</v>
      </c>
      <c r="EN166" s="18" t="s">
        <v>151</v>
      </c>
      <c r="EO166" s="18" t="s">
        <v>151</v>
      </c>
      <c r="EP166" s="17" t="s">
        <v>151</v>
      </c>
      <c r="EQ166" s="16" t="s">
        <v>151</v>
      </c>
      <c r="ER166" s="16" t="s">
        <v>151</v>
      </c>
      <c r="ES166" s="3">
        <f>HYPERLINK("https://my.pitchbook.com?c=521118-64","View Company Online")</f>
      </c>
    </row>
    <row r="167">
      <c r="A167" s="30" t="s">
        <v>3934</v>
      </c>
      <c r="B167" s="30" t="s">
        <v>3935</v>
      </c>
      <c r="C167" s="31" t="s">
        <v>151</v>
      </c>
      <c r="D167" s="30" t="s">
        <v>3936</v>
      </c>
      <c r="E167" s="30" t="s">
        <v>3937</v>
      </c>
      <c r="F167" s="30" t="s">
        <v>3938</v>
      </c>
      <c r="G167" s="30" t="s">
        <v>151</v>
      </c>
      <c r="H167" s="30" t="s">
        <v>151</v>
      </c>
      <c r="I167" s="30" t="s">
        <v>151</v>
      </c>
      <c r="J167" s="30" t="s">
        <v>3934</v>
      </c>
      <c r="K167" s="30" t="s">
        <v>3939</v>
      </c>
      <c r="L167" s="30" t="s">
        <v>205</v>
      </c>
      <c r="M167" s="30" t="s">
        <v>206</v>
      </c>
      <c r="N167" s="30" t="s">
        <v>917</v>
      </c>
      <c r="O167" s="30" t="s">
        <v>3940</v>
      </c>
      <c r="P167" s="30" t="s">
        <v>1421</v>
      </c>
      <c r="Q167" s="30" t="s">
        <v>3941</v>
      </c>
      <c r="R167" s="30" t="s">
        <v>151</v>
      </c>
      <c r="S167" s="30" t="s">
        <v>162</v>
      </c>
      <c r="T167" s="37">
        <v>2</v>
      </c>
      <c r="U167" s="30" t="s">
        <v>163</v>
      </c>
      <c r="V167" s="30" t="s">
        <v>164</v>
      </c>
      <c r="W167" s="30" t="s">
        <v>165</v>
      </c>
      <c r="X167" s="28" t="s">
        <v>3942</v>
      </c>
      <c r="Y167" s="28" t="s">
        <v>3943</v>
      </c>
      <c r="Z167" s="40">
        <v>21</v>
      </c>
      <c r="AA167" s="30" t="s">
        <v>3944</v>
      </c>
      <c r="AB167" s="30" t="s">
        <v>151</v>
      </c>
      <c r="AC167" s="30" t="s">
        <v>151</v>
      </c>
      <c r="AD167" s="39">
        <v>2018</v>
      </c>
      <c r="AE167" s="30" t="s">
        <v>151</v>
      </c>
      <c r="AF167" s="35">
        <v>45583</v>
      </c>
      <c r="AG167" s="30" t="s">
        <v>151</v>
      </c>
      <c r="AH167" s="30" t="s">
        <v>151</v>
      </c>
      <c r="AI167" s="38" t="s">
        <v>151</v>
      </c>
      <c r="AJ167" s="32" t="s">
        <v>151</v>
      </c>
      <c r="AK167" s="38" t="s">
        <v>151</v>
      </c>
      <c r="AL167" s="38" t="s">
        <v>151</v>
      </c>
      <c r="AM167" s="38" t="s">
        <v>151</v>
      </c>
      <c r="AN167" s="38" t="s">
        <v>151</v>
      </c>
      <c r="AO167" s="38" t="s">
        <v>151</v>
      </c>
      <c r="AP167" s="38" t="s">
        <v>151</v>
      </c>
      <c r="AQ167" s="38" t="s">
        <v>151</v>
      </c>
      <c r="AR167" s="29" t="s">
        <v>151</v>
      </c>
      <c r="AS167" s="30" t="s">
        <v>3945</v>
      </c>
      <c r="AT167" s="30" t="s">
        <v>3946</v>
      </c>
      <c r="AU167" s="31">
        <v>8</v>
      </c>
      <c r="AV167" s="30" t="s">
        <v>151</v>
      </c>
      <c r="AW167" s="30" t="s">
        <v>151</v>
      </c>
      <c r="AX167" s="30" t="s">
        <v>151</v>
      </c>
      <c r="AY167" s="30" t="s">
        <v>3947</v>
      </c>
      <c r="AZ167" s="30" t="s">
        <v>151</v>
      </c>
      <c r="BA167" s="30" t="s">
        <v>151</v>
      </c>
      <c r="BB167" s="30" t="s">
        <v>3948</v>
      </c>
      <c r="BC167" s="30" t="s">
        <v>3948</v>
      </c>
      <c r="BD167" s="30" t="s">
        <v>3949</v>
      </c>
      <c r="BE167" s="30" t="s">
        <v>3950</v>
      </c>
      <c r="BF167" s="30" t="s">
        <v>731</v>
      </c>
      <c r="BG167" s="30" t="s">
        <v>3951</v>
      </c>
      <c r="BH167" s="30" t="s">
        <v>3952</v>
      </c>
      <c r="BI167" s="30" t="s">
        <v>255</v>
      </c>
      <c r="BJ167" s="30" t="s">
        <v>3953</v>
      </c>
      <c r="BK167" s="30" t="s">
        <v>3954</v>
      </c>
      <c r="BL167" s="30" t="s">
        <v>258</v>
      </c>
      <c r="BM167" s="30" t="s">
        <v>259</v>
      </c>
      <c r="BN167" s="29" t="s">
        <v>2501</v>
      </c>
      <c r="BO167" s="30" t="s">
        <v>186</v>
      </c>
      <c r="BP167" s="29" t="s">
        <v>3952</v>
      </c>
      <c r="BQ167" s="29" t="s">
        <v>151</v>
      </c>
      <c r="BR167" s="30" t="s">
        <v>3955</v>
      </c>
      <c r="BS167" s="30" t="s">
        <v>187</v>
      </c>
      <c r="BT167" s="30" t="s">
        <v>188</v>
      </c>
      <c r="BU167" s="35">
        <v>44378</v>
      </c>
      <c r="BV167" s="37">
        <v>0.5</v>
      </c>
      <c r="BW167" s="30" t="s">
        <v>192</v>
      </c>
      <c r="BX167" s="37">
        <v>7.14</v>
      </c>
      <c r="BY167" s="30" t="s">
        <v>192</v>
      </c>
      <c r="BZ167" s="30" t="s">
        <v>189</v>
      </c>
      <c r="CA167" s="30" t="s">
        <v>151</v>
      </c>
      <c r="CB167" s="30" t="s">
        <v>151</v>
      </c>
      <c r="CC167" s="30" t="s">
        <v>190</v>
      </c>
      <c r="CD167" s="30" t="s">
        <v>151</v>
      </c>
      <c r="CE167" s="30" t="s">
        <v>191</v>
      </c>
      <c r="CF167" s="35">
        <v>44379</v>
      </c>
      <c r="CG167" s="37">
        <v>1.5</v>
      </c>
      <c r="CH167" s="30" t="s">
        <v>192</v>
      </c>
      <c r="CI167" s="37">
        <v>10</v>
      </c>
      <c r="CJ167" s="30" t="s">
        <v>192</v>
      </c>
      <c r="CK167" s="29" t="s">
        <v>151</v>
      </c>
      <c r="CL167" s="30" t="s">
        <v>293</v>
      </c>
      <c r="CM167" s="30" t="s">
        <v>293</v>
      </c>
      <c r="CN167" s="30" t="s">
        <v>151</v>
      </c>
      <c r="CO167" s="30" t="s">
        <v>165</v>
      </c>
      <c r="CP167" s="35">
        <v>44379</v>
      </c>
      <c r="CQ167" s="37" t="s">
        <v>151</v>
      </c>
      <c r="CR167" s="30" t="s">
        <v>151</v>
      </c>
      <c r="CS167" s="30" t="s">
        <v>191</v>
      </c>
      <c r="CT167" s="29" t="s">
        <v>151</v>
      </c>
      <c r="CU167" s="30" t="s">
        <v>151</v>
      </c>
      <c r="CV167" s="32" t="s">
        <v>151</v>
      </c>
      <c r="CW167" s="32" t="s">
        <v>151</v>
      </c>
      <c r="CX167" s="30" t="s">
        <v>151</v>
      </c>
      <c r="CY167" s="32" t="s">
        <v>151</v>
      </c>
      <c r="CZ167" s="32" t="s">
        <v>151</v>
      </c>
      <c r="DA167" s="37">
        <v>10</v>
      </c>
      <c r="DB167" s="35">
        <v>44379</v>
      </c>
      <c r="DC167" s="30" t="s">
        <v>293</v>
      </c>
      <c r="DD167" s="29" t="s">
        <v>151</v>
      </c>
      <c r="DE167" s="32">
        <v>0</v>
      </c>
      <c r="DF167" s="34">
        <v>11</v>
      </c>
      <c r="DG167" s="32">
        <v>0</v>
      </c>
      <c r="DH167" s="32">
        <v>0</v>
      </c>
      <c r="DI167" s="32">
        <v>0</v>
      </c>
      <c r="DJ167" s="34">
        <v>10</v>
      </c>
      <c r="DK167" s="32" t="s">
        <v>151</v>
      </c>
      <c r="DL167" s="34" t="s">
        <v>151</v>
      </c>
      <c r="DM167" s="32">
        <v>0</v>
      </c>
      <c r="DN167" s="34">
        <v>10</v>
      </c>
      <c r="DO167" s="36">
        <v>3.16</v>
      </c>
      <c r="DP167" s="34">
        <v>75</v>
      </c>
      <c r="DQ167" s="36">
        <v>0</v>
      </c>
      <c r="DR167" s="32">
        <v>0</v>
      </c>
      <c r="DS167" s="36">
        <v>3.16</v>
      </c>
      <c r="DT167" s="34">
        <v>75</v>
      </c>
      <c r="DU167" s="36" t="s">
        <v>151</v>
      </c>
      <c r="DV167" s="34" t="s">
        <v>151</v>
      </c>
      <c r="DW167" s="36">
        <v>3.16</v>
      </c>
      <c r="DX167" s="34">
        <v>75</v>
      </c>
      <c r="DY167" s="31" t="s">
        <v>151</v>
      </c>
      <c r="DZ167" s="35" t="s">
        <v>151</v>
      </c>
      <c r="EA167" s="35" t="s">
        <v>151</v>
      </c>
      <c r="EB167" s="34" t="s">
        <v>151</v>
      </c>
      <c r="EC167" s="33" t="s">
        <v>151</v>
      </c>
      <c r="ED167" s="32" t="s">
        <v>151</v>
      </c>
      <c r="EE167" s="34">
        <v>60</v>
      </c>
      <c r="EF167" s="33">
        <v>1</v>
      </c>
      <c r="EG167" s="32">
        <v>1.69</v>
      </c>
      <c r="EH167" s="29" t="s">
        <v>198</v>
      </c>
      <c r="EI167" s="30" t="s">
        <v>151</v>
      </c>
      <c r="EJ167" s="30" t="s">
        <v>151</v>
      </c>
      <c r="EK167" s="31" t="s">
        <v>151</v>
      </c>
      <c r="EL167" s="31" t="s">
        <v>151</v>
      </c>
      <c r="EM167" s="31" t="s">
        <v>151</v>
      </c>
      <c r="EN167" s="31" t="s">
        <v>151</v>
      </c>
      <c r="EO167" s="31" t="s">
        <v>151</v>
      </c>
      <c r="EP167" s="30" t="s">
        <v>151</v>
      </c>
      <c r="EQ167" s="29" t="s">
        <v>151</v>
      </c>
      <c r="ER167" s="29" t="s">
        <v>151</v>
      </c>
      <c r="ES167" s="4">
        <f>HYPERLINK("https://my.pitchbook.com?c=433437-67","View Company Online")</f>
      </c>
    </row>
    <row r="168">
      <c r="A168" s="17" t="s">
        <v>3956</v>
      </c>
      <c r="B168" s="17" t="s">
        <v>3957</v>
      </c>
      <c r="C168" s="18" t="s">
        <v>151</v>
      </c>
      <c r="D168" s="17" t="s">
        <v>151</v>
      </c>
      <c r="E168" s="17" t="s">
        <v>151</v>
      </c>
      <c r="F168" s="17" t="s">
        <v>3958</v>
      </c>
      <c r="G168" s="17" t="s">
        <v>151</v>
      </c>
      <c r="H168" s="17" t="s">
        <v>151</v>
      </c>
      <c r="I168" s="17" t="s">
        <v>151</v>
      </c>
      <c r="J168" s="17" t="s">
        <v>3956</v>
      </c>
      <c r="K168" s="17" t="s">
        <v>3959</v>
      </c>
      <c r="L168" s="17" t="s">
        <v>205</v>
      </c>
      <c r="M168" s="17" t="s">
        <v>206</v>
      </c>
      <c r="N168" s="17" t="s">
        <v>269</v>
      </c>
      <c r="O168" s="17" t="s">
        <v>1106</v>
      </c>
      <c r="P168" s="17" t="s">
        <v>1153</v>
      </c>
      <c r="Q168" s="17" t="s">
        <v>3960</v>
      </c>
      <c r="R168" s="17" t="s">
        <v>151</v>
      </c>
      <c r="S168" s="17" t="s">
        <v>162</v>
      </c>
      <c r="T168" s="24">
        <v>4.5</v>
      </c>
      <c r="U168" s="17" t="s">
        <v>163</v>
      </c>
      <c r="V168" s="17" t="s">
        <v>164</v>
      </c>
      <c r="W168" s="17" t="s">
        <v>165</v>
      </c>
      <c r="X168" s="15" t="s">
        <v>3961</v>
      </c>
      <c r="Y168" s="15" t="s">
        <v>3962</v>
      </c>
      <c r="Z168" s="27">
        <v>7</v>
      </c>
      <c r="AA168" s="17" t="s">
        <v>3963</v>
      </c>
      <c r="AB168" s="17" t="s">
        <v>151</v>
      </c>
      <c r="AC168" s="17" t="s">
        <v>151</v>
      </c>
      <c r="AD168" s="26">
        <v>2020</v>
      </c>
      <c r="AE168" s="17" t="s">
        <v>151</v>
      </c>
      <c r="AF168" s="22">
        <v>45473</v>
      </c>
      <c r="AG168" s="17" t="s">
        <v>151</v>
      </c>
      <c r="AH168" s="17" t="s">
        <v>151</v>
      </c>
      <c r="AI168" s="25" t="s">
        <v>151</v>
      </c>
      <c r="AJ168" s="19" t="s">
        <v>151</v>
      </c>
      <c r="AK168" s="25" t="s">
        <v>151</v>
      </c>
      <c r="AL168" s="25" t="s">
        <v>151</v>
      </c>
      <c r="AM168" s="25" t="s">
        <v>151</v>
      </c>
      <c r="AN168" s="25" t="s">
        <v>151</v>
      </c>
      <c r="AO168" s="25" t="s">
        <v>151</v>
      </c>
      <c r="AP168" s="25" t="s">
        <v>151</v>
      </c>
      <c r="AQ168" s="25" t="s">
        <v>151</v>
      </c>
      <c r="AR168" s="16" t="s">
        <v>151</v>
      </c>
      <c r="AS168" s="17" t="s">
        <v>3964</v>
      </c>
      <c r="AT168" s="17" t="s">
        <v>3965</v>
      </c>
      <c r="AU168" s="18">
        <v>1</v>
      </c>
      <c r="AV168" s="17" t="s">
        <v>151</v>
      </c>
      <c r="AW168" s="17" t="s">
        <v>151</v>
      </c>
      <c r="AX168" s="17" t="s">
        <v>151</v>
      </c>
      <c r="AY168" s="17" t="s">
        <v>3966</v>
      </c>
      <c r="AZ168" s="17" t="s">
        <v>151</v>
      </c>
      <c r="BA168" s="17" t="s">
        <v>151</v>
      </c>
      <c r="BB168" s="17" t="s">
        <v>151</v>
      </c>
      <c r="BC168" s="17" t="s">
        <v>151</v>
      </c>
      <c r="BD168" s="17" t="s">
        <v>3967</v>
      </c>
      <c r="BE168" s="17" t="s">
        <v>3968</v>
      </c>
      <c r="BF168" s="17" t="s">
        <v>3087</v>
      </c>
      <c r="BG168" s="17" t="s">
        <v>151</v>
      </c>
      <c r="BH168" s="17" t="s">
        <v>151</v>
      </c>
      <c r="BI168" s="17" t="s">
        <v>764</v>
      </c>
      <c r="BJ168" s="17" t="s">
        <v>3969</v>
      </c>
      <c r="BK168" s="17" t="s">
        <v>3970</v>
      </c>
      <c r="BL168" s="17" t="s">
        <v>767</v>
      </c>
      <c r="BM168" s="17" t="s">
        <v>184</v>
      </c>
      <c r="BN168" s="16" t="s">
        <v>794</v>
      </c>
      <c r="BO168" s="17" t="s">
        <v>186</v>
      </c>
      <c r="BP168" s="16" t="s">
        <v>151</v>
      </c>
      <c r="BQ168" s="16" t="s">
        <v>151</v>
      </c>
      <c r="BR168" s="17" t="s">
        <v>151</v>
      </c>
      <c r="BS168" s="17" t="s">
        <v>187</v>
      </c>
      <c r="BT168" s="17" t="s">
        <v>188</v>
      </c>
      <c r="BU168" s="22">
        <v>44602</v>
      </c>
      <c r="BV168" s="24">
        <v>4.5</v>
      </c>
      <c r="BW168" s="17" t="s">
        <v>193</v>
      </c>
      <c r="BX168" s="24">
        <v>15</v>
      </c>
      <c r="BY168" s="17" t="s">
        <v>192</v>
      </c>
      <c r="BZ168" s="17" t="s">
        <v>293</v>
      </c>
      <c r="CA168" s="17" t="s">
        <v>293</v>
      </c>
      <c r="CB168" s="17" t="s">
        <v>151</v>
      </c>
      <c r="CC168" s="17" t="s">
        <v>165</v>
      </c>
      <c r="CD168" s="17" t="s">
        <v>151</v>
      </c>
      <c r="CE168" s="17" t="s">
        <v>191</v>
      </c>
      <c r="CF168" s="22">
        <v>44602</v>
      </c>
      <c r="CG168" s="24">
        <v>4.5</v>
      </c>
      <c r="CH168" s="17" t="s">
        <v>193</v>
      </c>
      <c r="CI168" s="24">
        <v>15</v>
      </c>
      <c r="CJ168" s="17" t="s">
        <v>192</v>
      </c>
      <c r="CK168" s="16" t="s">
        <v>151</v>
      </c>
      <c r="CL168" s="17" t="s">
        <v>293</v>
      </c>
      <c r="CM168" s="17" t="s">
        <v>293</v>
      </c>
      <c r="CN168" s="17" t="s">
        <v>151</v>
      </c>
      <c r="CO168" s="17" t="s">
        <v>165</v>
      </c>
      <c r="CP168" s="22">
        <v>44602</v>
      </c>
      <c r="CQ168" s="24" t="s">
        <v>151</v>
      </c>
      <c r="CR168" s="17" t="s">
        <v>151</v>
      </c>
      <c r="CS168" s="17" t="s">
        <v>191</v>
      </c>
      <c r="CT168" s="16" t="s">
        <v>151</v>
      </c>
      <c r="CU168" s="17" t="s">
        <v>151</v>
      </c>
      <c r="CV168" s="19" t="s">
        <v>151</v>
      </c>
      <c r="CW168" s="19" t="s">
        <v>151</v>
      </c>
      <c r="CX168" s="17" t="s">
        <v>151</v>
      </c>
      <c r="CY168" s="19" t="s">
        <v>151</v>
      </c>
      <c r="CZ168" s="19" t="s">
        <v>151</v>
      </c>
      <c r="DA168" s="24">
        <v>15</v>
      </c>
      <c r="DB168" s="22">
        <v>44602</v>
      </c>
      <c r="DC168" s="17" t="s">
        <v>293</v>
      </c>
      <c r="DD168" s="16" t="s">
        <v>151</v>
      </c>
      <c r="DE168" s="19">
        <v>1.87</v>
      </c>
      <c r="DF168" s="21">
        <v>98</v>
      </c>
      <c r="DG168" s="19">
        <v>0</v>
      </c>
      <c r="DH168" s="19">
        <v>0</v>
      </c>
      <c r="DI168" s="19">
        <v>1.66</v>
      </c>
      <c r="DJ168" s="21">
        <v>98</v>
      </c>
      <c r="DK168" s="19" t="s">
        <v>151</v>
      </c>
      <c r="DL168" s="21" t="s">
        <v>151</v>
      </c>
      <c r="DM168" s="19">
        <v>1.66</v>
      </c>
      <c r="DN168" s="21">
        <v>98</v>
      </c>
      <c r="DO168" s="23">
        <v>3.48</v>
      </c>
      <c r="DP168" s="21">
        <v>77</v>
      </c>
      <c r="DQ168" s="23">
        <v>0</v>
      </c>
      <c r="DR168" s="19">
        <v>0</v>
      </c>
      <c r="DS168" s="23">
        <v>6.42</v>
      </c>
      <c r="DT168" s="21">
        <v>85</v>
      </c>
      <c r="DU168" s="23" t="s">
        <v>151</v>
      </c>
      <c r="DV168" s="21" t="s">
        <v>151</v>
      </c>
      <c r="DW168" s="23">
        <v>6.42</v>
      </c>
      <c r="DX168" s="21">
        <v>85</v>
      </c>
      <c r="DY168" s="18" t="s">
        <v>151</v>
      </c>
      <c r="DZ168" s="22" t="s">
        <v>151</v>
      </c>
      <c r="EA168" s="22" t="s">
        <v>151</v>
      </c>
      <c r="EB168" s="21">
        <v>2227</v>
      </c>
      <c r="EC168" s="20">
        <v>-838</v>
      </c>
      <c r="ED168" s="19">
        <v>-27.34</v>
      </c>
      <c r="EE168" s="21">
        <v>122</v>
      </c>
      <c r="EF168" s="20">
        <v>2</v>
      </c>
      <c r="EG168" s="19">
        <v>1.67</v>
      </c>
      <c r="EH168" s="16" t="s">
        <v>198</v>
      </c>
      <c r="EI168" s="17" t="s">
        <v>151</v>
      </c>
      <c r="EJ168" s="17" t="s">
        <v>151</v>
      </c>
      <c r="EK168" s="18" t="s">
        <v>151</v>
      </c>
      <c r="EL168" s="18" t="s">
        <v>151</v>
      </c>
      <c r="EM168" s="18" t="s">
        <v>151</v>
      </c>
      <c r="EN168" s="18" t="s">
        <v>151</v>
      </c>
      <c r="EO168" s="18" t="s">
        <v>151</v>
      </c>
      <c r="EP168" s="17" t="s">
        <v>151</v>
      </c>
      <c r="EQ168" s="16" t="s">
        <v>151</v>
      </c>
      <c r="ER168" s="16" t="s">
        <v>151</v>
      </c>
      <c r="ES168" s="3">
        <f>HYPERLINK("https://my.pitchbook.com?c=520807-60","View Company Online")</f>
      </c>
    </row>
    <row r="169">
      <c r="A169" s="30" t="s">
        <v>3971</v>
      </c>
      <c r="B169" s="30" t="s">
        <v>3972</v>
      </c>
      <c r="C169" s="31" t="s">
        <v>151</v>
      </c>
      <c r="D169" s="30" t="s">
        <v>151</v>
      </c>
      <c r="E169" s="30" t="s">
        <v>151</v>
      </c>
      <c r="F169" s="30" t="s">
        <v>151</v>
      </c>
      <c r="G169" s="30" t="s">
        <v>151</v>
      </c>
      <c r="H169" s="30" t="s">
        <v>151</v>
      </c>
      <c r="I169" s="30" t="s">
        <v>151</v>
      </c>
      <c r="J169" s="30" t="s">
        <v>3971</v>
      </c>
      <c r="K169" s="30" t="s">
        <v>3973</v>
      </c>
      <c r="L169" s="30" t="s">
        <v>205</v>
      </c>
      <c r="M169" s="30" t="s">
        <v>206</v>
      </c>
      <c r="N169" s="30" t="s">
        <v>269</v>
      </c>
      <c r="O169" s="30" t="s">
        <v>1819</v>
      </c>
      <c r="P169" s="30" t="s">
        <v>3974</v>
      </c>
      <c r="Q169" s="30" t="s">
        <v>3975</v>
      </c>
      <c r="R169" s="30" t="s">
        <v>151</v>
      </c>
      <c r="S169" s="30" t="s">
        <v>162</v>
      </c>
      <c r="T169" s="37">
        <v>10</v>
      </c>
      <c r="U169" s="30" t="s">
        <v>1727</v>
      </c>
      <c r="V169" s="30" t="s">
        <v>164</v>
      </c>
      <c r="W169" s="30" t="s">
        <v>165</v>
      </c>
      <c r="X169" s="28" t="s">
        <v>3976</v>
      </c>
      <c r="Y169" s="28" t="s">
        <v>151</v>
      </c>
      <c r="Z169" s="40" t="s">
        <v>151</v>
      </c>
      <c r="AA169" s="30" t="s">
        <v>151</v>
      </c>
      <c r="AB169" s="30" t="s">
        <v>151</v>
      </c>
      <c r="AC169" s="30" t="s">
        <v>151</v>
      </c>
      <c r="AD169" s="39" t="s">
        <v>151</v>
      </c>
      <c r="AE169" s="30" t="s">
        <v>151</v>
      </c>
      <c r="AF169" s="35">
        <v>45527</v>
      </c>
      <c r="AG169" s="30" t="s">
        <v>151</v>
      </c>
      <c r="AH169" s="30" t="s">
        <v>151</v>
      </c>
      <c r="AI169" s="38" t="s">
        <v>151</v>
      </c>
      <c r="AJ169" s="32" t="s">
        <v>151</v>
      </c>
      <c r="AK169" s="38" t="s">
        <v>151</v>
      </c>
      <c r="AL169" s="38" t="s">
        <v>151</v>
      </c>
      <c r="AM169" s="38" t="s">
        <v>151</v>
      </c>
      <c r="AN169" s="38" t="s">
        <v>151</v>
      </c>
      <c r="AO169" s="38" t="s">
        <v>151</v>
      </c>
      <c r="AP169" s="38" t="s">
        <v>151</v>
      </c>
      <c r="AQ169" s="38" t="s">
        <v>151</v>
      </c>
      <c r="AR169" s="29" t="s">
        <v>151</v>
      </c>
      <c r="AS169" s="30" t="s">
        <v>3977</v>
      </c>
      <c r="AT169" s="30" t="s">
        <v>3978</v>
      </c>
      <c r="AU169" s="31">
        <v>6</v>
      </c>
      <c r="AV169" s="30" t="s">
        <v>151</v>
      </c>
      <c r="AW169" s="30" t="s">
        <v>151</v>
      </c>
      <c r="AX169" s="30" t="s">
        <v>151</v>
      </c>
      <c r="AY169" s="30" t="s">
        <v>3979</v>
      </c>
      <c r="AZ169" s="30" t="s">
        <v>151</v>
      </c>
      <c r="BA169" s="30" t="s">
        <v>151</v>
      </c>
      <c r="BB169" s="30" t="s">
        <v>151</v>
      </c>
      <c r="BC169" s="30" t="s">
        <v>151</v>
      </c>
      <c r="BD169" s="30" t="s">
        <v>3980</v>
      </c>
      <c r="BE169" s="30" t="s">
        <v>3981</v>
      </c>
      <c r="BF169" s="30" t="s">
        <v>1280</v>
      </c>
      <c r="BG169" s="30" t="s">
        <v>151</v>
      </c>
      <c r="BH169" s="30" t="s">
        <v>151</v>
      </c>
      <c r="BI169" s="30" t="s">
        <v>764</v>
      </c>
      <c r="BJ169" s="30" t="s">
        <v>151</v>
      </c>
      <c r="BK169" s="30" t="s">
        <v>151</v>
      </c>
      <c r="BL169" s="30" t="s">
        <v>767</v>
      </c>
      <c r="BM169" s="30" t="s">
        <v>184</v>
      </c>
      <c r="BN169" s="29" t="s">
        <v>151</v>
      </c>
      <c r="BO169" s="30" t="s">
        <v>186</v>
      </c>
      <c r="BP169" s="29" t="s">
        <v>151</v>
      </c>
      <c r="BQ169" s="29" t="s">
        <v>151</v>
      </c>
      <c r="BR169" s="30" t="s">
        <v>151</v>
      </c>
      <c r="BS169" s="30" t="s">
        <v>187</v>
      </c>
      <c r="BT169" s="30" t="s">
        <v>188</v>
      </c>
      <c r="BU169" s="35">
        <v>45248</v>
      </c>
      <c r="BV169" s="37">
        <v>10</v>
      </c>
      <c r="BW169" s="30" t="s">
        <v>192</v>
      </c>
      <c r="BX169" s="37" t="s">
        <v>151</v>
      </c>
      <c r="BY169" s="30" t="s">
        <v>151</v>
      </c>
      <c r="BZ169" s="30" t="s">
        <v>231</v>
      </c>
      <c r="CA169" s="30" t="s">
        <v>151</v>
      </c>
      <c r="CB169" s="30" t="s">
        <v>151</v>
      </c>
      <c r="CC169" s="30" t="s">
        <v>165</v>
      </c>
      <c r="CD169" s="30" t="s">
        <v>151</v>
      </c>
      <c r="CE169" s="30" t="s">
        <v>191</v>
      </c>
      <c r="CF169" s="35">
        <v>45248</v>
      </c>
      <c r="CG169" s="37">
        <v>10</v>
      </c>
      <c r="CH169" s="30" t="s">
        <v>192</v>
      </c>
      <c r="CI169" s="37" t="s">
        <v>151</v>
      </c>
      <c r="CJ169" s="30" t="s">
        <v>151</v>
      </c>
      <c r="CK169" s="29" t="s">
        <v>151</v>
      </c>
      <c r="CL169" s="30" t="s">
        <v>231</v>
      </c>
      <c r="CM169" s="30" t="s">
        <v>151</v>
      </c>
      <c r="CN169" s="30" t="s">
        <v>151</v>
      </c>
      <c r="CO169" s="30" t="s">
        <v>165</v>
      </c>
      <c r="CP169" s="35">
        <v>45248</v>
      </c>
      <c r="CQ169" s="37" t="s">
        <v>151</v>
      </c>
      <c r="CR169" s="30" t="s">
        <v>151</v>
      </c>
      <c r="CS169" s="30" t="s">
        <v>191</v>
      </c>
      <c r="CT169" s="29" t="s">
        <v>151</v>
      </c>
      <c r="CU169" s="30" t="s">
        <v>151</v>
      </c>
      <c r="CV169" s="32" t="s">
        <v>151</v>
      </c>
      <c r="CW169" s="32" t="s">
        <v>151</v>
      </c>
      <c r="CX169" s="30" t="s">
        <v>151</v>
      </c>
      <c r="CY169" s="32" t="s">
        <v>151</v>
      </c>
      <c r="CZ169" s="32" t="s">
        <v>151</v>
      </c>
      <c r="DA169" s="37" t="s">
        <v>151</v>
      </c>
      <c r="DB169" s="35" t="s">
        <v>151</v>
      </c>
      <c r="DC169" s="30" t="s">
        <v>151</v>
      </c>
      <c r="DD169" s="29" t="s">
        <v>151</v>
      </c>
      <c r="DE169" s="32">
        <v>0</v>
      </c>
      <c r="DF169" s="34">
        <v>11</v>
      </c>
      <c r="DG169" s="32">
        <v>0</v>
      </c>
      <c r="DH169" s="32">
        <v>0</v>
      </c>
      <c r="DI169" s="32">
        <v>0</v>
      </c>
      <c r="DJ169" s="34">
        <v>10</v>
      </c>
      <c r="DK169" s="32" t="s">
        <v>151</v>
      </c>
      <c r="DL169" s="34" t="s">
        <v>151</v>
      </c>
      <c r="DM169" s="32">
        <v>0</v>
      </c>
      <c r="DN169" s="34">
        <v>10</v>
      </c>
      <c r="DO169" s="36">
        <v>2.79</v>
      </c>
      <c r="DP169" s="34">
        <v>73</v>
      </c>
      <c r="DQ169" s="36">
        <v>0</v>
      </c>
      <c r="DR169" s="32">
        <v>0</v>
      </c>
      <c r="DS169" s="36">
        <v>2.79</v>
      </c>
      <c r="DT169" s="34">
        <v>73</v>
      </c>
      <c r="DU169" s="36" t="s">
        <v>151</v>
      </c>
      <c r="DV169" s="34" t="s">
        <v>151</v>
      </c>
      <c r="DW169" s="36">
        <v>2.79</v>
      </c>
      <c r="DX169" s="34">
        <v>72</v>
      </c>
      <c r="DY169" s="31" t="s">
        <v>151</v>
      </c>
      <c r="DZ169" s="35" t="s">
        <v>151</v>
      </c>
      <c r="EA169" s="35" t="s">
        <v>151</v>
      </c>
      <c r="EB169" s="34">
        <v>1776</v>
      </c>
      <c r="EC169" s="33">
        <v>-859</v>
      </c>
      <c r="ED169" s="32">
        <v>-32.6</v>
      </c>
      <c r="EE169" s="34">
        <v>53</v>
      </c>
      <c r="EF169" s="33">
        <v>0</v>
      </c>
      <c r="EG169" s="32">
        <v>0</v>
      </c>
      <c r="EH169" s="29" t="s">
        <v>198</v>
      </c>
      <c r="EI169" s="30" t="s">
        <v>151</v>
      </c>
      <c r="EJ169" s="30" t="s">
        <v>151</v>
      </c>
      <c r="EK169" s="31" t="s">
        <v>151</v>
      </c>
      <c r="EL169" s="31" t="s">
        <v>151</v>
      </c>
      <c r="EM169" s="31" t="s">
        <v>151</v>
      </c>
      <c r="EN169" s="31" t="s">
        <v>151</v>
      </c>
      <c r="EO169" s="31" t="s">
        <v>151</v>
      </c>
      <c r="EP169" s="30" t="s">
        <v>151</v>
      </c>
      <c r="EQ169" s="29" t="s">
        <v>151</v>
      </c>
      <c r="ER169" s="29" t="s">
        <v>151</v>
      </c>
      <c r="ES169" s="4">
        <f>HYPERLINK("https://my.pitchbook.com?c=540699-58","View Company Online")</f>
      </c>
    </row>
    <row r="170">
      <c r="A170" s="17" t="s">
        <v>3982</v>
      </c>
      <c r="B170" s="17" t="s">
        <v>3983</v>
      </c>
      <c r="C170" s="18" t="s">
        <v>151</v>
      </c>
      <c r="D170" s="17" t="s">
        <v>151</v>
      </c>
      <c r="E170" s="17" t="s">
        <v>151</v>
      </c>
      <c r="F170" s="17" t="s">
        <v>151</v>
      </c>
      <c r="G170" s="17" t="s">
        <v>151</v>
      </c>
      <c r="H170" s="17" t="s">
        <v>151</v>
      </c>
      <c r="I170" s="17" t="s">
        <v>151</v>
      </c>
      <c r="J170" s="17" t="s">
        <v>3982</v>
      </c>
      <c r="K170" s="17" t="s">
        <v>3984</v>
      </c>
      <c r="L170" s="17" t="s">
        <v>1178</v>
      </c>
      <c r="M170" s="17" t="s">
        <v>1179</v>
      </c>
      <c r="N170" s="17" t="s">
        <v>3985</v>
      </c>
      <c r="O170" s="17" t="s">
        <v>3986</v>
      </c>
      <c r="P170" s="17" t="s">
        <v>2130</v>
      </c>
      <c r="Q170" s="17" t="s">
        <v>3987</v>
      </c>
      <c r="R170" s="17" t="s">
        <v>151</v>
      </c>
      <c r="S170" s="17" t="s">
        <v>162</v>
      </c>
      <c r="T170" s="24">
        <v>41</v>
      </c>
      <c r="U170" s="17" t="s">
        <v>163</v>
      </c>
      <c r="V170" s="17" t="s">
        <v>164</v>
      </c>
      <c r="W170" s="17" t="s">
        <v>165</v>
      </c>
      <c r="X170" s="15" t="s">
        <v>3988</v>
      </c>
      <c r="Y170" s="15" t="s">
        <v>3989</v>
      </c>
      <c r="Z170" s="27" t="s">
        <v>151</v>
      </c>
      <c r="AA170" s="17" t="s">
        <v>151</v>
      </c>
      <c r="AB170" s="17" t="s">
        <v>151</v>
      </c>
      <c r="AC170" s="17" t="s">
        <v>151</v>
      </c>
      <c r="AD170" s="26">
        <v>2022</v>
      </c>
      <c r="AE170" s="17" t="s">
        <v>151</v>
      </c>
      <c r="AF170" s="22">
        <v>45534</v>
      </c>
      <c r="AG170" s="17" t="s">
        <v>151</v>
      </c>
      <c r="AH170" s="17" t="s">
        <v>151</v>
      </c>
      <c r="AI170" s="25" t="s">
        <v>151</v>
      </c>
      <c r="AJ170" s="19" t="s">
        <v>151</v>
      </c>
      <c r="AK170" s="25" t="s">
        <v>151</v>
      </c>
      <c r="AL170" s="25" t="s">
        <v>151</v>
      </c>
      <c r="AM170" s="25" t="s">
        <v>151</v>
      </c>
      <c r="AN170" s="25" t="s">
        <v>151</v>
      </c>
      <c r="AO170" s="25" t="s">
        <v>151</v>
      </c>
      <c r="AP170" s="25" t="s">
        <v>151</v>
      </c>
      <c r="AQ170" s="25" t="s">
        <v>151</v>
      </c>
      <c r="AR170" s="16" t="s">
        <v>151</v>
      </c>
      <c r="AS170" s="17" t="s">
        <v>3990</v>
      </c>
      <c r="AT170" s="17" t="s">
        <v>3991</v>
      </c>
      <c r="AU170" s="18">
        <v>1</v>
      </c>
      <c r="AV170" s="17" t="s">
        <v>151</v>
      </c>
      <c r="AW170" s="17" t="s">
        <v>151</v>
      </c>
      <c r="AX170" s="17" t="s">
        <v>151</v>
      </c>
      <c r="AY170" s="17" t="s">
        <v>3992</v>
      </c>
      <c r="AZ170" s="17" t="s">
        <v>151</v>
      </c>
      <c r="BA170" s="17" t="s">
        <v>151</v>
      </c>
      <c r="BB170" s="17" t="s">
        <v>151</v>
      </c>
      <c r="BC170" s="17" t="s">
        <v>151</v>
      </c>
      <c r="BD170" s="17" t="s">
        <v>3993</v>
      </c>
      <c r="BE170" s="17" t="s">
        <v>3994</v>
      </c>
      <c r="BF170" s="17" t="s">
        <v>430</v>
      </c>
      <c r="BG170" s="17" t="s">
        <v>3995</v>
      </c>
      <c r="BH170" s="17" t="s">
        <v>3996</v>
      </c>
      <c r="BI170" s="17" t="s">
        <v>2289</v>
      </c>
      <c r="BJ170" s="17" t="s">
        <v>3997</v>
      </c>
      <c r="BK170" s="17" t="s">
        <v>3998</v>
      </c>
      <c r="BL170" s="17" t="s">
        <v>2291</v>
      </c>
      <c r="BM170" s="17" t="s">
        <v>1043</v>
      </c>
      <c r="BN170" s="16" t="s">
        <v>3999</v>
      </c>
      <c r="BO170" s="17" t="s">
        <v>186</v>
      </c>
      <c r="BP170" s="16" t="s">
        <v>3996</v>
      </c>
      <c r="BQ170" s="16" t="s">
        <v>151</v>
      </c>
      <c r="BR170" s="17" t="s">
        <v>4000</v>
      </c>
      <c r="BS170" s="17" t="s">
        <v>187</v>
      </c>
      <c r="BT170" s="17" t="s">
        <v>188</v>
      </c>
      <c r="BU170" s="22">
        <v>44818</v>
      </c>
      <c r="BV170" s="24">
        <v>41</v>
      </c>
      <c r="BW170" s="17" t="s">
        <v>192</v>
      </c>
      <c r="BX170" s="24" t="s">
        <v>151</v>
      </c>
      <c r="BY170" s="17" t="s">
        <v>151</v>
      </c>
      <c r="BZ170" s="17" t="s">
        <v>231</v>
      </c>
      <c r="CA170" s="17" t="s">
        <v>151</v>
      </c>
      <c r="CB170" s="17" t="s">
        <v>151</v>
      </c>
      <c r="CC170" s="17" t="s">
        <v>165</v>
      </c>
      <c r="CD170" s="17" t="s">
        <v>151</v>
      </c>
      <c r="CE170" s="17" t="s">
        <v>191</v>
      </c>
      <c r="CF170" s="22">
        <v>44818</v>
      </c>
      <c r="CG170" s="24">
        <v>41</v>
      </c>
      <c r="CH170" s="17" t="s">
        <v>192</v>
      </c>
      <c r="CI170" s="24" t="s">
        <v>151</v>
      </c>
      <c r="CJ170" s="17" t="s">
        <v>151</v>
      </c>
      <c r="CK170" s="16" t="s">
        <v>151</v>
      </c>
      <c r="CL170" s="17" t="s">
        <v>231</v>
      </c>
      <c r="CM170" s="17" t="s">
        <v>151</v>
      </c>
      <c r="CN170" s="17" t="s">
        <v>151</v>
      </c>
      <c r="CO170" s="17" t="s">
        <v>165</v>
      </c>
      <c r="CP170" s="22">
        <v>44818</v>
      </c>
      <c r="CQ170" s="24" t="s">
        <v>151</v>
      </c>
      <c r="CR170" s="17" t="s">
        <v>151</v>
      </c>
      <c r="CS170" s="17" t="s">
        <v>191</v>
      </c>
      <c r="CT170" s="16" t="s">
        <v>151</v>
      </c>
      <c r="CU170" s="17" t="s">
        <v>151</v>
      </c>
      <c r="CV170" s="19" t="s">
        <v>151</v>
      </c>
      <c r="CW170" s="19" t="s">
        <v>151</v>
      </c>
      <c r="CX170" s="17" t="s">
        <v>151</v>
      </c>
      <c r="CY170" s="19" t="s">
        <v>151</v>
      </c>
      <c r="CZ170" s="19" t="s">
        <v>151</v>
      </c>
      <c r="DA170" s="24" t="s">
        <v>151</v>
      </c>
      <c r="DB170" s="22" t="s">
        <v>151</v>
      </c>
      <c r="DC170" s="17" t="s">
        <v>151</v>
      </c>
      <c r="DD170" s="16" t="s">
        <v>151</v>
      </c>
      <c r="DE170" s="19">
        <v>0</v>
      </c>
      <c r="DF170" s="21">
        <v>11</v>
      </c>
      <c r="DG170" s="19">
        <v>0</v>
      </c>
      <c r="DH170" s="19">
        <v>0</v>
      </c>
      <c r="DI170" s="19">
        <v>0</v>
      </c>
      <c r="DJ170" s="21">
        <v>10</v>
      </c>
      <c r="DK170" s="19" t="s">
        <v>151</v>
      </c>
      <c r="DL170" s="21" t="s">
        <v>151</v>
      </c>
      <c r="DM170" s="19">
        <v>0</v>
      </c>
      <c r="DN170" s="21">
        <v>10</v>
      </c>
      <c r="DO170" s="23">
        <v>1.95</v>
      </c>
      <c r="DP170" s="21">
        <v>65</v>
      </c>
      <c r="DQ170" s="23">
        <v>0</v>
      </c>
      <c r="DR170" s="19">
        <v>0</v>
      </c>
      <c r="DS170" s="23">
        <v>1.95</v>
      </c>
      <c r="DT170" s="21">
        <v>65</v>
      </c>
      <c r="DU170" s="23" t="s">
        <v>151</v>
      </c>
      <c r="DV170" s="21" t="s">
        <v>151</v>
      </c>
      <c r="DW170" s="23">
        <v>1.95</v>
      </c>
      <c r="DX170" s="21">
        <v>65</v>
      </c>
      <c r="DY170" s="18" t="s">
        <v>151</v>
      </c>
      <c r="DZ170" s="22" t="s">
        <v>151</v>
      </c>
      <c r="EA170" s="22" t="s">
        <v>151</v>
      </c>
      <c r="EB170" s="21">
        <v>394</v>
      </c>
      <c r="EC170" s="20">
        <v>14</v>
      </c>
      <c r="ED170" s="19">
        <v>3.68</v>
      </c>
      <c r="EE170" s="21">
        <v>37</v>
      </c>
      <c r="EF170" s="20">
        <v>1</v>
      </c>
      <c r="EG170" s="19">
        <v>2.78</v>
      </c>
      <c r="EH170" s="16" t="s">
        <v>198</v>
      </c>
      <c r="EI170" s="17" t="s">
        <v>151</v>
      </c>
      <c r="EJ170" s="17" t="s">
        <v>151</v>
      </c>
      <c r="EK170" s="18" t="s">
        <v>151</v>
      </c>
      <c r="EL170" s="18" t="s">
        <v>151</v>
      </c>
      <c r="EM170" s="18" t="s">
        <v>151</v>
      </c>
      <c r="EN170" s="18" t="s">
        <v>151</v>
      </c>
      <c r="EO170" s="18" t="s">
        <v>151</v>
      </c>
      <c r="EP170" s="17" t="s">
        <v>151</v>
      </c>
      <c r="EQ170" s="16" t="s">
        <v>151</v>
      </c>
      <c r="ER170" s="16" t="s">
        <v>151</v>
      </c>
      <c r="ES170" s="3">
        <f>HYPERLINK("https://my.pitchbook.com?c=442781-47","View Company Online")</f>
      </c>
    </row>
    <row r="171">
      <c r="A171" s="30" t="s">
        <v>4001</v>
      </c>
      <c r="B171" s="30" t="s">
        <v>4002</v>
      </c>
      <c r="C171" s="31" t="s">
        <v>151</v>
      </c>
      <c r="D171" s="30" t="s">
        <v>151</v>
      </c>
      <c r="E171" s="30" t="s">
        <v>151</v>
      </c>
      <c r="F171" s="30" t="s">
        <v>151</v>
      </c>
      <c r="G171" s="30" t="s">
        <v>151</v>
      </c>
      <c r="H171" s="30" t="s">
        <v>151</v>
      </c>
      <c r="I171" s="30" t="s">
        <v>151</v>
      </c>
      <c r="J171" s="30" t="s">
        <v>4001</v>
      </c>
      <c r="K171" s="30" t="s">
        <v>4003</v>
      </c>
      <c r="L171" s="30" t="s">
        <v>205</v>
      </c>
      <c r="M171" s="30" t="s">
        <v>448</v>
      </c>
      <c r="N171" s="30" t="s">
        <v>478</v>
      </c>
      <c r="O171" s="30" t="s">
        <v>4004</v>
      </c>
      <c r="P171" s="30" t="s">
        <v>4005</v>
      </c>
      <c r="Q171" s="30" t="s">
        <v>4006</v>
      </c>
      <c r="R171" s="30" t="s">
        <v>151</v>
      </c>
      <c r="S171" s="30" t="s">
        <v>162</v>
      </c>
      <c r="T171" s="37">
        <v>0.19</v>
      </c>
      <c r="U171" s="30" t="s">
        <v>163</v>
      </c>
      <c r="V171" s="30" t="s">
        <v>164</v>
      </c>
      <c r="W171" s="30" t="s">
        <v>165</v>
      </c>
      <c r="X171" s="28" t="s">
        <v>4007</v>
      </c>
      <c r="Y171" s="28" t="s">
        <v>4008</v>
      </c>
      <c r="Z171" s="40">
        <v>5</v>
      </c>
      <c r="AA171" s="30" t="s">
        <v>3862</v>
      </c>
      <c r="AB171" s="30" t="s">
        <v>151</v>
      </c>
      <c r="AC171" s="30" t="s">
        <v>151</v>
      </c>
      <c r="AD171" s="39">
        <v>2016</v>
      </c>
      <c r="AE171" s="30" t="s">
        <v>151</v>
      </c>
      <c r="AF171" s="35">
        <v>45474</v>
      </c>
      <c r="AG171" s="30" t="s">
        <v>151</v>
      </c>
      <c r="AH171" s="30" t="s">
        <v>151</v>
      </c>
      <c r="AI171" s="38">
        <v>0.25</v>
      </c>
      <c r="AJ171" s="32" t="s">
        <v>151</v>
      </c>
      <c r="AK171" s="38" t="s">
        <v>151</v>
      </c>
      <c r="AL171" s="38" t="s">
        <v>151</v>
      </c>
      <c r="AM171" s="38" t="s">
        <v>151</v>
      </c>
      <c r="AN171" s="38" t="s">
        <v>151</v>
      </c>
      <c r="AO171" s="38" t="s">
        <v>151</v>
      </c>
      <c r="AP171" s="38" t="s">
        <v>151</v>
      </c>
      <c r="AQ171" s="38" t="s">
        <v>151</v>
      </c>
      <c r="AR171" s="29" t="s">
        <v>810</v>
      </c>
      <c r="AS171" s="30" t="s">
        <v>4009</v>
      </c>
      <c r="AT171" s="30" t="s">
        <v>4010</v>
      </c>
      <c r="AU171" s="31">
        <v>3</v>
      </c>
      <c r="AV171" s="30" t="s">
        <v>151</v>
      </c>
      <c r="AW171" s="30" t="s">
        <v>151</v>
      </c>
      <c r="AX171" s="30" t="s">
        <v>151</v>
      </c>
      <c r="AY171" s="30" t="s">
        <v>4011</v>
      </c>
      <c r="AZ171" s="30" t="s">
        <v>151</v>
      </c>
      <c r="BA171" s="30" t="s">
        <v>151</v>
      </c>
      <c r="BB171" s="30" t="s">
        <v>151</v>
      </c>
      <c r="BC171" s="30" t="s">
        <v>151</v>
      </c>
      <c r="BD171" s="30" t="s">
        <v>4012</v>
      </c>
      <c r="BE171" s="30" t="s">
        <v>4013</v>
      </c>
      <c r="BF171" s="30" t="s">
        <v>221</v>
      </c>
      <c r="BG171" s="30" t="s">
        <v>4014</v>
      </c>
      <c r="BH171" s="30" t="s">
        <v>4015</v>
      </c>
      <c r="BI171" s="30" t="s">
        <v>3090</v>
      </c>
      <c r="BJ171" s="30" t="s">
        <v>4016</v>
      </c>
      <c r="BK171" s="30" t="s">
        <v>151</v>
      </c>
      <c r="BL171" s="30" t="s">
        <v>3092</v>
      </c>
      <c r="BM171" s="30" t="s">
        <v>3093</v>
      </c>
      <c r="BN171" s="29" t="s">
        <v>4017</v>
      </c>
      <c r="BO171" s="30" t="s">
        <v>186</v>
      </c>
      <c r="BP171" s="29" t="s">
        <v>4015</v>
      </c>
      <c r="BQ171" s="29" t="s">
        <v>151</v>
      </c>
      <c r="BR171" s="30" t="s">
        <v>4018</v>
      </c>
      <c r="BS171" s="30" t="s">
        <v>187</v>
      </c>
      <c r="BT171" s="30" t="s">
        <v>188</v>
      </c>
      <c r="BU171" s="35">
        <v>42736</v>
      </c>
      <c r="BV171" s="37" t="s">
        <v>151</v>
      </c>
      <c r="BW171" s="30" t="s">
        <v>151</v>
      </c>
      <c r="BX171" s="37" t="s">
        <v>151</v>
      </c>
      <c r="BY171" s="30" t="s">
        <v>151</v>
      </c>
      <c r="BZ171" s="30" t="s">
        <v>501</v>
      </c>
      <c r="CA171" s="30" t="s">
        <v>151</v>
      </c>
      <c r="CB171" s="30" t="s">
        <v>151</v>
      </c>
      <c r="CC171" s="30" t="s">
        <v>190</v>
      </c>
      <c r="CD171" s="30" t="s">
        <v>151</v>
      </c>
      <c r="CE171" s="30" t="s">
        <v>191</v>
      </c>
      <c r="CF171" s="35">
        <v>44868</v>
      </c>
      <c r="CG171" s="37">
        <v>0.19</v>
      </c>
      <c r="CH171" s="30" t="s">
        <v>193</v>
      </c>
      <c r="CI171" s="37">
        <v>0.4</v>
      </c>
      <c r="CJ171" s="30" t="s">
        <v>192</v>
      </c>
      <c r="CK171" s="29" t="s">
        <v>151</v>
      </c>
      <c r="CL171" s="30" t="s">
        <v>293</v>
      </c>
      <c r="CM171" s="30" t="s">
        <v>293</v>
      </c>
      <c r="CN171" s="30" t="s">
        <v>151</v>
      </c>
      <c r="CO171" s="30" t="s">
        <v>165</v>
      </c>
      <c r="CP171" s="35">
        <v>44868</v>
      </c>
      <c r="CQ171" s="37" t="s">
        <v>151</v>
      </c>
      <c r="CR171" s="30" t="s">
        <v>151</v>
      </c>
      <c r="CS171" s="30" t="s">
        <v>191</v>
      </c>
      <c r="CT171" s="29" t="s">
        <v>151</v>
      </c>
      <c r="CU171" s="30" t="s">
        <v>151</v>
      </c>
      <c r="CV171" s="32" t="s">
        <v>151</v>
      </c>
      <c r="CW171" s="32" t="s">
        <v>151</v>
      </c>
      <c r="CX171" s="30" t="s">
        <v>151</v>
      </c>
      <c r="CY171" s="32" t="s">
        <v>151</v>
      </c>
      <c r="CZ171" s="32" t="s">
        <v>151</v>
      </c>
      <c r="DA171" s="37">
        <v>0.4</v>
      </c>
      <c r="DB171" s="35">
        <v>44868</v>
      </c>
      <c r="DC171" s="30" t="s">
        <v>293</v>
      </c>
      <c r="DD171" s="29" t="s">
        <v>151</v>
      </c>
      <c r="DE171" s="32">
        <v>0</v>
      </c>
      <c r="DF171" s="34">
        <v>11</v>
      </c>
      <c r="DG171" s="32">
        <v>0</v>
      </c>
      <c r="DH171" s="32">
        <v>0</v>
      </c>
      <c r="DI171" s="32">
        <v>0</v>
      </c>
      <c r="DJ171" s="34">
        <v>10</v>
      </c>
      <c r="DK171" s="32" t="s">
        <v>151</v>
      </c>
      <c r="DL171" s="34" t="s">
        <v>151</v>
      </c>
      <c r="DM171" s="32">
        <v>0</v>
      </c>
      <c r="DN171" s="34">
        <v>10</v>
      </c>
      <c r="DO171" s="36">
        <v>1.03</v>
      </c>
      <c r="DP171" s="34">
        <v>51</v>
      </c>
      <c r="DQ171" s="36">
        <v>0</v>
      </c>
      <c r="DR171" s="32">
        <v>0</v>
      </c>
      <c r="DS171" s="36">
        <v>1.68</v>
      </c>
      <c r="DT171" s="34">
        <v>62</v>
      </c>
      <c r="DU171" s="36" t="s">
        <v>151</v>
      </c>
      <c r="DV171" s="34" t="s">
        <v>151</v>
      </c>
      <c r="DW171" s="36">
        <v>1.68</v>
      </c>
      <c r="DX171" s="34">
        <v>61</v>
      </c>
      <c r="DY171" s="31" t="s">
        <v>151</v>
      </c>
      <c r="DZ171" s="35" t="s">
        <v>151</v>
      </c>
      <c r="EA171" s="35" t="s">
        <v>151</v>
      </c>
      <c r="EB171" s="34" t="s">
        <v>151</v>
      </c>
      <c r="EC171" s="33" t="s">
        <v>151</v>
      </c>
      <c r="ED171" s="32" t="s">
        <v>151</v>
      </c>
      <c r="EE171" s="34">
        <v>32</v>
      </c>
      <c r="EF171" s="33">
        <v>0</v>
      </c>
      <c r="EG171" s="32">
        <v>0</v>
      </c>
      <c r="EH171" s="29" t="s">
        <v>198</v>
      </c>
      <c r="EI171" s="30" t="s">
        <v>151</v>
      </c>
      <c r="EJ171" s="30" t="s">
        <v>151</v>
      </c>
      <c r="EK171" s="31" t="s">
        <v>151</v>
      </c>
      <c r="EL171" s="31" t="s">
        <v>151</v>
      </c>
      <c r="EM171" s="31" t="s">
        <v>151</v>
      </c>
      <c r="EN171" s="31" t="s">
        <v>151</v>
      </c>
      <c r="EO171" s="31" t="s">
        <v>151</v>
      </c>
      <c r="EP171" s="30" t="s">
        <v>151</v>
      </c>
      <c r="EQ171" s="29" t="s">
        <v>151</v>
      </c>
      <c r="ER171" s="29" t="s">
        <v>151</v>
      </c>
      <c r="ES171" s="4">
        <f>HYPERLINK("https://my.pitchbook.com?c=186627-07","View Company Online")</f>
      </c>
    </row>
    <row r="172">
      <c r="A172" s="17" t="s">
        <v>4019</v>
      </c>
      <c r="B172" s="17" t="s">
        <v>4020</v>
      </c>
      <c r="C172" s="18" t="s">
        <v>151</v>
      </c>
      <c r="D172" s="17" t="s">
        <v>151</v>
      </c>
      <c r="E172" s="17" t="s">
        <v>151</v>
      </c>
      <c r="F172" s="17" t="s">
        <v>4021</v>
      </c>
      <c r="G172" s="17" t="s">
        <v>151</v>
      </c>
      <c r="H172" s="17" t="s">
        <v>151</v>
      </c>
      <c r="I172" s="17" t="s">
        <v>151</v>
      </c>
      <c r="J172" s="17" t="s">
        <v>4019</v>
      </c>
      <c r="K172" s="17" t="s">
        <v>4022</v>
      </c>
      <c r="L172" s="17" t="s">
        <v>205</v>
      </c>
      <c r="M172" s="17" t="s">
        <v>206</v>
      </c>
      <c r="N172" s="17" t="s">
        <v>269</v>
      </c>
      <c r="O172" s="17" t="s">
        <v>4023</v>
      </c>
      <c r="P172" s="17" t="s">
        <v>4024</v>
      </c>
      <c r="Q172" s="17" t="s">
        <v>4025</v>
      </c>
      <c r="R172" s="17" t="s">
        <v>151</v>
      </c>
      <c r="S172" s="17" t="s">
        <v>162</v>
      </c>
      <c r="T172" s="24">
        <v>0.75</v>
      </c>
      <c r="U172" s="17" t="s">
        <v>163</v>
      </c>
      <c r="V172" s="17" t="s">
        <v>164</v>
      </c>
      <c r="W172" s="17" t="s">
        <v>165</v>
      </c>
      <c r="X172" s="15" t="s">
        <v>4026</v>
      </c>
      <c r="Y172" s="15" t="s">
        <v>4027</v>
      </c>
      <c r="Z172" s="27">
        <v>7</v>
      </c>
      <c r="AA172" s="17" t="s">
        <v>4028</v>
      </c>
      <c r="AB172" s="17" t="s">
        <v>151</v>
      </c>
      <c r="AC172" s="17" t="s">
        <v>151</v>
      </c>
      <c r="AD172" s="26">
        <v>2020</v>
      </c>
      <c r="AE172" s="17" t="s">
        <v>151</v>
      </c>
      <c r="AF172" s="22">
        <v>45611</v>
      </c>
      <c r="AG172" s="17" t="s">
        <v>151</v>
      </c>
      <c r="AH172" s="17" t="s">
        <v>151</v>
      </c>
      <c r="AI172" s="25" t="s">
        <v>151</v>
      </c>
      <c r="AJ172" s="19" t="s">
        <v>151</v>
      </c>
      <c r="AK172" s="25" t="s">
        <v>151</v>
      </c>
      <c r="AL172" s="25" t="s">
        <v>151</v>
      </c>
      <c r="AM172" s="25" t="s">
        <v>151</v>
      </c>
      <c r="AN172" s="25" t="s">
        <v>151</v>
      </c>
      <c r="AO172" s="25" t="s">
        <v>151</v>
      </c>
      <c r="AP172" s="25" t="s">
        <v>151</v>
      </c>
      <c r="AQ172" s="25" t="s">
        <v>151</v>
      </c>
      <c r="AR172" s="16" t="s">
        <v>151</v>
      </c>
      <c r="AS172" s="17" t="s">
        <v>4029</v>
      </c>
      <c r="AT172" s="17" t="s">
        <v>4030</v>
      </c>
      <c r="AU172" s="18">
        <v>12</v>
      </c>
      <c r="AV172" s="17" t="s">
        <v>151</v>
      </c>
      <c r="AW172" s="17" t="s">
        <v>151</v>
      </c>
      <c r="AX172" s="17" t="s">
        <v>151</v>
      </c>
      <c r="AY172" s="17" t="s">
        <v>4031</v>
      </c>
      <c r="AZ172" s="17" t="s">
        <v>151</v>
      </c>
      <c r="BA172" s="17" t="s">
        <v>151</v>
      </c>
      <c r="BB172" s="17" t="s">
        <v>151</v>
      </c>
      <c r="BC172" s="17" t="s">
        <v>151</v>
      </c>
      <c r="BD172" s="17" t="s">
        <v>4032</v>
      </c>
      <c r="BE172" s="17" t="s">
        <v>4033</v>
      </c>
      <c r="BF172" s="17" t="s">
        <v>221</v>
      </c>
      <c r="BG172" s="17" t="s">
        <v>151</v>
      </c>
      <c r="BH172" s="17" t="s">
        <v>4034</v>
      </c>
      <c r="BI172" s="17" t="s">
        <v>906</v>
      </c>
      <c r="BJ172" s="17" t="s">
        <v>4035</v>
      </c>
      <c r="BK172" s="17" t="s">
        <v>4036</v>
      </c>
      <c r="BL172" s="17" t="s">
        <v>259</v>
      </c>
      <c r="BM172" s="17" t="s">
        <v>259</v>
      </c>
      <c r="BN172" s="16" t="s">
        <v>4037</v>
      </c>
      <c r="BO172" s="17" t="s">
        <v>186</v>
      </c>
      <c r="BP172" s="16" t="s">
        <v>4034</v>
      </c>
      <c r="BQ172" s="16" t="s">
        <v>151</v>
      </c>
      <c r="BR172" s="17" t="s">
        <v>4038</v>
      </c>
      <c r="BS172" s="17" t="s">
        <v>187</v>
      </c>
      <c r="BT172" s="17" t="s">
        <v>188</v>
      </c>
      <c r="BU172" s="22">
        <v>43831</v>
      </c>
      <c r="BV172" s="24">
        <v>0.02</v>
      </c>
      <c r="BW172" s="17" t="s">
        <v>192</v>
      </c>
      <c r="BX172" s="24" t="s">
        <v>151</v>
      </c>
      <c r="BY172" s="17" t="s">
        <v>151</v>
      </c>
      <c r="BZ172" s="17" t="s">
        <v>501</v>
      </c>
      <c r="CA172" s="17" t="s">
        <v>151</v>
      </c>
      <c r="CB172" s="17" t="s">
        <v>151</v>
      </c>
      <c r="CC172" s="17" t="s">
        <v>190</v>
      </c>
      <c r="CD172" s="17" t="s">
        <v>151</v>
      </c>
      <c r="CE172" s="17" t="s">
        <v>191</v>
      </c>
      <c r="CF172" s="22">
        <v>45551</v>
      </c>
      <c r="CG172" s="24">
        <v>0.25</v>
      </c>
      <c r="CH172" s="17" t="s">
        <v>192</v>
      </c>
      <c r="CI172" s="24" t="s">
        <v>151</v>
      </c>
      <c r="CJ172" s="17" t="s">
        <v>151</v>
      </c>
      <c r="CK172" s="16" t="s">
        <v>151</v>
      </c>
      <c r="CL172" s="17" t="s">
        <v>189</v>
      </c>
      <c r="CM172" s="17" t="s">
        <v>151</v>
      </c>
      <c r="CN172" s="17" t="s">
        <v>151</v>
      </c>
      <c r="CO172" s="17" t="s">
        <v>190</v>
      </c>
      <c r="CP172" s="22">
        <v>45551</v>
      </c>
      <c r="CQ172" s="24" t="s">
        <v>151</v>
      </c>
      <c r="CR172" s="17" t="s">
        <v>151</v>
      </c>
      <c r="CS172" s="17" t="s">
        <v>191</v>
      </c>
      <c r="CT172" s="16" t="s">
        <v>151</v>
      </c>
      <c r="CU172" s="17" t="s">
        <v>151</v>
      </c>
      <c r="CV172" s="19" t="s">
        <v>151</v>
      </c>
      <c r="CW172" s="19" t="s">
        <v>151</v>
      </c>
      <c r="CX172" s="17" t="s">
        <v>151</v>
      </c>
      <c r="CY172" s="19" t="s">
        <v>151</v>
      </c>
      <c r="CZ172" s="19" t="s">
        <v>151</v>
      </c>
      <c r="DA172" s="24">
        <v>5.18</v>
      </c>
      <c r="DB172" s="22">
        <v>45488</v>
      </c>
      <c r="DC172" s="17" t="s">
        <v>231</v>
      </c>
      <c r="DD172" s="16" t="s">
        <v>151</v>
      </c>
      <c r="DE172" s="19">
        <v>0.36</v>
      </c>
      <c r="DF172" s="21">
        <v>93</v>
      </c>
      <c r="DG172" s="19">
        <v>0</v>
      </c>
      <c r="DH172" s="19">
        <v>0</v>
      </c>
      <c r="DI172" s="19">
        <v>0</v>
      </c>
      <c r="DJ172" s="21">
        <v>10</v>
      </c>
      <c r="DK172" s="19" t="s">
        <v>151</v>
      </c>
      <c r="DL172" s="21" t="s">
        <v>151</v>
      </c>
      <c r="DM172" s="19">
        <v>0</v>
      </c>
      <c r="DN172" s="21">
        <v>10</v>
      </c>
      <c r="DO172" s="23">
        <v>0.98</v>
      </c>
      <c r="DP172" s="21">
        <v>49</v>
      </c>
      <c r="DQ172" s="23">
        <v>0</v>
      </c>
      <c r="DR172" s="19">
        <v>0</v>
      </c>
      <c r="DS172" s="23">
        <v>1.42</v>
      </c>
      <c r="DT172" s="21">
        <v>58</v>
      </c>
      <c r="DU172" s="23" t="s">
        <v>151</v>
      </c>
      <c r="DV172" s="21" t="s">
        <v>151</v>
      </c>
      <c r="DW172" s="23">
        <v>1.42</v>
      </c>
      <c r="DX172" s="21">
        <v>57</v>
      </c>
      <c r="DY172" s="18" t="s">
        <v>151</v>
      </c>
      <c r="DZ172" s="22" t="s">
        <v>151</v>
      </c>
      <c r="EA172" s="22" t="s">
        <v>151</v>
      </c>
      <c r="EB172" s="21">
        <v>380</v>
      </c>
      <c r="EC172" s="20">
        <v>-9</v>
      </c>
      <c r="ED172" s="19">
        <v>-2.31</v>
      </c>
      <c r="EE172" s="21">
        <v>27</v>
      </c>
      <c r="EF172" s="20">
        <v>-1</v>
      </c>
      <c r="EG172" s="19">
        <v>-3.57</v>
      </c>
      <c r="EH172" s="16" t="s">
        <v>198</v>
      </c>
      <c r="EI172" s="17" t="s">
        <v>151</v>
      </c>
      <c r="EJ172" s="17" t="s">
        <v>151</v>
      </c>
      <c r="EK172" s="18" t="s">
        <v>151</v>
      </c>
      <c r="EL172" s="18" t="s">
        <v>151</v>
      </c>
      <c r="EM172" s="18" t="s">
        <v>151</v>
      </c>
      <c r="EN172" s="18" t="s">
        <v>151</v>
      </c>
      <c r="EO172" s="18" t="s">
        <v>151</v>
      </c>
      <c r="EP172" s="17" t="s">
        <v>151</v>
      </c>
      <c r="EQ172" s="16" t="s">
        <v>151</v>
      </c>
      <c r="ER172" s="16" t="s">
        <v>151</v>
      </c>
      <c r="ES172" s="3">
        <f>HYPERLINK("https://my.pitchbook.com?c=535938-94","View Company Online")</f>
      </c>
    </row>
    <row r="173">
      <c r="A173" s="30" t="s">
        <v>4039</v>
      </c>
      <c r="B173" s="30" t="s">
        <v>4040</v>
      </c>
      <c r="C173" s="31" t="s">
        <v>151</v>
      </c>
      <c r="D173" s="30" t="s">
        <v>151</v>
      </c>
      <c r="E173" s="30" t="s">
        <v>151</v>
      </c>
      <c r="F173" s="30" t="s">
        <v>4041</v>
      </c>
      <c r="G173" s="30" t="s">
        <v>151</v>
      </c>
      <c r="H173" s="30" t="s">
        <v>151</v>
      </c>
      <c r="I173" s="30" t="s">
        <v>151</v>
      </c>
      <c r="J173" s="30" t="s">
        <v>4039</v>
      </c>
      <c r="K173" s="30" t="s">
        <v>4042</v>
      </c>
      <c r="L173" s="30" t="s">
        <v>205</v>
      </c>
      <c r="M173" s="30" t="s">
        <v>206</v>
      </c>
      <c r="N173" s="30" t="s">
        <v>269</v>
      </c>
      <c r="O173" s="30" t="s">
        <v>563</v>
      </c>
      <c r="P173" s="30" t="s">
        <v>4043</v>
      </c>
      <c r="Q173" s="30" t="s">
        <v>4044</v>
      </c>
      <c r="R173" s="30" t="s">
        <v>151</v>
      </c>
      <c r="S173" s="30" t="s">
        <v>162</v>
      </c>
      <c r="T173" s="37">
        <v>5.17</v>
      </c>
      <c r="U173" s="30" t="s">
        <v>4045</v>
      </c>
      <c r="V173" s="30" t="s">
        <v>164</v>
      </c>
      <c r="W173" s="30" t="s">
        <v>165</v>
      </c>
      <c r="X173" s="28" t="s">
        <v>4046</v>
      </c>
      <c r="Y173" s="28" t="s">
        <v>4047</v>
      </c>
      <c r="Z173" s="40">
        <v>6</v>
      </c>
      <c r="AA173" s="30" t="s">
        <v>2825</v>
      </c>
      <c r="AB173" s="30" t="s">
        <v>151</v>
      </c>
      <c r="AC173" s="30" t="s">
        <v>151</v>
      </c>
      <c r="AD173" s="39">
        <v>2023</v>
      </c>
      <c r="AE173" s="30" t="s">
        <v>151</v>
      </c>
      <c r="AF173" s="35">
        <v>45575</v>
      </c>
      <c r="AG173" s="30" t="s">
        <v>151</v>
      </c>
      <c r="AH173" s="30" t="s">
        <v>151</v>
      </c>
      <c r="AI173" s="38" t="s">
        <v>151</v>
      </c>
      <c r="AJ173" s="32" t="s">
        <v>151</v>
      </c>
      <c r="AK173" s="38" t="s">
        <v>151</v>
      </c>
      <c r="AL173" s="38" t="s">
        <v>151</v>
      </c>
      <c r="AM173" s="38" t="s">
        <v>151</v>
      </c>
      <c r="AN173" s="38" t="s">
        <v>151</v>
      </c>
      <c r="AO173" s="38" t="s">
        <v>151</v>
      </c>
      <c r="AP173" s="38" t="s">
        <v>151</v>
      </c>
      <c r="AQ173" s="38" t="s">
        <v>151</v>
      </c>
      <c r="AR173" s="29" t="s">
        <v>151</v>
      </c>
      <c r="AS173" s="30" t="s">
        <v>4048</v>
      </c>
      <c r="AT173" s="30" t="s">
        <v>4049</v>
      </c>
      <c r="AU173" s="31">
        <v>2</v>
      </c>
      <c r="AV173" s="30" t="s">
        <v>151</v>
      </c>
      <c r="AW173" s="30" t="s">
        <v>151</v>
      </c>
      <c r="AX173" s="30" t="s">
        <v>151</v>
      </c>
      <c r="AY173" s="30" t="s">
        <v>4050</v>
      </c>
      <c r="AZ173" s="30" t="s">
        <v>151</v>
      </c>
      <c r="BA173" s="30" t="s">
        <v>151</v>
      </c>
      <c r="BB173" s="30" t="s">
        <v>151</v>
      </c>
      <c r="BC173" s="30" t="s">
        <v>151</v>
      </c>
      <c r="BD173" s="30" t="s">
        <v>4051</v>
      </c>
      <c r="BE173" s="30" t="s">
        <v>4052</v>
      </c>
      <c r="BF173" s="30" t="s">
        <v>493</v>
      </c>
      <c r="BG173" s="30" t="s">
        <v>4053</v>
      </c>
      <c r="BH173" s="30" t="s">
        <v>4054</v>
      </c>
      <c r="BI173" s="30" t="s">
        <v>764</v>
      </c>
      <c r="BJ173" s="30" t="s">
        <v>4055</v>
      </c>
      <c r="BK173" s="30" t="s">
        <v>151</v>
      </c>
      <c r="BL173" s="30" t="s">
        <v>767</v>
      </c>
      <c r="BM173" s="30" t="s">
        <v>184</v>
      </c>
      <c r="BN173" s="29" t="s">
        <v>4056</v>
      </c>
      <c r="BO173" s="30" t="s">
        <v>186</v>
      </c>
      <c r="BP173" s="29" t="s">
        <v>4054</v>
      </c>
      <c r="BQ173" s="29" t="s">
        <v>151</v>
      </c>
      <c r="BR173" s="30" t="s">
        <v>151</v>
      </c>
      <c r="BS173" s="30" t="s">
        <v>187</v>
      </c>
      <c r="BT173" s="30" t="s">
        <v>188</v>
      </c>
      <c r="BU173" s="35">
        <v>45226</v>
      </c>
      <c r="BV173" s="37">
        <v>5.17</v>
      </c>
      <c r="BW173" s="30" t="s">
        <v>192</v>
      </c>
      <c r="BX173" s="37">
        <v>15.17</v>
      </c>
      <c r="BY173" s="30" t="s">
        <v>192</v>
      </c>
      <c r="BZ173" s="30" t="s">
        <v>293</v>
      </c>
      <c r="CA173" s="30" t="s">
        <v>293</v>
      </c>
      <c r="CB173" s="30" t="s">
        <v>151</v>
      </c>
      <c r="CC173" s="30" t="s">
        <v>165</v>
      </c>
      <c r="CD173" s="30" t="s">
        <v>151</v>
      </c>
      <c r="CE173" s="30" t="s">
        <v>191</v>
      </c>
      <c r="CF173" s="35">
        <v>45226</v>
      </c>
      <c r="CG173" s="37">
        <v>5.17</v>
      </c>
      <c r="CH173" s="30" t="s">
        <v>192</v>
      </c>
      <c r="CI173" s="37">
        <v>15.17</v>
      </c>
      <c r="CJ173" s="30" t="s">
        <v>192</v>
      </c>
      <c r="CK173" s="29" t="s">
        <v>151</v>
      </c>
      <c r="CL173" s="30" t="s">
        <v>293</v>
      </c>
      <c r="CM173" s="30" t="s">
        <v>293</v>
      </c>
      <c r="CN173" s="30" t="s">
        <v>151</v>
      </c>
      <c r="CO173" s="30" t="s">
        <v>165</v>
      </c>
      <c r="CP173" s="35">
        <v>45226</v>
      </c>
      <c r="CQ173" s="37" t="s">
        <v>151</v>
      </c>
      <c r="CR173" s="30" t="s">
        <v>151</v>
      </c>
      <c r="CS173" s="30" t="s">
        <v>191</v>
      </c>
      <c r="CT173" s="29" t="s">
        <v>151</v>
      </c>
      <c r="CU173" s="30" t="s">
        <v>151</v>
      </c>
      <c r="CV173" s="32" t="s">
        <v>151</v>
      </c>
      <c r="CW173" s="32" t="s">
        <v>151</v>
      </c>
      <c r="CX173" s="30" t="s">
        <v>151</v>
      </c>
      <c r="CY173" s="32" t="s">
        <v>151</v>
      </c>
      <c r="CZ173" s="32" t="s">
        <v>151</v>
      </c>
      <c r="DA173" s="37">
        <v>15.17</v>
      </c>
      <c r="DB173" s="35">
        <v>45226</v>
      </c>
      <c r="DC173" s="30" t="s">
        <v>293</v>
      </c>
      <c r="DD173" s="29" t="s">
        <v>151</v>
      </c>
      <c r="DE173" s="32">
        <v>-7.64</v>
      </c>
      <c r="DF173" s="34">
        <v>1</v>
      </c>
      <c r="DG173" s="32">
        <v>0</v>
      </c>
      <c r="DH173" s="32">
        <v>0</v>
      </c>
      <c r="DI173" s="32">
        <v>-17.78</v>
      </c>
      <c r="DJ173" s="34">
        <v>1</v>
      </c>
      <c r="DK173" s="32" t="s">
        <v>151</v>
      </c>
      <c r="DL173" s="34" t="s">
        <v>151</v>
      </c>
      <c r="DM173" s="32">
        <v>-17.78</v>
      </c>
      <c r="DN173" s="34">
        <v>1</v>
      </c>
      <c r="DO173" s="36">
        <v>3.02</v>
      </c>
      <c r="DP173" s="34">
        <v>75</v>
      </c>
      <c r="DQ173" s="36">
        <v>0</v>
      </c>
      <c r="DR173" s="32">
        <v>0</v>
      </c>
      <c r="DS173" s="36">
        <v>5.58</v>
      </c>
      <c r="DT173" s="34">
        <v>83</v>
      </c>
      <c r="DU173" s="36" t="s">
        <v>151</v>
      </c>
      <c r="DV173" s="34" t="s">
        <v>151</v>
      </c>
      <c r="DW173" s="36">
        <v>5.58</v>
      </c>
      <c r="DX173" s="34">
        <v>83</v>
      </c>
      <c r="DY173" s="31" t="s">
        <v>151</v>
      </c>
      <c r="DZ173" s="35" t="s">
        <v>151</v>
      </c>
      <c r="EA173" s="35" t="s">
        <v>151</v>
      </c>
      <c r="EB173" s="34">
        <v>1594</v>
      </c>
      <c r="EC173" s="33">
        <v>-37</v>
      </c>
      <c r="ED173" s="32">
        <v>-2.27</v>
      </c>
      <c r="EE173" s="34">
        <v>106</v>
      </c>
      <c r="EF173" s="33">
        <v>-73</v>
      </c>
      <c r="EG173" s="32">
        <v>-40.78</v>
      </c>
      <c r="EH173" s="29" t="s">
        <v>198</v>
      </c>
      <c r="EI173" s="30" t="s">
        <v>151</v>
      </c>
      <c r="EJ173" s="30" t="s">
        <v>151</v>
      </c>
      <c r="EK173" s="31" t="s">
        <v>151</v>
      </c>
      <c r="EL173" s="31" t="s">
        <v>151</v>
      </c>
      <c r="EM173" s="31" t="s">
        <v>151</v>
      </c>
      <c r="EN173" s="31" t="s">
        <v>151</v>
      </c>
      <c r="EO173" s="31" t="s">
        <v>151</v>
      </c>
      <c r="EP173" s="30" t="s">
        <v>151</v>
      </c>
      <c r="EQ173" s="29" t="s">
        <v>151</v>
      </c>
      <c r="ER173" s="29" t="s">
        <v>151</v>
      </c>
      <c r="ES173" s="4">
        <f>HYPERLINK("https://my.pitchbook.com?c=535033-00","View Company Online")</f>
      </c>
    </row>
    <row r="174">
      <c r="A174" s="17" t="s">
        <v>4057</v>
      </c>
      <c r="B174" s="17" t="s">
        <v>4058</v>
      </c>
      <c r="C174" s="18" t="s">
        <v>151</v>
      </c>
      <c r="D174" s="17" t="s">
        <v>151</v>
      </c>
      <c r="E174" s="17" t="s">
        <v>151</v>
      </c>
      <c r="F174" s="17" t="s">
        <v>4059</v>
      </c>
      <c r="G174" s="17" t="s">
        <v>151</v>
      </c>
      <c r="H174" s="17" t="s">
        <v>151</v>
      </c>
      <c r="I174" s="17" t="s">
        <v>151</v>
      </c>
      <c r="J174" s="17" t="s">
        <v>4057</v>
      </c>
      <c r="K174" s="17" t="s">
        <v>4060</v>
      </c>
      <c r="L174" s="17" t="s">
        <v>205</v>
      </c>
      <c r="M174" s="17" t="s">
        <v>206</v>
      </c>
      <c r="N174" s="17" t="s">
        <v>269</v>
      </c>
      <c r="O174" s="17" t="s">
        <v>563</v>
      </c>
      <c r="P174" s="17" t="s">
        <v>1107</v>
      </c>
      <c r="Q174" s="17" t="s">
        <v>4061</v>
      </c>
      <c r="R174" s="17" t="s">
        <v>151</v>
      </c>
      <c r="S174" s="17" t="s">
        <v>162</v>
      </c>
      <c r="T174" s="24">
        <v>4.09</v>
      </c>
      <c r="U174" s="17" t="s">
        <v>163</v>
      </c>
      <c r="V174" s="17" t="s">
        <v>164</v>
      </c>
      <c r="W174" s="17" t="s">
        <v>165</v>
      </c>
      <c r="X174" s="15" t="s">
        <v>4062</v>
      </c>
      <c r="Y174" s="15" t="s">
        <v>4063</v>
      </c>
      <c r="Z174" s="27">
        <v>15</v>
      </c>
      <c r="AA174" s="17" t="s">
        <v>4064</v>
      </c>
      <c r="AB174" s="17" t="s">
        <v>151</v>
      </c>
      <c r="AC174" s="17" t="s">
        <v>151</v>
      </c>
      <c r="AD174" s="26">
        <v>2022</v>
      </c>
      <c r="AE174" s="17" t="s">
        <v>151</v>
      </c>
      <c r="AF174" s="22">
        <v>45595</v>
      </c>
      <c r="AG174" s="17" t="s">
        <v>151</v>
      </c>
      <c r="AH174" s="17" t="s">
        <v>151</v>
      </c>
      <c r="AI174" s="25" t="s">
        <v>151</v>
      </c>
      <c r="AJ174" s="19" t="s">
        <v>151</v>
      </c>
      <c r="AK174" s="25" t="s">
        <v>151</v>
      </c>
      <c r="AL174" s="25" t="s">
        <v>151</v>
      </c>
      <c r="AM174" s="25" t="s">
        <v>151</v>
      </c>
      <c r="AN174" s="25" t="s">
        <v>151</v>
      </c>
      <c r="AO174" s="25" t="s">
        <v>151</v>
      </c>
      <c r="AP174" s="25" t="s">
        <v>151</v>
      </c>
      <c r="AQ174" s="25" t="s">
        <v>151</v>
      </c>
      <c r="AR174" s="16" t="s">
        <v>151</v>
      </c>
      <c r="AS174" s="17" t="s">
        <v>4065</v>
      </c>
      <c r="AT174" s="17" t="s">
        <v>4066</v>
      </c>
      <c r="AU174" s="18">
        <v>3</v>
      </c>
      <c r="AV174" s="17" t="s">
        <v>151</v>
      </c>
      <c r="AW174" s="17" t="s">
        <v>151</v>
      </c>
      <c r="AX174" s="17" t="s">
        <v>151</v>
      </c>
      <c r="AY174" s="17" t="s">
        <v>4067</v>
      </c>
      <c r="AZ174" s="17" t="s">
        <v>151</v>
      </c>
      <c r="BA174" s="17" t="s">
        <v>151</v>
      </c>
      <c r="BB174" s="17" t="s">
        <v>151</v>
      </c>
      <c r="BC174" s="17" t="s">
        <v>151</v>
      </c>
      <c r="BD174" s="17" t="s">
        <v>4068</v>
      </c>
      <c r="BE174" s="17" t="s">
        <v>4069</v>
      </c>
      <c r="BF174" s="17" t="s">
        <v>493</v>
      </c>
      <c r="BG174" s="17" t="s">
        <v>4070</v>
      </c>
      <c r="BH174" s="17" t="s">
        <v>4071</v>
      </c>
      <c r="BI174" s="17" t="s">
        <v>1409</v>
      </c>
      <c r="BJ174" s="17" t="s">
        <v>4072</v>
      </c>
      <c r="BK174" s="17" t="s">
        <v>4073</v>
      </c>
      <c r="BL174" s="17" t="s">
        <v>1412</v>
      </c>
      <c r="BM174" s="17" t="s">
        <v>823</v>
      </c>
      <c r="BN174" s="16" t="s">
        <v>4074</v>
      </c>
      <c r="BO174" s="17" t="s">
        <v>186</v>
      </c>
      <c r="BP174" s="16" t="s">
        <v>4071</v>
      </c>
      <c r="BQ174" s="16" t="s">
        <v>151</v>
      </c>
      <c r="BR174" s="17" t="s">
        <v>151</v>
      </c>
      <c r="BS174" s="17" t="s">
        <v>187</v>
      </c>
      <c r="BT174" s="17" t="s">
        <v>188</v>
      </c>
      <c r="BU174" s="22" t="s">
        <v>151</v>
      </c>
      <c r="BV174" s="24" t="s">
        <v>151</v>
      </c>
      <c r="BW174" s="17" t="s">
        <v>151</v>
      </c>
      <c r="BX174" s="24" t="s">
        <v>151</v>
      </c>
      <c r="BY174" s="17" t="s">
        <v>151</v>
      </c>
      <c r="BZ174" s="17" t="s">
        <v>189</v>
      </c>
      <c r="CA174" s="17" t="s">
        <v>151</v>
      </c>
      <c r="CB174" s="17" t="s">
        <v>151</v>
      </c>
      <c r="CC174" s="17" t="s">
        <v>190</v>
      </c>
      <c r="CD174" s="17" t="s">
        <v>151</v>
      </c>
      <c r="CE174" s="17" t="s">
        <v>191</v>
      </c>
      <c r="CF174" s="22">
        <v>45370</v>
      </c>
      <c r="CG174" s="24">
        <v>3.09</v>
      </c>
      <c r="CH174" s="17" t="s">
        <v>192</v>
      </c>
      <c r="CI174" s="24">
        <v>15.09</v>
      </c>
      <c r="CJ174" s="17" t="s">
        <v>192</v>
      </c>
      <c r="CK174" s="16">
        <v>4</v>
      </c>
      <c r="CL174" s="17" t="s">
        <v>293</v>
      </c>
      <c r="CM174" s="17" t="s">
        <v>293</v>
      </c>
      <c r="CN174" s="17" t="s">
        <v>151</v>
      </c>
      <c r="CO174" s="17" t="s">
        <v>165</v>
      </c>
      <c r="CP174" s="22">
        <v>45370</v>
      </c>
      <c r="CQ174" s="24" t="s">
        <v>151</v>
      </c>
      <c r="CR174" s="17" t="s">
        <v>151</v>
      </c>
      <c r="CS174" s="17" t="s">
        <v>191</v>
      </c>
      <c r="CT174" s="16">
        <v>58</v>
      </c>
      <c r="CU174" s="17" t="s">
        <v>196</v>
      </c>
      <c r="CV174" s="19">
        <v>55</v>
      </c>
      <c r="CW174" s="19">
        <v>45</v>
      </c>
      <c r="CX174" s="17" t="s">
        <v>294</v>
      </c>
      <c r="CY174" s="19">
        <v>1</v>
      </c>
      <c r="CZ174" s="19">
        <v>54</v>
      </c>
      <c r="DA174" s="24">
        <v>15.09</v>
      </c>
      <c r="DB174" s="22">
        <v>45370</v>
      </c>
      <c r="DC174" s="17" t="s">
        <v>293</v>
      </c>
      <c r="DD174" s="16">
        <v>4</v>
      </c>
      <c r="DE174" s="19">
        <v>-1.52</v>
      </c>
      <c r="DF174" s="21">
        <v>3</v>
      </c>
      <c r="DG174" s="19">
        <v>0</v>
      </c>
      <c r="DH174" s="19">
        <v>0</v>
      </c>
      <c r="DI174" s="19" t="s">
        <v>151</v>
      </c>
      <c r="DJ174" s="21" t="s">
        <v>151</v>
      </c>
      <c r="DK174" s="19" t="s">
        <v>151</v>
      </c>
      <c r="DL174" s="21" t="s">
        <v>151</v>
      </c>
      <c r="DM174" s="19" t="s">
        <v>151</v>
      </c>
      <c r="DN174" s="21" t="s">
        <v>151</v>
      </c>
      <c r="DO174" s="23">
        <v>1.15</v>
      </c>
      <c r="DP174" s="21">
        <v>53</v>
      </c>
      <c r="DQ174" s="23">
        <v>0</v>
      </c>
      <c r="DR174" s="19">
        <v>0</v>
      </c>
      <c r="DS174" s="23" t="s">
        <v>151</v>
      </c>
      <c r="DT174" s="21" t="s">
        <v>151</v>
      </c>
      <c r="DU174" s="23" t="s">
        <v>151</v>
      </c>
      <c r="DV174" s="21" t="s">
        <v>151</v>
      </c>
      <c r="DW174" s="23" t="s">
        <v>151</v>
      </c>
      <c r="DX174" s="21" t="s">
        <v>151</v>
      </c>
      <c r="DY174" s="18" t="s">
        <v>151</v>
      </c>
      <c r="DZ174" s="22" t="s">
        <v>151</v>
      </c>
      <c r="EA174" s="22" t="s">
        <v>151</v>
      </c>
      <c r="EB174" s="21">
        <v>1024</v>
      </c>
      <c r="EC174" s="20">
        <v>131</v>
      </c>
      <c r="ED174" s="19">
        <v>14.67</v>
      </c>
      <c r="EE174" s="21" t="s">
        <v>151</v>
      </c>
      <c r="EF174" s="20" t="s">
        <v>151</v>
      </c>
      <c r="EG174" s="19" t="s">
        <v>151</v>
      </c>
      <c r="EH174" s="16" t="s">
        <v>198</v>
      </c>
      <c r="EI174" s="17" t="s">
        <v>151</v>
      </c>
      <c r="EJ174" s="17" t="s">
        <v>151</v>
      </c>
      <c r="EK174" s="18" t="s">
        <v>151</v>
      </c>
      <c r="EL174" s="18" t="s">
        <v>151</v>
      </c>
      <c r="EM174" s="18" t="s">
        <v>151</v>
      </c>
      <c r="EN174" s="18" t="s">
        <v>151</v>
      </c>
      <c r="EO174" s="18" t="s">
        <v>151</v>
      </c>
      <c r="EP174" s="17" t="s">
        <v>151</v>
      </c>
      <c r="EQ174" s="16" t="s">
        <v>151</v>
      </c>
      <c r="ER174" s="16" t="s">
        <v>151</v>
      </c>
      <c r="ES174" s="3">
        <f>HYPERLINK("https://my.pitchbook.com?c=553555-09","View Company Online")</f>
      </c>
    </row>
    <row r="175">
      <c r="A175" s="30" t="s">
        <v>4075</v>
      </c>
      <c r="B175" s="30" t="s">
        <v>4076</v>
      </c>
      <c r="C175" s="31" t="s">
        <v>151</v>
      </c>
      <c r="D175" s="30" t="s">
        <v>151</v>
      </c>
      <c r="E175" s="30" t="s">
        <v>151</v>
      </c>
      <c r="F175" s="30" t="s">
        <v>4077</v>
      </c>
      <c r="G175" s="30" t="s">
        <v>151</v>
      </c>
      <c r="H175" s="30" t="s">
        <v>151</v>
      </c>
      <c r="I175" s="30" t="s">
        <v>4078</v>
      </c>
      <c r="J175" s="30" t="s">
        <v>4075</v>
      </c>
      <c r="K175" s="30" t="s">
        <v>4079</v>
      </c>
      <c r="L175" s="30" t="s">
        <v>616</v>
      </c>
      <c r="M175" s="30" t="s">
        <v>834</v>
      </c>
      <c r="N175" s="30" t="s">
        <v>1246</v>
      </c>
      <c r="O175" s="30" t="s">
        <v>4080</v>
      </c>
      <c r="P175" s="30" t="s">
        <v>151</v>
      </c>
      <c r="Q175" s="30" t="s">
        <v>4081</v>
      </c>
      <c r="R175" s="30" t="s">
        <v>151</v>
      </c>
      <c r="S175" s="30" t="s">
        <v>162</v>
      </c>
      <c r="T175" s="37">
        <v>0.5</v>
      </c>
      <c r="U175" s="30" t="s">
        <v>163</v>
      </c>
      <c r="V175" s="30" t="s">
        <v>164</v>
      </c>
      <c r="W175" s="30" t="s">
        <v>165</v>
      </c>
      <c r="X175" s="28" t="s">
        <v>4082</v>
      </c>
      <c r="Y175" s="28" t="s">
        <v>4083</v>
      </c>
      <c r="Z175" s="40">
        <v>10</v>
      </c>
      <c r="AA175" s="30" t="s">
        <v>4084</v>
      </c>
      <c r="AB175" s="30" t="s">
        <v>151</v>
      </c>
      <c r="AC175" s="30" t="s">
        <v>151</v>
      </c>
      <c r="AD175" s="39">
        <v>2019</v>
      </c>
      <c r="AE175" s="30" t="s">
        <v>151</v>
      </c>
      <c r="AF175" s="35">
        <v>45398</v>
      </c>
      <c r="AG175" s="30" t="s">
        <v>151</v>
      </c>
      <c r="AH175" s="30" t="s">
        <v>151</v>
      </c>
      <c r="AI175" s="38" t="s">
        <v>151</v>
      </c>
      <c r="AJ175" s="32" t="s">
        <v>151</v>
      </c>
      <c r="AK175" s="38" t="s">
        <v>151</v>
      </c>
      <c r="AL175" s="38" t="s">
        <v>151</v>
      </c>
      <c r="AM175" s="38" t="s">
        <v>151</v>
      </c>
      <c r="AN175" s="38" t="s">
        <v>151</v>
      </c>
      <c r="AO175" s="38" t="s">
        <v>151</v>
      </c>
      <c r="AP175" s="38" t="s">
        <v>151</v>
      </c>
      <c r="AQ175" s="38" t="s">
        <v>151</v>
      </c>
      <c r="AR175" s="29" t="s">
        <v>151</v>
      </c>
      <c r="AS175" s="30" t="s">
        <v>4085</v>
      </c>
      <c r="AT175" s="30" t="s">
        <v>4086</v>
      </c>
      <c r="AU175" s="31">
        <v>16</v>
      </c>
      <c r="AV175" s="30" t="s">
        <v>151</v>
      </c>
      <c r="AW175" s="30" t="s">
        <v>151</v>
      </c>
      <c r="AX175" s="30" t="s">
        <v>151</v>
      </c>
      <c r="AY175" s="30" t="s">
        <v>4087</v>
      </c>
      <c r="AZ175" s="30" t="s">
        <v>151</v>
      </c>
      <c r="BA175" s="30" t="s">
        <v>151</v>
      </c>
      <c r="BB175" s="30" t="s">
        <v>151</v>
      </c>
      <c r="BC175" s="30" t="s">
        <v>4088</v>
      </c>
      <c r="BD175" s="30" t="s">
        <v>4089</v>
      </c>
      <c r="BE175" s="30" t="s">
        <v>4090</v>
      </c>
      <c r="BF175" s="30" t="s">
        <v>4091</v>
      </c>
      <c r="BG175" s="30" t="s">
        <v>4092</v>
      </c>
      <c r="BH175" s="30" t="s">
        <v>4093</v>
      </c>
      <c r="BI175" s="30" t="s">
        <v>906</v>
      </c>
      <c r="BJ175" s="30" t="s">
        <v>4094</v>
      </c>
      <c r="BK175" s="30" t="s">
        <v>151</v>
      </c>
      <c r="BL175" s="30" t="s">
        <v>259</v>
      </c>
      <c r="BM175" s="30" t="s">
        <v>259</v>
      </c>
      <c r="BN175" s="29" t="s">
        <v>4095</v>
      </c>
      <c r="BO175" s="30" t="s">
        <v>186</v>
      </c>
      <c r="BP175" s="29" t="s">
        <v>4096</v>
      </c>
      <c r="BQ175" s="29" t="s">
        <v>151</v>
      </c>
      <c r="BR175" s="30" t="s">
        <v>4097</v>
      </c>
      <c r="BS175" s="30" t="s">
        <v>187</v>
      </c>
      <c r="BT175" s="30" t="s">
        <v>188</v>
      </c>
      <c r="BU175" s="35">
        <v>43831</v>
      </c>
      <c r="BV175" s="37" t="s">
        <v>151</v>
      </c>
      <c r="BW175" s="30" t="s">
        <v>151</v>
      </c>
      <c r="BX175" s="37" t="s">
        <v>151</v>
      </c>
      <c r="BY175" s="30" t="s">
        <v>151</v>
      </c>
      <c r="BZ175" s="30" t="s">
        <v>189</v>
      </c>
      <c r="CA175" s="30" t="s">
        <v>151</v>
      </c>
      <c r="CB175" s="30" t="s">
        <v>151</v>
      </c>
      <c r="CC175" s="30" t="s">
        <v>190</v>
      </c>
      <c r="CD175" s="30" t="s">
        <v>151</v>
      </c>
      <c r="CE175" s="30" t="s">
        <v>191</v>
      </c>
      <c r="CF175" s="35">
        <v>44927</v>
      </c>
      <c r="CG175" s="37" t="s">
        <v>151</v>
      </c>
      <c r="CH175" s="30" t="s">
        <v>151</v>
      </c>
      <c r="CI175" s="37" t="s">
        <v>151</v>
      </c>
      <c r="CJ175" s="30" t="s">
        <v>151</v>
      </c>
      <c r="CK175" s="29" t="s">
        <v>151</v>
      </c>
      <c r="CL175" s="30" t="s">
        <v>231</v>
      </c>
      <c r="CM175" s="30" t="s">
        <v>151</v>
      </c>
      <c r="CN175" s="30" t="s">
        <v>151</v>
      </c>
      <c r="CO175" s="30" t="s">
        <v>165</v>
      </c>
      <c r="CP175" s="35">
        <v>44927</v>
      </c>
      <c r="CQ175" s="37" t="s">
        <v>151</v>
      </c>
      <c r="CR175" s="30" t="s">
        <v>151</v>
      </c>
      <c r="CS175" s="30" t="s">
        <v>191</v>
      </c>
      <c r="CT175" s="29">
        <v>21</v>
      </c>
      <c r="CU175" s="30" t="s">
        <v>263</v>
      </c>
      <c r="CV175" s="32">
        <v>22</v>
      </c>
      <c r="CW175" s="32">
        <v>78</v>
      </c>
      <c r="CX175" s="30" t="s">
        <v>263</v>
      </c>
      <c r="CY175" s="32">
        <v>1</v>
      </c>
      <c r="CZ175" s="32">
        <v>21</v>
      </c>
      <c r="DA175" s="37" t="s">
        <v>151</v>
      </c>
      <c r="DB175" s="35" t="s">
        <v>151</v>
      </c>
      <c r="DC175" s="30" t="s">
        <v>151</v>
      </c>
      <c r="DD175" s="29" t="s">
        <v>151</v>
      </c>
      <c r="DE175" s="32">
        <v>0</v>
      </c>
      <c r="DF175" s="34">
        <v>11</v>
      </c>
      <c r="DG175" s="32">
        <v>0</v>
      </c>
      <c r="DH175" s="32">
        <v>0</v>
      </c>
      <c r="DI175" s="32">
        <v>0</v>
      </c>
      <c r="DJ175" s="34">
        <v>10</v>
      </c>
      <c r="DK175" s="32" t="s">
        <v>151</v>
      </c>
      <c r="DL175" s="34" t="s">
        <v>151</v>
      </c>
      <c r="DM175" s="32">
        <v>0</v>
      </c>
      <c r="DN175" s="34">
        <v>10</v>
      </c>
      <c r="DO175" s="36">
        <v>1.28</v>
      </c>
      <c r="DP175" s="34">
        <v>56</v>
      </c>
      <c r="DQ175" s="36">
        <v>0</v>
      </c>
      <c r="DR175" s="32">
        <v>0</v>
      </c>
      <c r="DS175" s="36">
        <v>1.79</v>
      </c>
      <c r="DT175" s="34">
        <v>63</v>
      </c>
      <c r="DU175" s="36" t="s">
        <v>151</v>
      </c>
      <c r="DV175" s="34" t="s">
        <v>151</v>
      </c>
      <c r="DW175" s="36">
        <v>1.79</v>
      </c>
      <c r="DX175" s="34">
        <v>63</v>
      </c>
      <c r="DY175" s="31" t="s">
        <v>151</v>
      </c>
      <c r="DZ175" s="35" t="s">
        <v>151</v>
      </c>
      <c r="EA175" s="35" t="s">
        <v>151</v>
      </c>
      <c r="EB175" s="34">
        <v>1075</v>
      </c>
      <c r="EC175" s="33">
        <v>76</v>
      </c>
      <c r="ED175" s="32">
        <v>7.61</v>
      </c>
      <c r="EE175" s="34">
        <v>34</v>
      </c>
      <c r="EF175" s="33">
        <v>0</v>
      </c>
      <c r="EG175" s="32">
        <v>0</v>
      </c>
      <c r="EH175" s="29" t="s">
        <v>198</v>
      </c>
      <c r="EI175" s="30" t="s">
        <v>151</v>
      </c>
      <c r="EJ175" s="30" t="s">
        <v>151</v>
      </c>
      <c r="EK175" s="31" t="s">
        <v>151</v>
      </c>
      <c r="EL175" s="31" t="s">
        <v>151</v>
      </c>
      <c r="EM175" s="31" t="s">
        <v>151</v>
      </c>
      <c r="EN175" s="31" t="s">
        <v>151</v>
      </c>
      <c r="EO175" s="31" t="s">
        <v>151</v>
      </c>
      <c r="EP175" s="30" t="s">
        <v>151</v>
      </c>
      <c r="EQ175" s="29" t="s">
        <v>151</v>
      </c>
      <c r="ER175" s="29" t="s">
        <v>151</v>
      </c>
      <c r="ES175" s="4">
        <f>HYPERLINK("https://my.pitchbook.com?c=461860-48","View Company Online")</f>
      </c>
    </row>
    <row r="176">
      <c r="A176" s="17" t="s">
        <v>4098</v>
      </c>
      <c r="B176" s="17" t="s">
        <v>4099</v>
      </c>
      <c r="C176" s="18" t="s">
        <v>151</v>
      </c>
      <c r="D176" s="17" t="s">
        <v>151</v>
      </c>
      <c r="E176" s="17" t="s">
        <v>151</v>
      </c>
      <c r="F176" s="17" t="s">
        <v>4100</v>
      </c>
      <c r="G176" s="17" t="s">
        <v>151</v>
      </c>
      <c r="H176" s="17" t="s">
        <v>151</v>
      </c>
      <c r="I176" s="17" t="s">
        <v>4101</v>
      </c>
      <c r="J176" s="17" t="s">
        <v>4098</v>
      </c>
      <c r="K176" s="17" t="s">
        <v>4102</v>
      </c>
      <c r="L176" s="17" t="s">
        <v>205</v>
      </c>
      <c r="M176" s="17" t="s">
        <v>206</v>
      </c>
      <c r="N176" s="17" t="s">
        <v>1082</v>
      </c>
      <c r="O176" s="17" t="s">
        <v>4103</v>
      </c>
      <c r="P176" s="17" t="s">
        <v>4104</v>
      </c>
      <c r="Q176" s="17" t="s">
        <v>4105</v>
      </c>
      <c r="R176" s="17" t="s">
        <v>151</v>
      </c>
      <c r="S176" s="17" t="s">
        <v>162</v>
      </c>
      <c r="T176" s="24">
        <v>4.5</v>
      </c>
      <c r="U176" s="17" t="s">
        <v>163</v>
      </c>
      <c r="V176" s="17" t="s">
        <v>164</v>
      </c>
      <c r="W176" s="17" t="s">
        <v>165</v>
      </c>
      <c r="X176" s="15" t="s">
        <v>4106</v>
      </c>
      <c r="Y176" s="15" t="s">
        <v>4107</v>
      </c>
      <c r="Z176" s="27">
        <v>17</v>
      </c>
      <c r="AA176" s="17" t="s">
        <v>4108</v>
      </c>
      <c r="AB176" s="17" t="s">
        <v>151</v>
      </c>
      <c r="AC176" s="17" t="s">
        <v>151</v>
      </c>
      <c r="AD176" s="26">
        <v>2022</v>
      </c>
      <c r="AE176" s="17" t="s">
        <v>151</v>
      </c>
      <c r="AF176" s="22">
        <v>45322</v>
      </c>
      <c r="AG176" s="17" t="s">
        <v>151</v>
      </c>
      <c r="AH176" s="17" t="s">
        <v>151</v>
      </c>
      <c r="AI176" s="25" t="s">
        <v>151</v>
      </c>
      <c r="AJ176" s="19" t="s">
        <v>151</v>
      </c>
      <c r="AK176" s="25" t="s">
        <v>151</v>
      </c>
      <c r="AL176" s="25" t="s">
        <v>151</v>
      </c>
      <c r="AM176" s="25" t="s">
        <v>151</v>
      </c>
      <c r="AN176" s="25" t="s">
        <v>151</v>
      </c>
      <c r="AO176" s="25" t="s">
        <v>151</v>
      </c>
      <c r="AP176" s="25" t="s">
        <v>151</v>
      </c>
      <c r="AQ176" s="25" t="s">
        <v>151</v>
      </c>
      <c r="AR176" s="16" t="s">
        <v>151</v>
      </c>
      <c r="AS176" s="17" t="s">
        <v>4109</v>
      </c>
      <c r="AT176" s="17" t="s">
        <v>4110</v>
      </c>
      <c r="AU176" s="18">
        <v>6</v>
      </c>
      <c r="AV176" s="17" t="s">
        <v>151</v>
      </c>
      <c r="AW176" s="17" t="s">
        <v>151</v>
      </c>
      <c r="AX176" s="17" t="s">
        <v>151</v>
      </c>
      <c r="AY176" s="17" t="s">
        <v>4111</v>
      </c>
      <c r="AZ176" s="17" t="s">
        <v>151</v>
      </c>
      <c r="BA176" s="17" t="s">
        <v>151</v>
      </c>
      <c r="BB176" s="17" t="s">
        <v>151</v>
      </c>
      <c r="BC176" s="17" t="s">
        <v>151</v>
      </c>
      <c r="BD176" s="17" t="s">
        <v>4112</v>
      </c>
      <c r="BE176" s="17" t="s">
        <v>4113</v>
      </c>
      <c r="BF176" s="17" t="s">
        <v>221</v>
      </c>
      <c r="BG176" s="17" t="s">
        <v>4114</v>
      </c>
      <c r="BH176" s="17" t="s">
        <v>151</v>
      </c>
      <c r="BI176" s="17" t="s">
        <v>764</v>
      </c>
      <c r="BJ176" s="17" t="s">
        <v>4115</v>
      </c>
      <c r="BK176" s="17" t="s">
        <v>1122</v>
      </c>
      <c r="BL176" s="17" t="s">
        <v>767</v>
      </c>
      <c r="BM176" s="17" t="s">
        <v>184</v>
      </c>
      <c r="BN176" s="16" t="s">
        <v>3001</v>
      </c>
      <c r="BO176" s="17" t="s">
        <v>186</v>
      </c>
      <c r="BP176" s="16" t="s">
        <v>4116</v>
      </c>
      <c r="BQ176" s="16" t="s">
        <v>151</v>
      </c>
      <c r="BR176" s="17" t="s">
        <v>4117</v>
      </c>
      <c r="BS176" s="17" t="s">
        <v>187</v>
      </c>
      <c r="BT176" s="17" t="s">
        <v>188</v>
      </c>
      <c r="BU176" s="22">
        <v>45001</v>
      </c>
      <c r="BV176" s="24">
        <v>4.5</v>
      </c>
      <c r="BW176" s="17" t="s">
        <v>192</v>
      </c>
      <c r="BX176" s="24">
        <v>20</v>
      </c>
      <c r="BY176" s="17" t="s">
        <v>192</v>
      </c>
      <c r="BZ176" s="17" t="s">
        <v>293</v>
      </c>
      <c r="CA176" s="17" t="s">
        <v>293</v>
      </c>
      <c r="CB176" s="17" t="s">
        <v>151</v>
      </c>
      <c r="CC176" s="17" t="s">
        <v>165</v>
      </c>
      <c r="CD176" s="17" t="s">
        <v>151</v>
      </c>
      <c r="CE176" s="17" t="s">
        <v>191</v>
      </c>
      <c r="CF176" s="22">
        <v>45001</v>
      </c>
      <c r="CG176" s="24">
        <v>4.5</v>
      </c>
      <c r="CH176" s="17" t="s">
        <v>192</v>
      </c>
      <c r="CI176" s="24">
        <v>20</v>
      </c>
      <c r="CJ176" s="17" t="s">
        <v>192</v>
      </c>
      <c r="CK176" s="16" t="s">
        <v>151</v>
      </c>
      <c r="CL176" s="17" t="s">
        <v>293</v>
      </c>
      <c r="CM176" s="17" t="s">
        <v>293</v>
      </c>
      <c r="CN176" s="17" t="s">
        <v>151</v>
      </c>
      <c r="CO176" s="17" t="s">
        <v>165</v>
      </c>
      <c r="CP176" s="22">
        <v>45001</v>
      </c>
      <c r="CQ176" s="24" t="s">
        <v>151</v>
      </c>
      <c r="CR176" s="17" t="s">
        <v>151</v>
      </c>
      <c r="CS176" s="17" t="s">
        <v>191</v>
      </c>
      <c r="CT176" s="16" t="s">
        <v>151</v>
      </c>
      <c r="CU176" s="17" t="s">
        <v>151</v>
      </c>
      <c r="CV176" s="19" t="s">
        <v>151</v>
      </c>
      <c r="CW176" s="19" t="s">
        <v>151</v>
      </c>
      <c r="CX176" s="17" t="s">
        <v>151</v>
      </c>
      <c r="CY176" s="19" t="s">
        <v>151</v>
      </c>
      <c r="CZ176" s="19" t="s">
        <v>151</v>
      </c>
      <c r="DA176" s="24">
        <v>20</v>
      </c>
      <c r="DB176" s="22">
        <v>45001</v>
      </c>
      <c r="DC176" s="17" t="s">
        <v>293</v>
      </c>
      <c r="DD176" s="16" t="s">
        <v>151</v>
      </c>
      <c r="DE176" s="19">
        <v>0.74</v>
      </c>
      <c r="DF176" s="21">
        <v>95</v>
      </c>
      <c r="DG176" s="19">
        <v>0</v>
      </c>
      <c r="DH176" s="19">
        <v>0</v>
      </c>
      <c r="DI176" s="19">
        <v>2.17</v>
      </c>
      <c r="DJ176" s="21">
        <v>98</v>
      </c>
      <c r="DK176" s="19" t="s">
        <v>151</v>
      </c>
      <c r="DL176" s="21" t="s">
        <v>151</v>
      </c>
      <c r="DM176" s="19">
        <v>2.17</v>
      </c>
      <c r="DN176" s="21">
        <v>98</v>
      </c>
      <c r="DO176" s="23">
        <v>6.34</v>
      </c>
      <c r="DP176" s="21">
        <v>85</v>
      </c>
      <c r="DQ176" s="23">
        <v>0</v>
      </c>
      <c r="DR176" s="19">
        <v>0</v>
      </c>
      <c r="DS176" s="23">
        <v>11.37</v>
      </c>
      <c r="DT176" s="21">
        <v>91</v>
      </c>
      <c r="DU176" s="23" t="s">
        <v>151</v>
      </c>
      <c r="DV176" s="21" t="s">
        <v>151</v>
      </c>
      <c r="DW176" s="23">
        <v>11.37</v>
      </c>
      <c r="DX176" s="21">
        <v>91</v>
      </c>
      <c r="DY176" s="18" t="s">
        <v>151</v>
      </c>
      <c r="DZ176" s="22" t="s">
        <v>151</v>
      </c>
      <c r="EA176" s="22" t="s">
        <v>151</v>
      </c>
      <c r="EB176" s="21">
        <v>111149</v>
      </c>
      <c r="EC176" s="20">
        <v>11422</v>
      </c>
      <c r="ED176" s="19">
        <v>11.45</v>
      </c>
      <c r="EE176" s="21">
        <v>216</v>
      </c>
      <c r="EF176" s="20">
        <v>1</v>
      </c>
      <c r="EG176" s="19">
        <v>0.47</v>
      </c>
      <c r="EH176" s="16" t="s">
        <v>198</v>
      </c>
      <c r="EI176" s="17" t="s">
        <v>151</v>
      </c>
      <c r="EJ176" s="17" t="s">
        <v>151</v>
      </c>
      <c r="EK176" s="18" t="s">
        <v>151</v>
      </c>
      <c r="EL176" s="18" t="s">
        <v>151</v>
      </c>
      <c r="EM176" s="18" t="s">
        <v>151</v>
      </c>
      <c r="EN176" s="18" t="s">
        <v>151</v>
      </c>
      <c r="EO176" s="18" t="s">
        <v>151</v>
      </c>
      <c r="EP176" s="17" t="s">
        <v>151</v>
      </c>
      <c r="EQ176" s="16" t="s">
        <v>151</v>
      </c>
      <c r="ER176" s="16" t="s">
        <v>151</v>
      </c>
      <c r="ES176" s="3">
        <f>HYPERLINK("https://my.pitchbook.com?c=512772-22","View Company Online")</f>
      </c>
    </row>
    <row r="177">
      <c r="A177" s="30" t="s">
        <v>4118</v>
      </c>
      <c r="B177" s="30" t="s">
        <v>4119</v>
      </c>
      <c r="C177" s="31" t="s">
        <v>151</v>
      </c>
      <c r="D177" s="30" t="s">
        <v>151</v>
      </c>
      <c r="E177" s="30" t="s">
        <v>4120</v>
      </c>
      <c r="F177" s="30" t="s">
        <v>4121</v>
      </c>
      <c r="G177" s="30" t="s">
        <v>151</v>
      </c>
      <c r="H177" s="30" t="s">
        <v>151</v>
      </c>
      <c r="I177" s="30" t="s">
        <v>151</v>
      </c>
      <c r="J177" s="30" t="s">
        <v>4118</v>
      </c>
      <c r="K177" s="30" t="s">
        <v>4122</v>
      </c>
      <c r="L177" s="30" t="s">
        <v>205</v>
      </c>
      <c r="M177" s="30" t="s">
        <v>206</v>
      </c>
      <c r="N177" s="30" t="s">
        <v>269</v>
      </c>
      <c r="O177" s="30" t="s">
        <v>4123</v>
      </c>
      <c r="P177" s="30" t="s">
        <v>4124</v>
      </c>
      <c r="Q177" s="30" t="s">
        <v>4125</v>
      </c>
      <c r="R177" s="30" t="s">
        <v>4126</v>
      </c>
      <c r="S177" s="30" t="s">
        <v>162</v>
      </c>
      <c r="T177" s="37">
        <v>2.97</v>
      </c>
      <c r="U177" s="30" t="s">
        <v>163</v>
      </c>
      <c r="V177" s="30" t="s">
        <v>164</v>
      </c>
      <c r="W177" s="30" t="s">
        <v>165</v>
      </c>
      <c r="X177" s="28" t="s">
        <v>4127</v>
      </c>
      <c r="Y177" s="28" t="s">
        <v>4128</v>
      </c>
      <c r="Z177" s="40">
        <v>6</v>
      </c>
      <c r="AA177" s="30" t="s">
        <v>4129</v>
      </c>
      <c r="AB177" s="30" t="s">
        <v>151</v>
      </c>
      <c r="AC177" s="30" t="s">
        <v>151</v>
      </c>
      <c r="AD177" s="39">
        <v>2022</v>
      </c>
      <c r="AE177" s="30" t="s">
        <v>151</v>
      </c>
      <c r="AF177" s="35">
        <v>45576</v>
      </c>
      <c r="AG177" s="30" t="s">
        <v>151</v>
      </c>
      <c r="AH177" s="30" t="s">
        <v>151</v>
      </c>
      <c r="AI177" s="38" t="s">
        <v>151</v>
      </c>
      <c r="AJ177" s="32" t="s">
        <v>151</v>
      </c>
      <c r="AK177" s="38" t="s">
        <v>151</v>
      </c>
      <c r="AL177" s="38" t="s">
        <v>151</v>
      </c>
      <c r="AM177" s="38" t="s">
        <v>151</v>
      </c>
      <c r="AN177" s="38" t="s">
        <v>151</v>
      </c>
      <c r="AO177" s="38" t="s">
        <v>151</v>
      </c>
      <c r="AP177" s="38" t="s">
        <v>151</v>
      </c>
      <c r="AQ177" s="38" t="s">
        <v>151</v>
      </c>
      <c r="AR177" s="29" t="s">
        <v>151</v>
      </c>
      <c r="AS177" s="30" t="s">
        <v>4130</v>
      </c>
      <c r="AT177" s="30" t="s">
        <v>4131</v>
      </c>
      <c r="AU177" s="31">
        <v>3</v>
      </c>
      <c r="AV177" s="30" t="s">
        <v>151</v>
      </c>
      <c r="AW177" s="30" t="s">
        <v>151</v>
      </c>
      <c r="AX177" s="30" t="s">
        <v>151</v>
      </c>
      <c r="AY177" s="30" t="s">
        <v>4132</v>
      </c>
      <c r="AZ177" s="30" t="s">
        <v>151</v>
      </c>
      <c r="BA177" s="30" t="s">
        <v>151</v>
      </c>
      <c r="BB177" s="30" t="s">
        <v>151</v>
      </c>
      <c r="BC177" s="30" t="s">
        <v>343</v>
      </c>
      <c r="BD177" s="30" t="s">
        <v>4133</v>
      </c>
      <c r="BE177" s="30" t="s">
        <v>4134</v>
      </c>
      <c r="BF177" s="30" t="s">
        <v>4135</v>
      </c>
      <c r="BG177" s="30" t="s">
        <v>4136</v>
      </c>
      <c r="BH177" s="30" t="s">
        <v>4137</v>
      </c>
      <c r="BI177" s="30" t="s">
        <v>906</v>
      </c>
      <c r="BJ177" s="30" t="s">
        <v>4138</v>
      </c>
      <c r="BK177" s="30" t="s">
        <v>4139</v>
      </c>
      <c r="BL177" s="30" t="s">
        <v>259</v>
      </c>
      <c r="BM177" s="30" t="s">
        <v>259</v>
      </c>
      <c r="BN177" s="29" t="s">
        <v>4140</v>
      </c>
      <c r="BO177" s="30" t="s">
        <v>186</v>
      </c>
      <c r="BP177" s="29" t="s">
        <v>4137</v>
      </c>
      <c r="BQ177" s="29" t="s">
        <v>151</v>
      </c>
      <c r="BR177" s="30" t="s">
        <v>4141</v>
      </c>
      <c r="BS177" s="30" t="s">
        <v>187</v>
      </c>
      <c r="BT177" s="30" t="s">
        <v>188</v>
      </c>
      <c r="BU177" s="35">
        <v>44812</v>
      </c>
      <c r="BV177" s="37">
        <v>2.97</v>
      </c>
      <c r="BW177" s="30" t="s">
        <v>192</v>
      </c>
      <c r="BX177" s="37">
        <v>17.97</v>
      </c>
      <c r="BY177" s="30" t="s">
        <v>192</v>
      </c>
      <c r="BZ177" s="30" t="s">
        <v>293</v>
      </c>
      <c r="CA177" s="30" t="s">
        <v>293</v>
      </c>
      <c r="CB177" s="30" t="s">
        <v>151</v>
      </c>
      <c r="CC177" s="30" t="s">
        <v>165</v>
      </c>
      <c r="CD177" s="30" t="s">
        <v>151</v>
      </c>
      <c r="CE177" s="30" t="s">
        <v>191</v>
      </c>
      <c r="CF177" s="35">
        <v>44812</v>
      </c>
      <c r="CG177" s="37">
        <v>2.97</v>
      </c>
      <c r="CH177" s="30" t="s">
        <v>192</v>
      </c>
      <c r="CI177" s="37">
        <v>17.97</v>
      </c>
      <c r="CJ177" s="30" t="s">
        <v>192</v>
      </c>
      <c r="CK177" s="29" t="s">
        <v>151</v>
      </c>
      <c r="CL177" s="30" t="s">
        <v>293</v>
      </c>
      <c r="CM177" s="30" t="s">
        <v>293</v>
      </c>
      <c r="CN177" s="30" t="s">
        <v>151</v>
      </c>
      <c r="CO177" s="30" t="s">
        <v>165</v>
      </c>
      <c r="CP177" s="35">
        <v>44812</v>
      </c>
      <c r="CQ177" s="37" t="s">
        <v>151</v>
      </c>
      <c r="CR177" s="30" t="s">
        <v>151</v>
      </c>
      <c r="CS177" s="30" t="s">
        <v>191</v>
      </c>
      <c r="CT177" s="29" t="s">
        <v>151</v>
      </c>
      <c r="CU177" s="30" t="s">
        <v>151</v>
      </c>
      <c r="CV177" s="32" t="s">
        <v>151</v>
      </c>
      <c r="CW177" s="32" t="s">
        <v>151</v>
      </c>
      <c r="CX177" s="30" t="s">
        <v>151</v>
      </c>
      <c r="CY177" s="32" t="s">
        <v>151</v>
      </c>
      <c r="CZ177" s="32" t="s">
        <v>151</v>
      </c>
      <c r="DA177" s="37">
        <v>17.97</v>
      </c>
      <c r="DB177" s="35">
        <v>44812</v>
      </c>
      <c r="DC177" s="30" t="s">
        <v>293</v>
      </c>
      <c r="DD177" s="29" t="s">
        <v>151</v>
      </c>
      <c r="DE177" s="32">
        <v>0</v>
      </c>
      <c r="DF177" s="34">
        <v>11</v>
      </c>
      <c r="DG177" s="32">
        <v>0</v>
      </c>
      <c r="DH177" s="32">
        <v>0</v>
      </c>
      <c r="DI177" s="32">
        <v>0</v>
      </c>
      <c r="DJ177" s="34">
        <v>10</v>
      </c>
      <c r="DK177" s="32">
        <v>0</v>
      </c>
      <c r="DL177" s="34">
        <v>11</v>
      </c>
      <c r="DM177" s="32">
        <v>0</v>
      </c>
      <c r="DN177" s="34">
        <v>10</v>
      </c>
      <c r="DO177" s="36">
        <v>0.98</v>
      </c>
      <c r="DP177" s="34">
        <v>49</v>
      </c>
      <c r="DQ177" s="36">
        <v>0</v>
      </c>
      <c r="DR177" s="32">
        <v>0</v>
      </c>
      <c r="DS177" s="36">
        <v>0.98</v>
      </c>
      <c r="DT177" s="34">
        <v>50</v>
      </c>
      <c r="DU177" s="36">
        <v>0.65</v>
      </c>
      <c r="DV177" s="34">
        <v>38</v>
      </c>
      <c r="DW177" s="36">
        <v>1.32</v>
      </c>
      <c r="DX177" s="34">
        <v>56</v>
      </c>
      <c r="DY177" s="31" t="s">
        <v>151</v>
      </c>
      <c r="DZ177" s="35" t="s">
        <v>151</v>
      </c>
      <c r="EA177" s="35" t="s">
        <v>151</v>
      </c>
      <c r="EB177" s="34">
        <v>134</v>
      </c>
      <c r="EC177" s="33">
        <v>-11</v>
      </c>
      <c r="ED177" s="32">
        <v>-7.59</v>
      </c>
      <c r="EE177" s="34">
        <v>25</v>
      </c>
      <c r="EF177" s="33">
        <v>0</v>
      </c>
      <c r="EG177" s="32">
        <v>0</v>
      </c>
      <c r="EH177" s="29" t="s">
        <v>198</v>
      </c>
      <c r="EI177" s="30" t="s">
        <v>151</v>
      </c>
      <c r="EJ177" s="30" t="s">
        <v>151</v>
      </c>
      <c r="EK177" s="31" t="s">
        <v>151</v>
      </c>
      <c r="EL177" s="31" t="s">
        <v>151</v>
      </c>
      <c r="EM177" s="31" t="s">
        <v>151</v>
      </c>
      <c r="EN177" s="31" t="s">
        <v>151</v>
      </c>
      <c r="EO177" s="31" t="s">
        <v>151</v>
      </c>
      <c r="EP177" s="30" t="s">
        <v>151</v>
      </c>
      <c r="EQ177" s="29" t="s">
        <v>151</v>
      </c>
      <c r="ER177" s="29" t="s">
        <v>151</v>
      </c>
      <c r="ES177" s="4">
        <f>HYPERLINK("https://my.pitchbook.com?c=507170-71","View Company Online")</f>
      </c>
    </row>
    <row r="178">
      <c r="A178" s="17" t="s">
        <v>4142</v>
      </c>
      <c r="B178" s="17" t="s">
        <v>4143</v>
      </c>
      <c r="C178" s="18" t="s">
        <v>151</v>
      </c>
      <c r="D178" s="17" t="s">
        <v>151</v>
      </c>
      <c r="E178" s="17" t="s">
        <v>151</v>
      </c>
      <c r="F178" s="17" t="s">
        <v>4144</v>
      </c>
      <c r="G178" s="17" t="s">
        <v>151</v>
      </c>
      <c r="H178" s="17" t="s">
        <v>151</v>
      </c>
      <c r="I178" s="17" t="s">
        <v>4145</v>
      </c>
      <c r="J178" s="17" t="s">
        <v>4142</v>
      </c>
      <c r="K178" s="17" t="s">
        <v>4146</v>
      </c>
      <c r="L178" s="17" t="s">
        <v>205</v>
      </c>
      <c r="M178" s="17" t="s">
        <v>206</v>
      </c>
      <c r="N178" s="17" t="s">
        <v>1268</v>
      </c>
      <c r="O178" s="17" t="s">
        <v>4147</v>
      </c>
      <c r="P178" s="17" t="s">
        <v>2130</v>
      </c>
      <c r="Q178" s="17" t="s">
        <v>4148</v>
      </c>
      <c r="R178" s="17" t="s">
        <v>151</v>
      </c>
      <c r="S178" s="17" t="s">
        <v>162</v>
      </c>
      <c r="T178" s="24">
        <v>5.63</v>
      </c>
      <c r="U178" s="17" t="s">
        <v>163</v>
      </c>
      <c r="V178" s="17" t="s">
        <v>164</v>
      </c>
      <c r="W178" s="17" t="s">
        <v>165</v>
      </c>
      <c r="X178" s="15" t="s">
        <v>4149</v>
      </c>
      <c r="Y178" s="15" t="s">
        <v>4150</v>
      </c>
      <c r="Z178" s="27">
        <v>13</v>
      </c>
      <c r="AA178" s="17" t="s">
        <v>4151</v>
      </c>
      <c r="AB178" s="17" t="s">
        <v>151</v>
      </c>
      <c r="AC178" s="17" t="s">
        <v>151</v>
      </c>
      <c r="AD178" s="26">
        <v>2021</v>
      </c>
      <c r="AE178" s="17" t="s">
        <v>151</v>
      </c>
      <c r="AF178" s="22">
        <v>45576</v>
      </c>
      <c r="AG178" s="17" t="s">
        <v>151</v>
      </c>
      <c r="AH178" s="17" t="s">
        <v>151</v>
      </c>
      <c r="AI178" s="25" t="s">
        <v>151</v>
      </c>
      <c r="AJ178" s="19" t="s">
        <v>151</v>
      </c>
      <c r="AK178" s="25" t="s">
        <v>151</v>
      </c>
      <c r="AL178" s="25" t="s">
        <v>151</v>
      </c>
      <c r="AM178" s="25" t="s">
        <v>151</v>
      </c>
      <c r="AN178" s="25" t="s">
        <v>151</v>
      </c>
      <c r="AO178" s="25" t="s">
        <v>151</v>
      </c>
      <c r="AP178" s="25" t="s">
        <v>151</v>
      </c>
      <c r="AQ178" s="25" t="s">
        <v>151</v>
      </c>
      <c r="AR178" s="16" t="s">
        <v>151</v>
      </c>
      <c r="AS178" s="17" t="s">
        <v>4152</v>
      </c>
      <c r="AT178" s="17" t="s">
        <v>4153</v>
      </c>
      <c r="AU178" s="18">
        <v>23</v>
      </c>
      <c r="AV178" s="17" t="s">
        <v>151</v>
      </c>
      <c r="AW178" s="17" t="s">
        <v>151</v>
      </c>
      <c r="AX178" s="17" t="s">
        <v>151</v>
      </c>
      <c r="AY178" s="17" t="s">
        <v>4154</v>
      </c>
      <c r="AZ178" s="17" t="s">
        <v>151</v>
      </c>
      <c r="BA178" s="17" t="s">
        <v>151</v>
      </c>
      <c r="BB178" s="17" t="s">
        <v>151</v>
      </c>
      <c r="BC178" s="17" t="s">
        <v>151</v>
      </c>
      <c r="BD178" s="17" t="s">
        <v>4155</v>
      </c>
      <c r="BE178" s="17" t="s">
        <v>4156</v>
      </c>
      <c r="BF178" s="17" t="s">
        <v>931</v>
      </c>
      <c r="BG178" s="17" t="s">
        <v>4157</v>
      </c>
      <c r="BH178" s="17" t="s">
        <v>151</v>
      </c>
      <c r="BI178" s="17" t="s">
        <v>906</v>
      </c>
      <c r="BJ178" s="17" t="s">
        <v>4158</v>
      </c>
      <c r="BK178" s="17" t="s">
        <v>151</v>
      </c>
      <c r="BL178" s="17" t="s">
        <v>259</v>
      </c>
      <c r="BM178" s="17" t="s">
        <v>259</v>
      </c>
      <c r="BN178" s="16" t="s">
        <v>1123</v>
      </c>
      <c r="BO178" s="17" t="s">
        <v>186</v>
      </c>
      <c r="BP178" s="16" t="s">
        <v>151</v>
      </c>
      <c r="BQ178" s="16" t="s">
        <v>151</v>
      </c>
      <c r="BR178" s="17" t="s">
        <v>4159</v>
      </c>
      <c r="BS178" s="17" t="s">
        <v>187</v>
      </c>
      <c r="BT178" s="17" t="s">
        <v>188</v>
      </c>
      <c r="BU178" s="22">
        <v>44197</v>
      </c>
      <c r="BV178" s="24">
        <v>0.13</v>
      </c>
      <c r="BW178" s="17" t="s">
        <v>192</v>
      </c>
      <c r="BX178" s="24">
        <v>1.79</v>
      </c>
      <c r="BY178" s="17" t="s">
        <v>192</v>
      </c>
      <c r="BZ178" s="17" t="s">
        <v>189</v>
      </c>
      <c r="CA178" s="17" t="s">
        <v>151</v>
      </c>
      <c r="CB178" s="17" t="s">
        <v>151</v>
      </c>
      <c r="CC178" s="17" t="s">
        <v>190</v>
      </c>
      <c r="CD178" s="17" t="s">
        <v>151</v>
      </c>
      <c r="CE178" s="17" t="s">
        <v>191</v>
      </c>
      <c r="CF178" s="22">
        <v>45315</v>
      </c>
      <c r="CG178" s="24">
        <v>3.4</v>
      </c>
      <c r="CH178" s="17" t="s">
        <v>192</v>
      </c>
      <c r="CI178" s="24">
        <v>20</v>
      </c>
      <c r="CJ178" s="17" t="s">
        <v>192</v>
      </c>
      <c r="CK178" s="16" t="s">
        <v>151</v>
      </c>
      <c r="CL178" s="17" t="s">
        <v>293</v>
      </c>
      <c r="CM178" s="17" t="s">
        <v>293</v>
      </c>
      <c r="CN178" s="17" t="s">
        <v>151</v>
      </c>
      <c r="CO178" s="17" t="s">
        <v>165</v>
      </c>
      <c r="CP178" s="22">
        <v>45315</v>
      </c>
      <c r="CQ178" s="24" t="s">
        <v>151</v>
      </c>
      <c r="CR178" s="17" t="s">
        <v>151</v>
      </c>
      <c r="CS178" s="17" t="s">
        <v>191</v>
      </c>
      <c r="CT178" s="16">
        <v>90</v>
      </c>
      <c r="CU178" s="17" t="s">
        <v>196</v>
      </c>
      <c r="CV178" s="19">
        <v>82</v>
      </c>
      <c r="CW178" s="19">
        <v>18</v>
      </c>
      <c r="CX178" s="17" t="s">
        <v>294</v>
      </c>
      <c r="CY178" s="19">
        <v>1</v>
      </c>
      <c r="CZ178" s="19">
        <v>81</v>
      </c>
      <c r="DA178" s="24">
        <v>20</v>
      </c>
      <c r="DB178" s="22">
        <v>45315</v>
      </c>
      <c r="DC178" s="17" t="s">
        <v>293</v>
      </c>
      <c r="DD178" s="16" t="s">
        <v>151</v>
      </c>
      <c r="DE178" s="19">
        <v>3.99</v>
      </c>
      <c r="DF178" s="21">
        <v>100</v>
      </c>
      <c r="DG178" s="19">
        <v>0.26</v>
      </c>
      <c r="DH178" s="19">
        <v>6.89</v>
      </c>
      <c r="DI178" s="19" t="s">
        <v>151</v>
      </c>
      <c r="DJ178" s="21" t="s">
        <v>151</v>
      </c>
      <c r="DK178" s="19" t="s">
        <v>151</v>
      </c>
      <c r="DL178" s="21" t="s">
        <v>151</v>
      </c>
      <c r="DM178" s="19" t="s">
        <v>151</v>
      </c>
      <c r="DN178" s="21" t="s">
        <v>151</v>
      </c>
      <c r="DO178" s="23">
        <v>330.9</v>
      </c>
      <c r="DP178" s="21">
        <v>100</v>
      </c>
      <c r="DQ178" s="23">
        <v>22.21</v>
      </c>
      <c r="DR178" s="19">
        <v>7.19</v>
      </c>
      <c r="DS178" s="23" t="s">
        <v>151</v>
      </c>
      <c r="DT178" s="21" t="s">
        <v>151</v>
      </c>
      <c r="DU178" s="23" t="s">
        <v>151</v>
      </c>
      <c r="DV178" s="21" t="s">
        <v>151</v>
      </c>
      <c r="DW178" s="23" t="s">
        <v>151</v>
      </c>
      <c r="DX178" s="21" t="s">
        <v>151</v>
      </c>
      <c r="DY178" s="18" t="s">
        <v>151</v>
      </c>
      <c r="DZ178" s="22" t="s">
        <v>151</v>
      </c>
      <c r="EA178" s="22" t="s">
        <v>151</v>
      </c>
      <c r="EB178" s="21" t="s">
        <v>151</v>
      </c>
      <c r="EC178" s="20" t="s">
        <v>151</v>
      </c>
      <c r="ED178" s="19" t="s">
        <v>151</v>
      </c>
      <c r="EE178" s="21" t="s">
        <v>151</v>
      </c>
      <c r="EF178" s="20" t="s">
        <v>151</v>
      </c>
      <c r="EG178" s="19" t="s">
        <v>151</v>
      </c>
      <c r="EH178" s="16" t="s">
        <v>198</v>
      </c>
      <c r="EI178" s="17" t="s">
        <v>151</v>
      </c>
      <c r="EJ178" s="17" t="s">
        <v>151</v>
      </c>
      <c r="EK178" s="18" t="s">
        <v>151</v>
      </c>
      <c r="EL178" s="18" t="s">
        <v>151</v>
      </c>
      <c r="EM178" s="18" t="s">
        <v>151</v>
      </c>
      <c r="EN178" s="18" t="s">
        <v>151</v>
      </c>
      <c r="EO178" s="18" t="s">
        <v>151</v>
      </c>
      <c r="EP178" s="17" t="s">
        <v>151</v>
      </c>
      <c r="EQ178" s="16" t="s">
        <v>151</v>
      </c>
      <c r="ER178" s="16" t="s">
        <v>151</v>
      </c>
      <c r="ES178" s="3">
        <f>HYPERLINK("https://my.pitchbook.com?c=343267-48","View Company Online")</f>
      </c>
    </row>
    <row r="179">
      <c r="A179" s="30" t="s">
        <v>4160</v>
      </c>
      <c r="B179" s="30" t="s">
        <v>4161</v>
      </c>
      <c r="C179" s="31" t="s">
        <v>151</v>
      </c>
      <c r="D179" s="30" t="s">
        <v>151</v>
      </c>
      <c r="E179" s="30" t="s">
        <v>4162</v>
      </c>
      <c r="F179" s="30" t="s">
        <v>4163</v>
      </c>
      <c r="G179" s="30" t="s">
        <v>151</v>
      </c>
      <c r="H179" s="30" t="s">
        <v>151</v>
      </c>
      <c r="I179" s="30" t="s">
        <v>4164</v>
      </c>
      <c r="J179" s="30" t="s">
        <v>4160</v>
      </c>
      <c r="K179" s="30" t="s">
        <v>4165</v>
      </c>
      <c r="L179" s="30" t="s">
        <v>205</v>
      </c>
      <c r="M179" s="30" t="s">
        <v>206</v>
      </c>
      <c r="N179" s="30" t="s">
        <v>269</v>
      </c>
      <c r="O179" s="30" t="s">
        <v>4166</v>
      </c>
      <c r="P179" s="30" t="s">
        <v>304</v>
      </c>
      <c r="Q179" s="30" t="s">
        <v>4167</v>
      </c>
      <c r="R179" s="30" t="s">
        <v>780</v>
      </c>
      <c r="S179" s="30" t="s">
        <v>162</v>
      </c>
      <c r="T179" s="37">
        <v>2.39</v>
      </c>
      <c r="U179" s="30" t="s">
        <v>163</v>
      </c>
      <c r="V179" s="30" t="s">
        <v>164</v>
      </c>
      <c r="W179" s="30" t="s">
        <v>165</v>
      </c>
      <c r="X179" s="28" t="s">
        <v>4168</v>
      </c>
      <c r="Y179" s="28" t="s">
        <v>4169</v>
      </c>
      <c r="Z179" s="40">
        <v>5</v>
      </c>
      <c r="AA179" s="30" t="s">
        <v>4170</v>
      </c>
      <c r="AB179" s="30" t="s">
        <v>151</v>
      </c>
      <c r="AC179" s="30" t="s">
        <v>151</v>
      </c>
      <c r="AD179" s="39">
        <v>2023</v>
      </c>
      <c r="AE179" s="30" t="s">
        <v>151</v>
      </c>
      <c r="AF179" s="35">
        <v>45530</v>
      </c>
      <c r="AG179" s="30" t="s">
        <v>151</v>
      </c>
      <c r="AH179" s="30" t="s">
        <v>4171</v>
      </c>
      <c r="AI179" s="38" t="s">
        <v>151</v>
      </c>
      <c r="AJ179" s="32" t="s">
        <v>151</v>
      </c>
      <c r="AK179" s="38" t="s">
        <v>151</v>
      </c>
      <c r="AL179" s="38" t="s">
        <v>151</v>
      </c>
      <c r="AM179" s="38" t="s">
        <v>151</v>
      </c>
      <c r="AN179" s="38" t="s">
        <v>151</v>
      </c>
      <c r="AO179" s="38" t="s">
        <v>151</v>
      </c>
      <c r="AP179" s="38" t="s">
        <v>151</v>
      </c>
      <c r="AQ179" s="38" t="s">
        <v>151</v>
      </c>
      <c r="AR179" s="29" t="s">
        <v>151</v>
      </c>
      <c r="AS179" s="30" t="s">
        <v>4172</v>
      </c>
      <c r="AT179" s="30" t="s">
        <v>4173</v>
      </c>
      <c r="AU179" s="31">
        <v>9</v>
      </c>
      <c r="AV179" s="30" t="s">
        <v>151</v>
      </c>
      <c r="AW179" s="30" t="s">
        <v>151</v>
      </c>
      <c r="AX179" s="30" t="s">
        <v>151</v>
      </c>
      <c r="AY179" s="30" t="s">
        <v>4174</v>
      </c>
      <c r="AZ179" s="30" t="s">
        <v>151</v>
      </c>
      <c r="BA179" s="30" t="s">
        <v>151</v>
      </c>
      <c r="BB179" s="30" t="s">
        <v>151</v>
      </c>
      <c r="BC179" s="30" t="s">
        <v>151</v>
      </c>
      <c r="BD179" s="30" t="s">
        <v>4175</v>
      </c>
      <c r="BE179" s="30" t="s">
        <v>4176</v>
      </c>
      <c r="BF179" s="30" t="s">
        <v>221</v>
      </c>
      <c r="BG179" s="30" t="s">
        <v>4177</v>
      </c>
      <c r="BH179" s="30" t="s">
        <v>151</v>
      </c>
      <c r="BI179" s="30" t="s">
        <v>906</v>
      </c>
      <c r="BJ179" s="30" t="s">
        <v>4178</v>
      </c>
      <c r="BK179" s="30" t="s">
        <v>4179</v>
      </c>
      <c r="BL179" s="30" t="s">
        <v>259</v>
      </c>
      <c r="BM179" s="30" t="s">
        <v>259</v>
      </c>
      <c r="BN179" s="29" t="s">
        <v>4180</v>
      </c>
      <c r="BO179" s="30" t="s">
        <v>186</v>
      </c>
      <c r="BP179" s="29" t="s">
        <v>151</v>
      </c>
      <c r="BQ179" s="29" t="s">
        <v>151</v>
      </c>
      <c r="BR179" s="30" t="s">
        <v>4181</v>
      </c>
      <c r="BS179" s="30" t="s">
        <v>187</v>
      </c>
      <c r="BT179" s="30" t="s">
        <v>188</v>
      </c>
      <c r="BU179" s="35">
        <v>45448</v>
      </c>
      <c r="BV179" s="37">
        <v>2.39</v>
      </c>
      <c r="BW179" s="30" t="s">
        <v>192</v>
      </c>
      <c r="BX179" s="37">
        <v>16</v>
      </c>
      <c r="BY179" s="30" t="s">
        <v>192</v>
      </c>
      <c r="BZ179" s="30" t="s">
        <v>293</v>
      </c>
      <c r="CA179" s="30" t="s">
        <v>293</v>
      </c>
      <c r="CB179" s="30" t="s">
        <v>151</v>
      </c>
      <c r="CC179" s="30" t="s">
        <v>165</v>
      </c>
      <c r="CD179" s="30" t="s">
        <v>151</v>
      </c>
      <c r="CE179" s="30" t="s">
        <v>191</v>
      </c>
      <c r="CF179" s="35">
        <v>45448</v>
      </c>
      <c r="CG179" s="37">
        <v>2.39</v>
      </c>
      <c r="CH179" s="30" t="s">
        <v>192</v>
      </c>
      <c r="CI179" s="37">
        <v>16</v>
      </c>
      <c r="CJ179" s="30" t="s">
        <v>192</v>
      </c>
      <c r="CK179" s="29" t="s">
        <v>151</v>
      </c>
      <c r="CL179" s="30" t="s">
        <v>293</v>
      </c>
      <c r="CM179" s="30" t="s">
        <v>293</v>
      </c>
      <c r="CN179" s="30" t="s">
        <v>151</v>
      </c>
      <c r="CO179" s="30" t="s">
        <v>165</v>
      </c>
      <c r="CP179" s="35">
        <v>45448</v>
      </c>
      <c r="CQ179" s="37" t="s">
        <v>151</v>
      </c>
      <c r="CR179" s="30" t="s">
        <v>151</v>
      </c>
      <c r="CS179" s="30" t="s">
        <v>191</v>
      </c>
      <c r="CT179" s="29" t="s">
        <v>151</v>
      </c>
      <c r="CU179" s="30" t="s">
        <v>151</v>
      </c>
      <c r="CV179" s="32" t="s">
        <v>151</v>
      </c>
      <c r="CW179" s="32" t="s">
        <v>151</v>
      </c>
      <c r="CX179" s="30" t="s">
        <v>151</v>
      </c>
      <c r="CY179" s="32" t="s">
        <v>151</v>
      </c>
      <c r="CZ179" s="32" t="s">
        <v>151</v>
      </c>
      <c r="DA179" s="37">
        <v>16</v>
      </c>
      <c r="DB179" s="35">
        <v>45448</v>
      </c>
      <c r="DC179" s="30" t="s">
        <v>293</v>
      </c>
      <c r="DD179" s="29" t="s">
        <v>151</v>
      </c>
      <c r="DE179" s="32" t="s">
        <v>151</v>
      </c>
      <c r="DF179" s="34" t="s">
        <v>151</v>
      </c>
      <c r="DG179" s="32" t="s">
        <v>151</v>
      </c>
      <c r="DH179" s="32" t="s">
        <v>151</v>
      </c>
      <c r="DI179" s="32" t="s">
        <v>151</v>
      </c>
      <c r="DJ179" s="34" t="s">
        <v>151</v>
      </c>
      <c r="DK179" s="32" t="s">
        <v>151</v>
      </c>
      <c r="DL179" s="34" t="s">
        <v>151</v>
      </c>
      <c r="DM179" s="32" t="s">
        <v>151</v>
      </c>
      <c r="DN179" s="34" t="s">
        <v>151</v>
      </c>
      <c r="DO179" s="36" t="s">
        <v>151</v>
      </c>
      <c r="DP179" s="34" t="s">
        <v>151</v>
      </c>
      <c r="DQ179" s="36" t="s">
        <v>151</v>
      </c>
      <c r="DR179" s="32" t="s">
        <v>151</v>
      </c>
      <c r="DS179" s="36" t="s">
        <v>151</v>
      </c>
      <c r="DT179" s="34" t="s">
        <v>151</v>
      </c>
      <c r="DU179" s="36" t="s">
        <v>151</v>
      </c>
      <c r="DV179" s="34" t="s">
        <v>151</v>
      </c>
      <c r="DW179" s="36" t="s">
        <v>151</v>
      </c>
      <c r="DX179" s="34" t="s">
        <v>151</v>
      </c>
      <c r="DY179" s="31" t="s">
        <v>151</v>
      </c>
      <c r="DZ179" s="35" t="s">
        <v>151</v>
      </c>
      <c r="EA179" s="35" t="s">
        <v>151</v>
      </c>
      <c r="EB179" s="34" t="s">
        <v>151</v>
      </c>
      <c r="EC179" s="33" t="s">
        <v>151</v>
      </c>
      <c r="ED179" s="32" t="s">
        <v>151</v>
      </c>
      <c r="EE179" s="34" t="s">
        <v>151</v>
      </c>
      <c r="EF179" s="33" t="s">
        <v>151</v>
      </c>
      <c r="EG179" s="32" t="s">
        <v>151</v>
      </c>
      <c r="EH179" s="29" t="s">
        <v>198</v>
      </c>
      <c r="EI179" s="30" t="s">
        <v>151</v>
      </c>
      <c r="EJ179" s="30" t="s">
        <v>151</v>
      </c>
      <c r="EK179" s="31" t="s">
        <v>151</v>
      </c>
      <c r="EL179" s="31" t="s">
        <v>151</v>
      </c>
      <c r="EM179" s="31" t="s">
        <v>151</v>
      </c>
      <c r="EN179" s="31" t="s">
        <v>151</v>
      </c>
      <c r="EO179" s="31" t="s">
        <v>151</v>
      </c>
      <c r="EP179" s="30" t="s">
        <v>151</v>
      </c>
      <c r="EQ179" s="29" t="s">
        <v>151</v>
      </c>
      <c r="ER179" s="29" t="s">
        <v>151</v>
      </c>
      <c r="ES179" s="4">
        <f>HYPERLINK("https://my.pitchbook.com?c=592298-29","View Company Online")</f>
      </c>
    </row>
    <row r="180">
      <c r="A180" s="17" t="s">
        <v>4182</v>
      </c>
      <c r="B180" s="17" t="s">
        <v>4183</v>
      </c>
      <c r="C180" s="18" t="s">
        <v>151</v>
      </c>
      <c r="D180" s="17" t="s">
        <v>151</v>
      </c>
      <c r="E180" s="17" t="s">
        <v>151</v>
      </c>
      <c r="F180" s="17" t="s">
        <v>4184</v>
      </c>
      <c r="G180" s="17" t="s">
        <v>151</v>
      </c>
      <c r="H180" s="17" t="s">
        <v>151</v>
      </c>
      <c r="I180" s="17" t="s">
        <v>151</v>
      </c>
      <c r="J180" s="17" t="s">
        <v>4182</v>
      </c>
      <c r="K180" s="17" t="s">
        <v>4185</v>
      </c>
      <c r="L180" s="17" t="s">
        <v>205</v>
      </c>
      <c r="M180" s="17" t="s">
        <v>206</v>
      </c>
      <c r="N180" s="17" t="s">
        <v>1268</v>
      </c>
      <c r="O180" s="17" t="s">
        <v>3141</v>
      </c>
      <c r="P180" s="17" t="s">
        <v>4186</v>
      </c>
      <c r="Q180" s="17" t="s">
        <v>4187</v>
      </c>
      <c r="R180" s="17" t="s">
        <v>151</v>
      </c>
      <c r="S180" s="17" t="s">
        <v>162</v>
      </c>
      <c r="T180" s="24">
        <v>5.5</v>
      </c>
      <c r="U180" s="17" t="s">
        <v>163</v>
      </c>
      <c r="V180" s="17" t="s">
        <v>164</v>
      </c>
      <c r="W180" s="17" t="s">
        <v>165</v>
      </c>
      <c r="X180" s="15" t="s">
        <v>4188</v>
      </c>
      <c r="Y180" s="15" t="s">
        <v>4189</v>
      </c>
      <c r="Z180" s="27">
        <v>25</v>
      </c>
      <c r="AA180" s="17" t="s">
        <v>4190</v>
      </c>
      <c r="AB180" s="17" t="s">
        <v>151</v>
      </c>
      <c r="AC180" s="17" t="s">
        <v>151</v>
      </c>
      <c r="AD180" s="26">
        <v>2022</v>
      </c>
      <c r="AE180" s="17" t="s">
        <v>151</v>
      </c>
      <c r="AF180" s="22">
        <v>45460</v>
      </c>
      <c r="AG180" s="17" t="s">
        <v>151</v>
      </c>
      <c r="AH180" s="17" t="s">
        <v>151</v>
      </c>
      <c r="AI180" s="25" t="s">
        <v>151</v>
      </c>
      <c r="AJ180" s="19" t="s">
        <v>151</v>
      </c>
      <c r="AK180" s="25" t="s">
        <v>151</v>
      </c>
      <c r="AL180" s="25" t="s">
        <v>151</v>
      </c>
      <c r="AM180" s="25" t="s">
        <v>151</v>
      </c>
      <c r="AN180" s="25" t="s">
        <v>151</v>
      </c>
      <c r="AO180" s="25" t="s">
        <v>151</v>
      </c>
      <c r="AP180" s="25" t="s">
        <v>151</v>
      </c>
      <c r="AQ180" s="25" t="s">
        <v>151</v>
      </c>
      <c r="AR180" s="16" t="s">
        <v>151</v>
      </c>
      <c r="AS180" s="17" t="s">
        <v>4191</v>
      </c>
      <c r="AT180" s="17" t="s">
        <v>4192</v>
      </c>
      <c r="AU180" s="18">
        <v>5</v>
      </c>
      <c r="AV180" s="17" t="s">
        <v>151</v>
      </c>
      <c r="AW180" s="17" t="s">
        <v>151</v>
      </c>
      <c r="AX180" s="17" t="s">
        <v>151</v>
      </c>
      <c r="AY180" s="17" t="s">
        <v>4193</v>
      </c>
      <c r="AZ180" s="17" t="s">
        <v>151</v>
      </c>
      <c r="BA180" s="17" t="s">
        <v>151</v>
      </c>
      <c r="BB180" s="17" t="s">
        <v>151</v>
      </c>
      <c r="BC180" s="17" t="s">
        <v>151</v>
      </c>
      <c r="BD180" s="17" t="s">
        <v>4194</v>
      </c>
      <c r="BE180" s="17" t="s">
        <v>4195</v>
      </c>
      <c r="BF180" s="17" t="s">
        <v>789</v>
      </c>
      <c r="BG180" s="17" t="s">
        <v>151</v>
      </c>
      <c r="BH180" s="17" t="s">
        <v>151</v>
      </c>
      <c r="BI180" s="17" t="s">
        <v>1096</v>
      </c>
      <c r="BJ180" s="17" t="s">
        <v>4196</v>
      </c>
      <c r="BK180" s="17" t="s">
        <v>4197</v>
      </c>
      <c r="BL180" s="17" t="s">
        <v>1098</v>
      </c>
      <c r="BM180" s="17" t="s">
        <v>184</v>
      </c>
      <c r="BN180" s="16" t="s">
        <v>4198</v>
      </c>
      <c r="BO180" s="17" t="s">
        <v>186</v>
      </c>
      <c r="BP180" s="16" t="s">
        <v>151</v>
      </c>
      <c r="BQ180" s="16" t="s">
        <v>151</v>
      </c>
      <c r="BR180" s="17" t="s">
        <v>4199</v>
      </c>
      <c r="BS180" s="17" t="s">
        <v>187</v>
      </c>
      <c r="BT180" s="17" t="s">
        <v>188</v>
      </c>
      <c r="BU180" s="22">
        <v>44995</v>
      </c>
      <c r="BV180" s="24">
        <v>5.5</v>
      </c>
      <c r="BW180" s="17" t="s">
        <v>192</v>
      </c>
      <c r="BX180" s="24" t="s">
        <v>151</v>
      </c>
      <c r="BY180" s="17" t="s">
        <v>151</v>
      </c>
      <c r="BZ180" s="17" t="s">
        <v>293</v>
      </c>
      <c r="CA180" s="17" t="s">
        <v>293</v>
      </c>
      <c r="CB180" s="17" t="s">
        <v>151</v>
      </c>
      <c r="CC180" s="17" t="s">
        <v>165</v>
      </c>
      <c r="CD180" s="17" t="s">
        <v>151</v>
      </c>
      <c r="CE180" s="17" t="s">
        <v>191</v>
      </c>
      <c r="CF180" s="22">
        <v>44995</v>
      </c>
      <c r="CG180" s="24">
        <v>5.5</v>
      </c>
      <c r="CH180" s="17" t="s">
        <v>192</v>
      </c>
      <c r="CI180" s="24" t="s">
        <v>151</v>
      </c>
      <c r="CJ180" s="17" t="s">
        <v>151</v>
      </c>
      <c r="CK180" s="16" t="s">
        <v>151</v>
      </c>
      <c r="CL180" s="17" t="s">
        <v>293</v>
      </c>
      <c r="CM180" s="17" t="s">
        <v>293</v>
      </c>
      <c r="CN180" s="17" t="s">
        <v>151</v>
      </c>
      <c r="CO180" s="17" t="s">
        <v>165</v>
      </c>
      <c r="CP180" s="22">
        <v>44995</v>
      </c>
      <c r="CQ180" s="24" t="s">
        <v>151</v>
      </c>
      <c r="CR180" s="17" t="s">
        <v>151</v>
      </c>
      <c r="CS180" s="17" t="s">
        <v>191</v>
      </c>
      <c r="CT180" s="16" t="s">
        <v>151</v>
      </c>
      <c r="CU180" s="17" t="s">
        <v>151</v>
      </c>
      <c r="CV180" s="19" t="s">
        <v>151</v>
      </c>
      <c r="CW180" s="19" t="s">
        <v>151</v>
      </c>
      <c r="CX180" s="17" t="s">
        <v>151</v>
      </c>
      <c r="CY180" s="19" t="s">
        <v>151</v>
      </c>
      <c r="CZ180" s="19" t="s">
        <v>151</v>
      </c>
      <c r="DA180" s="24" t="s">
        <v>151</v>
      </c>
      <c r="DB180" s="22" t="s">
        <v>151</v>
      </c>
      <c r="DC180" s="17" t="s">
        <v>151</v>
      </c>
      <c r="DD180" s="16" t="s">
        <v>151</v>
      </c>
      <c r="DE180" s="19">
        <v>0.56</v>
      </c>
      <c r="DF180" s="21">
        <v>94</v>
      </c>
      <c r="DG180" s="19">
        <v>0</v>
      </c>
      <c r="DH180" s="19">
        <v>0</v>
      </c>
      <c r="DI180" s="19">
        <v>0</v>
      </c>
      <c r="DJ180" s="21">
        <v>10</v>
      </c>
      <c r="DK180" s="19" t="s">
        <v>151</v>
      </c>
      <c r="DL180" s="21" t="s">
        <v>151</v>
      </c>
      <c r="DM180" s="19">
        <v>0</v>
      </c>
      <c r="DN180" s="21">
        <v>10</v>
      </c>
      <c r="DO180" s="23">
        <v>1.69</v>
      </c>
      <c r="DP180" s="21">
        <v>63</v>
      </c>
      <c r="DQ180" s="23">
        <v>0</v>
      </c>
      <c r="DR180" s="19">
        <v>0</v>
      </c>
      <c r="DS180" s="23">
        <v>1.53</v>
      </c>
      <c r="DT180" s="21">
        <v>60</v>
      </c>
      <c r="DU180" s="23" t="s">
        <v>151</v>
      </c>
      <c r="DV180" s="21" t="s">
        <v>151</v>
      </c>
      <c r="DW180" s="23">
        <v>1.53</v>
      </c>
      <c r="DX180" s="21">
        <v>59</v>
      </c>
      <c r="DY180" s="18" t="s">
        <v>151</v>
      </c>
      <c r="DZ180" s="22" t="s">
        <v>151</v>
      </c>
      <c r="EA180" s="22" t="s">
        <v>151</v>
      </c>
      <c r="EB180" s="21">
        <v>672</v>
      </c>
      <c r="EC180" s="20">
        <v>-43</v>
      </c>
      <c r="ED180" s="19">
        <v>-6.01</v>
      </c>
      <c r="EE180" s="21">
        <v>29</v>
      </c>
      <c r="EF180" s="20">
        <v>0</v>
      </c>
      <c r="EG180" s="19">
        <v>0</v>
      </c>
      <c r="EH180" s="16" t="s">
        <v>198</v>
      </c>
      <c r="EI180" s="17" t="s">
        <v>151</v>
      </c>
      <c r="EJ180" s="17" t="s">
        <v>151</v>
      </c>
      <c r="EK180" s="18" t="s">
        <v>151</v>
      </c>
      <c r="EL180" s="18" t="s">
        <v>151</v>
      </c>
      <c r="EM180" s="18" t="s">
        <v>151</v>
      </c>
      <c r="EN180" s="18" t="s">
        <v>151</v>
      </c>
      <c r="EO180" s="18" t="s">
        <v>151</v>
      </c>
      <c r="EP180" s="17" t="s">
        <v>151</v>
      </c>
      <c r="EQ180" s="16" t="s">
        <v>151</v>
      </c>
      <c r="ER180" s="16" t="s">
        <v>151</v>
      </c>
      <c r="ES180" s="3">
        <f>HYPERLINK("https://my.pitchbook.com?c=533023-21","View Company Online")</f>
      </c>
    </row>
    <row r="181">
      <c r="A181" s="30" t="s">
        <v>4200</v>
      </c>
      <c r="B181" s="30" t="s">
        <v>4201</v>
      </c>
      <c r="C181" s="31" t="s">
        <v>151</v>
      </c>
      <c r="D181" s="30" t="s">
        <v>151</v>
      </c>
      <c r="E181" s="30" t="s">
        <v>151</v>
      </c>
      <c r="F181" s="30" t="s">
        <v>4202</v>
      </c>
      <c r="G181" s="30" t="s">
        <v>151</v>
      </c>
      <c r="H181" s="30" t="s">
        <v>151</v>
      </c>
      <c r="I181" s="30" t="s">
        <v>151</v>
      </c>
      <c r="J181" s="30" t="s">
        <v>4200</v>
      </c>
      <c r="K181" s="30" t="s">
        <v>4203</v>
      </c>
      <c r="L181" s="30" t="s">
        <v>205</v>
      </c>
      <c r="M181" s="30" t="s">
        <v>206</v>
      </c>
      <c r="N181" s="30" t="s">
        <v>776</v>
      </c>
      <c r="O181" s="30" t="s">
        <v>4204</v>
      </c>
      <c r="P181" s="30" t="s">
        <v>4205</v>
      </c>
      <c r="Q181" s="30" t="s">
        <v>4206</v>
      </c>
      <c r="R181" s="30" t="s">
        <v>151</v>
      </c>
      <c r="S181" s="30" t="s">
        <v>162</v>
      </c>
      <c r="T181" s="37">
        <v>9.09</v>
      </c>
      <c r="U181" s="30" t="s">
        <v>163</v>
      </c>
      <c r="V181" s="30" t="s">
        <v>164</v>
      </c>
      <c r="W181" s="30" t="s">
        <v>165</v>
      </c>
      <c r="X181" s="28" t="s">
        <v>4207</v>
      </c>
      <c r="Y181" s="28" t="s">
        <v>4208</v>
      </c>
      <c r="Z181" s="40">
        <v>46</v>
      </c>
      <c r="AA181" s="30" t="s">
        <v>4209</v>
      </c>
      <c r="AB181" s="30" t="s">
        <v>151</v>
      </c>
      <c r="AC181" s="30" t="s">
        <v>151</v>
      </c>
      <c r="AD181" s="39">
        <v>2019</v>
      </c>
      <c r="AE181" s="30" t="s">
        <v>151</v>
      </c>
      <c r="AF181" s="35">
        <v>45581</v>
      </c>
      <c r="AG181" s="30" t="s">
        <v>151</v>
      </c>
      <c r="AH181" s="30" t="s">
        <v>151</v>
      </c>
      <c r="AI181" s="38">
        <v>0.04</v>
      </c>
      <c r="AJ181" s="32">
        <v>110.65</v>
      </c>
      <c r="AK181" s="38" t="s">
        <v>151</v>
      </c>
      <c r="AL181" s="38" t="s">
        <v>151</v>
      </c>
      <c r="AM181" s="38" t="s">
        <v>151</v>
      </c>
      <c r="AN181" s="38" t="s">
        <v>151</v>
      </c>
      <c r="AO181" s="38" t="s">
        <v>151</v>
      </c>
      <c r="AP181" s="38" t="s">
        <v>151</v>
      </c>
      <c r="AQ181" s="38" t="s">
        <v>151</v>
      </c>
      <c r="AR181" s="29" t="s">
        <v>456</v>
      </c>
      <c r="AS181" s="30" t="s">
        <v>4210</v>
      </c>
      <c r="AT181" s="30" t="s">
        <v>4211</v>
      </c>
      <c r="AU181" s="31">
        <v>3</v>
      </c>
      <c r="AV181" s="30" t="s">
        <v>151</v>
      </c>
      <c r="AW181" s="30" t="s">
        <v>151</v>
      </c>
      <c r="AX181" s="30" t="s">
        <v>151</v>
      </c>
      <c r="AY181" s="30" t="s">
        <v>4212</v>
      </c>
      <c r="AZ181" s="30" t="s">
        <v>151</v>
      </c>
      <c r="BA181" s="30" t="s">
        <v>151</v>
      </c>
      <c r="BB181" s="30" t="s">
        <v>4213</v>
      </c>
      <c r="BC181" s="30" t="s">
        <v>1214</v>
      </c>
      <c r="BD181" s="30" t="s">
        <v>4214</v>
      </c>
      <c r="BE181" s="30" t="s">
        <v>4215</v>
      </c>
      <c r="BF181" s="30" t="s">
        <v>493</v>
      </c>
      <c r="BG181" s="30" t="s">
        <v>4216</v>
      </c>
      <c r="BH181" s="30" t="s">
        <v>4217</v>
      </c>
      <c r="BI181" s="30" t="s">
        <v>764</v>
      </c>
      <c r="BJ181" s="30" t="s">
        <v>4218</v>
      </c>
      <c r="BK181" s="30" t="s">
        <v>4219</v>
      </c>
      <c r="BL181" s="30" t="s">
        <v>767</v>
      </c>
      <c r="BM181" s="30" t="s">
        <v>184</v>
      </c>
      <c r="BN181" s="29" t="s">
        <v>4220</v>
      </c>
      <c r="BO181" s="30" t="s">
        <v>186</v>
      </c>
      <c r="BP181" s="29" t="s">
        <v>4221</v>
      </c>
      <c r="BQ181" s="29" t="s">
        <v>151</v>
      </c>
      <c r="BR181" s="30" t="s">
        <v>151</v>
      </c>
      <c r="BS181" s="30" t="s">
        <v>187</v>
      </c>
      <c r="BT181" s="30" t="s">
        <v>188</v>
      </c>
      <c r="BU181" s="35" t="s">
        <v>151</v>
      </c>
      <c r="BV181" s="37">
        <v>0.1</v>
      </c>
      <c r="BW181" s="30" t="s">
        <v>192</v>
      </c>
      <c r="BX181" s="37" t="s">
        <v>151</v>
      </c>
      <c r="BY181" s="30" t="s">
        <v>151</v>
      </c>
      <c r="BZ181" s="30" t="s">
        <v>189</v>
      </c>
      <c r="CA181" s="30" t="s">
        <v>151</v>
      </c>
      <c r="CB181" s="30" t="s">
        <v>151</v>
      </c>
      <c r="CC181" s="30" t="s">
        <v>190</v>
      </c>
      <c r="CD181" s="30" t="s">
        <v>151</v>
      </c>
      <c r="CE181" s="30" t="s">
        <v>191</v>
      </c>
      <c r="CF181" s="35">
        <v>45576</v>
      </c>
      <c r="CG181" s="37">
        <v>8.84</v>
      </c>
      <c r="CH181" s="30" t="s">
        <v>192</v>
      </c>
      <c r="CI181" s="37">
        <v>22.84</v>
      </c>
      <c r="CJ181" s="30" t="s">
        <v>192</v>
      </c>
      <c r="CK181" s="29" t="s">
        <v>151</v>
      </c>
      <c r="CL181" s="30" t="s">
        <v>194</v>
      </c>
      <c r="CM181" s="30" t="s">
        <v>232</v>
      </c>
      <c r="CN181" s="30" t="s">
        <v>151</v>
      </c>
      <c r="CO181" s="30" t="s">
        <v>165</v>
      </c>
      <c r="CP181" s="35">
        <v>45576</v>
      </c>
      <c r="CQ181" s="37" t="s">
        <v>151</v>
      </c>
      <c r="CR181" s="30" t="s">
        <v>151</v>
      </c>
      <c r="CS181" s="30" t="s">
        <v>191</v>
      </c>
      <c r="CT181" s="29" t="s">
        <v>151</v>
      </c>
      <c r="CU181" s="30" t="s">
        <v>151</v>
      </c>
      <c r="CV181" s="32" t="s">
        <v>151</v>
      </c>
      <c r="CW181" s="32" t="s">
        <v>151</v>
      </c>
      <c r="CX181" s="30" t="s">
        <v>151</v>
      </c>
      <c r="CY181" s="32" t="s">
        <v>151</v>
      </c>
      <c r="CZ181" s="32" t="s">
        <v>151</v>
      </c>
      <c r="DA181" s="37">
        <v>22.84</v>
      </c>
      <c r="DB181" s="35">
        <v>45576</v>
      </c>
      <c r="DC181" s="30" t="s">
        <v>194</v>
      </c>
      <c r="DD181" s="29" t="s">
        <v>151</v>
      </c>
      <c r="DE181" s="32">
        <v>0</v>
      </c>
      <c r="DF181" s="34">
        <v>11</v>
      </c>
      <c r="DG181" s="32">
        <v>0</v>
      </c>
      <c r="DH181" s="32">
        <v>0</v>
      </c>
      <c r="DI181" s="32">
        <v>0</v>
      </c>
      <c r="DJ181" s="34">
        <v>10</v>
      </c>
      <c r="DK181" s="32" t="s">
        <v>151</v>
      </c>
      <c r="DL181" s="34" t="s">
        <v>151</v>
      </c>
      <c r="DM181" s="32">
        <v>0</v>
      </c>
      <c r="DN181" s="34">
        <v>10</v>
      </c>
      <c r="DO181" s="36">
        <v>4.32</v>
      </c>
      <c r="DP181" s="34">
        <v>80</v>
      </c>
      <c r="DQ181" s="36">
        <v>0</v>
      </c>
      <c r="DR181" s="32">
        <v>0</v>
      </c>
      <c r="DS181" s="36">
        <v>4.32</v>
      </c>
      <c r="DT181" s="34">
        <v>80</v>
      </c>
      <c r="DU181" s="36" t="s">
        <v>151</v>
      </c>
      <c r="DV181" s="34" t="s">
        <v>151</v>
      </c>
      <c r="DW181" s="36">
        <v>4.32</v>
      </c>
      <c r="DX181" s="34">
        <v>80</v>
      </c>
      <c r="DY181" s="31" t="s">
        <v>151</v>
      </c>
      <c r="DZ181" s="35" t="s">
        <v>151</v>
      </c>
      <c r="EA181" s="35" t="s">
        <v>151</v>
      </c>
      <c r="EB181" s="34">
        <v>1128</v>
      </c>
      <c r="EC181" s="33">
        <v>-141</v>
      </c>
      <c r="ED181" s="32">
        <v>-11.11</v>
      </c>
      <c r="EE181" s="34">
        <v>82</v>
      </c>
      <c r="EF181" s="33">
        <v>0</v>
      </c>
      <c r="EG181" s="32">
        <v>0</v>
      </c>
      <c r="EH181" s="29" t="s">
        <v>198</v>
      </c>
      <c r="EI181" s="30" t="s">
        <v>151</v>
      </c>
      <c r="EJ181" s="30" t="s">
        <v>151</v>
      </c>
      <c r="EK181" s="31" t="s">
        <v>151</v>
      </c>
      <c r="EL181" s="31" t="s">
        <v>151</v>
      </c>
      <c r="EM181" s="31" t="s">
        <v>151</v>
      </c>
      <c r="EN181" s="31" t="s">
        <v>151</v>
      </c>
      <c r="EO181" s="31" t="s">
        <v>151</v>
      </c>
      <c r="EP181" s="30" t="s">
        <v>151</v>
      </c>
      <c r="EQ181" s="29" t="s">
        <v>151</v>
      </c>
      <c r="ER181" s="29" t="s">
        <v>151</v>
      </c>
      <c r="ES181" s="4">
        <f>HYPERLINK("https://my.pitchbook.com?c=483582-79","View Company Online")</f>
      </c>
    </row>
    <row r="182">
      <c r="A182" s="17" t="s">
        <v>4222</v>
      </c>
      <c r="B182" s="17" t="s">
        <v>4223</v>
      </c>
      <c r="C182" s="18" t="s">
        <v>151</v>
      </c>
      <c r="D182" s="17" t="s">
        <v>4224</v>
      </c>
      <c r="E182" s="17" t="s">
        <v>4225</v>
      </c>
      <c r="F182" s="17" t="s">
        <v>4226</v>
      </c>
      <c r="G182" s="17" t="s">
        <v>151</v>
      </c>
      <c r="H182" s="17" t="s">
        <v>151</v>
      </c>
      <c r="I182" s="17" t="s">
        <v>4227</v>
      </c>
      <c r="J182" s="17" t="s">
        <v>4222</v>
      </c>
      <c r="K182" s="17" t="s">
        <v>4228</v>
      </c>
      <c r="L182" s="17" t="s">
        <v>205</v>
      </c>
      <c r="M182" s="17" t="s">
        <v>206</v>
      </c>
      <c r="N182" s="17" t="s">
        <v>269</v>
      </c>
      <c r="O182" s="17" t="s">
        <v>1106</v>
      </c>
      <c r="P182" s="17" t="s">
        <v>4229</v>
      </c>
      <c r="Q182" s="17" t="s">
        <v>4230</v>
      </c>
      <c r="R182" s="17" t="s">
        <v>151</v>
      </c>
      <c r="S182" s="17" t="s">
        <v>162</v>
      </c>
      <c r="T182" s="24">
        <v>26.06</v>
      </c>
      <c r="U182" s="17" t="s">
        <v>163</v>
      </c>
      <c r="V182" s="17" t="s">
        <v>164</v>
      </c>
      <c r="W182" s="17" t="s">
        <v>165</v>
      </c>
      <c r="X182" s="15" t="s">
        <v>4231</v>
      </c>
      <c r="Y182" s="15" t="s">
        <v>4232</v>
      </c>
      <c r="Z182" s="27">
        <v>41</v>
      </c>
      <c r="AA182" s="17" t="s">
        <v>4233</v>
      </c>
      <c r="AB182" s="17" t="s">
        <v>151</v>
      </c>
      <c r="AC182" s="17" t="s">
        <v>151</v>
      </c>
      <c r="AD182" s="26">
        <v>2019</v>
      </c>
      <c r="AE182" s="17" t="s">
        <v>151</v>
      </c>
      <c r="AF182" s="22">
        <v>45602</v>
      </c>
      <c r="AG182" s="17" t="s">
        <v>151</v>
      </c>
      <c r="AH182" s="17" t="s">
        <v>151</v>
      </c>
      <c r="AI182" s="25" t="s">
        <v>151</v>
      </c>
      <c r="AJ182" s="19" t="s">
        <v>151</v>
      </c>
      <c r="AK182" s="25" t="s">
        <v>151</v>
      </c>
      <c r="AL182" s="25" t="s">
        <v>151</v>
      </c>
      <c r="AM182" s="25" t="s">
        <v>151</v>
      </c>
      <c r="AN182" s="25" t="s">
        <v>151</v>
      </c>
      <c r="AO182" s="25" t="s">
        <v>151</v>
      </c>
      <c r="AP182" s="25" t="s">
        <v>151</v>
      </c>
      <c r="AQ182" s="25" t="s">
        <v>151</v>
      </c>
      <c r="AR182" s="16" t="s">
        <v>151</v>
      </c>
      <c r="AS182" s="17" t="s">
        <v>4234</v>
      </c>
      <c r="AT182" s="17" t="s">
        <v>4235</v>
      </c>
      <c r="AU182" s="18">
        <v>31</v>
      </c>
      <c r="AV182" s="17" t="s">
        <v>151</v>
      </c>
      <c r="AW182" s="17" t="s">
        <v>151</v>
      </c>
      <c r="AX182" s="17" t="s">
        <v>151</v>
      </c>
      <c r="AY182" s="17" t="s">
        <v>4236</v>
      </c>
      <c r="AZ182" s="17" t="s">
        <v>151</v>
      </c>
      <c r="BA182" s="17" t="s">
        <v>151</v>
      </c>
      <c r="BB182" s="17" t="s">
        <v>151</v>
      </c>
      <c r="BC182" s="17" t="s">
        <v>4237</v>
      </c>
      <c r="BD182" s="17" t="s">
        <v>4238</v>
      </c>
      <c r="BE182" s="17" t="s">
        <v>4239</v>
      </c>
      <c r="BF182" s="17" t="s">
        <v>221</v>
      </c>
      <c r="BG182" s="17" t="s">
        <v>4240</v>
      </c>
      <c r="BH182" s="17" t="s">
        <v>4241</v>
      </c>
      <c r="BI182" s="17" t="s">
        <v>2885</v>
      </c>
      <c r="BJ182" s="17" t="s">
        <v>4242</v>
      </c>
      <c r="BK182" s="17" t="s">
        <v>4243</v>
      </c>
      <c r="BL182" s="17" t="s">
        <v>2888</v>
      </c>
      <c r="BM182" s="17" t="s">
        <v>1957</v>
      </c>
      <c r="BN182" s="16" t="s">
        <v>151</v>
      </c>
      <c r="BO182" s="17" t="s">
        <v>186</v>
      </c>
      <c r="BP182" s="16" t="s">
        <v>4241</v>
      </c>
      <c r="BQ182" s="16" t="s">
        <v>151</v>
      </c>
      <c r="BR182" s="17" t="s">
        <v>4244</v>
      </c>
      <c r="BS182" s="17" t="s">
        <v>187</v>
      </c>
      <c r="BT182" s="17" t="s">
        <v>188</v>
      </c>
      <c r="BU182" s="22">
        <v>43831</v>
      </c>
      <c r="BV182" s="24">
        <v>0.15</v>
      </c>
      <c r="BW182" s="17" t="s">
        <v>192</v>
      </c>
      <c r="BX182" s="24">
        <v>2.14</v>
      </c>
      <c r="BY182" s="17" t="s">
        <v>192</v>
      </c>
      <c r="BZ182" s="17" t="s">
        <v>189</v>
      </c>
      <c r="CA182" s="17" t="s">
        <v>151</v>
      </c>
      <c r="CB182" s="17" t="s">
        <v>151</v>
      </c>
      <c r="CC182" s="17" t="s">
        <v>190</v>
      </c>
      <c r="CD182" s="17" t="s">
        <v>151</v>
      </c>
      <c r="CE182" s="17" t="s">
        <v>191</v>
      </c>
      <c r="CF182" s="22">
        <v>44614</v>
      </c>
      <c r="CG182" s="24">
        <v>20.66</v>
      </c>
      <c r="CH182" s="17" t="s">
        <v>192</v>
      </c>
      <c r="CI182" s="24">
        <v>100.66</v>
      </c>
      <c r="CJ182" s="17" t="s">
        <v>192</v>
      </c>
      <c r="CK182" s="16">
        <v>4</v>
      </c>
      <c r="CL182" s="17" t="s">
        <v>231</v>
      </c>
      <c r="CM182" s="17" t="s">
        <v>232</v>
      </c>
      <c r="CN182" s="17" t="s">
        <v>151</v>
      </c>
      <c r="CO182" s="17" t="s">
        <v>165</v>
      </c>
      <c r="CP182" s="22">
        <v>44614</v>
      </c>
      <c r="CQ182" s="24" t="s">
        <v>151</v>
      </c>
      <c r="CR182" s="17" t="s">
        <v>151</v>
      </c>
      <c r="CS182" s="17" t="s">
        <v>191</v>
      </c>
      <c r="CT182" s="16">
        <v>93</v>
      </c>
      <c r="CU182" s="17" t="s">
        <v>196</v>
      </c>
      <c r="CV182" s="19">
        <v>85</v>
      </c>
      <c r="CW182" s="19">
        <v>15</v>
      </c>
      <c r="CX182" s="17" t="s">
        <v>294</v>
      </c>
      <c r="CY182" s="19">
        <v>3</v>
      </c>
      <c r="CZ182" s="19">
        <v>82</v>
      </c>
      <c r="DA182" s="24">
        <v>100.66</v>
      </c>
      <c r="DB182" s="22">
        <v>44614</v>
      </c>
      <c r="DC182" s="17" t="s">
        <v>231</v>
      </c>
      <c r="DD182" s="16">
        <v>4</v>
      </c>
      <c r="DE182" s="19">
        <v>1.74</v>
      </c>
      <c r="DF182" s="21">
        <v>98</v>
      </c>
      <c r="DG182" s="19">
        <v>0</v>
      </c>
      <c r="DH182" s="19">
        <v>0</v>
      </c>
      <c r="DI182" s="19" t="s">
        <v>151</v>
      </c>
      <c r="DJ182" s="21" t="s">
        <v>151</v>
      </c>
      <c r="DK182" s="19" t="s">
        <v>151</v>
      </c>
      <c r="DL182" s="21" t="s">
        <v>151</v>
      </c>
      <c r="DM182" s="19" t="s">
        <v>151</v>
      </c>
      <c r="DN182" s="21" t="s">
        <v>151</v>
      </c>
      <c r="DO182" s="23">
        <v>3</v>
      </c>
      <c r="DP182" s="21">
        <v>74</v>
      </c>
      <c r="DQ182" s="23">
        <v>0</v>
      </c>
      <c r="DR182" s="19">
        <v>0</v>
      </c>
      <c r="DS182" s="23" t="s">
        <v>151</v>
      </c>
      <c r="DT182" s="21" t="s">
        <v>151</v>
      </c>
      <c r="DU182" s="23" t="s">
        <v>151</v>
      </c>
      <c r="DV182" s="21" t="s">
        <v>151</v>
      </c>
      <c r="DW182" s="23" t="s">
        <v>151</v>
      </c>
      <c r="DX182" s="21" t="s">
        <v>151</v>
      </c>
      <c r="DY182" s="18" t="s">
        <v>151</v>
      </c>
      <c r="DZ182" s="22" t="s">
        <v>151</v>
      </c>
      <c r="EA182" s="22" t="s">
        <v>151</v>
      </c>
      <c r="EB182" s="21">
        <v>4458</v>
      </c>
      <c r="EC182" s="20">
        <v>-350</v>
      </c>
      <c r="ED182" s="19">
        <v>-7.28</v>
      </c>
      <c r="EE182" s="21" t="s">
        <v>151</v>
      </c>
      <c r="EF182" s="20" t="s">
        <v>151</v>
      </c>
      <c r="EG182" s="19" t="s">
        <v>151</v>
      </c>
      <c r="EH182" s="16" t="s">
        <v>198</v>
      </c>
      <c r="EI182" s="17" t="s">
        <v>151</v>
      </c>
      <c r="EJ182" s="17" t="s">
        <v>151</v>
      </c>
      <c r="EK182" s="18" t="s">
        <v>151</v>
      </c>
      <c r="EL182" s="18" t="s">
        <v>151</v>
      </c>
      <c r="EM182" s="18" t="s">
        <v>151</v>
      </c>
      <c r="EN182" s="18" t="s">
        <v>151</v>
      </c>
      <c r="EO182" s="18" t="s">
        <v>151</v>
      </c>
      <c r="EP182" s="17" t="s">
        <v>151</v>
      </c>
      <c r="EQ182" s="16" t="s">
        <v>151</v>
      </c>
      <c r="ER182" s="16" t="s">
        <v>151</v>
      </c>
      <c r="ES182" s="3">
        <f>HYPERLINK("https://my.pitchbook.com?c=433942-03","View Company Online")</f>
      </c>
    </row>
    <row r="183">
      <c r="A183" s="30" t="s">
        <v>4245</v>
      </c>
      <c r="B183" s="30" t="s">
        <v>4246</v>
      </c>
      <c r="C183" s="31" t="s">
        <v>151</v>
      </c>
      <c r="D183" s="30" t="s">
        <v>151</v>
      </c>
      <c r="E183" s="30" t="s">
        <v>4247</v>
      </c>
      <c r="F183" s="30" t="s">
        <v>4248</v>
      </c>
      <c r="G183" s="30" t="s">
        <v>151</v>
      </c>
      <c r="H183" s="30" t="s">
        <v>151</v>
      </c>
      <c r="I183" s="30" t="s">
        <v>151</v>
      </c>
      <c r="J183" s="30" t="s">
        <v>4245</v>
      </c>
      <c r="K183" s="30" t="s">
        <v>4249</v>
      </c>
      <c r="L183" s="30" t="s">
        <v>205</v>
      </c>
      <c r="M183" s="30" t="s">
        <v>206</v>
      </c>
      <c r="N183" s="30" t="s">
        <v>269</v>
      </c>
      <c r="O183" s="30" t="s">
        <v>4250</v>
      </c>
      <c r="P183" s="30" t="s">
        <v>1153</v>
      </c>
      <c r="Q183" s="30" t="s">
        <v>4251</v>
      </c>
      <c r="R183" s="30" t="s">
        <v>151</v>
      </c>
      <c r="S183" s="30" t="s">
        <v>162</v>
      </c>
      <c r="T183" s="37">
        <v>9.78</v>
      </c>
      <c r="U183" s="30" t="s">
        <v>163</v>
      </c>
      <c r="V183" s="30" t="s">
        <v>164</v>
      </c>
      <c r="W183" s="30" t="s">
        <v>165</v>
      </c>
      <c r="X183" s="28" t="s">
        <v>4252</v>
      </c>
      <c r="Y183" s="28" t="s">
        <v>4253</v>
      </c>
      <c r="Z183" s="40">
        <v>29</v>
      </c>
      <c r="AA183" s="30" t="s">
        <v>4254</v>
      </c>
      <c r="AB183" s="30" t="s">
        <v>151</v>
      </c>
      <c r="AC183" s="30" t="s">
        <v>151</v>
      </c>
      <c r="AD183" s="39">
        <v>2018</v>
      </c>
      <c r="AE183" s="30" t="s">
        <v>151</v>
      </c>
      <c r="AF183" s="35">
        <v>45459</v>
      </c>
      <c r="AG183" s="30" t="s">
        <v>151</v>
      </c>
      <c r="AH183" s="30" t="s">
        <v>151</v>
      </c>
      <c r="AI183" s="38" t="s">
        <v>151</v>
      </c>
      <c r="AJ183" s="32" t="s">
        <v>151</v>
      </c>
      <c r="AK183" s="38" t="s">
        <v>151</v>
      </c>
      <c r="AL183" s="38" t="s">
        <v>151</v>
      </c>
      <c r="AM183" s="38" t="s">
        <v>151</v>
      </c>
      <c r="AN183" s="38" t="s">
        <v>151</v>
      </c>
      <c r="AO183" s="38" t="s">
        <v>151</v>
      </c>
      <c r="AP183" s="38" t="s">
        <v>151</v>
      </c>
      <c r="AQ183" s="38" t="s">
        <v>151</v>
      </c>
      <c r="AR183" s="29" t="s">
        <v>151</v>
      </c>
      <c r="AS183" s="30" t="s">
        <v>4255</v>
      </c>
      <c r="AT183" s="30" t="s">
        <v>4256</v>
      </c>
      <c r="AU183" s="31">
        <v>10</v>
      </c>
      <c r="AV183" s="30" t="s">
        <v>151</v>
      </c>
      <c r="AW183" s="30" t="s">
        <v>151</v>
      </c>
      <c r="AX183" s="30" t="s">
        <v>151</v>
      </c>
      <c r="AY183" s="30" t="s">
        <v>4257</v>
      </c>
      <c r="AZ183" s="30" t="s">
        <v>151</v>
      </c>
      <c r="BA183" s="30" t="s">
        <v>151</v>
      </c>
      <c r="BB183" s="30" t="s">
        <v>151</v>
      </c>
      <c r="BC183" s="30" t="s">
        <v>490</v>
      </c>
      <c r="BD183" s="30" t="s">
        <v>4258</v>
      </c>
      <c r="BE183" s="30" t="s">
        <v>4259</v>
      </c>
      <c r="BF183" s="30" t="s">
        <v>3400</v>
      </c>
      <c r="BG183" s="30" t="s">
        <v>4260</v>
      </c>
      <c r="BH183" s="30" t="s">
        <v>4261</v>
      </c>
      <c r="BI183" s="30" t="s">
        <v>4262</v>
      </c>
      <c r="BJ183" s="30" t="s">
        <v>4263</v>
      </c>
      <c r="BK183" s="30" t="s">
        <v>151</v>
      </c>
      <c r="BL183" s="30" t="s">
        <v>4264</v>
      </c>
      <c r="BM183" s="30" t="s">
        <v>1576</v>
      </c>
      <c r="BN183" s="29" t="s">
        <v>4265</v>
      </c>
      <c r="BO183" s="30" t="s">
        <v>186</v>
      </c>
      <c r="BP183" s="29" t="s">
        <v>4261</v>
      </c>
      <c r="BQ183" s="29" t="s">
        <v>151</v>
      </c>
      <c r="BR183" s="30" t="s">
        <v>4266</v>
      </c>
      <c r="BS183" s="30" t="s">
        <v>187</v>
      </c>
      <c r="BT183" s="30" t="s">
        <v>188</v>
      </c>
      <c r="BU183" s="35">
        <v>44538</v>
      </c>
      <c r="BV183" s="37">
        <v>3.78</v>
      </c>
      <c r="BW183" s="30" t="s">
        <v>192</v>
      </c>
      <c r="BX183" s="37">
        <v>12.78</v>
      </c>
      <c r="BY183" s="30" t="s">
        <v>192</v>
      </c>
      <c r="BZ183" s="30" t="s">
        <v>293</v>
      </c>
      <c r="CA183" s="30" t="s">
        <v>293</v>
      </c>
      <c r="CB183" s="30" t="s">
        <v>151</v>
      </c>
      <c r="CC183" s="30" t="s">
        <v>165</v>
      </c>
      <c r="CD183" s="30" t="s">
        <v>151</v>
      </c>
      <c r="CE183" s="30" t="s">
        <v>191</v>
      </c>
      <c r="CF183" s="35" t="s">
        <v>151</v>
      </c>
      <c r="CG183" s="37" t="s">
        <v>151</v>
      </c>
      <c r="CH183" s="30" t="s">
        <v>151</v>
      </c>
      <c r="CI183" s="37" t="s">
        <v>151</v>
      </c>
      <c r="CJ183" s="30" t="s">
        <v>151</v>
      </c>
      <c r="CK183" s="29">
        <v>1.17</v>
      </c>
      <c r="CL183" s="30" t="s">
        <v>189</v>
      </c>
      <c r="CM183" s="30" t="s">
        <v>151</v>
      </c>
      <c r="CN183" s="30" t="s">
        <v>151</v>
      </c>
      <c r="CO183" s="30" t="s">
        <v>190</v>
      </c>
      <c r="CP183" s="35" t="s">
        <v>151</v>
      </c>
      <c r="CQ183" s="37" t="s">
        <v>151</v>
      </c>
      <c r="CR183" s="30" t="s">
        <v>151</v>
      </c>
      <c r="CS183" s="30" t="s">
        <v>191</v>
      </c>
      <c r="CT183" s="29">
        <v>87</v>
      </c>
      <c r="CU183" s="30" t="s">
        <v>196</v>
      </c>
      <c r="CV183" s="32">
        <v>80</v>
      </c>
      <c r="CW183" s="32">
        <v>20</v>
      </c>
      <c r="CX183" s="30" t="s">
        <v>294</v>
      </c>
      <c r="CY183" s="32">
        <v>1</v>
      </c>
      <c r="CZ183" s="32">
        <v>79</v>
      </c>
      <c r="DA183" s="37">
        <v>21</v>
      </c>
      <c r="DB183" s="35">
        <v>45121</v>
      </c>
      <c r="DC183" s="30" t="s">
        <v>194</v>
      </c>
      <c r="DD183" s="29">
        <v>1.17</v>
      </c>
      <c r="DE183" s="32">
        <v>0.05</v>
      </c>
      <c r="DF183" s="34">
        <v>90</v>
      </c>
      <c r="DG183" s="32">
        <v>0</v>
      </c>
      <c r="DH183" s="32">
        <v>0</v>
      </c>
      <c r="DI183" s="32">
        <v>-0.34</v>
      </c>
      <c r="DJ183" s="34">
        <v>8</v>
      </c>
      <c r="DK183" s="32" t="s">
        <v>151</v>
      </c>
      <c r="DL183" s="34" t="s">
        <v>151</v>
      </c>
      <c r="DM183" s="32">
        <v>-0.34</v>
      </c>
      <c r="DN183" s="34">
        <v>8</v>
      </c>
      <c r="DO183" s="36">
        <v>4.83</v>
      </c>
      <c r="DP183" s="34">
        <v>82</v>
      </c>
      <c r="DQ183" s="36">
        <v>0</v>
      </c>
      <c r="DR183" s="32">
        <v>0</v>
      </c>
      <c r="DS183" s="36">
        <v>7.42</v>
      </c>
      <c r="DT183" s="34">
        <v>87</v>
      </c>
      <c r="DU183" s="36" t="s">
        <v>151</v>
      </c>
      <c r="DV183" s="34" t="s">
        <v>151</v>
      </c>
      <c r="DW183" s="36">
        <v>7.42</v>
      </c>
      <c r="DX183" s="34">
        <v>87</v>
      </c>
      <c r="DY183" s="31" t="s">
        <v>151</v>
      </c>
      <c r="DZ183" s="35" t="s">
        <v>151</v>
      </c>
      <c r="EA183" s="35" t="s">
        <v>151</v>
      </c>
      <c r="EB183" s="34">
        <v>2184</v>
      </c>
      <c r="EC183" s="33">
        <v>234</v>
      </c>
      <c r="ED183" s="32">
        <v>12</v>
      </c>
      <c r="EE183" s="34">
        <v>141</v>
      </c>
      <c r="EF183" s="33">
        <v>1</v>
      </c>
      <c r="EG183" s="32">
        <v>0.71</v>
      </c>
      <c r="EH183" s="29" t="s">
        <v>198</v>
      </c>
      <c r="EI183" s="30" t="s">
        <v>151</v>
      </c>
      <c r="EJ183" s="30" t="s">
        <v>151</v>
      </c>
      <c r="EK183" s="31" t="s">
        <v>151</v>
      </c>
      <c r="EL183" s="31" t="s">
        <v>151</v>
      </c>
      <c r="EM183" s="31" t="s">
        <v>151</v>
      </c>
      <c r="EN183" s="31" t="s">
        <v>151</v>
      </c>
      <c r="EO183" s="31" t="s">
        <v>151</v>
      </c>
      <c r="EP183" s="30" t="s">
        <v>151</v>
      </c>
      <c r="EQ183" s="29" t="s">
        <v>151</v>
      </c>
      <c r="ER183" s="29" t="s">
        <v>151</v>
      </c>
      <c r="ES183" s="4">
        <f>HYPERLINK("https://my.pitchbook.com?c=442405-90","View Company Online")</f>
      </c>
    </row>
    <row r="184">
      <c r="A184" s="17" t="s">
        <v>4267</v>
      </c>
      <c r="B184" s="17" t="s">
        <v>4268</v>
      </c>
      <c r="C184" s="18" t="s">
        <v>151</v>
      </c>
      <c r="D184" s="17" t="s">
        <v>151</v>
      </c>
      <c r="E184" s="17" t="s">
        <v>151</v>
      </c>
      <c r="F184" s="17" t="s">
        <v>4269</v>
      </c>
      <c r="G184" s="17" t="s">
        <v>151</v>
      </c>
      <c r="H184" s="17" t="s">
        <v>151</v>
      </c>
      <c r="I184" s="17" t="s">
        <v>151</v>
      </c>
      <c r="J184" s="17" t="s">
        <v>4267</v>
      </c>
      <c r="K184" s="17" t="s">
        <v>4270</v>
      </c>
      <c r="L184" s="17" t="s">
        <v>616</v>
      </c>
      <c r="M184" s="17" t="s">
        <v>834</v>
      </c>
      <c r="N184" s="17" t="s">
        <v>2059</v>
      </c>
      <c r="O184" s="17" t="s">
        <v>4271</v>
      </c>
      <c r="P184" s="17" t="s">
        <v>2174</v>
      </c>
      <c r="Q184" s="17" t="s">
        <v>4272</v>
      </c>
      <c r="R184" s="17" t="s">
        <v>151</v>
      </c>
      <c r="S184" s="17" t="s">
        <v>162</v>
      </c>
      <c r="T184" s="24">
        <v>0.42</v>
      </c>
      <c r="U184" s="17" t="s">
        <v>163</v>
      </c>
      <c r="V184" s="17" t="s">
        <v>164</v>
      </c>
      <c r="W184" s="17" t="s">
        <v>165</v>
      </c>
      <c r="X184" s="15" t="s">
        <v>4273</v>
      </c>
      <c r="Y184" s="15" t="s">
        <v>4274</v>
      </c>
      <c r="Z184" s="27">
        <v>5</v>
      </c>
      <c r="AA184" s="17" t="s">
        <v>4275</v>
      </c>
      <c r="AB184" s="17" t="s">
        <v>151</v>
      </c>
      <c r="AC184" s="17" t="s">
        <v>151</v>
      </c>
      <c r="AD184" s="26">
        <v>2020</v>
      </c>
      <c r="AE184" s="17" t="s">
        <v>151</v>
      </c>
      <c r="AF184" s="22">
        <v>45408</v>
      </c>
      <c r="AG184" s="17" t="s">
        <v>151</v>
      </c>
      <c r="AH184" s="17" t="s">
        <v>151</v>
      </c>
      <c r="AI184" s="25" t="s">
        <v>151</v>
      </c>
      <c r="AJ184" s="19" t="s">
        <v>151</v>
      </c>
      <c r="AK184" s="25" t="s">
        <v>151</v>
      </c>
      <c r="AL184" s="25" t="s">
        <v>151</v>
      </c>
      <c r="AM184" s="25" t="s">
        <v>151</v>
      </c>
      <c r="AN184" s="25" t="s">
        <v>151</v>
      </c>
      <c r="AO184" s="25" t="s">
        <v>151</v>
      </c>
      <c r="AP184" s="25" t="s">
        <v>151</v>
      </c>
      <c r="AQ184" s="25" t="s">
        <v>151</v>
      </c>
      <c r="AR184" s="16" t="s">
        <v>151</v>
      </c>
      <c r="AS184" s="17" t="s">
        <v>4276</v>
      </c>
      <c r="AT184" s="17" t="s">
        <v>4277</v>
      </c>
      <c r="AU184" s="18">
        <v>4</v>
      </c>
      <c r="AV184" s="17" t="s">
        <v>151</v>
      </c>
      <c r="AW184" s="17" t="s">
        <v>151</v>
      </c>
      <c r="AX184" s="17" t="s">
        <v>151</v>
      </c>
      <c r="AY184" s="17" t="s">
        <v>4278</v>
      </c>
      <c r="AZ184" s="17" t="s">
        <v>151</v>
      </c>
      <c r="BA184" s="17" t="s">
        <v>151</v>
      </c>
      <c r="BB184" s="17" t="s">
        <v>151</v>
      </c>
      <c r="BC184" s="17" t="s">
        <v>151</v>
      </c>
      <c r="BD184" s="17" t="s">
        <v>4279</v>
      </c>
      <c r="BE184" s="17" t="s">
        <v>4280</v>
      </c>
      <c r="BF184" s="17" t="s">
        <v>789</v>
      </c>
      <c r="BG184" s="17" t="s">
        <v>4281</v>
      </c>
      <c r="BH184" s="17" t="s">
        <v>151</v>
      </c>
      <c r="BI184" s="17" t="s">
        <v>764</v>
      </c>
      <c r="BJ184" s="17" t="s">
        <v>151</v>
      </c>
      <c r="BK184" s="17" t="s">
        <v>151</v>
      </c>
      <c r="BL184" s="17" t="s">
        <v>767</v>
      </c>
      <c r="BM184" s="17" t="s">
        <v>184</v>
      </c>
      <c r="BN184" s="16" t="s">
        <v>151</v>
      </c>
      <c r="BO184" s="17" t="s">
        <v>186</v>
      </c>
      <c r="BP184" s="16" t="s">
        <v>151</v>
      </c>
      <c r="BQ184" s="16" t="s">
        <v>151</v>
      </c>
      <c r="BR184" s="17" t="s">
        <v>151</v>
      </c>
      <c r="BS184" s="17" t="s">
        <v>187</v>
      </c>
      <c r="BT184" s="17" t="s">
        <v>188</v>
      </c>
      <c r="BU184" s="22">
        <v>44775</v>
      </c>
      <c r="BV184" s="24">
        <v>0.2</v>
      </c>
      <c r="BW184" s="17" t="s">
        <v>192</v>
      </c>
      <c r="BX184" s="24" t="s">
        <v>151</v>
      </c>
      <c r="BY184" s="17" t="s">
        <v>151</v>
      </c>
      <c r="BZ184" s="17" t="s">
        <v>293</v>
      </c>
      <c r="CA184" s="17" t="s">
        <v>293</v>
      </c>
      <c r="CB184" s="17" t="s">
        <v>151</v>
      </c>
      <c r="CC184" s="17" t="s">
        <v>165</v>
      </c>
      <c r="CD184" s="17" t="s">
        <v>151</v>
      </c>
      <c r="CE184" s="17" t="s">
        <v>191</v>
      </c>
      <c r="CF184" s="22">
        <v>45236</v>
      </c>
      <c r="CG184" s="24">
        <v>0.07</v>
      </c>
      <c r="CH184" s="17" t="s">
        <v>192</v>
      </c>
      <c r="CI184" s="24" t="s">
        <v>151</v>
      </c>
      <c r="CJ184" s="17" t="s">
        <v>151</v>
      </c>
      <c r="CK184" s="16" t="s">
        <v>151</v>
      </c>
      <c r="CL184" s="17" t="s">
        <v>189</v>
      </c>
      <c r="CM184" s="17" t="s">
        <v>151</v>
      </c>
      <c r="CN184" s="17" t="s">
        <v>151</v>
      </c>
      <c r="CO184" s="17" t="s">
        <v>190</v>
      </c>
      <c r="CP184" s="22">
        <v>45236</v>
      </c>
      <c r="CQ184" s="24" t="s">
        <v>151</v>
      </c>
      <c r="CR184" s="17" t="s">
        <v>151</v>
      </c>
      <c r="CS184" s="17" t="s">
        <v>191</v>
      </c>
      <c r="CT184" s="16" t="s">
        <v>151</v>
      </c>
      <c r="CU184" s="17" t="s">
        <v>151</v>
      </c>
      <c r="CV184" s="19" t="s">
        <v>151</v>
      </c>
      <c r="CW184" s="19" t="s">
        <v>151</v>
      </c>
      <c r="CX184" s="17" t="s">
        <v>151</v>
      </c>
      <c r="CY184" s="19" t="s">
        <v>151</v>
      </c>
      <c r="CZ184" s="19" t="s">
        <v>151</v>
      </c>
      <c r="DA184" s="24" t="s">
        <v>151</v>
      </c>
      <c r="DB184" s="22" t="s">
        <v>151</v>
      </c>
      <c r="DC184" s="17" t="s">
        <v>151</v>
      </c>
      <c r="DD184" s="16" t="s">
        <v>151</v>
      </c>
      <c r="DE184" s="19">
        <v>0</v>
      </c>
      <c r="DF184" s="21">
        <v>11</v>
      </c>
      <c r="DG184" s="19">
        <v>0</v>
      </c>
      <c r="DH184" s="19">
        <v>0</v>
      </c>
      <c r="DI184" s="19">
        <v>0</v>
      </c>
      <c r="DJ184" s="21">
        <v>10</v>
      </c>
      <c r="DK184" s="19" t="s">
        <v>151</v>
      </c>
      <c r="DL184" s="21" t="s">
        <v>151</v>
      </c>
      <c r="DM184" s="19">
        <v>0</v>
      </c>
      <c r="DN184" s="21">
        <v>10</v>
      </c>
      <c r="DO184" s="23">
        <v>0.53</v>
      </c>
      <c r="DP184" s="21">
        <v>33</v>
      </c>
      <c r="DQ184" s="23">
        <v>0</v>
      </c>
      <c r="DR184" s="19">
        <v>0</v>
      </c>
      <c r="DS184" s="23">
        <v>0.68</v>
      </c>
      <c r="DT184" s="21">
        <v>41</v>
      </c>
      <c r="DU184" s="23" t="s">
        <v>151</v>
      </c>
      <c r="DV184" s="21" t="s">
        <v>151</v>
      </c>
      <c r="DW184" s="23">
        <v>0.68</v>
      </c>
      <c r="DX184" s="21">
        <v>40</v>
      </c>
      <c r="DY184" s="18">
        <v>2</v>
      </c>
      <c r="DZ184" s="22">
        <v>44501</v>
      </c>
      <c r="EA184" s="22" t="s">
        <v>151</v>
      </c>
      <c r="EB184" s="21">
        <v>453</v>
      </c>
      <c r="EC184" s="20">
        <v>78</v>
      </c>
      <c r="ED184" s="19">
        <v>20.8</v>
      </c>
      <c r="EE184" s="21">
        <v>13</v>
      </c>
      <c r="EF184" s="20">
        <v>0</v>
      </c>
      <c r="EG184" s="19">
        <v>0</v>
      </c>
      <c r="EH184" s="16" t="s">
        <v>198</v>
      </c>
      <c r="EI184" s="17" t="s">
        <v>151</v>
      </c>
      <c r="EJ184" s="17" t="s">
        <v>151</v>
      </c>
      <c r="EK184" s="18" t="s">
        <v>151</v>
      </c>
      <c r="EL184" s="18" t="s">
        <v>151</v>
      </c>
      <c r="EM184" s="18" t="s">
        <v>151</v>
      </c>
      <c r="EN184" s="18" t="s">
        <v>151</v>
      </c>
      <c r="EO184" s="18" t="s">
        <v>151</v>
      </c>
      <c r="EP184" s="17" t="s">
        <v>151</v>
      </c>
      <c r="EQ184" s="16" t="s">
        <v>151</v>
      </c>
      <c r="ER184" s="16" t="s">
        <v>151</v>
      </c>
      <c r="ES184" s="3">
        <f>HYPERLINK("https://my.pitchbook.com?c=471221-74","View Company Online")</f>
      </c>
    </row>
    <row r="185">
      <c r="A185" s="30" t="s">
        <v>4282</v>
      </c>
      <c r="B185" s="30" t="s">
        <v>4283</v>
      </c>
      <c r="C185" s="31" t="s">
        <v>151</v>
      </c>
      <c r="D185" s="30" t="s">
        <v>151</v>
      </c>
      <c r="E185" s="30" t="s">
        <v>4284</v>
      </c>
      <c r="F185" s="30" t="s">
        <v>4285</v>
      </c>
      <c r="G185" s="30" t="s">
        <v>151</v>
      </c>
      <c r="H185" s="30" t="s">
        <v>151</v>
      </c>
      <c r="I185" s="30" t="s">
        <v>151</v>
      </c>
      <c r="J185" s="30" t="s">
        <v>4282</v>
      </c>
      <c r="K185" s="30" t="s">
        <v>4286</v>
      </c>
      <c r="L185" s="30" t="s">
        <v>205</v>
      </c>
      <c r="M185" s="30" t="s">
        <v>206</v>
      </c>
      <c r="N185" s="30" t="s">
        <v>1268</v>
      </c>
      <c r="O185" s="30" t="s">
        <v>2129</v>
      </c>
      <c r="P185" s="30" t="s">
        <v>3250</v>
      </c>
      <c r="Q185" s="30" t="s">
        <v>4287</v>
      </c>
      <c r="R185" s="30" t="s">
        <v>4288</v>
      </c>
      <c r="S185" s="30" t="s">
        <v>162</v>
      </c>
      <c r="T185" s="37">
        <v>22.6</v>
      </c>
      <c r="U185" s="30" t="s">
        <v>163</v>
      </c>
      <c r="V185" s="30" t="s">
        <v>164</v>
      </c>
      <c r="W185" s="30" t="s">
        <v>165</v>
      </c>
      <c r="X185" s="28" t="s">
        <v>4289</v>
      </c>
      <c r="Y185" s="28" t="s">
        <v>4290</v>
      </c>
      <c r="Z185" s="40">
        <v>33</v>
      </c>
      <c r="AA185" s="30" t="s">
        <v>4291</v>
      </c>
      <c r="AB185" s="30" t="s">
        <v>151</v>
      </c>
      <c r="AC185" s="30" t="s">
        <v>151</v>
      </c>
      <c r="AD185" s="39">
        <v>2022</v>
      </c>
      <c r="AE185" s="30" t="s">
        <v>151</v>
      </c>
      <c r="AF185" s="35">
        <v>45617</v>
      </c>
      <c r="AG185" s="30" t="s">
        <v>151</v>
      </c>
      <c r="AH185" s="30" t="s">
        <v>169</v>
      </c>
      <c r="AI185" s="38" t="s">
        <v>151</v>
      </c>
      <c r="AJ185" s="32" t="s">
        <v>151</v>
      </c>
      <c r="AK185" s="38" t="s">
        <v>151</v>
      </c>
      <c r="AL185" s="38" t="s">
        <v>151</v>
      </c>
      <c r="AM185" s="38" t="s">
        <v>151</v>
      </c>
      <c r="AN185" s="38" t="s">
        <v>151</v>
      </c>
      <c r="AO185" s="38" t="s">
        <v>151</v>
      </c>
      <c r="AP185" s="38" t="s">
        <v>151</v>
      </c>
      <c r="AQ185" s="38" t="s">
        <v>151</v>
      </c>
      <c r="AR185" s="29" t="s">
        <v>151</v>
      </c>
      <c r="AS185" s="30" t="s">
        <v>4292</v>
      </c>
      <c r="AT185" s="30" t="s">
        <v>4293</v>
      </c>
      <c r="AU185" s="31">
        <v>39</v>
      </c>
      <c r="AV185" s="30" t="s">
        <v>151</v>
      </c>
      <c r="AW185" s="30" t="s">
        <v>151</v>
      </c>
      <c r="AX185" s="30" t="s">
        <v>151</v>
      </c>
      <c r="AY185" s="30" t="s">
        <v>4294</v>
      </c>
      <c r="AZ185" s="30" t="s">
        <v>151</v>
      </c>
      <c r="BA185" s="30" t="s">
        <v>151</v>
      </c>
      <c r="BB185" s="30" t="s">
        <v>151</v>
      </c>
      <c r="BC185" s="30" t="s">
        <v>1115</v>
      </c>
      <c r="BD185" s="30" t="s">
        <v>4295</v>
      </c>
      <c r="BE185" s="30" t="s">
        <v>4296</v>
      </c>
      <c r="BF185" s="30" t="s">
        <v>4297</v>
      </c>
      <c r="BG185" s="30" t="s">
        <v>4298</v>
      </c>
      <c r="BH185" s="30" t="s">
        <v>151</v>
      </c>
      <c r="BI185" s="30" t="s">
        <v>4299</v>
      </c>
      <c r="BJ185" s="30" t="s">
        <v>151</v>
      </c>
      <c r="BK185" s="30" t="s">
        <v>151</v>
      </c>
      <c r="BL185" s="30" t="s">
        <v>4300</v>
      </c>
      <c r="BM185" s="30" t="s">
        <v>1388</v>
      </c>
      <c r="BN185" s="29" t="s">
        <v>151</v>
      </c>
      <c r="BO185" s="30" t="s">
        <v>186</v>
      </c>
      <c r="BP185" s="29" t="s">
        <v>151</v>
      </c>
      <c r="BQ185" s="29" t="s">
        <v>151</v>
      </c>
      <c r="BR185" s="30" t="s">
        <v>4301</v>
      </c>
      <c r="BS185" s="30" t="s">
        <v>187</v>
      </c>
      <c r="BT185" s="30" t="s">
        <v>188</v>
      </c>
      <c r="BU185" s="35">
        <v>44562</v>
      </c>
      <c r="BV185" s="37">
        <v>6.3</v>
      </c>
      <c r="BW185" s="30" t="s">
        <v>192</v>
      </c>
      <c r="BX185" s="37" t="s">
        <v>151</v>
      </c>
      <c r="BY185" s="30" t="s">
        <v>151</v>
      </c>
      <c r="BZ185" s="30" t="s">
        <v>293</v>
      </c>
      <c r="CA185" s="30" t="s">
        <v>293</v>
      </c>
      <c r="CB185" s="30" t="s">
        <v>151</v>
      </c>
      <c r="CC185" s="30" t="s">
        <v>165</v>
      </c>
      <c r="CD185" s="30" t="s">
        <v>151</v>
      </c>
      <c r="CE185" s="30" t="s">
        <v>191</v>
      </c>
      <c r="CF185" s="35">
        <v>45608</v>
      </c>
      <c r="CG185" s="37">
        <v>4.3</v>
      </c>
      <c r="CH185" s="30" t="s">
        <v>192</v>
      </c>
      <c r="CI185" s="37" t="s">
        <v>151</v>
      </c>
      <c r="CJ185" s="30" t="s">
        <v>151</v>
      </c>
      <c r="CK185" s="29" t="s">
        <v>151</v>
      </c>
      <c r="CL185" s="30" t="s">
        <v>231</v>
      </c>
      <c r="CM185" s="30" t="s">
        <v>151</v>
      </c>
      <c r="CN185" s="30" t="s">
        <v>151</v>
      </c>
      <c r="CO185" s="30" t="s">
        <v>165</v>
      </c>
      <c r="CP185" s="35">
        <v>45608</v>
      </c>
      <c r="CQ185" s="37" t="s">
        <v>151</v>
      </c>
      <c r="CR185" s="30" t="s">
        <v>151</v>
      </c>
      <c r="CS185" s="30" t="s">
        <v>191</v>
      </c>
      <c r="CT185" s="29">
        <v>82</v>
      </c>
      <c r="CU185" s="30" t="s">
        <v>196</v>
      </c>
      <c r="CV185" s="32">
        <v>75</v>
      </c>
      <c r="CW185" s="32">
        <v>25</v>
      </c>
      <c r="CX185" s="30" t="s">
        <v>294</v>
      </c>
      <c r="CY185" s="32">
        <v>1</v>
      </c>
      <c r="CZ185" s="32">
        <v>74</v>
      </c>
      <c r="DA185" s="37" t="s">
        <v>151</v>
      </c>
      <c r="DB185" s="35" t="s">
        <v>151</v>
      </c>
      <c r="DC185" s="30" t="s">
        <v>151</v>
      </c>
      <c r="DD185" s="29" t="s">
        <v>151</v>
      </c>
      <c r="DE185" s="32">
        <v>0.75</v>
      </c>
      <c r="DF185" s="34">
        <v>95</v>
      </c>
      <c r="DG185" s="32">
        <v>0</v>
      </c>
      <c r="DH185" s="32">
        <v>0</v>
      </c>
      <c r="DI185" s="32" t="s">
        <v>151</v>
      </c>
      <c r="DJ185" s="34" t="s">
        <v>151</v>
      </c>
      <c r="DK185" s="32" t="s">
        <v>151</v>
      </c>
      <c r="DL185" s="34" t="s">
        <v>151</v>
      </c>
      <c r="DM185" s="32" t="s">
        <v>151</v>
      </c>
      <c r="DN185" s="34" t="s">
        <v>151</v>
      </c>
      <c r="DO185" s="36">
        <v>2.69</v>
      </c>
      <c r="DP185" s="34">
        <v>72</v>
      </c>
      <c r="DQ185" s="36">
        <v>0</v>
      </c>
      <c r="DR185" s="32">
        <v>0</v>
      </c>
      <c r="DS185" s="36" t="s">
        <v>151</v>
      </c>
      <c r="DT185" s="34" t="s">
        <v>151</v>
      </c>
      <c r="DU185" s="36" t="s">
        <v>151</v>
      </c>
      <c r="DV185" s="34" t="s">
        <v>151</v>
      </c>
      <c r="DW185" s="36" t="s">
        <v>151</v>
      </c>
      <c r="DX185" s="34" t="s">
        <v>151</v>
      </c>
      <c r="DY185" s="31" t="s">
        <v>151</v>
      </c>
      <c r="DZ185" s="35" t="s">
        <v>151</v>
      </c>
      <c r="EA185" s="35" t="s">
        <v>151</v>
      </c>
      <c r="EB185" s="34">
        <v>1667</v>
      </c>
      <c r="EC185" s="33">
        <v>47</v>
      </c>
      <c r="ED185" s="32">
        <v>2.9</v>
      </c>
      <c r="EE185" s="34" t="s">
        <v>151</v>
      </c>
      <c r="EF185" s="33" t="s">
        <v>151</v>
      </c>
      <c r="EG185" s="32" t="s">
        <v>151</v>
      </c>
      <c r="EH185" s="29" t="s">
        <v>198</v>
      </c>
      <c r="EI185" s="30" t="s">
        <v>151</v>
      </c>
      <c r="EJ185" s="30" t="s">
        <v>151</v>
      </c>
      <c r="EK185" s="31" t="s">
        <v>151</v>
      </c>
      <c r="EL185" s="31" t="s">
        <v>151</v>
      </c>
      <c r="EM185" s="31" t="s">
        <v>151</v>
      </c>
      <c r="EN185" s="31" t="s">
        <v>151</v>
      </c>
      <c r="EO185" s="31" t="s">
        <v>151</v>
      </c>
      <c r="EP185" s="30" t="s">
        <v>151</v>
      </c>
      <c r="EQ185" s="29" t="s">
        <v>151</v>
      </c>
      <c r="ER185" s="29" t="s">
        <v>151</v>
      </c>
      <c r="ES185" s="4">
        <f>HYPERLINK("https://my.pitchbook.com?c=497717-29","View Company Online")</f>
      </c>
    </row>
    <row r="186">
      <c r="A186" s="17" t="s">
        <v>4302</v>
      </c>
      <c r="B186" s="17" t="s">
        <v>4303</v>
      </c>
      <c r="C186" s="18" t="s">
        <v>151</v>
      </c>
      <c r="D186" s="17" t="s">
        <v>151</v>
      </c>
      <c r="E186" s="17" t="s">
        <v>4304</v>
      </c>
      <c r="F186" s="17" t="s">
        <v>4305</v>
      </c>
      <c r="G186" s="17" t="s">
        <v>151</v>
      </c>
      <c r="H186" s="17" t="s">
        <v>151</v>
      </c>
      <c r="I186" s="17" t="s">
        <v>151</v>
      </c>
      <c r="J186" s="17" t="s">
        <v>4302</v>
      </c>
      <c r="K186" s="17" t="s">
        <v>4306</v>
      </c>
      <c r="L186" s="17" t="s">
        <v>205</v>
      </c>
      <c r="M186" s="17" t="s">
        <v>206</v>
      </c>
      <c r="N186" s="17" t="s">
        <v>269</v>
      </c>
      <c r="O186" s="17" t="s">
        <v>1819</v>
      </c>
      <c r="P186" s="17" t="s">
        <v>4307</v>
      </c>
      <c r="Q186" s="17" t="s">
        <v>4308</v>
      </c>
      <c r="R186" s="17" t="s">
        <v>151</v>
      </c>
      <c r="S186" s="17" t="s">
        <v>162</v>
      </c>
      <c r="T186" s="24">
        <v>5.1</v>
      </c>
      <c r="U186" s="17" t="s">
        <v>163</v>
      </c>
      <c r="V186" s="17" t="s">
        <v>164</v>
      </c>
      <c r="W186" s="17" t="s">
        <v>165</v>
      </c>
      <c r="X186" s="15" t="s">
        <v>4309</v>
      </c>
      <c r="Y186" s="15" t="s">
        <v>4310</v>
      </c>
      <c r="Z186" s="27">
        <v>7</v>
      </c>
      <c r="AA186" s="17" t="s">
        <v>4311</v>
      </c>
      <c r="AB186" s="17" t="s">
        <v>151</v>
      </c>
      <c r="AC186" s="17" t="s">
        <v>151</v>
      </c>
      <c r="AD186" s="26">
        <v>2023</v>
      </c>
      <c r="AE186" s="17" t="s">
        <v>151</v>
      </c>
      <c r="AF186" s="22">
        <v>45595</v>
      </c>
      <c r="AG186" s="17" t="s">
        <v>151</v>
      </c>
      <c r="AH186" s="17" t="s">
        <v>151</v>
      </c>
      <c r="AI186" s="25" t="s">
        <v>151</v>
      </c>
      <c r="AJ186" s="19" t="s">
        <v>151</v>
      </c>
      <c r="AK186" s="25" t="s">
        <v>151</v>
      </c>
      <c r="AL186" s="25" t="s">
        <v>151</v>
      </c>
      <c r="AM186" s="25" t="s">
        <v>151</v>
      </c>
      <c r="AN186" s="25" t="s">
        <v>151</v>
      </c>
      <c r="AO186" s="25" t="s">
        <v>151</v>
      </c>
      <c r="AP186" s="25" t="s">
        <v>151</v>
      </c>
      <c r="AQ186" s="25" t="s">
        <v>151</v>
      </c>
      <c r="AR186" s="16" t="s">
        <v>151</v>
      </c>
      <c r="AS186" s="17" t="s">
        <v>4312</v>
      </c>
      <c r="AT186" s="17" t="s">
        <v>4313</v>
      </c>
      <c r="AU186" s="18">
        <v>9</v>
      </c>
      <c r="AV186" s="17" t="s">
        <v>151</v>
      </c>
      <c r="AW186" s="17" t="s">
        <v>151</v>
      </c>
      <c r="AX186" s="17" t="s">
        <v>151</v>
      </c>
      <c r="AY186" s="17" t="s">
        <v>4314</v>
      </c>
      <c r="AZ186" s="17" t="s">
        <v>151</v>
      </c>
      <c r="BA186" s="17" t="s">
        <v>151</v>
      </c>
      <c r="BB186" s="17" t="s">
        <v>151</v>
      </c>
      <c r="BC186" s="17" t="s">
        <v>151</v>
      </c>
      <c r="BD186" s="17" t="s">
        <v>4315</v>
      </c>
      <c r="BE186" s="17" t="s">
        <v>4316</v>
      </c>
      <c r="BF186" s="17" t="s">
        <v>221</v>
      </c>
      <c r="BG186" s="17" t="s">
        <v>151</v>
      </c>
      <c r="BH186" s="17" t="s">
        <v>151</v>
      </c>
      <c r="BI186" s="17" t="s">
        <v>707</v>
      </c>
      <c r="BJ186" s="17" t="s">
        <v>4317</v>
      </c>
      <c r="BK186" s="17" t="s">
        <v>151</v>
      </c>
      <c r="BL186" s="17" t="s">
        <v>709</v>
      </c>
      <c r="BM186" s="17" t="s">
        <v>184</v>
      </c>
      <c r="BN186" s="16" t="s">
        <v>710</v>
      </c>
      <c r="BO186" s="17" t="s">
        <v>186</v>
      </c>
      <c r="BP186" s="16" t="s">
        <v>151</v>
      </c>
      <c r="BQ186" s="16" t="s">
        <v>151</v>
      </c>
      <c r="BR186" s="17" t="s">
        <v>4318</v>
      </c>
      <c r="BS186" s="17" t="s">
        <v>187</v>
      </c>
      <c r="BT186" s="17" t="s">
        <v>188</v>
      </c>
      <c r="BU186" s="22">
        <v>45292</v>
      </c>
      <c r="BV186" s="24" t="s">
        <v>151</v>
      </c>
      <c r="BW186" s="17" t="s">
        <v>151</v>
      </c>
      <c r="BX186" s="24" t="s">
        <v>151</v>
      </c>
      <c r="BY186" s="17" t="s">
        <v>151</v>
      </c>
      <c r="BZ186" s="17" t="s">
        <v>189</v>
      </c>
      <c r="CA186" s="17" t="s">
        <v>151</v>
      </c>
      <c r="CB186" s="17" t="s">
        <v>151</v>
      </c>
      <c r="CC186" s="17" t="s">
        <v>190</v>
      </c>
      <c r="CD186" s="17" t="s">
        <v>151</v>
      </c>
      <c r="CE186" s="17" t="s">
        <v>191</v>
      </c>
      <c r="CF186" s="22">
        <v>45474</v>
      </c>
      <c r="CG186" s="24">
        <v>5.1</v>
      </c>
      <c r="CH186" s="17" t="s">
        <v>192</v>
      </c>
      <c r="CI186" s="24" t="s">
        <v>151</v>
      </c>
      <c r="CJ186" s="17" t="s">
        <v>151</v>
      </c>
      <c r="CK186" s="16" t="s">
        <v>151</v>
      </c>
      <c r="CL186" s="17" t="s">
        <v>293</v>
      </c>
      <c r="CM186" s="17" t="s">
        <v>293</v>
      </c>
      <c r="CN186" s="17" t="s">
        <v>151</v>
      </c>
      <c r="CO186" s="17" t="s">
        <v>165</v>
      </c>
      <c r="CP186" s="22">
        <v>45474</v>
      </c>
      <c r="CQ186" s="24" t="s">
        <v>151</v>
      </c>
      <c r="CR186" s="17" t="s">
        <v>151</v>
      </c>
      <c r="CS186" s="17" t="s">
        <v>191</v>
      </c>
      <c r="CT186" s="16" t="s">
        <v>151</v>
      </c>
      <c r="CU186" s="17" t="s">
        <v>151</v>
      </c>
      <c r="CV186" s="19" t="s">
        <v>151</v>
      </c>
      <c r="CW186" s="19" t="s">
        <v>151</v>
      </c>
      <c r="CX186" s="17" t="s">
        <v>151</v>
      </c>
      <c r="CY186" s="19" t="s">
        <v>151</v>
      </c>
      <c r="CZ186" s="19" t="s">
        <v>151</v>
      </c>
      <c r="DA186" s="24" t="s">
        <v>151</v>
      </c>
      <c r="DB186" s="22" t="s">
        <v>151</v>
      </c>
      <c r="DC186" s="17" t="s">
        <v>151</v>
      </c>
      <c r="DD186" s="16" t="s">
        <v>151</v>
      </c>
      <c r="DE186" s="19" t="s">
        <v>151</v>
      </c>
      <c r="DF186" s="21" t="s">
        <v>151</v>
      </c>
      <c r="DG186" s="19" t="s">
        <v>151</v>
      </c>
      <c r="DH186" s="19" t="s">
        <v>151</v>
      </c>
      <c r="DI186" s="19" t="s">
        <v>151</v>
      </c>
      <c r="DJ186" s="21" t="s">
        <v>151</v>
      </c>
      <c r="DK186" s="19" t="s">
        <v>151</v>
      </c>
      <c r="DL186" s="21" t="s">
        <v>151</v>
      </c>
      <c r="DM186" s="19" t="s">
        <v>151</v>
      </c>
      <c r="DN186" s="21" t="s">
        <v>151</v>
      </c>
      <c r="DO186" s="23" t="s">
        <v>151</v>
      </c>
      <c r="DP186" s="21" t="s">
        <v>151</v>
      </c>
      <c r="DQ186" s="23" t="s">
        <v>151</v>
      </c>
      <c r="DR186" s="19" t="s">
        <v>151</v>
      </c>
      <c r="DS186" s="23" t="s">
        <v>151</v>
      </c>
      <c r="DT186" s="21" t="s">
        <v>151</v>
      </c>
      <c r="DU186" s="23" t="s">
        <v>151</v>
      </c>
      <c r="DV186" s="21" t="s">
        <v>151</v>
      </c>
      <c r="DW186" s="23" t="s">
        <v>151</v>
      </c>
      <c r="DX186" s="21" t="s">
        <v>151</v>
      </c>
      <c r="DY186" s="18" t="s">
        <v>151</v>
      </c>
      <c r="DZ186" s="22" t="s">
        <v>151</v>
      </c>
      <c r="EA186" s="22" t="s">
        <v>151</v>
      </c>
      <c r="EB186" s="21" t="s">
        <v>151</v>
      </c>
      <c r="EC186" s="20" t="s">
        <v>151</v>
      </c>
      <c r="ED186" s="19" t="s">
        <v>151</v>
      </c>
      <c r="EE186" s="21" t="s">
        <v>151</v>
      </c>
      <c r="EF186" s="20" t="s">
        <v>151</v>
      </c>
      <c r="EG186" s="19" t="s">
        <v>151</v>
      </c>
      <c r="EH186" s="16" t="s">
        <v>198</v>
      </c>
      <c r="EI186" s="17" t="s">
        <v>151</v>
      </c>
      <c r="EJ186" s="17" t="s">
        <v>151</v>
      </c>
      <c r="EK186" s="18" t="s">
        <v>151</v>
      </c>
      <c r="EL186" s="18" t="s">
        <v>151</v>
      </c>
      <c r="EM186" s="18" t="s">
        <v>151</v>
      </c>
      <c r="EN186" s="18" t="s">
        <v>151</v>
      </c>
      <c r="EO186" s="18" t="s">
        <v>151</v>
      </c>
      <c r="EP186" s="17" t="s">
        <v>151</v>
      </c>
      <c r="EQ186" s="16" t="s">
        <v>151</v>
      </c>
      <c r="ER186" s="16" t="s">
        <v>151</v>
      </c>
      <c r="ES186" s="3">
        <f>HYPERLINK("https://my.pitchbook.com?c=552667-15","View Company Online")</f>
      </c>
    </row>
    <row r="187">
      <c r="A187" s="30" t="s">
        <v>4319</v>
      </c>
      <c r="B187" s="30" t="s">
        <v>4320</v>
      </c>
      <c r="C187" s="31" t="s">
        <v>151</v>
      </c>
      <c r="D187" s="30" t="s">
        <v>151</v>
      </c>
      <c r="E187" s="30" t="s">
        <v>151</v>
      </c>
      <c r="F187" s="30" t="s">
        <v>151</v>
      </c>
      <c r="G187" s="30" t="s">
        <v>151</v>
      </c>
      <c r="H187" s="30" t="s">
        <v>151</v>
      </c>
      <c r="I187" s="30" t="s">
        <v>151</v>
      </c>
      <c r="J187" s="30" t="s">
        <v>4319</v>
      </c>
      <c r="K187" s="30" t="s">
        <v>4321</v>
      </c>
      <c r="L187" s="30" t="s">
        <v>616</v>
      </c>
      <c r="M187" s="30" t="s">
        <v>834</v>
      </c>
      <c r="N187" s="30" t="s">
        <v>835</v>
      </c>
      <c r="O187" s="30" t="s">
        <v>4322</v>
      </c>
      <c r="P187" s="30" t="s">
        <v>4323</v>
      </c>
      <c r="Q187" s="30" t="s">
        <v>4324</v>
      </c>
      <c r="R187" s="30" t="s">
        <v>151</v>
      </c>
      <c r="S187" s="30" t="s">
        <v>162</v>
      </c>
      <c r="T187" s="37">
        <v>1.92</v>
      </c>
      <c r="U187" s="30" t="s">
        <v>163</v>
      </c>
      <c r="V187" s="30" t="s">
        <v>164</v>
      </c>
      <c r="W187" s="30" t="s">
        <v>165</v>
      </c>
      <c r="X187" s="28" t="s">
        <v>4325</v>
      </c>
      <c r="Y187" s="28" t="s">
        <v>4326</v>
      </c>
      <c r="Z187" s="40">
        <v>9</v>
      </c>
      <c r="AA187" s="30" t="s">
        <v>4327</v>
      </c>
      <c r="AB187" s="30" t="s">
        <v>151</v>
      </c>
      <c r="AC187" s="30" t="s">
        <v>151</v>
      </c>
      <c r="AD187" s="39">
        <v>2022</v>
      </c>
      <c r="AE187" s="30" t="s">
        <v>151</v>
      </c>
      <c r="AF187" s="35">
        <v>45595</v>
      </c>
      <c r="AG187" s="30" t="s">
        <v>151</v>
      </c>
      <c r="AH187" s="30" t="s">
        <v>151</v>
      </c>
      <c r="AI187" s="38" t="s">
        <v>151</v>
      </c>
      <c r="AJ187" s="32" t="s">
        <v>151</v>
      </c>
      <c r="AK187" s="38" t="s">
        <v>151</v>
      </c>
      <c r="AL187" s="38" t="s">
        <v>151</v>
      </c>
      <c r="AM187" s="38" t="s">
        <v>151</v>
      </c>
      <c r="AN187" s="38" t="s">
        <v>151</v>
      </c>
      <c r="AO187" s="38" t="s">
        <v>151</v>
      </c>
      <c r="AP187" s="38" t="s">
        <v>151</v>
      </c>
      <c r="AQ187" s="38" t="s">
        <v>151</v>
      </c>
      <c r="AR187" s="29" t="s">
        <v>151</v>
      </c>
      <c r="AS187" s="30" t="s">
        <v>4328</v>
      </c>
      <c r="AT187" s="30" t="s">
        <v>4329</v>
      </c>
      <c r="AU187" s="31">
        <v>3</v>
      </c>
      <c r="AV187" s="30" t="s">
        <v>151</v>
      </c>
      <c r="AW187" s="30" t="s">
        <v>151</v>
      </c>
      <c r="AX187" s="30" t="s">
        <v>151</v>
      </c>
      <c r="AY187" s="30" t="s">
        <v>4330</v>
      </c>
      <c r="AZ187" s="30" t="s">
        <v>151</v>
      </c>
      <c r="BA187" s="30" t="s">
        <v>151</v>
      </c>
      <c r="BB187" s="30" t="s">
        <v>151</v>
      </c>
      <c r="BC187" s="30" t="s">
        <v>151</v>
      </c>
      <c r="BD187" s="30" t="s">
        <v>4331</v>
      </c>
      <c r="BE187" s="30" t="s">
        <v>4332</v>
      </c>
      <c r="BF187" s="30" t="s">
        <v>221</v>
      </c>
      <c r="BG187" s="30" t="s">
        <v>4333</v>
      </c>
      <c r="BH187" s="30" t="s">
        <v>151</v>
      </c>
      <c r="BI187" s="30" t="s">
        <v>906</v>
      </c>
      <c r="BJ187" s="30" t="s">
        <v>151</v>
      </c>
      <c r="BK187" s="30" t="s">
        <v>151</v>
      </c>
      <c r="BL187" s="30" t="s">
        <v>259</v>
      </c>
      <c r="BM187" s="30" t="s">
        <v>259</v>
      </c>
      <c r="BN187" s="29" t="s">
        <v>151</v>
      </c>
      <c r="BO187" s="30" t="s">
        <v>186</v>
      </c>
      <c r="BP187" s="29" t="s">
        <v>151</v>
      </c>
      <c r="BQ187" s="29" t="s">
        <v>151</v>
      </c>
      <c r="BR187" s="30" t="s">
        <v>4334</v>
      </c>
      <c r="BS187" s="30" t="s">
        <v>187</v>
      </c>
      <c r="BT187" s="30" t="s">
        <v>188</v>
      </c>
      <c r="BU187" s="35">
        <v>45243</v>
      </c>
      <c r="BV187" s="37">
        <v>0.02</v>
      </c>
      <c r="BW187" s="30" t="s">
        <v>192</v>
      </c>
      <c r="BX187" s="37">
        <v>0.33</v>
      </c>
      <c r="BY187" s="30" t="s">
        <v>192</v>
      </c>
      <c r="BZ187" s="30" t="s">
        <v>189</v>
      </c>
      <c r="CA187" s="30" t="s">
        <v>151</v>
      </c>
      <c r="CB187" s="30" t="s">
        <v>151</v>
      </c>
      <c r="CC187" s="30" t="s">
        <v>190</v>
      </c>
      <c r="CD187" s="30" t="s">
        <v>151</v>
      </c>
      <c r="CE187" s="30" t="s">
        <v>191</v>
      </c>
      <c r="CF187" s="35">
        <v>45399</v>
      </c>
      <c r="CG187" s="37">
        <v>1.9</v>
      </c>
      <c r="CH187" s="30" t="s">
        <v>192</v>
      </c>
      <c r="CI187" s="37" t="s">
        <v>151</v>
      </c>
      <c r="CJ187" s="30" t="s">
        <v>151</v>
      </c>
      <c r="CK187" s="29" t="s">
        <v>151</v>
      </c>
      <c r="CL187" s="30" t="s">
        <v>293</v>
      </c>
      <c r="CM187" s="30" t="s">
        <v>293</v>
      </c>
      <c r="CN187" s="30" t="s">
        <v>151</v>
      </c>
      <c r="CO187" s="30" t="s">
        <v>165</v>
      </c>
      <c r="CP187" s="35">
        <v>45399</v>
      </c>
      <c r="CQ187" s="37">
        <v>1.9</v>
      </c>
      <c r="CR187" s="30" t="s">
        <v>4335</v>
      </c>
      <c r="CS187" s="30" t="s">
        <v>191</v>
      </c>
      <c r="CT187" s="29" t="s">
        <v>151</v>
      </c>
      <c r="CU187" s="30" t="s">
        <v>151</v>
      </c>
      <c r="CV187" s="32" t="s">
        <v>151</v>
      </c>
      <c r="CW187" s="32" t="s">
        <v>151</v>
      </c>
      <c r="CX187" s="30" t="s">
        <v>151</v>
      </c>
      <c r="CY187" s="32" t="s">
        <v>151</v>
      </c>
      <c r="CZ187" s="32" t="s">
        <v>151</v>
      </c>
      <c r="DA187" s="37">
        <v>0.33</v>
      </c>
      <c r="DB187" s="35">
        <v>45243</v>
      </c>
      <c r="DC187" s="30" t="s">
        <v>189</v>
      </c>
      <c r="DD187" s="29" t="s">
        <v>151</v>
      </c>
      <c r="DE187" s="32">
        <v>1.67</v>
      </c>
      <c r="DF187" s="34">
        <v>98</v>
      </c>
      <c r="DG187" s="32">
        <v>0</v>
      </c>
      <c r="DH187" s="32">
        <v>0</v>
      </c>
      <c r="DI187" s="32">
        <v>0</v>
      </c>
      <c r="DJ187" s="34">
        <v>10</v>
      </c>
      <c r="DK187" s="32" t="s">
        <v>151</v>
      </c>
      <c r="DL187" s="34" t="s">
        <v>151</v>
      </c>
      <c r="DM187" s="32">
        <v>0</v>
      </c>
      <c r="DN187" s="34">
        <v>10</v>
      </c>
      <c r="DO187" s="36">
        <v>1.14</v>
      </c>
      <c r="DP187" s="34">
        <v>53</v>
      </c>
      <c r="DQ187" s="36">
        <v>0</v>
      </c>
      <c r="DR187" s="32">
        <v>0</v>
      </c>
      <c r="DS187" s="36">
        <v>1.58</v>
      </c>
      <c r="DT187" s="34">
        <v>60</v>
      </c>
      <c r="DU187" s="36" t="s">
        <v>151</v>
      </c>
      <c r="DV187" s="34" t="s">
        <v>151</v>
      </c>
      <c r="DW187" s="36">
        <v>1.58</v>
      </c>
      <c r="DX187" s="34">
        <v>60</v>
      </c>
      <c r="DY187" s="31" t="s">
        <v>151</v>
      </c>
      <c r="DZ187" s="35" t="s">
        <v>151</v>
      </c>
      <c r="EA187" s="35" t="s">
        <v>151</v>
      </c>
      <c r="EB187" s="34">
        <v>376</v>
      </c>
      <c r="EC187" s="33">
        <v>0</v>
      </c>
      <c r="ED187" s="32">
        <v>0</v>
      </c>
      <c r="EE187" s="34">
        <v>30</v>
      </c>
      <c r="EF187" s="33">
        <v>0</v>
      </c>
      <c r="EG187" s="32">
        <v>0</v>
      </c>
      <c r="EH187" s="29" t="s">
        <v>198</v>
      </c>
      <c r="EI187" s="30" t="s">
        <v>151</v>
      </c>
      <c r="EJ187" s="30" t="s">
        <v>151</v>
      </c>
      <c r="EK187" s="31" t="s">
        <v>151</v>
      </c>
      <c r="EL187" s="31" t="s">
        <v>151</v>
      </c>
      <c r="EM187" s="31" t="s">
        <v>151</v>
      </c>
      <c r="EN187" s="31" t="s">
        <v>151</v>
      </c>
      <c r="EO187" s="31" t="s">
        <v>151</v>
      </c>
      <c r="EP187" s="30" t="s">
        <v>151</v>
      </c>
      <c r="EQ187" s="29" t="s">
        <v>151</v>
      </c>
      <c r="ER187" s="29" t="s">
        <v>151</v>
      </c>
      <c r="ES187" s="4">
        <f>HYPERLINK("https://my.pitchbook.com?c=540964-72","View Company Online")</f>
      </c>
    </row>
    <row r="188">
      <c r="A188" s="17" t="s">
        <v>4336</v>
      </c>
      <c r="B188" s="17" t="s">
        <v>4337</v>
      </c>
      <c r="C188" s="18" t="s">
        <v>151</v>
      </c>
      <c r="D188" s="17" t="s">
        <v>151</v>
      </c>
      <c r="E188" s="17" t="s">
        <v>151</v>
      </c>
      <c r="F188" s="17" t="s">
        <v>4338</v>
      </c>
      <c r="G188" s="17" t="s">
        <v>151</v>
      </c>
      <c r="H188" s="17" t="s">
        <v>151</v>
      </c>
      <c r="I188" s="17" t="s">
        <v>151</v>
      </c>
      <c r="J188" s="17" t="s">
        <v>4336</v>
      </c>
      <c r="K188" s="17" t="s">
        <v>4339</v>
      </c>
      <c r="L188" s="17" t="s">
        <v>205</v>
      </c>
      <c r="M188" s="17" t="s">
        <v>206</v>
      </c>
      <c r="N188" s="17" t="s">
        <v>269</v>
      </c>
      <c r="O188" s="17" t="s">
        <v>563</v>
      </c>
      <c r="P188" s="17" t="s">
        <v>4340</v>
      </c>
      <c r="Q188" s="17" t="s">
        <v>4341</v>
      </c>
      <c r="R188" s="17" t="s">
        <v>151</v>
      </c>
      <c r="S188" s="17" t="s">
        <v>162</v>
      </c>
      <c r="T188" s="24">
        <v>2.5</v>
      </c>
      <c r="U188" s="17" t="s">
        <v>163</v>
      </c>
      <c r="V188" s="17" t="s">
        <v>164</v>
      </c>
      <c r="W188" s="17" t="s">
        <v>165</v>
      </c>
      <c r="X188" s="15" t="s">
        <v>4342</v>
      </c>
      <c r="Y188" s="15" t="s">
        <v>4343</v>
      </c>
      <c r="Z188" s="27">
        <v>18</v>
      </c>
      <c r="AA188" s="17" t="s">
        <v>4344</v>
      </c>
      <c r="AB188" s="17" t="s">
        <v>151</v>
      </c>
      <c r="AC188" s="17" t="s">
        <v>151</v>
      </c>
      <c r="AD188" s="26">
        <v>2018</v>
      </c>
      <c r="AE188" s="17" t="s">
        <v>151</v>
      </c>
      <c r="AF188" s="22">
        <v>45551</v>
      </c>
      <c r="AG188" s="17" t="s">
        <v>151</v>
      </c>
      <c r="AH188" s="17" t="s">
        <v>151</v>
      </c>
      <c r="AI188" s="25" t="s">
        <v>151</v>
      </c>
      <c r="AJ188" s="19" t="s">
        <v>151</v>
      </c>
      <c r="AK188" s="25" t="s">
        <v>151</v>
      </c>
      <c r="AL188" s="25" t="s">
        <v>151</v>
      </c>
      <c r="AM188" s="25" t="s">
        <v>151</v>
      </c>
      <c r="AN188" s="25" t="s">
        <v>151</v>
      </c>
      <c r="AO188" s="25" t="s">
        <v>151</v>
      </c>
      <c r="AP188" s="25" t="s">
        <v>151</v>
      </c>
      <c r="AQ188" s="25" t="s">
        <v>151</v>
      </c>
      <c r="AR188" s="16" t="s">
        <v>151</v>
      </c>
      <c r="AS188" s="17" t="s">
        <v>4345</v>
      </c>
      <c r="AT188" s="17" t="s">
        <v>4346</v>
      </c>
      <c r="AU188" s="18">
        <v>2</v>
      </c>
      <c r="AV188" s="17" t="s">
        <v>151</v>
      </c>
      <c r="AW188" s="17" t="s">
        <v>151</v>
      </c>
      <c r="AX188" s="17" t="s">
        <v>151</v>
      </c>
      <c r="AY188" s="17" t="s">
        <v>4347</v>
      </c>
      <c r="AZ188" s="17" t="s">
        <v>151</v>
      </c>
      <c r="BA188" s="17" t="s">
        <v>151</v>
      </c>
      <c r="BB188" s="17" t="s">
        <v>151</v>
      </c>
      <c r="BC188" s="17" t="s">
        <v>151</v>
      </c>
      <c r="BD188" s="17" t="s">
        <v>4348</v>
      </c>
      <c r="BE188" s="17" t="s">
        <v>4349</v>
      </c>
      <c r="BF188" s="17" t="s">
        <v>221</v>
      </c>
      <c r="BG188" s="17" t="s">
        <v>4350</v>
      </c>
      <c r="BH188" s="17" t="s">
        <v>4351</v>
      </c>
      <c r="BI188" s="17" t="s">
        <v>4352</v>
      </c>
      <c r="BJ188" s="17" t="s">
        <v>4353</v>
      </c>
      <c r="BK188" s="17" t="s">
        <v>4354</v>
      </c>
      <c r="BL188" s="17" t="s">
        <v>4355</v>
      </c>
      <c r="BM188" s="17" t="s">
        <v>4356</v>
      </c>
      <c r="BN188" s="16" t="s">
        <v>4357</v>
      </c>
      <c r="BO188" s="17" t="s">
        <v>186</v>
      </c>
      <c r="BP188" s="16" t="s">
        <v>4351</v>
      </c>
      <c r="BQ188" s="16" t="s">
        <v>151</v>
      </c>
      <c r="BR188" s="17" t="s">
        <v>4358</v>
      </c>
      <c r="BS188" s="17" t="s">
        <v>187</v>
      </c>
      <c r="BT188" s="17" t="s">
        <v>188</v>
      </c>
      <c r="BU188" s="22">
        <v>44131</v>
      </c>
      <c r="BV188" s="24">
        <v>0.03</v>
      </c>
      <c r="BW188" s="17" t="s">
        <v>192</v>
      </c>
      <c r="BX188" s="24" t="s">
        <v>151</v>
      </c>
      <c r="BY188" s="17" t="s">
        <v>151</v>
      </c>
      <c r="BZ188" s="17" t="s">
        <v>501</v>
      </c>
      <c r="CA188" s="17" t="s">
        <v>151</v>
      </c>
      <c r="CB188" s="17" t="s">
        <v>151</v>
      </c>
      <c r="CC188" s="17" t="s">
        <v>190</v>
      </c>
      <c r="CD188" s="17" t="s">
        <v>151</v>
      </c>
      <c r="CE188" s="17" t="s">
        <v>191</v>
      </c>
      <c r="CF188" s="22">
        <v>45545</v>
      </c>
      <c r="CG188" s="24">
        <v>2.5</v>
      </c>
      <c r="CH188" s="17" t="s">
        <v>193</v>
      </c>
      <c r="CI188" s="24">
        <v>10</v>
      </c>
      <c r="CJ188" s="17" t="s">
        <v>193</v>
      </c>
      <c r="CK188" s="16" t="s">
        <v>151</v>
      </c>
      <c r="CL188" s="17" t="s">
        <v>194</v>
      </c>
      <c r="CM188" s="17" t="s">
        <v>232</v>
      </c>
      <c r="CN188" s="17" t="s">
        <v>151</v>
      </c>
      <c r="CO188" s="17" t="s">
        <v>165</v>
      </c>
      <c r="CP188" s="22">
        <v>45545</v>
      </c>
      <c r="CQ188" s="24" t="s">
        <v>151</v>
      </c>
      <c r="CR188" s="17" t="s">
        <v>151</v>
      </c>
      <c r="CS188" s="17" t="s">
        <v>191</v>
      </c>
      <c r="CT188" s="16" t="s">
        <v>151</v>
      </c>
      <c r="CU188" s="17" t="s">
        <v>151</v>
      </c>
      <c r="CV188" s="19" t="s">
        <v>151</v>
      </c>
      <c r="CW188" s="19" t="s">
        <v>151</v>
      </c>
      <c r="CX188" s="17" t="s">
        <v>151</v>
      </c>
      <c r="CY188" s="19" t="s">
        <v>151</v>
      </c>
      <c r="CZ188" s="19" t="s">
        <v>151</v>
      </c>
      <c r="DA188" s="24">
        <v>10</v>
      </c>
      <c r="DB188" s="22">
        <v>45545</v>
      </c>
      <c r="DC188" s="17" t="s">
        <v>194</v>
      </c>
      <c r="DD188" s="16" t="s">
        <v>151</v>
      </c>
      <c r="DE188" s="19">
        <v>0.42</v>
      </c>
      <c r="DF188" s="21">
        <v>93</v>
      </c>
      <c r="DG188" s="19">
        <v>0</v>
      </c>
      <c r="DH188" s="19">
        <v>0</v>
      </c>
      <c r="DI188" s="19">
        <v>0</v>
      </c>
      <c r="DJ188" s="21">
        <v>10</v>
      </c>
      <c r="DK188" s="19" t="s">
        <v>151</v>
      </c>
      <c r="DL188" s="21" t="s">
        <v>151</v>
      </c>
      <c r="DM188" s="19">
        <v>0</v>
      </c>
      <c r="DN188" s="21">
        <v>10</v>
      </c>
      <c r="DO188" s="23">
        <v>1.51</v>
      </c>
      <c r="DP188" s="21">
        <v>60</v>
      </c>
      <c r="DQ188" s="23">
        <v>0</v>
      </c>
      <c r="DR188" s="19">
        <v>0</v>
      </c>
      <c r="DS188" s="23">
        <v>1.79</v>
      </c>
      <c r="DT188" s="21">
        <v>63</v>
      </c>
      <c r="DU188" s="23" t="s">
        <v>151</v>
      </c>
      <c r="DV188" s="21" t="s">
        <v>151</v>
      </c>
      <c r="DW188" s="23">
        <v>1.79</v>
      </c>
      <c r="DX188" s="21">
        <v>63</v>
      </c>
      <c r="DY188" s="18">
        <v>1</v>
      </c>
      <c r="DZ188" s="22">
        <v>44020</v>
      </c>
      <c r="EA188" s="22" t="s">
        <v>4359</v>
      </c>
      <c r="EB188" s="21">
        <v>280</v>
      </c>
      <c r="EC188" s="20">
        <v>48</v>
      </c>
      <c r="ED188" s="19">
        <v>20.69</v>
      </c>
      <c r="EE188" s="21">
        <v>34</v>
      </c>
      <c r="EF188" s="20">
        <v>1</v>
      </c>
      <c r="EG188" s="19">
        <v>3.03</v>
      </c>
      <c r="EH188" s="16" t="s">
        <v>198</v>
      </c>
      <c r="EI188" s="17" t="s">
        <v>151</v>
      </c>
      <c r="EJ188" s="17" t="s">
        <v>151</v>
      </c>
      <c r="EK188" s="18" t="s">
        <v>151</v>
      </c>
      <c r="EL188" s="18" t="s">
        <v>151</v>
      </c>
      <c r="EM188" s="18" t="s">
        <v>151</v>
      </c>
      <c r="EN188" s="18" t="s">
        <v>151</v>
      </c>
      <c r="EO188" s="18" t="s">
        <v>151</v>
      </c>
      <c r="EP188" s="17" t="s">
        <v>151</v>
      </c>
      <c r="EQ188" s="16" t="s">
        <v>151</v>
      </c>
      <c r="ER188" s="16" t="s">
        <v>151</v>
      </c>
      <c r="ES188" s="3">
        <f>HYPERLINK("https://my.pitchbook.com?c=537636-07","View Company Online")</f>
      </c>
    </row>
    <row r="189">
      <c r="A189" s="30" t="s">
        <v>4360</v>
      </c>
      <c r="B189" s="30" t="s">
        <v>4361</v>
      </c>
      <c r="C189" s="31" t="s">
        <v>151</v>
      </c>
      <c r="D189" s="30" t="s">
        <v>151</v>
      </c>
      <c r="E189" s="30" t="s">
        <v>151</v>
      </c>
      <c r="F189" s="30" t="s">
        <v>4362</v>
      </c>
      <c r="G189" s="30" t="s">
        <v>151</v>
      </c>
      <c r="H189" s="30" t="s">
        <v>151</v>
      </c>
      <c r="I189" s="30" t="s">
        <v>151</v>
      </c>
      <c r="J189" s="30" t="s">
        <v>4360</v>
      </c>
      <c r="K189" s="30" t="s">
        <v>4363</v>
      </c>
      <c r="L189" s="30" t="s">
        <v>205</v>
      </c>
      <c r="M189" s="30" t="s">
        <v>206</v>
      </c>
      <c r="N189" s="30" t="s">
        <v>269</v>
      </c>
      <c r="O189" s="30" t="s">
        <v>1819</v>
      </c>
      <c r="P189" s="30" t="s">
        <v>2618</v>
      </c>
      <c r="Q189" s="30" t="s">
        <v>4364</v>
      </c>
      <c r="R189" s="30" t="s">
        <v>151</v>
      </c>
      <c r="S189" s="30" t="s">
        <v>162</v>
      </c>
      <c r="T189" s="37">
        <v>1.5</v>
      </c>
      <c r="U189" s="30" t="s">
        <v>163</v>
      </c>
      <c r="V189" s="30" t="s">
        <v>164</v>
      </c>
      <c r="W189" s="30" t="s">
        <v>165</v>
      </c>
      <c r="X189" s="28" t="s">
        <v>4365</v>
      </c>
      <c r="Y189" s="28" t="s">
        <v>4366</v>
      </c>
      <c r="Z189" s="40">
        <v>20</v>
      </c>
      <c r="AA189" s="30" t="s">
        <v>4367</v>
      </c>
      <c r="AB189" s="30" t="s">
        <v>151</v>
      </c>
      <c r="AC189" s="30" t="s">
        <v>151</v>
      </c>
      <c r="AD189" s="39">
        <v>2021</v>
      </c>
      <c r="AE189" s="30" t="s">
        <v>151</v>
      </c>
      <c r="AF189" s="35">
        <v>45510</v>
      </c>
      <c r="AG189" s="30" t="s">
        <v>151</v>
      </c>
      <c r="AH189" s="30" t="s">
        <v>151</v>
      </c>
      <c r="AI189" s="38" t="s">
        <v>151</v>
      </c>
      <c r="AJ189" s="32" t="s">
        <v>151</v>
      </c>
      <c r="AK189" s="38" t="s">
        <v>151</v>
      </c>
      <c r="AL189" s="38" t="s">
        <v>151</v>
      </c>
      <c r="AM189" s="38" t="s">
        <v>151</v>
      </c>
      <c r="AN189" s="38" t="s">
        <v>151</v>
      </c>
      <c r="AO189" s="38" t="s">
        <v>151</v>
      </c>
      <c r="AP189" s="38" t="s">
        <v>151</v>
      </c>
      <c r="AQ189" s="38" t="s">
        <v>151</v>
      </c>
      <c r="AR189" s="29" t="s">
        <v>151</v>
      </c>
      <c r="AS189" s="30" t="s">
        <v>4368</v>
      </c>
      <c r="AT189" s="30" t="s">
        <v>4369</v>
      </c>
      <c r="AU189" s="31">
        <v>15</v>
      </c>
      <c r="AV189" s="30" t="s">
        <v>151</v>
      </c>
      <c r="AW189" s="30" t="s">
        <v>151</v>
      </c>
      <c r="AX189" s="30" t="s">
        <v>151</v>
      </c>
      <c r="AY189" s="30" t="s">
        <v>4370</v>
      </c>
      <c r="AZ189" s="30" t="s">
        <v>151</v>
      </c>
      <c r="BA189" s="30" t="s">
        <v>151</v>
      </c>
      <c r="BB189" s="30" t="s">
        <v>151</v>
      </c>
      <c r="BC189" s="30" t="s">
        <v>374</v>
      </c>
      <c r="BD189" s="30" t="s">
        <v>4371</v>
      </c>
      <c r="BE189" s="30" t="s">
        <v>4372</v>
      </c>
      <c r="BF189" s="30" t="s">
        <v>403</v>
      </c>
      <c r="BG189" s="30" t="s">
        <v>4373</v>
      </c>
      <c r="BH189" s="30" t="s">
        <v>4374</v>
      </c>
      <c r="BI189" s="30" t="s">
        <v>4375</v>
      </c>
      <c r="BJ189" s="30" t="s">
        <v>4376</v>
      </c>
      <c r="BK189" s="30" t="s">
        <v>4377</v>
      </c>
      <c r="BL189" s="30" t="s">
        <v>4378</v>
      </c>
      <c r="BM189" s="30" t="s">
        <v>4379</v>
      </c>
      <c r="BN189" s="29" t="s">
        <v>4380</v>
      </c>
      <c r="BO189" s="30" t="s">
        <v>186</v>
      </c>
      <c r="BP189" s="29" t="s">
        <v>4374</v>
      </c>
      <c r="BQ189" s="29" t="s">
        <v>151</v>
      </c>
      <c r="BR189" s="30" t="s">
        <v>4381</v>
      </c>
      <c r="BS189" s="30" t="s">
        <v>187</v>
      </c>
      <c r="BT189" s="30" t="s">
        <v>188</v>
      </c>
      <c r="BU189" s="35">
        <v>44726</v>
      </c>
      <c r="BV189" s="37">
        <v>1.5</v>
      </c>
      <c r="BW189" s="30" t="s">
        <v>192</v>
      </c>
      <c r="BX189" s="37">
        <v>7.5</v>
      </c>
      <c r="BY189" s="30" t="s">
        <v>192</v>
      </c>
      <c r="BZ189" s="30" t="s">
        <v>293</v>
      </c>
      <c r="CA189" s="30" t="s">
        <v>293</v>
      </c>
      <c r="CB189" s="30" t="s">
        <v>151</v>
      </c>
      <c r="CC189" s="30" t="s">
        <v>165</v>
      </c>
      <c r="CD189" s="30" t="s">
        <v>151</v>
      </c>
      <c r="CE189" s="30" t="s">
        <v>191</v>
      </c>
      <c r="CF189" s="35" t="s">
        <v>151</v>
      </c>
      <c r="CG189" s="37" t="s">
        <v>151</v>
      </c>
      <c r="CH189" s="30" t="s">
        <v>151</v>
      </c>
      <c r="CI189" s="37" t="s">
        <v>151</v>
      </c>
      <c r="CJ189" s="30" t="s">
        <v>151</v>
      </c>
      <c r="CK189" s="29" t="s">
        <v>151</v>
      </c>
      <c r="CL189" s="30" t="s">
        <v>231</v>
      </c>
      <c r="CM189" s="30" t="s">
        <v>232</v>
      </c>
      <c r="CN189" s="30" t="s">
        <v>151</v>
      </c>
      <c r="CO189" s="30" t="s">
        <v>165</v>
      </c>
      <c r="CP189" s="35" t="s">
        <v>151</v>
      </c>
      <c r="CQ189" s="37" t="s">
        <v>151</v>
      </c>
      <c r="CR189" s="30" t="s">
        <v>151</v>
      </c>
      <c r="CS189" s="30" t="s">
        <v>1887</v>
      </c>
      <c r="CT189" s="29" t="s">
        <v>151</v>
      </c>
      <c r="CU189" s="30" t="s">
        <v>151</v>
      </c>
      <c r="CV189" s="32" t="s">
        <v>151</v>
      </c>
      <c r="CW189" s="32" t="s">
        <v>151</v>
      </c>
      <c r="CX189" s="30" t="s">
        <v>151</v>
      </c>
      <c r="CY189" s="32" t="s">
        <v>151</v>
      </c>
      <c r="CZ189" s="32" t="s">
        <v>151</v>
      </c>
      <c r="DA189" s="37">
        <v>7.5</v>
      </c>
      <c r="DB189" s="35">
        <v>44726</v>
      </c>
      <c r="DC189" s="30" t="s">
        <v>293</v>
      </c>
      <c r="DD189" s="29" t="s">
        <v>151</v>
      </c>
      <c r="DE189" s="32">
        <v>1.85</v>
      </c>
      <c r="DF189" s="34">
        <v>98</v>
      </c>
      <c r="DG189" s="32">
        <v>0</v>
      </c>
      <c r="DH189" s="32">
        <v>0</v>
      </c>
      <c r="DI189" s="32">
        <v>0</v>
      </c>
      <c r="DJ189" s="34">
        <v>10</v>
      </c>
      <c r="DK189" s="32" t="s">
        <v>151</v>
      </c>
      <c r="DL189" s="34" t="s">
        <v>151</v>
      </c>
      <c r="DM189" s="32">
        <v>0</v>
      </c>
      <c r="DN189" s="34">
        <v>10</v>
      </c>
      <c r="DO189" s="36">
        <v>1.35</v>
      </c>
      <c r="DP189" s="34">
        <v>57</v>
      </c>
      <c r="DQ189" s="36">
        <v>0</v>
      </c>
      <c r="DR189" s="32">
        <v>0</v>
      </c>
      <c r="DS189" s="36">
        <v>1.16</v>
      </c>
      <c r="DT189" s="34">
        <v>53</v>
      </c>
      <c r="DU189" s="36" t="s">
        <v>151</v>
      </c>
      <c r="DV189" s="34" t="s">
        <v>151</v>
      </c>
      <c r="DW189" s="36">
        <v>1.16</v>
      </c>
      <c r="DX189" s="34">
        <v>53</v>
      </c>
      <c r="DY189" s="31" t="s">
        <v>151</v>
      </c>
      <c r="DZ189" s="35" t="s">
        <v>151</v>
      </c>
      <c r="EA189" s="35" t="s">
        <v>151</v>
      </c>
      <c r="EB189" s="34">
        <v>9</v>
      </c>
      <c r="EC189" s="33">
        <v>-44</v>
      </c>
      <c r="ED189" s="32">
        <v>-83.02</v>
      </c>
      <c r="EE189" s="34">
        <v>22</v>
      </c>
      <c r="EF189" s="33">
        <v>0</v>
      </c>
      <c r="EG189" s="32">
        <v>0</v>
      </c>
      <c r="EH189" s="29" t="s">
        <v>198</v>
      </c>
      <c r="EI189" s="30" t="s">
        <v>151</v>
      </c>
      <c r="EJ189" s="30" t="s">
        <v>151</v>
      </c>
      <c r="EK189" s="31" t="s">
        <v>151</v>
      </c>
      <c r="EL189" s="31" t="s">
        <v>151</v>
      </c>
      <c r="EM189" s="31" t="s">
        <v>151</v>
      </c>
      <c r="EN189" s="31" t="s">
        <v>151</v>
      </c>
      <c r="EO189" s="31" t="s">
        <v>151</v>
      </c>
      <c r="EP189" s="30" t="s">
        <v>151</v>
      </c>
      <c r="EQ189" s="29" t="s">
        <v>151</v>
      </c>
      <c r="ER189" s="29" t="s">
        <v>151</v>
      </c>
      <c r="ES189" s="4">
        <f>HYPERLINK("https://my.pitchbook.com?c=472168-36","View Company Online")</f>
      </c>
    </row>
    <row r="190">
      <c r="A190" s="17" t="s">
        <v>4382</v>
      </c>
      <c r="B190" s="17" t="s">
        <v>4383</v>
      </c>
      <c r="C190" s="18" t="s">
        <v>151</v>
      </c>
      <c r="D190" s="17" t="s">
        <v>151</v>
      </c>
      <c r="E190" s="17" t="s">
        <v>151</v>
      </c>
      <c r="F190" s="17" t="s">
        <v>4384</v>
      </c>
      <c r="G190" s="17" t="s">
        <v>151</v>
      </c>
      <c r="H190" s="17" t="s">
        <v>151</v>
      </c>
      <c r="I190" s="17" t="s">
        <v>151</v>
      </c>
      <c r="J190" s="17" t="s">
        <v>4382</v>
      </c>
      <c r="K190" s="17" t="s">
        <v>4385</v>
      </c>
      <c r="L190" s="17" t="s">
        <v>205</v>
      </c>
      <c r="M190" s="17" t="s">
        <v>206</v>
      </c>
      <c r="N190" s="17" t="s">
        <v>1268</v>
      </c>
      <c r="O190" s="17" t="s">
        <v>2129</v>
      </c>
      <c r="P190" s="17" t="s">
        <v>2130</v>
      </c>
      <c r="Q190" s="17" t="s">
        <v>4386</v>
      </c>
      <c r="R190" s="17" t="s">
        <v>151</v>
      </c>
      <c r="S190" s="17" t="s">
        <v>162</v>
      </c>
      <c r="T190" s="24">
        <v>0.5</v>
      </c>
      <c r="U190" s="17" t="s">
        <v>163</v>
      </c>
      <c r="V190" s="17" t="s">
        <v>164</v>
      </c>
      <c r="W190" s="17" t="s">
        <v>165</v>
      </c>
      <c r="X190" s="15" t="s">
        <v>4387</v>
      </c>
      <c r="Y190" s="15" t="s">
        <v>4388</v>
      </c>
      <c r="Z190" s="27">
        <v>6</v>
      </c>
      <c r="AA190" s="17" t="s">
        <v>4389</v>
      </c>
      <c r="AB190" s="17" t="s">
        <v>151</v>
      </c>
      <c r="AC190" s="17" t="s">
        <v>151</v>
      </c>
      <c r="AD190" s="26">
        <v>2022</v>
      </c>
      <c r="AE190" s="17" t="s">
        <v>151</v>
      </c>
      <c r="AF190" s="22">
        <v>45476</v>
      </c>
      <c r="AG190" s="17" t="s">
        <v>151</v>
      </c>
      <c r="AH190" s="17" t="s">
        <v>151</v>
      </c>
      <c r="AI190" s="25" t="s">
        <v>151</v>
      </c>
      <c r="AJ190" s="19" t="s">
        <v>151</v>
      </c>
      <c r="AK190" s="25" t="s">
        <v>151</v>
      </c>
      <c r="AL190" s="25" t="s">
        <v>151</v>
      </c>
      <c r="AM190" s="25" t="s">
        <v>151</v>
      </c>
      <c r="AN190" s="25" t="s">
        <v>151</v>
      </c>
      <c r="AO190" s="25" t="s">
        <v>151</v>
      </c>
      <c r="AP190" s="25" t="s">
        <v>151</v>
      </c>
      <c r="AQ190" s="25" t="s">
        <v>151</v>
      </c>
      <c r="AR190" s="16" t="s">
        <v>151</v>
      </c>
      <c r="AS190" s="17" t="s">
        <v>4390</v>
      </c>
      <c r="AT190" s="17" t="s">
        <v>4391</v>
      </c>
      <c r="AU190" s="18">
        <v>4</v>
      </c>
      <c r="AV190" s="17" t="s">
        <v>151</v>
      </c>
      <c r="AW190" s="17" t="s">
        <v>151</v>
      </c>
      <c r="AX190" s="17" t="s">
        <v>151</v>
      </c>
      <c r="AY190" s="17" t="s">
        <v>4392</v>
      </c>
      <c r="AZ190" s="17" t="s">
        <v>151</v>
      </c>
      <c r="BA190" s="17" t="s">
        <v>151</v>
      </c>
      <c r="BB190" s="17" t="s">
        <v>151</v>
      </c>
      <c r="BC190" s="17" t="s">
        <v>151</v>
      </c>
      <c r="BD190" s="17" t="s">
        <v>4393</v>
      </c>
      <c r="BE190" s="17" t="s">
        <v>4394</v>
      </c>
      <c r="BF190" s="17" t="s">
        <v>403</v>
      </c>
      <c r="BG190" s="17" t="s">
        <v>4395</v>
      </c>
      <c r="BH190" s="17" t="s">
        <v>151</v>
      </c>
      <c r="BI190" s="17" t="s">
        <v>906</v>
      </c>
      <c r="BJ190" s="17" t="s">
        <v>4396</v>
      </c>
      <c r="BK190" s="17" t="s">
        <v>4397</v>
      </c>
      <c r="BL190" s="17" t="s">
        <v>259</v>
      </c>
      <c r="BM190" s="17" t="s">
        <v>259</v>
      </c>
      <c r="BN190" s="16" t="s">
        <v>4398</v>
      </c>
      <c r="BO190" s="17" t="s">
        <v>186</v>
      </c>
      <c r="BP190" s="16" t="s">
        <v>151</v>
      </c>
      <c r="BQ190" s="16" t="s">
        <v>151</v>
      </c>
      <c r="BR190" s="17" t="s">
        <v>4399</v>
      </c>
      <c r="BS190" s="17" t="s">
        <v>187</v>
      </c>
      <c r="BT190" s="17" t="s">
        <v>188</v>
      </c>
      <c r="BU190" s="22">
        <v>45194</v>
      </c>
      <c r="BV190" s="24">
        <v>0.5</v>
      </c>
      <c r="BW190" s="17" t="s">
        <v>192</v>
      </c>
      <c r="BX190" s="24">
        <v>5</v>
      </c>
      <c r="BY190" s="17" t="s">
        <v>192</v>
      </c>
      <c r="BZ190" s="17" t="s">
        <v>293</v>
      </c>
      <c r="CA190" s="17" t="s">
        <v>293</v>
      </c>
      <c r="CB190" s="17" t="s">
        <v>151</v>
      </c>
      <c r="CC190" s="17" t="s">
        <v>165</v>
      </c>
      <c r="CD190" s="17" t="s">
        <v>151</v>
      </c>
      <c r="CE190" s="17" t="s">
        <v>191</v>
      </c>
      <c r="CF190" s="22">
        <v>45379</v>
      </c>
      <c r="CG190" s="24" t="s">
        <v>151</v>
      </c>
      <c r="CH190" s="17" t="s">
        <v>151</v>
      </c>
      <c r="CI190" s="24" t="s">
        <v>151</v>
      </c>
      <c r="CJ190" s="17" t="s">
        <v>151</v>
      </c>
      <c r="CK190" s="16" t="s">
        <v>151</v>
      </c>
      <c r="CL190" s="17" t="s">
        <v>189</v>
      </c>
      <c r="CM190" s="17" t="s">
        <v>151</v>
      </c>
      <c r="CN190" s="17" t="s">
        <v>151</v>
      </c>
      <c r="CO190" s="17" t="s">
        <v>190</v>
      </c>
      <c r="CP190" s="22">
        <v>45379</v>
      </c>
      <c r="CQ190" s="24" t="s">
        <v>151</v>
      </c>
      <c r="CR190" s="17" t="s">
        <v>151</v>
      </c>
      <c r="CS190" s="17" t="s">
        <v>191</v>
      </c>
      <c r="CT190" s="16" t="s">
        <v>151</v>
      </c>
      <c r="CU190" s="17" t="s">
        <v>151</v>
      </c>
      <c r="CV190" s="19" t="s">
        <v>151</v>
      </c>
      <c r="CW190" s="19" t="s">
        <v>151</v>
      </c>
      <c r="CX190" s="17" t="s">
        <v>151</v>
      </c>
      <c r="CY190" s="19" t="s">
        <v>151</v>
      </c>
      <c r="CZ190" s="19" t="s">
        <v>151</v>
      </c>
      <c r="DA190" s="24">
        <v>5</v>
      </c>
      <c r="DB190" s="22">
        <v>45194</v>
      </c>
      <c r="DC190" s="17" t="s">
        <v>293</v>
      </c>
      <c r="DD190" s="16" t="s">
        <v>151</v>
      </c>
      <c r="DE190" s="19">
        <v>0</v>
      </c>
      <c r="DF190" s="21">
        <v>11</v>
      </c>
      <c r="DG190" s="19">
        <v>0</v>
      </c>
      <c r="DH190" s="19">
        <v>0</v>
      </c>
      <c r="DI190" s="19">
        <v>0</v>
      </c>
      <c r="DJ190" s="21">
        <v>10</v>
      </c>
      <c r="DK190" s="19">
        <v>0</v>
      </c>
      <c r="DL190" s="21">
        <v>11</v>
      </c>
      <c r="DM190" s="19">
        <v>0</v>
      </c>
      <c r="DN190" s="21">
        <v>10</v>
      </c>
      <c r="DO190" s="23">
        <v>0.42</v>
      </c>
      <c r="DP190" s="21">
        <v>28</v>
      </c>
      <c r="DQ190" s="23">
        <v>0</v>
      </c>
      <c r="DR190" s="19">
        <v>0</v>
      </c>
      <c r="DS190" s="23">
        <v>0.38</v>
      </c>
      <c r="DT190" s="21">
        <v>28</v>
      </c>
      <c r="DU190" s="23">
        <v>0.02</v>
      </c>
      <c r="DV190" s="21">
        <v>9</v>
      </c>
      <c r="DW190" s="23">
        <v>0.74</v>
      </c>
      <c r="DX190" s="21">
        <v>42</v>
      </c>
      <c r="DY190" s="18" t="s">
        <v>151</v>
      </c>
      <c r="DZ190" s="22" t="s">
        <v>151</v>
      </c>
      <c r="EA190" s="22" t="s">
        <v>151</v>
      </c>
      <c r="EB190" s="21">
        <v>0</v>
      </c>
      <c r="EC190" s="20">
        <v>0</v>
      </c>
      <c r="ED190" s="19">
        <v>0</v>
      </c>
      <c r="EE190" s="21">
        <v>14</v>
      </c>
      <c r="EF190" s="20">
        <v>0</v>
      </c>
      <c r="EG190" s="19">
        <v>0</v>
      </c>
      <c r="EH190" s="16" t="s">
        <v>198</v>
      </c>
      <c r="EI190" s="17" t="s">
        <v>151</v>
      </c>
      <c r="EJ190" s="17" t="s">
        <v>151</v>
      </c>
      <c r="EK190" s="18" t="s">
        <v>151</v>
      </c>
      <c r="EL190" s="18" t="s">
        <v>151</v>
      </c>
      <c r="EM190" s="18" t="s">
        <v>151</v>
      </c>
      <c r="EN190" s="18" t="s">
        <v>151</v>
      </c>
      <c r="EO190" s="18" t="s">
        <v>151</v>
      </c>
      <c r="EP190" s="17" t="s">
        <v>151</v>
      </c>
      <c r="EQ190" s="16" t="s">
        <v>151</v>
      </c>
      <c r="ER190" s="16" t="s">
        <v>151</v>
      </c>
      <c r="ES190" s="3">
        <f>HYPERLINK("https://my.pitchbook.com?c=539289-19","View Company Online")</f>
      </c>
    </row>
    <row r="191">
      <c r="A191" s="30" t="s">
        <v>4400</v>
      </c>
      <c r="B191" s="30" t="s">
        <v>4401</v>
      </c>
      <c r="C191" s="31" t="s">
        <v>151</v>
      </c>
      <c r="D191" s="30" t="s">
        <v>4402</v>
      </c>
      <c r="E191" s="30" t="s">
        <v>4403</v>
      </c>
      <c r="F191" s="30" t="s">
        <v>4404</v>
      </c>
      <c r="G191" s="30" t="s">
        <v>151</v>
      </c>
      <c r="H191" s="30" t="s">
        <v>151</v>
      </c>
      <c r="I191" s="30" t="s">
        <v>4405</v>
      </c>
      <c r="J191" s="30" t="s">
        <v>4400</v>
      </c>
      <c r="K191" s="30" t="s">
        <v>4406</v>
      </c>
      <c r="L191" s="30" t="s">
        <v>205</v>
      </c>
      <c r="M191" s="30" t="s">
        <v>206</v>
      </c>
      <c r="N191" s="30" t="s">
        <v>269</v>
      </c>
      <c r="O191" s="30" t="s">
        <v>1819</v>
      </c>
      <c r="P191" s="30" t="s">
        <v>1153</v>
      </c>
      <c r="Q191" s="30" t="s">
        <v>4407</v>
      </c>
      <c r="R191" s="30" t="s">
        <v>151</v>
      </c>
      <c r="S191" s="30" t="s">
        <v>162</v>
      </c>
      <c r="T191" s="37">
        <v>7</v>
      </c>
      <c r="U191" s="30" t="s">
        <v>163</v>
      </c>
      <c r="V191" s="30" t="s">
        <v>164</v>
      </c>
      <c r="W191" s="30" t="s">
        <v>165</v>
      </c>
      <c r="X191" s="28" t="s">
        <v>4408</v>
      </c>
      <c r="Y191" s="28" t="s">
        <v>4409</v>
      </c>
      <c r="Z191" s="40">
        <v>50</v>
      </c>
      <c r="AA191" s="30" t="s">
        <v>4410</v>
      </c>
      <c r="AB191" s="30" t="s">
        <v>151</v>
      </c>
      <c r="AC191" s="30" t="s">
        <v>151</v>
      </c>
      <c r="AD191" s="39">
        <v>2023</v>
      </c>
      <c r="AE191" s="30" t="s">
        <v>151</v>
      </c>
      <c r="AF191" s="35">
        <v>45520</v>
      </c>
      <c r="AG191" s="30" t="s">
        <v>151</v>
      </c>
      <c r="AH191" s="30" t="s">
        <v>151</v>
      </c>
      <c r="AI191" s="38" t="s">
        <v>151</v>
      </c>
      <c r="AJ191" s="32" t="s">
        <v>151</v>
      </c>
      <c r="AK191" s="38" t="s">
        <v>151</v>
      </c>
      <c r="AL191" s="38" t="s">
        <v>151</v>
      </c>
      <c r="AM191" s="38" t="s">
        <v>151</v>
      </c>
      <c r="AN191" s="38" t="s">
        <v>151</v>
      </c>
      <c r="AO191" s="38" t="s">
        <v>151</v>
      </c>
      <c r="AP191" s="38" t="s">
        <v>151</v>
      </c>
      <c r="AQ191" s="38" t="s">
        <v>151</v>
      </c>
      <c r="AR191" s="29" t="s">
        <v>151</v>
      </c>
      <c r="AS191" s="30" t="s">
        <v>4411</v>
      </c>
      <c r="AT191" s="30" t="s">
        <v>4412</v>
      </c>
      <c r="AU191" s="31">
        <v>3</v>
      </c>
      <c r="AV191" s="30" t="s">
        <v>151</v>
      </c>
      <c r="AW191" s="30" t="s">
        <v>151</v>
      </c>
      <c r="AX191" s="30" t="s">
        <v>151</v>
      </c>
      <c r="AY191" s="30" t="s">
        <v>4413</v>
      </c>
      <c r="AZ191" s="30" t="s">
        <v>151</v>
      </c>
      <c r="BA191" s="30" t="s">
        <v>151</v>
      </c>
      <c r="BB191" s="30" t="s">
        <v>4414</v>
      </c>
      <c r="BC191" s="30" t="s">
        <v>151</v>
      </c>
      <c r="BD191" s="30" t="s">
        <v>4415</v>
      </c>
      <c r="BE191" s="30" t="s">
        <v>4416</v>
      </c>
      <c r="BF191" s="30" t="s">
        <v>221</v>
      </c>
      <c r="BG191" s="30" t="s">
        <v>4417</v>
      </c>
      <c r="BH191" s="30" t="s">
        <v>151</v>
      </c>
      <c r="BI191" s="30" t="s">
        <v>906</v>
      </c>
      <c r="BJ191" s="30" t="s">
        <v>4418</v>
      </c>
      <c r="BK191" s="30" t="s">
        <v>151</v>
      </c>
      <c r="BL191" s="30" t="s">
        <v>259</v>
      </c>
      <c r="BM191" s="30" t="s">
        <v>259</v>
      </c>
      <c r="BN191" s="29" t="s">
        <v>4419</v>
      </c>
      <c r="BO191" s="30" t="s">
        <v>186</v>
      </c>
      <c r="BP191" s="29" t="s">
        <v>151</v>
      </c>
      <c r="BQ191" s="29" t="s">
        <v>151</v>
      </c>
      <c r="BR191" s="30" t="s">
        <v>151</v>
      </c>
      <c r="BS191" s="30" t="s">
        <v>187</v>
      </c>
      <c r="BT191" s="30" t="s">
        <v>188</v>
      </c>
      <c r="BU191" s="35">
        <v>45019</v>
      </c>
      <c r="BV191" s="37">
        <v>7</v>
      </c>
      <c r="BW191" s="30" t="s">
        <v>192</v>
      </c>
      <c r="BX191" s="37">
        <v>24</v>
      </c>
      <c r="BY191" s="30" t="s">
        <v>192</v>
      </c>
      <c r="BZ191" s="30" t="s">
        <v>293</v>
      </c>
      <c r="CA191" s="30" t="s">
        <v>293</v>
      </c>
      <c r="CB191" s="30" t="s">
        <v>151</v>
      </c>
      <c r="CC191" s="30" t="s">
        <v>165</v>
      </c>
      <c r="CD191" s="30" t="s">
        <v>151</v>
      </c>
      <c r="CE191" s="30" t="s">
        <v>191</v>
      </c>
      <c r="CF191" s="35">
        <v>45019</v>
      </c>
      <c r="CG191" s="37">
        <v>7</v>
      </c>
      <c r="CH191" s="30" t="s">
        <v>192</v>
      </c>
      <c r="CI191" s="37">
        <v>24</v>
      </c>
      <c r="CJ191" s="30" t="s">
        <v>192</v>
      </c>
      <c r="CK191" s="29" t="s">
        <v>151</v>
      </c>
      <c r="CL191" s="30" t="s">
        <v>293</v>
      </c>
      <c r="CM191" s="30" t="s">
        <v>293</v>
      </c>
      <c r="CN191" s="30" t="s">
        <v>151</v>
      </c>
      <c r="CO191" s="30" t="s">
        <v>165</v>
      </c>
      <c r="CP191" s="35">
        <v>45019</v>
      </c>
      <c r="CQ191" s="37" t="s">
        <v>151</v>
      </c>
      <c r="CR191" s="30" t="s">
        <v>151</v>
      </c>
      <c r="CS191" s="30" t="s">
        <v>191</v>
      </c>
      <c r="CT191" s="29" t="s">
        <v>151</v>
      </c>
      <c r="CU191" s="30" t="s">
        <v>151</v>
      </c>
      <c r="CV191" s="32" t="s">
        <v>151</v>
      </c>
      <c r="CW191" s="32" t="s">
        <v>151</v>
      </c>
      <c r="CX191" s="30" t="s">
        <v>151</v>
      </c>
      <c r="CY191" s="32" t="s">
        <v>151</v>
      </c>
      <c r="CZ191" s="32" t="s">
        <v>151</v>
      </c>
      <c r="DA191" s="37">
        <v>24</v>
      </c>
      <c r="DB191" s="35">
        <v>45019</v>
      </c>
      <c r="DC191" s="30" t="s">
        <v>293</v>
      </c>
      <c r="DD191" s="29" t="s">
        <v>151</v>
      </c>
      <c r="DE191" s="32">
        <v>0</v>
      </c>
      <c r="DF191" s="34">
        <v>11</v>
      </c>
      <c r="DG191" s="32">
        <v>0</v>
      </c>
      <c r="DH191" s="32">
        <v>0</v>
      </c>
      <c r="DI191" s="32">
        <v>0</v>
      </c>
      <c r="DJ191" s="34">
        <v>10</v>
      </c>
      <c r="DK191" s="32" t="s">
        <v>151</v>
      </c>
      <c r="DL191" s="34" t="s">
        <v>151</v>
      </c>
      <c r="DM191" s="32">
        <v>0</v>
      </c>
      <c r="DN191" s="34">
        <v>10</v>
      </c>
      <c r="DO191" s="36">
        <v>0.63</v>
      </c>
      <c r="DP191" s="34">
        <v>38</v>
      </c>
      <c r="DQ191" s="36">
        <v>0</v>
      </c>
      <c r="DR191" s="32">
        <v>0</v>
      </c>
      <c r="DS191" s="36">
        <v>0.63</v>
      </c>
      <c r="DT191" s="34">
        <v>39</v>
      </c>
      <c r="DU191" s="36" t="s">
        <v>151</v>
      </c>
      <c r="DV191" s="34" t="s">
        <v>151</v>
      </c>
      <c r="DW191" s="36">
        <v>0.63</v>
      </c>
      <c r="DX191" s="34">
        <v>38</v>
      </c>
      <c r="DY191" s="31" t="s">
        <v>151</v>
      </c>
      <c r="DZ191" s="35" t="s">
        <v>151</v>
      </c>
      <c r="EA191" s="35" t="s">
        <v>151</v>
      </c>
      <c r="EB191" s="34">
        <v>2492</v>
      </c>
      <c r="EC191" s="33">
        <v>14</v>
      </c>
      <c r="ED191" s="32">
        <v>0.56</v>
      </c>
      <c r="EE191" s="34">
        <v>12</v>
      </c>
      <c r="EF191" s="33">
        <v>0</v>
      </c>
      <c r="EG191" s="32">
        <v>0</v>
      </c>
      <c r="EH191" s="29" t="s">
        <v>198</v>
      </c>
      <c r="EI191" s="30" t="s">
        <v>151</v>
      </c>
      <c r="EJ191" s="30" t="s">
        <v>151</v>
      </c>
      <c r="EK191" s="31" t="s">
        <v>151</v>
      </c>
      <c r="EL191" s="31" t="s">
        <v>151</v>
      </c>
      <c r="EM191" s="31" t="s">
        <v>151</v>
      </c>
      <c r="EN191" s="31" t="s">
        <v>151</v>
      </c>
      <c r="EO191" s="31" t="s">
        <v>151</v>
      </c>
      <c r="EP191" s="30" t="s">
        <v>151</v>
      </c>
      <c r="EQ191" s="29" t="s">
        <v>151</v>
      </c>
      <c r="ER191" s="29" t="s">
        <v>151</v>
      </c>
      <c r="ES191" s="4">
        <f>HYPERLINK("https://my.pitchbook.com?c=517709-62","View Company Online")</f>
      </c>
    </row>
    <row r="192">
      <c r="A192" s="17" t="s">
        <v>4420</v>
      </c>
      <c r="B192" s="17" t="s">
        <v>4421</v>
      </c>
      <c r="C192" s="18" t="s">
        <v>151</v>
      </c>
      <c r="D192" s="17" t="s">
        <v>151</v>
      </c>
      <c r="E192" s="17" t="s">
        <v>151</v>
      </c>
      <c r="F192" s="17" t="s">
        <v>151</v>
      </c>
      <c r="G192" s="17" t="s">
        <v>151</v>
      </c>
      <c r="H192" s="17" t="s">
        <v>151</v>
      </c>
      <c r="I192" s="17" t="s">
        <v>4422</v>
      </c>
      <c r="J192" s="17" t="s">
        <v>4420</v>
      </c>
      <c r="K192" s="17" t="s">
        <v>4423</v>
      </c>
      <c r="L192" s="17" t="s">
        <v>205</v>
      </c>
      <c r="M192" s="17" t="s">
        <v>206</v>
      </c>
      <c r="N192" s="17" t="s">
        <v>2484</v>
      </c>
      <c r="O192" s="17" t="s">
        <v>4424</v>
      </c>
      <c r="P192" s="17" t="s">
        <v>4425</v>
      </c>
      <c r="Q192" s="17" t="s">
        <v>4426</v>
      </c>
      <c r="R192" s="17" t="s">
        <v>151</v>
      </c>
      <c r="S192" s="17" t="s">
        <v>162</v>
      </c>
      <c r="T192" s="24">
        <v>1.06</v>
      </c>
      <c r="U192" s="17" t="s">
        <v>4427</v>
      </c>
      <c r="V192" s="17" t="s">
        <v>164</v>
      </c>
      <c r="W192" s="17" t="s">
        <v>165</v>
      </c>
      <c r="X192" s="15" t="s">
        <v>4428</v>
      </c>
      <c r="Y192" s="15" t="s">
        <v>4429</v>
      </c>
      <c r="Z192" s="27">
        <v>2</v>
      </c>
      <c r="AA192" s="17" t="s">
        <v>4430</v>
      </c>
      <c r="AB192" s="17" t="s">
        <v>151</v>
      </c>
      <c r="AC192" s="17" t="s">
        <v>151</v>
      </c>
      <c r="AD192" s="26">
        <v>2019</v>
      </c>
      <c r="AE192" s="17" t="s">
        <v>151</v>
      </c>
      <c r="AF192" s="22">
        <v>45323</v>
      </c>
      <c r="AG192" s="17" t="s">
        <v>151</v>
      </c>
      <c r="AH192" s="17" t="s">
        <v>151</v>
      </c>
      <c r="AI192" s="25" t="s">
        <v>151</v>
      </c>
      <c r="AJ192" s="19" t="s">
        <v>151</v>
      </c>
      <c r="AK192" s="25" t="s">
        <v>151</v>
      </c>
      <c r="AL192" s="25" t="s">
        <v>151</v>
      </c>
      <c r="AM192" s="25" t="s">
        <v>151</v>
      </c>
      <c r="AN192" s="25" t="s">
        <v>151</v>
      </c>
      <c r="AO192" s="25" t="s">
        <v>151</v>
      </c>
      <c r="AP192" s="25" t="s">
        <v>151</v>
      </c>
      <c r="AQ192" s="25" t="s">
        <v>151</v>
      </c>
      <c r="AR192" s="16" t="s">
        <v>151</v>
      </c>
      <c r="AS192" s="17" t="s">
        <v>4431</v>
      </c>
      <c r="AT192" s="17" t="s">
        <v>4432</v>
      </c>
      <c r="AU192" s="18">
        <v>2</v>
      </c>
      <c r="AV192" s="17" t="s">
        <v>151</v>
      </c>
      <c r="AW192" s="17" t="s">
        <v>151</v>
      </c>
      <c r="AX192" s="17" t="s">
        <v>151</v>
      </c>
      <c r="AY192" s="17" t="s">
        <v>4433</v>
      </c>
      <c r="AZ192" s="17" t="s">
        <v>151</v>
      </c>
      <c r="BA192" s="17" t="s">
        <v>151</v>
      </c>
      <c r="BB192" s="17" t="s">
        <v>151</v>
      </c>
      <c r="BC192" s="17" t="s">
        <v>151</v>
      </c>
      <c r="BD192" s="17" t="s">
        <v>4434</v>
      </c>
      <c r="BE192" s="17" t="s">
        <v>4435</v>
      </c>
      <c r="BF192" s="17" t="s">
        <v>3087</v>
      </c>
      <c r="BG192" s="17" t="s">
        <v>151</v>
      </c>
      <c r="BH192" s="17" t="s">
        <v>151</v>
      </c>
      <c r="BI192" s="17" t="s">
        <v>2652</v>
      </c>
      <c r="BJ192" s="17" t="s">
        <v>4264</v>
      </c>
      <c r="BK192" s="17" t="s">
        <v>151</v>
      </c>
      <c r="BL192" s="17" t="s">
        <v>2654</v>
      </c>
      <c r="BM192" s="17" t="s">
        <v>1576</v>
      </c>
      <c r="BN192" s="16" t="s">
        <v>4436</v>
      </c>
      <c r="BO192" s="17" t="s">
        <v>186</v>
      </c>
      <c r="BP192" s="16" t="s">
        <v>151</v>
      </c>
      <c r="BQ192" s="16" t="s">
        <v>151</v>
      </c>
      <c r="BR192" s="17" t="s">
        <v>4437</v>
      </c>
      <c r="BS192" s="17" t="s">
        <v>187</v>
      </c>
      <c r="BT192" s="17" t="s">
        <v>188</v>
      </c>
      <c r="BU192" s="22">
        <v>44196</v>
      </c>
      <c r="BV192" s="24">
        <v>0.03</v>
      </c>
      <c r="BW192" s="17" t="s">
        <v>192</v>
      </c>
      <c r="BX192" s="24" t="s">
        <v>151</v>
      </c>
      <c r="BY192" s="17" t="s">
        <v>151</v>
      </c>
      <c r="BZ192" s="17" t="s">
        <v>501</v>
      </c>
      <c r="CA192" s="17" t="s">
        <v>151</v>
      </c>
      <c r="CB192" s="17" t="s">
        <v>151</v>
      </c>
      <c r="CC192" s="17" t="s">
        <v>190</v>
      </c>
      <c r="CD192" s="17" t="s">
        <v>151</v>
      </c>
      <c r="CE192" s="17" t="s">
        <v>191</v>
      </c>
      <c r="CF192" s="22">
        <v>44621</v>
      </c>
      <c r="CG192" s="24">
        <v>1</v>
      </c>
      <c r="CH192" s="17" t="s">
        <v>192</v>
      </c>
      <c r="CI192" s="24">
        <v>7</v>
      </c>
      <c r="CJ192" s="17" t="s">
        <v>192</v>
      </c>
      <c r="CK192" s="16" t="s">
        <v>151</v>
      </c>
      <c r="CL192" s="17" t="s">
        <v>293</v>
      </c>
      <c r="CM192" s="17" t="s">
        <v>293</v>
      </c>
      <c r="CN192" s="17" t="s">
        <v>151</v>
      </c>
      <c r="CO192" s="17" t="s">
        <v>165</v>
      </c>
      <c r="CP192" s="22">
        <v>44621</v>
      </c>
      <c r="CQ192" s="24" t="s">
        <v>151</v>
      </c>
      <c r="CR192" s="17" t="s">
        <v>151</v>
      </c>
      <c r="CS192" s="17" t="s">
        <v>191</v>
      </c>
      <c r="CT192" s="16" t="s">
        <v>151</v>
      </c>
      <c r="CU192" s="17" t="s">
        <v>151</v>
      </c>
      <c r="CV192" s="19" t="s">
        <v>151</v>
      </c>
      <c r="CW192" s="19" t="s">
        <v>151</v>
      </c>
      <c r="CX192" s="17" t="s">
        <v>151</v>
      </c>
      <c r="CY192" s="19" t="s">
        <v>151</v>
      </c>
      <c r="CZ192" s="19" t="s">
        <v>151</v>
      </c>
      <c r="DA192" s="24">
        <v>7</v>
      </c>
      <c r="DB192" s="22">
        <v>44621</v>
      </c>
      <c r="DC192" s="17" t="s">
        <v>293</v>
      </c>
      <c r="DD192" s="16" t="s">
        <v>151</v>
      </c>
      <c r="DE192" s="19">
        <v>0</v>
      </c>
      <c r="DF192" s="21">
        <v>11</v>
      </c>
      <c r="DG192" s="19">
        <v>0</v>
      </c>
      <c r="DH192" s="19">
        <v>0</v>
      </c>
      <c r="DI192" s="19">
        <v>0</v>
      </c>
      <c r="DJ192" s="21">
        <v>10</v>
      </c>
      <c r="DK192" s="19" t="s">
        <v>151</v>
      </c>
      <c r="DL192" s="21" t="s">
        <v>151</v>
      </c>
      <c r="DM192" s="19">
        <v>0</v>
      </c>
      <c r="DN192" s="21">
        <v>10</v>
      </c>
      <c r="DO192" s="23">
        <v>0.21</v>
      </c>
      <c r="DP192" s="21">
        <v>13</v>
      </c>
      <c r="DQ192" s="23">
        <v>0</v>
      </c>
      <c r="DR192" s="19">
        <v>0</v>
      </c>
      <c r="DS192" s="23">
        <v>0.21</v>
      </c>
      <c r="DT192" s="21">
        <v>14</v>
      </c>
      <c r="DU192" s="23" t="s">
        <v>151</v>
      </c>
      <c r="DV192" s="21" t="s">
        <v>151</v>
      </c>
      <c r="DW192" s="23">
        <v>0.21</v>
      </c>
      <c r="DX192" s="21">
        <v>14</v>
      </c>
      <c r="DY192" s="18" t="s">
        <v>151</v>
      </c>
      <c r="DZ192" s="22" t="s">
        <v>151</v>
      </c>
      <c r="EA192" s="22" t="s">
        <v>151</v>
      </c>
      <c r="EB192" s="21">
        <v>0</v>
      </c>
      <c r="EC192" s="20">
        <v>0</v>
      </c>
      <c r="ED192" s="19">
        <v>0</v>
      </c>
      <c r="EE192" s="21">
        <v>4</v>
      </c>
      <c r="EF192" s="20">
        <v>0</v>
      </c>
      <c r="EG192" s="19">
        <v>0</v>
      </c>
      <c r="EH192" s="16" t="s">
        <v>198</v>
      </c>
      <c r="EI192" s="17" t="s">
        <v>151</v>
      </c>
      <c r="EJ192" s="17" t="s">
        <v>151</v>
      </c>
      <c r="EK192" s="18" t="s">
        <v>151</v>
      </c>
      <c r="EL192" s="18" t="s">
        <v>151</v>
      </c>
      <c r="EM192" s="18" t="s">
        <v>151</v>
      </c>
      <c r="EN192" s="18" t="s">
        <v>151</v>
      </c>
      <c r="EO192" s="18" t="s">
        <v>151</v>
      </c>
      <c r="EP192" s="17" t="s">
        <v>151</v>
      </c>
      <c r="EQ192" s="16" t="s">
        <v>151</v>
      </c>
      <c r="ER192" s="16" t="s">
        <v>151</v>
      </c>
      <c r="ES192" s="3">
        <f>HYPERLINK("https://my.pitchbook.com?c=490989-79","View Company Online")</f>
      </c>
    </row>
    <row r="193">
      <c r="A193" s="30" t="s">
        <v>4438</v>
      </c>
      <c r="B193" s="30" t="s">
        <v>4439</v>
      </c>
      <c r="C193" s="31" t="s">
        <v>151</v>
      </c>
      <c r="D193" s="30" t="s">
        <v>151</v>
      </c>
      <c r="E193" s="30" t="s">
        <v>151</v>
      </c>
      <c r="F193" s="30" t="s">
        <v>4440</v>
      </c>
      <c r="G193" s="30" t="s">
        <v>151</v>
      </c>
      <c r="H193" s="30" t="s">
        <v>151</v>
      </c>
      <c r="I193" s="30" t="s">
        <v>151</v>
      </c>
      <c r="J193" s="30" t="s">
        <v>4438</v>
      </c>
      <c r="K193" s="30" t="s">
        <v>4441</v>
      </c>
      <c r="L193" s="30" t="s">
        <v>205</v>
      </c>
      <c r="M193" s="30" t="s">
        <v>206</v>
      </c>
      <c r="N193" s="30" t="s">
        <v>1268</v>
      </c>
      <c r="O193" s="30" t="s">
        <v>1269</v>
      </c>
      <c r="P193" s="30" t="s">
        <v>2130</v>
      </c>
      <c r="Q193" s="30" t="s">
        <v>4442</v>
      </c>
      <c r="R193" s="30" t="s">
        <v>151</v>
      </c>
      <c r="S193" s="30" t="s">
        <v>162</v>
      </c>
      <c r="T193" s="37">
        <v>17.9</v>
      </c>
      <c r="U193" s="30" t="s">
        <v>163</v>
      </c>
      <c r="V193" s="30" t="s">
        <v>164</v>
      </c>
      <c r="W193" s="30" t="s">
        <v>165</v>
      </c>
      <c r="X193" s="28" t="s">
        <v>4443</v>
      </c>
      <c r="Y193" s="28" t="s">
        <v>4444</v>
      </c>
      <c r="Z193" s="40">
        <v>26</v>
      </c>
      <c r="AA193" s="30" t="s">
        <v>4445</v>
      </c>
      <c r="AB193" s="30" t="s">
        <v>151</v>
      </c>
      <c r="AC193" s="30" t="s">
        <v>151</v>
      </c>
      <c r="AD193" s="39">
        <v>2020</v>
      </c>
      <c r="AE193" s="30" t="s">
        <v>151</v>
      </c>
      <c r="AF193" s="35">
        <v>45495</v>
      </c>
      <c r="AG193" s="30" t="s">
        <v>151</v>
      </c>
      <c r="AH193" s="30" t="s">
        <v>151</v>
      </c>
      <c r="AI193" s="38" t="s">
        <v>151</v>
      </c>
      <c r="AJ193" s="32" t="s">
        <v>151</v>
      </c>
      <c r="AK193" s="38" t="s">
        <v>151</v>
      </c>
      <c r="AL193" s="38" t="s">
        <v>151</v>
      </c>
      <c r="AM193" s="38" t="s">
        <v>151</v>
      </c>
      <c r="AN193" s="38" t="s">
        <v>151</v>
      </c>
      <c r="AO193" s="38" t="s">
        <v>151</v>
      </c>
      <c r="AP193" s="38" t="s">
        <v>151</v>
      </c>
      <c r="AQ193" s="38" t="s">
        <v>151</v>
      </c>
      <c r="AR193" s="29" t="s">
        <v>151</v>
      </c>
      <c r="AS193" s="30" t="s">
        <v>4446</v>
      </c>
      <c r="AT193" s="30" t="s">
        <v>4447</v>
      </c>
      <c r="AU193" s="31">
        <v>4</v>
      </c>
      <c r="AV193" s="30" t="s">
        <v>151</v>
      </c>
      <c r="AW193" s="30" t="s">
        <v>151</v>
      </c>
      <c r="AX193" s="30" t="s">
        <v>151</v>
      </c>
      <c r="AY193" s="30" t="s">
        <v>4448</v>
      </c>
      <c r="AZ193" s="30" t="s">
        <v>151</v>
      </c>
      <c r="BA193" s="30" t="s">
        <v>151</v>
      </c>
      <c r="BB193" s="30" t="s">
        <v>151</v>
      </c>
      <c r="BC193" s="30" t="s">
        <v>151</v>
      </c>
      <c r="BD193" s="30" t="s">
        <v>4449</v>
      </c>
      <c r="BE193" s="30" t="s">
        <v>4450</v>
      </c>
      <c r="BF193" s="30" t="s">
        <v>221</v>
      </c>
      <c r="BG193" s="30" t="s">
        <v>4451</v>
      </c>
      <c r="BH193" s="30" t="s">
        <v>4452</v>
      </c>
      <c r="BI193" s="30" t="s">
        <v>906</v>
      </c>
      <c r="BJ193" s="30" t="s">
        <v>151</v>
      </c>
      <c r="BK193" s="30" t="s">
        <v>151</v>
      </c>
      <c r="BL193" s="30" t="s">
        <v>259</v>
      </c>
      <c r="BM193" s="30" t="s">
        <v>259</v>
      </c>
      <c r="BN193" s="29" t="s">
        <v>151</v>
      </c>
      <c r="BO193" s="30" t="s">
        <v>186</v>
      </c>
      <c r="BP193" s="29" t="s">
        <v>151</v>
      </c>
      <c r="BQ193" s="29" t="s">
        <v>151</v>
      </c>
      <c r="BR193" s="30" t="s">
        <v>4453</v>
      </c>
      <c r="BS193" s="30" t="s">
        <v>187</v>
      </c>
      <c r="BT193" s="30" t="s">
        <v>188</v>
      </c>
      <c r="BU193" s="35">
        <v>44317</v>
      </c>
      <c r="BV193" s="37">
        <v>17.9</v>
      </c>
      <c r="BW193" s="30" t="s">
        <v>193</v>
      </c>
      <c r="BX193" s="37">
        <v>80</v>
      </c>
      <c r="BY193" s="30" t="s">
        <v>192</v>
      </c>
      <c r="BZ193" s="30" t="s">
        <v>231</v>
      </c>
      <c r="CA193" s="30" t="s">
        <v>232</v>
      </c>
      <c r="CB193" s="30" t="s">
        <v>151</v>
      </c>
      <c r="CC193" s="30" t="s">
        <v>165</v>
      </c>
      <c r="CD193" s="30" t="s">
        <v>151</v>
      </c>
      <c r="CE193" s="30" t="s">
        <v>191</v>
      </c>
      <c r="CF193" s="35">
        <v>44682</v>
      </c>
      <c r="CG193" s="37" t="s">
        <v>151</v>
      </c>
      <c r="CH193" s="30" t="s">
        <v>151</v>
      </c>
      <c r="CI193" s="37" t="s">
        <v>151</v>
      </c>
      <c r="CJ193" s="30" t="s">
        <v>151</v>
      </c>
      <c r="CK193" s="29" t="s">
        <v>151</v>
      </c>
      <c r="CL193" s="30" t="s">
        <v>231</v>
      </c>
      <c r="CM193" s="30" t="s">
        <v>151</v>
      </c>
      <c r="CN193" s="30" t="s">
        <v>151</v>
      </c>
      <c r="CO193" s="30" t="s">
        <v>165</v>
      </c>
      <c r="CP193" s="35">
        <v>44682</v>
      </c>
      <c r="CQ193" s="37" t="s">
        <v>151</v>
      </c>
      <c r="CR193" s="30" t="s">
        <v>151</v>
      </c>
      <c r="CS193" s="30" t="s">
        <v>191</v>
      </c>
      <c r="CT193" s="29">
        <v>72</v>
      </c>
      <c r="CU193" s="30" t="s">
        <v>196</v>
      </c>
      <c r="CV193" s="32">
        <v>67</v>
      </c>
      <c r="CW193" s="32">
        <v>33</v>
      </c>
      <c r="CX193" s="30" t="s">
        <v>294</v>
      </c>
      <c r="CY193" s="32">
        <v>1</v>
      </c>
      <c r="CZ193" s="32">
        <v>66</v>
      </c>
      <c r="DA193" s="37">
        <v>80</v>
      </c>
      <c r="DB193" s="35">
        <v>44317</v>
      </c>
      <c r="DC193" s="30" t="s">
        <v>231</v>
      </c>
      <c r="DD193" s="29" t="s">
        <v>151</v>
      </c>
      <c r="DE193" s="32">
        <v>0.32</v>
      </c>
      <c r="DF193" s="34">
        <v>93</v>
      </c>
      <c r="DG193" s="32">
        <v>0</v>
      </c>
      <c r="DH193" s="32">
        <v>0</v>
      </c>
      <c r="DI193" s="32">
        <v>0.15</v>
      </c>
      <c r="DJ193" s="34">
        <v>93</v>
      </c>
      <c r="DK193" s="32" t="s">
        <v>151</v>
      </c>
      <c r="DL193" s="34" t="s">
        <v>151</v>
      </c>
      <c r="DM193" s="32">
        <v>0.15</v>
      </c>
      <c r="DN193" s="34">
        <v>93</v>
      </c>
      <c r="DO193" s="36">
        <v>19.24</v>
      </c>
      <c r="DP193" s="34">
        <v>95</v>
      </c>
      <c r="DQ193" s="36">
        <v>0</v>
      </c>
      <c r="DR193" s="32">
        <v>0</v>
      </c>
      <c r="DS193" s="36">
        <v>36.47</v>
      </c>
      <c r="DT193" s="34">
        <v>97</v>
      </c>
      <c r="DU193" s="36" t="s">
        <v>151</v>
      </c>
      <c r="DV193" s="34" t="s">
        <v>151</v>
      </c>
      <c r="DW193" s="36">
        <v>36.47</v>
      </c>
      <c r="DX193" s="34">
        <v>97</v>
      </c>
      <c r="DY193" s="31" t="s">
        <v>151</v>
      </c>
      <c r="DZ193" s="35" t="s">
        <v>151</v>
      </c>
      <c r="EA193" s="35" t="s">
        <v>151</v>
      </c>
      <c r="EB193" s="34">
        <v>10125</v>
      </c>
      <c r="EC193" s="33">
        <v>141</v>
      </c>
      <c r="ED193" s="32">
        <v>1.41</v>
      </c>
      <c r="EE193" s="34">
        <v>693</v>
      </c>
      <c r="EF193" s="33">
        <v>1</v>
      </c>
      <c r="EG193" s="32">
        <v>0.14</v>
      </c>
      <c r="EH193" s="29" t="s">
        <v>198</v>
      </c>
      <c r="EI193" s="30" t="s">
        <v>151</v>
      </c>
      <c r="EJ193" s="30" t="s">
        <v>151</v>
      </c>
      <c r="EK193" s="31" t="s">
        <v>151</v>
      </c>
      <c r="EL193" s="31" t="s">
        <v>151</v>
      </c>
      <c r="EM193" s="31" t="s">
        <v>151</v>
      </c>
      <c r="EN193" s="31" t="s">
        <v>151</v>
      </c>
      <c r="EO193" s="31" t="s">
        <v>151</v>
      </c>
      <c r="EP193" s="30" t="s">
        <v>151</v>
      </c>
      <c r="EQ193" s="29" t="s">
        <v>151</v>
      </c>
      <c r="ER193" s="29" t="s">
        <v>151</v>
      </c>
      <c r="ES193" s="4">
        <f>HYPERLINK("https://my.pitchbook.com?c=465227-29","View Company Online")</f>
      </c>
    </row>
    <row r="194">
      <c r="A194" s="17" t="s">
        <v>4454</v>
      </c>
      <c r="B194" s="17" t="s">
        <v>4455</v>
      </c>
      <c r="C194" s="18" t="s">
        <v>151</v>
      </c>
      <c r="D194" s="17" t="s">
        <v>151</v>
      </c>
      <c r="E194" s="17" t="s">
        <v>151</v>
      </c>
      <c r="F194" s="17" t="s">
        <v>4456</v>
      </c>
      <c r="G194" s="17" t="s">
        <v>151</v>
      </c>
      <c r="H194" s="17" t="s">
        <v>151</v>
      </c>
      <c r="I194" s="17" t="s">
        <v>4457</v>
      </c>
      <c r="J194" s="17" t="s">
        <v>4454</v>
      </c>
      <c r="K194" s="17" t="s">
        <v>4458</v>
      </c>
      <c r="L194" s="17" t="s">
        <v>205</v>
      </c>
      <c r="M194" s="17" t="s">
        <v>206</v>
      </c>
      <c r="N194" s="17" t="s">
        <v>1130</v>
      </c>
      <c r="O194" s="17" t="s">
        <v>4459</v>
      </c>
      <c r="P194" s="17" t="s">
        <v>4460</v>
      </c>
      <c r="Q194" s="17" t="s">
        <v>4461</v>
      </c>
      <c r="R194" s="17" t="s">
        <v>151</v>
      </c>
      <c r="S194" s="17" t="s">
        <v>162</v>
      </c>
      <c r="T194" s="24">
        <v>6</v>
      </c>
      <c r="U194" s="17" t="s">
        <v>163</v>
      </c>
      <c r="V194" s="17" t="s">
        <v>164</v>
      </c>
      <c r="W194" s="17" t="s">
        <v>165</v>
      </c>
      <c r="X194" s="15" t="s">
        <v>4462</v>
      </c>
      <c r="Y194" s="15" t="s">
        <v>4463</v>
      </c>
      <c r="Z194" s="27">
        <v>45</v>
      </c>
      <c r="AA194" s="17" t="s">
        <v>4464</v>
      </c>
      <c r="AB194" s="17" t="s">
        <v>151</v>
      </c>
      <c r="AC194" s="17" t="s">
        <v>151</v>
      </c>
      <c r="AD194" s="26">
        <v>2022</v>
      </c>
      <c r="AE194" s="17" t="s">
        <v>151</v>
      </c>
      <c r="AF194" s="22">
        <v>45544</v>
      </c>
      <c r="AG194" s="17" t="s">
        <v>151</v>
      </c>
      <c r="AH194" s="17" t="s">
        <v>151</v>
      </c>
      <c r="AI194" s="25" t="s">
        <v>151</v>
      </c>
      <c r="AJ194" s="19" t="s">
        <v>151</v>
      </c>
      <c r="AK194" s="25" t="s">
        <v>151</v>
      </c>
      <c r="AL194" s="25" t="s">
        <v>151</v>
      </c>
      <c r="AM194" s="25" t="s">
        <v>151</v>
      </c>
      <c r="AN194" s="25" t="s">
        <v>151</v>
      </c>
      <c r="AO194" s="25" t="s">
        <v>151</v>
      </c>
      <c r="AP194" s="25" t="s">
        <v>151</v>
      </c>
      <c r="AQ194" s="25" t="s">
        <v>151</v>
      </c>
      <c r="AR194" s="16" t="s">
        <v>151</v>
      </c>
      <c r="AS194" s="17" t="s">
        <v>4465</v>
      </c>
      <c r="AT194" s="17" t="s">
        <v>4466</v>
      </c>
      <c r="AU194" s="18">
        <v>10</v>
      </c>
      <c r="AV194" s="17" t="s">
        <v>151</v>
      </c>
      <c r="AW194" s="17" t="s">
        <v>151</v>
      </c>
      <c r="AX194" s="17" t="s">
        <v>151</v>
      </c>
      <c r="AY194" s="17" t="s">
        <v>4467</v>
      </c>
      <c r="AZ194" s="17" t="s">
        <v>151</v>
      </c>
      <c r="BA194" s="17" t="s">
        <v>151</v>
      </c>
      <c r="BB194" s="17" t="s">
        <v>151</v>
      </c>
      <c r="BC194" s="17" t="s">
        <v>1115</v>
      </c>
      <c r="BD194" s="17" t="s">
        <v>4468</v>
      </c>
      <c r="BE194" s="17" t="s">
        <v>4469</v>
      </c>
      <c r="BF194" s="17" t="s">
        <v>403</v>
      </c>
      <c r="BG194" s="17" t="s">
        <v>4470</v>
      </c>
      <c r="BH194" s="17" t="s">
        <v>4471</v>
      </c>
      <c r="BI194" s="17" t="s">
        <v>4299</v>
      </c>
      <c r="BJ194" s="17" t="s">
        <v>4472</v>
      </c>
      <c r="BK194" s="17" t="s">
        <v>1832</v>
      </c>
      <c r="BL194" s="17" t="s">
        <v>4300</v>
      </c>
      <c r="BM194" s="17" t="s">
        <v>1388</v>
      </c>
      <c r="BN194" s="16" t="s">
        <v>1389</v>
      </c>
      <c r="BO194" s="17" t="s">
        <v>186</v>
      </c>
      <c r="BP194" s="16" t="s">
        <v>4471</v>
      </c>
      <c r="BQ194" s="16" t="s">
        <v>151</v>
      </c>
      <c r="BR194" s="17" t="s">
        <v>4473</v>
      </c>
      <c r="BS194" s="17" t="s">
        <v>187</v>
      </c>
      <c r="BT194" s="17" t="s">
        <v>188</v>
      </c>
      <c r="BU194" s="22">
        <v>45050</v>
      </c>
      <c r="BV194" s="24" t="s">
        <v>151</v>
      </c>
      <c r="BW194" s="17" t="s">
        <v>151</v>
      </c>
      <c r="BX194" s="24" t="s">
        <v>151</v>
      </c>
      <c r="BY194" s="17" t="s">
        <v>151</v>
      </c>
      <c r="BZ194" s="17" t="s">
        <v>189</v>
      </c>
      <c r="CA194" s="17" t="s">
        <v>151</v>
      </c>
      <c r="CB194" s="17" t="s">
        <v>151</v>
      </c>
      <c r="CC194" s="17" t="s">
        <v>190</v>
      </c>
      <c r="CD194" s="17" t="s">
        <v>151</v>
      </c>
      <c r="CE194" s="17" t="s">
        <v>191</v>
      </c>
      <c r="CF194" s="22">
        <v>45260</v>
      </c>
      <c r="CG194" s="24">
        <v>4</v>
      </c>
      <c r="CH194" s="17" t="s">
        <v>192</v>
      </c>
      <c r="CI194" s="24" t="s">
        <v>151</v>
      </c>
      <c r="CJ194" s="17" t="s">
        <v>151</v>
      </c>
      <c r="CK194" s="16" t="s">
        <v>151</v>
      </c>
      <c r="CL194" s="17" t="s">
        <v>293</v>
      </c>
      <c r="CM194" s="17" t="s">
        <v>293</v>
      </c>
      <c r="CN194" s="17" t="s">
        <v>151</v>
      </c>
      <c r="CO194" s="17" t="s">
        <v>165</v>
      </c>
      <c r="CP194" s="22">
        <v>45260</v>
      </c>
      <c r="CQ194" s="24" t="s">
        <v>151</v>
      </c>
      <c r="CR194" s="17" t="s">
        <v>151</v>
      </c>
      <c r="CS194" s="17" t="s">
        <v>191</v>
      </c>
      <c r="CT194" s="16">
        <v>92</v>
      </c>
      <c r="CU194" s="17" t="s">
        <v>196</v>
      </c>
      <c r="CV194" s="19">
        <v>84</v>
      </c>
      <c r="CW194" s="19">
        <v>16</v>
      </c>
      <c r="CX194" s="17" t="s">
        <v>294</v>
      </c>
      <c r="CY194" s="19">
        <v>1</v>
      </c>
      <c r="CZ194" s="19">
        <v>83</v>
      </c>
      <c r="DA194" s="24" t="s">
        <v>151</v>
      </c>
      <c r="DB194" s="22" t="s">
        <v>151</v>
      </c>
      <c r="DC194" s="17" t="s">
        <v>151</v>
      </c>
      <c r="DD194" s="16" t="s">
        <v>151</v>
      </c>
      <c r="DE194" s="19">
        <v>1.95</v>
      </c>
      <c r="DF194" s="21">
        <v>98</v>
      </c>
      <c r="DG194" s="19">
        <v>0</v>
      </c>
      <c r="DH194" s="19">
        <v>0</v>
      </c>
      <c r="DI194" s="19">
        <v>-0.93</v>
      </c>
      <c r="DJ194" s="21">
        <v>4</v>
      </c>
      <c r="DK194" s="19">
        <v>0</v>
      </c>
      <c r="DL194" s="21">
        <v>11</v>
      </c>
      <c r="DM194" s="19">
        <v>-1.85</v>
      </c>
      <c r="DN194" s="21">
        <v>2</v>
      </c>
      <c r="DO194" s="23">
        <v>3.57</v>
      </c>
      <c r="DP194" s="21">
        <v>77</v>
      </c>
      <c r="DQ194" s="23">
        <v>0</v>
      </c>
      <c r="DR194" s="19">
        <v>0</v>
      </c>
      <c r="DS194" s="23">
        <v>3.69</v>
      </c>
      <c r="DT194" s="21">
        <v>78</v>
      </c>
      <c r="DU194" s="23">
        <v>0.22</v>
      </c>
      <c r="DV194" s="21">
        <v>29</v>
      </c>
      <c r="DW194" s="23">
        <v>7.16</v>
      </c>
      <c r="DX194" s="21">
        <v>86</v>
      </c>
      <c r="DY194" s="18" t="s">
        <v>151</v>
      </c>
      <c r="DZ194" s="22" t="s">
        <v>151</v>
      </c>
      <c r="EA194" s="22" t="s">
        <v>151</v>
      </c>
      <c r="EB194" s="21">
        <v>65</v>
      </c>
      <c r="EC194" s="20">
        <v>-60</v>
      </c>
      <c r="ED194" s="19">
        <v>-48</v>
      </c>
      <c r="EE194" s="21">
        <v>136</v>
      </c>
      <c r="EF194" s="20">
        <v>-1</v>
      </c>
      <c r="EG194" s="19">
        <v>-0.73</v>
      </c>
      <c r="EH194" s="16" t="s">
        <v>198</v>
      </c>
      <c r="EI194" s="17" t="s">
        <v>151</v>
      </c>
      <c r="EJ194" s="17" t="s">
        <v>151</v>
      </c>
      <c r="EK194" s="18" t="s">
        <v>151</v>
      </c>
      <c r="EL194" s="18" t="s">
        <v>151</v>
      </c>
      <c r="EM194" s="18" t="s">
        <v>151</v>
      </c>
      <c r="EN194" s="18" t="s">
        <v>151</v>
      </c>
      <c r="EO194" s="18" t="s">
        <v>151</v>
      </c>
      <c r="EP194" s="17" t="s">
        <v>151</v>
      </c>
      <c r="EQ194" s="16" t="s">
        <v>151</v>
      </c>
      <c r="ER194" s="16" t="s">
        <v>151</v>
      </c>
      <c r="ES194" s="3">
        <f>HYPERLINK("https://my.pitchbook.com?c=527422-87","View Company Online")</f>
      </c>
    </row>
    <row r="195">
      <c r="A195" s="30" t="s">
        <v>4474</v>
      </c>
      <c r="B195" s="30" t="s">
        <v>4475</v>
      </c>
      <c r="C195" s="31" t="s">
        <v>151</v>
      </c>
      <c r="D195" s="30" t="s">
        <v>151</v>
      </c>
      <c r="E195" s="30" t="s">
        <v>4476</v>
      </c>
      <c r="F195" s="30" t="s">
        <v>4477</v>
      </c>
      <c r="G195" s="30" t="s">
        <v>151</v>
      </c>
      <c r="H195" s="30" t="s">
        <v>151</v>
      </c>
      <c r="I195" s="30" t="s">
        <v>4478</v>
      </c>
      <c r="J195" s="30" t="s">
        <v>4474</v>
      </c>
      <c r="K195" s="30" t="s">
        <v>4479</v>
      </c>
      <c r="L195" s="30" t="s">
        <v>205</v>
      </c>
      <c r="M195" s="30" t="s">
        <v>206</v>
      </c>
      <c r="N195" s="30" t="s">
        <v>269</v>
      </c>
      <c r="O195" s="30" t="s">
        <v>563</v>
      </c>
      <c r="P195" s="30" t="s">
        <v>4480</v>
      </c>
      <c r="Q195" s="30" t="s">
        <v>4481</v>
      </c>
      <c r="R195" s="30" t="s">
        <v>151</v>
      </c>
      <c r="S195" s="30" t="s">
        <v>162</v>
      </c>
      <c r="T195" s="37">
        <v>0.85</v>
      </c>
      <c r="U195" s="30" t="s">
        <v>163</v>
      </c>
      <c r="V195" s="30" t="s">
        <v>164</v>
      </c>
      <c r="W195" s="30" t="s">
        <v>165</v>
      </c>
      <c r="X195" s="28" t="s">
        <v>4482</v>
      </c>
      <c r="Y195" s="28" t="s">
        <v>151</v>
      </c>
      <c r="Z195" s="40">
        <v>4</v>
      </c>
      <c r="AA195" s="30" t="s">
        <v>4483</v>
      </c>
      <c r="AB195" s="30" t="s">
        <v>151</v>
      </c>
      <c r="AC195" s="30" t="s">
        <v>151</v>
      </c>
      <c r="AD195" s="39">
        <v>2018</v>
      </c>
      <c r="AE195" s="30" t="s">
        <v>151</v>
      </c>
      <c r="AF195" s="35">
        <v>45478</v>
      </c>
      <c r="AG195" s="30" t="s">
        <v>151</v>
      </c>
      <c r="AH195" s="30" t="s">
        <v>151</v>
      </c>
      <c r="AI195" s="38">
        <v>4</v>
      </c>
      <c r="AJ195" s="32">
        <v>471.43</v>
      </c>
      <c r="AK195" s="38" t="s">
        <v>151</v>
      </c>
      <c r="AL195" s="38" t="s">
        <v>151</v>
      </c>
      <c r="AM195" s="38">
        <v>7.5</v>
      </c>
      <c r="AN195" s="38" t="s">
        <v>151</v>
      </c>
      <c r="AO195" s="38" t="s">
        <v>151</v>
      </c>
      <c r="AP195" s="38" t="s">
        <v>151</v>
      </c>
      <c r="AQ195" s="38" t="s">
        <v>151</v>
      </c>
      <c r="AR195" s="29" t="s">
        <v>810</v>
      </c>
      <c r="AS195" s="30" t="s">
        <v>4484</v>
      </c>
      <c r="AT195" s="30" t="s">
        <v>4485</v>
      </c>
      <c r="AU195" s="31">
        <v>3</v>
      </c>
      <c r="AV195" s="30" t="s">
        <v>151</v>
      </c>
      <c r="AW195" s="30" t="s">
        <v>151</v>
      </c>
      <c r="AX195" s="30" t="s">
        <v>151</v>
      </c>
      <c r="AY195" s="30" t="s">
        <v>4486</v>
      </c>
      <c r="AZ195" s="30" t="s">
        <v>151</v>
      </c>
      <c r="BA195" s="30" t="s">
        <v>151</v>
      </c>
      <c r="BB195" s="30" t="s">
        <v>4487</v>
      </c>
      <c r="BC195" s="30" t="s">
        <v>1214</v>
      </c>
      <c r="BD195" s="30" t="s">
        <v>4488</v>
      </c>
      <c r="BE195" s="30" t="s">
        <v>4489</v>
      </c>
      <c r="BF195" s="30" t="s">
        <v>493</v>
      </c>
      <c r="BG195" s="30" t="s">
        <v>151</v>
      </c>
      <c r="BH195" s="30" t="s">
        <v>4490</v>
      </c>
      <c r="BI195" s="30" t="s">
        <v>4491</v>
      </c>
      <c r="BJ195" s="30" t="s">
        <v>4492</v>
      </c>
      <c r="BK195" s="30" t="s">
        <v>151</v>
      </c>
      <c r="BL195" s="30" t="s">
        <v>4493</v>
      </c>
      <c r="BM195" s="30" t="s">
        <v>525</v>
      </c>
      <c r="BN195" s="29" t="s">
        <v>4494</v>
      </c>
      <c r="BO195" s="30" t="s">
        <v>186</v>
      </c>
      <c r="BP195" s="29" t="s">
        <v>4490</v>
      </c>
      <c r="BQ195" s="29" t="s">
        <v>151</v>
      </c>
      <c r="BR195" s="30" t="s">
        <v>4495</v>
      </c>
      <c r="BS195" s="30" t="s">
        <v>187</v>
      </c>
      <c r="BT195" s="30" t="s">
        <v>188</v>
      </c>
      <c r="BU195" s="35">
        <v>43215</v>
      </c>
      <c r="BV195" s="37">
        <v>0.32</v>
      </c>
      <c r="BW195" s="30" t="s">
        <v>192</v>
      </c>
      <c r="BX195" s="37" t="s">
        <v>151</v>
      </c>
      <c r="BY195" s="30" t="s">
        <v>151</v>
      </c>
      <c r="BZ195" s="30" t="s">
        <v>1391</v>
      </c>
      <c r="CA195" s="30" t="s">
        <v>151</v>
      </c>
      <c r="CB195" s="30" t="s">
        <v>151</v>
      </c>
      <c r="CC195" s="30" t="s">
        <v>585</v>
      </c>
      <c r="CD195" s="30" t="s">
        <v>151</v>
      </c>
      <c r="CE195" s="30" t="s">
        <v>191</v>
      </c>
      <c r="CF195" s="35">
        <v>44818</v>
      </c>
      <c r="CG195" s="37" t="s">
        <v>151</v>
      </c>
      <c r="CH195" s="30" t="s">
        <v>151</v>
      </c>
      <c r="CI195" s="37" t="s">
        <v>151</v>
      </c>
      <c r="CJ195" s="30" t="s">
        <v>151</v>
      </c>
      <c r="CK195" s="29" t="s">
        <v>151</v>
      </c>
      <c r="CL195" s="30" t="s">
        <v>293</v>
      </c>
      <c r="CM195" s="30" t="s">
        <v>293</v>
      </c>
      <c r="CN195" s="30" t="s">
        <v>151</v>
      </c>
      <c r="CO195" s="30" t="s">
        <v>165</v>
      </c>
      <c r="CP195" s="35">
        <v>44818</v>
      </c>
      <c r="CQ195" s="37" t="s">
        <v>151</v>
      </c>
      <c r="CR195" s="30" t="s">
        <v>151</v>
      </c>
      <c r="CS195" s="30" t="s">
        <v>1887</v>
      </c>
      <c r="CT195" s="29">
        <v>30</v>
      </c>
      <c r="CU195" s="30" t="s">
        <v>263</v>
      </c>
      <c r="CV195" s="32">
        <v>30</v>
      </c>
      <c r="CW195" s="32">
        <v>70</v>
      </c>
      <c r="CX195" s="30" t="s">
        <v>263</v>
      </c>
      <c r="CY195" s="32">
        <v>1</v>
      </c>
      <c r="CZ195" s="32">
        <v>29</v>
      </c>
      <c r="DA195" s="37">
        <v>3.5</v>
      </c>
      <c r="DB195" s="35">
        <v>44522</v>
      </c>
      <c r="DC195" s="30" t="s">
        <v>1363</v>
      </c>
      <c r="DD195" s="29" t="s">
        <v>151</v>
      </c>
      <c r="DE195" s="32" t="s">
        <v>151</v>
      </c>
      <c r="DF195" s="34" t="s">
        <v>151</v>
      </c>
      <c r="DG195" s="32" t="s">
        <v>151</v>
      </c>
      <c r="DH195" s="32" t="s">
        <v>151</v>
      </c>
      <c r="DI195" s="32" t="s">
        <v>151</v>
      </c>
      <c r="DJ195" s="34" t="s">
        <v>151</v>
      </c>
      <c r="DK195" s="32" t="s">
        <v>151</v>
      </c>
      <c r="DL195" s="34" t="s">
        <v>151</v>
      </c>
      <c r="DM195" s="32" t="s">
        <v>151</v>
      </c>
      <c r="DN195" s="34" t="s">
        <v>151</v>
      </c>
      <c r="DO195" s="36" t="s">
        <v>151</v>
      </c>
      <c r="DP195" s="34" t="s">
        <v>151</v>
      </c>
      <c r="DQ195" s="36" t="s">
        <v>151</v>
      </c>
      <c r="DR195" s="32" t="s">
        <v>151</v>
      </c>
      <c r="DS195" s="36" t="s">
        <v>151</v>
      </c>
      <c r="DT195" s="34" t="s">
        <v>151</v>
      </c>
      <c r="DU195" s="36" t="s">
        <v>151</v>
      </c>
      <c r="DV195" s="34" t="s">
        <v>151</v>
      </c>
      <c r="DW195" s="36" t="s">
        <v>151</v>
      </c>
      <c r="DX195" s="34" t="s">
        <v>151</v>
      </c>
      <c r="DY195" s="31" t="s">
        <v>151</v>
      </c>
      <c r="DZ195" s="35" t="s">
        <v>151</v>
      </c>
      <c r="EA195" s="35" t="s">
        <v>151</v>
      </c>
      <c r="EB195" s="34" t="s">
        <v>151</v>
      </c>
      <c r="EC195" s="33" t="s">
        <v>151</v>
      </c>
      <c r="ED195" s="32" t="s">
        <v>151</v>
      </c>
      <c r="EE195" s="34" t="s">
        <v>151</v>
      </c>
      <c r="EF195" s="33" t="s">
        <v>151</v>
      </c>
      <c r="EG195" s="32" t="s">
        <v>151</v>
      </c>
      <c r="EH195" s="29" t="s">
        <v>198</v>
      </c>
      <c r="EI195" s="30" t="s">
        <v>151</v>
      </c>
      <c r="EJ195" s="30" t="s">
        <v>151</v>
      </c>
      <c r="EK195" s="31" t="s">
        <v>151</v>
      </c>
      <c r="EL195" s="31" t="s">
        <v>151</v>
      </c>
      <c r="EM195" s="31" t="s">
        <v>151</v>
      </c>
      <c r="EN195" s="31" t="s">
        <v>151</v>
      </c>
      <c r="EO195" s="31" t="s">
        <v>151</v>
      </c>
      <c r="EP195" s="30" t="s">
        <v>151</v>
      </c>
      <c r="EQ195" s="29" t="s">
        <v>151</v>
      </c>
      <c r="ER195" s="29" t="s">
        <v>151</v>
      </c>
      <c r="ES195" s="4">
        <f>HYPERLINK("https://my.pitchbook.com?c=399046-33","View Company Online")</f>
      </c>
    </row>
    <row r="196">
      <c r="A196" s="17" t="s">
        <v>4496</v>
      </c>
      <c r="B196" s="17" t="s">
        <v>4497</v>
      </c>
      <c r="C196" s="18" t="s">
        <v>151</v>
      </c>
      <c r="D196" s="17" t="s">
        <v>151</v>
      </c>
      <c r="E196" s="17" t="s">
        <v>4498</v>
      </c>
      <c r="F196" s="17" t="s">
        <v>4499</v>
      </c>
      <c r="G196" s="17" t="s">
        <v>151</v>
      </c>
      <c r="H196" s="17" t="s">
        <v>151</v>
      </c>
      <c r="I196" s="17" t="s">
        <v>151</v>
      </c>
      <c r="J196" s="17" t="s">
        <v>4496</v>
      </c>
      <c r="K196" s="17" t="s">
        <v>4500</v>
      </c>
      <c r="L196" s="17" t="s">
        <v>205</v>
      </c>
      <c r="M196" s="17" t="s">
        <v>206</v>
      </c>
      <c r="N196" s="17" t="s">
        <v>3121</v>
      </c>
      <c r="O196" s="17" t="s">
        <v>4501</v>
      </c>
      <c r="P196" s="17" t="s">
        <v>1107</v>
      </c>
      <c r="Q196" s="17" t="s">
        <v>4502</v>
      </c>
      <c r="R196" s="17" t="s">
        <v>780</v>
      </c>
      <c r="S196" s="17" t="s">
        <v>162</v>
      </c>
      <c r="T196" s="24">
        <v>3</v>
      </c>
      <c r="U196" s="17" t="s">
        <v>163</v>
      </c>
      <c r="V196" s="17" t="s">
        <v>164</v>
      </c>
      <c r="W196" s="17" t="s">
        <v>165</v>
      </c>
      <c r="X196" s="15" t="s">
        <v>4503</v>
      </c>
      <c r="Y196" s="15" t="s">
        <v>4504</v>
      </c>
      <c r="Z196" s="27">
        <v>8</v>
      </c>
      <c r="AA196" s="17" t="s">
        <v>4505</v>
      </c>
      <c r="AB196" s="17" t="s">
        <v>151</v>
      </c>
      <c r="AC196" s="17" t="s">
        <v>151</v>
      </c>
      <c r="AD196" s="26">
        <v>2020</v>
      </c>
      <c r="AE196" s="17" t="s">
        <v>151</v>
      </c>
      <c r="AF196" s="22">
        <v>45605</v>
      </c>
      <c r="AG196" s="17" t="s">
        <v>151</v>
      </c>
      <c r="AH196" s="17" t="s">
        <v>151</v>
      </c>
      <c r="AI196" s="25" t="s">
        <v>151</v>
      </c>
      <c r="AJ196" s="19" t="s">
        <v>151</v>
      </c>
      <c r="AK196" s="25" t="s">
        <v>151</v>
      </c>
      <c r="AL196" s="25" t="s">
        <v>151</v>
      </c>
      <c r="AM196" s="25" t="s">
        <v>151</v>
      </c>
      <c r="AN196" s="25" t="s">
        <v>151</v>
      </c>
      <c r="AO196" s="25" t="s">
        <v>151</v>
      </c>
      <c r="AP196" s="25" t="s">
        <v>151</v>
      </c>
      <c r="AQ196" s="25" t="s">
        <v>151</v>
      </c>
      <c r="AR196" s="16" t="s">
        <v>151</v>
      </c>
      <c r="AS196" s="17" t="s">
        <v>4506</v>
      </c>
      <c r="AT196" s="17" t="s">
        <v>4507</v>
      </c>
      <c r="AU196" s="18">
        <v>8</v>
      </c>
      <c r="AV196" s="17" t="s">
        <v>151</v>
      </c>
      <c r="AW196" s="17" t="s">
        <v>151</v>
      </c>
      <c r="AX196" s="17" t="s">
        <v>151</v>
      </c>
      <c r="AY196" s="17" t="s">
        <v>4508</v>
      </c>
      <c r="AZ196" s="17" t="s">
        <v>151</v>
      </c>
      <c r="BA196" s="17" t="s">
        <v>151</v>
      </c>
      <c r="BB196" s="17" t="s">
        <v>151</v>
      </c>
      <c r="BC196" s="17" t="s">
        <v>151</v>
      </c>
      <c r="BD196" s="17" t="s">
        <v>4509</v>
      </c>
      <c r="BE196" s="17" t="s">
        <v>4510</v>
      </c>
      <c r="BF196" s="17" t="s">
        <v>221</v>
      </c>
      <c r="BG196" s="17" t="s">
        <v>4511</v>
      </c>
      <c r="BH196" s="17" t="s">
        <v>151</v>
      </c>
      <c r="BI196" s="17" t="s">
        <v>764</v>
      </c>
      <c r="BJ196" s="17" t="s">
        <v>4512</v>
      </c>
      <c r="BK196" s="17" t="s">
        <v>151</v>
      </c>
      <c r="BL196" s="17" t="s">
        <v>767</v>
      </c>
      <c r="BM196" s="17" t="s">
        <v>184</v>
      </c>
      <c r="BN196" s="16" t="s">
        <v>4056</v>
      </c>
      <c r="BO196" s="17" t="s">
        <v>186</v>
      </c>
      <c r="BP196" s="16" t="s">
        <v>151</v>
      </c>
      <c r="BQ196" s="16" t="s">
        <v>151</v>
      </c>
      <c r="BR196" s="17" t="s">
        <v>151</v>
      </c>
      <c r="BS196" s="17" t="s">
        <v>187</v>
      </c>
      <c r="BT196" s="17" t="s">
        <v>188</v>
      </c>
      <c r="BU196" s="22">
        <v>44621</v>
      </c>
      <c r="BV196" s="24">
        <v>0.5</v>
      </c>
      <c r="BW196" s="17" t="s">
        <v>192</v>
      </c>
      <c r="BX196" s="24" t="s">
        <v>151</v>
      </c>
      <c r="BY196" s="17" t="s">
        <v>151</v>
      </c>
      <c r="BZ196" s="17" t="s">
        <v>189</v>
      </c>
      <c r="CA196" s="17" t="s">
        <v>151</v>
      </c>
      <c r="CB196" s="17" t="s">
        <v>151</v>
      </c>
      <c r="CC196" s="17" t="s">
        <v>190</v>
      </c>
      <c r="CD196" s="17" t="s">
        <v>151</v>
      </c>
      <c r="CE196" s="17" t="s">
        <v>191</v>
      </c>
      <c r="CF196" s="22">
        <v>44671</v>
      </c>
      <c r="CG196" s="24">
        <v>2.5</v>
      </c>
      <c r="CH196" s="17" t="s">
        <v>192</v>
      </c>
      <c r="CI196" s="24" t="s">
        <v>151</v>
      </c>
      <c r="CJ196" s="17" t="s">
        <v>151</v>
      </c>
      <c r="CK196" s="16" t="s">
        <v>151</v>
      </c>
      <c r="CL196" s="17" t="s">
        <v>293</v>
      </c>
      <c r="CM196" s="17" t="s">
        <v>293</v>
      </c>
      <c r="CN196" s="17" t="s">
        <v>151</v>
      </c>
      <c r="CO196" s="17" t="s">
        <v>165</v>
      </c>
      <c r="CP196" s="22">
        <v>44671</v>
      </c>
      <c r="CQ196" s="24" t="s">
        <v>151</v>
      </c>
      <c r="CR196" s="17" t="s">
        <v>151</v>
      </c>
      <c r="CS196" s="17" t="s">
        <v>191</v>
      </c>
      <c r="CT196" s="16" t="s">
        <v>151</v>
      </c>
      <c r="CU196" s="17" t="s">
        <v>151</v>
      </c>
      <c r="CV196" s="19" t="s">
        <v>151</v>
      </c>
      <c r="CW196" s="19" t="s">
        <v>151</v>
      </c>
      <c r="CX196" s="17" t="s">
        <v>151</v>
      </c>
      <c r="CY196" s="19" t="s">
        <v>151</v>
      </c>
      <c r="CZ196" s="19" t="s">
        <v>151</v>
      </c>
      <c r="DA196" s="24" t="s">
        <v>151</v>
      </c>
      <c r="DB196" s="22" t="s">
        <v>151</v>
      </c>
      <c r="DC196" s="17" t="s">
        <v>151</v>
      </c>
      <c r="DD196" s="16" t="s">
        <v>151</v>
      </c>
      <c r="DE196" s="19" t="s">
        <v>151</v>
      </c>
      <c r="DF196" s="21" t="s">
        <v>151</v>
      </c>
      <c r="DG196" s="19" t="s">
        <v>151</v>
      </c>
      <c r="DH196" s="19" t="s">
        <v>151</v>
      </c>
      <c r="DI196" s="19" t="s">
        <v>151</v>
      </c>
      <c r="DJ196" s="21" t="s">
        <v>151</v>
      </c>
      <c r="DK196" s="19" t="s">
        <v>151</v>
      </c>
      <c r="DL196" s="21" t="s">
        <v>151</v>
      </c>
      <c r="DM196" s="19" t="s">
        <v>151</v>
      </c>
      <c r="DN196" s="21" t="s">
        <v>151</v>
      </c>
      <c r="DO196" s="23" t="s">
        <v>151</v>
      </c>
      <c r="DP196" s="21" t="s">
        <v>151</v>
      </c>
      <c r="DQ196" s="23" t="s">
        <v>151</v>
      </c>
      <c r="DR196" s="19" t="s">
        <v>151</v>
      </c>
      <c r="DS196" s="23" t="s">
        <v>151</v>
      </c>
      <c r="DT196" s="21" t="s">
        <v>151</v>
      </c>
      <c r="DU196" s="23" t="s">
        <v>151</v>
      </c>
      <c r="DV196" s="21" t="s">
        <v>151</v>
      </c>
      <c r="DW196" s="23" t="s">
        <v>151</v>
      </c>
      <c r="DX196" s="21" t="s">
        <v>151</v>
      </c>
      <c r="DY196" s="18" t="s">
        <v>151</v>
      </c>
      <c r="DZ196" s="22" t="s">
        <v>151</v>
      </c>
      <c r="EA196" s="22" t="s">
        <v>151</v>
      </c>
      <c r="EB196" s="21" t="s">
        <v>151</v>
      </c>
      <c r="EC196" s="20" t="s">
        <v>151</v>
      </c>
      <c r="ED196" s="19" t="s">
        <v>151</v>
      </c>
      <c r="EE196" s="21" t="s">
        <v>151</v>
      </c>
      <c r="EF196" s="20" t="s">
        <v>151</v>
      </c>
      <c r="EG196" s="19" t="s">
        <v>151</v>
      </c>
      <c r="EH196" s="16" t="s">
        <v>198</v>
      </c>
      <c r="EI196" s="17" t="s">
        <v>151</v>
      </c>
      <c r="EJ196" s="17" t="s">
        <v>151</v>
      </c>
      <c r="EK196" s="18" t="s">
        <v>151</v>
      </c>
      <c r="EL196" s="18" t="s">
        <v>151</v>
      </c>
      <c r="EM196" s="18" t="s">
        <v>151</v>
      </c>
      <c r="EN196" s="18" t="s">
        <v>151</v>
      </c>
      <c r="EO196" s="18" t="s">
        <v>151</v>
      </c>
      <c r="EP196" s="17" t="s">
        <v>151</v>
      </c>
      <c r="EQ196" s="16" t="s">
        <v>151</v>
      </c>
      <c r="ER196" s="16" t="s">
        <v>151</v>
      </c>
      <c r="ES196" s="3">
        <f>HYPERLINK("https://my.pitchbook.com?c=493375-51","View Company Online")</f>
      </c>
    </row>
    <row r="197">
      <c r="A197" s="30" t="s">
        <v>4513</v>
      </c>
      <c r="B197" s="30" t="s">
        <v>4514</v>
      </c>
      <c r="C197" s="31" t="s">
        <v>151</v>
      </c>
      <c r="D197" s="30" t="s">
        <v>151</v>
      </c>
      <c r="E197" s="30" t="s">
        <v>151</v>
      </c>
      <c r="F197" s="30" t="s">
        <v>4515</v>
      </c>
      <c r="G197" s="30" t="s">
        <v>151</v>
      </c>
      <c r="H197" s="30" t="s">
        <v>151</v>
      </c>
      <c r="I197" s="30" t="s">
        <v>4516</v>
      </c>
      <c r="J197" s="30" t="s">
        <v>4513</v>
      </c>
      <c r="K197" s="30" t="s">
        <v>4517</v>
      </c>
      <c r="L197" s="30" t="s">
        <v>205</v>
      </c>
      <c r="M197" s="30" t="s">
        <v>206</v>
      </c>
      <c r="N197" s="30" t="s">
        <v>1268</v>
      </c>
      <c r="O197" s="30" t="s">
        <v>4518</v>
      </c>
      <c r="P197" s="30" t="s">
        <v>892</v>
      </c>
      <c r="Q197" s="30" t="s">
        <v>4519</v>
      </c>
      <c r="R197" s="30" t="s">
        <v>151</v>
      </c>
      <c r="S197" s="30" t="s">
        <v>162</v>
      </c>
      <c r="T197" s="37">
        <v>51.9</v>
      </c>
      <c r="U197" s="30" t="s">
        <v>163</v>
      </c>
      <c r="V197" s="30" t="s">
        <v>164</v>
      </c>
      <c r="W197" s="30" t="s">
        <v>165</v>
      </c>
      <c r="X197" s="28" t="s">
        <v>4520</v>
      </c>
      <c r="Y197" s="28" t="s">
        <v>4521</v>
      </c>
      <c r="Z197" s="40">
        <v>71</v>
      </c>
      <c r="AA197" s="30" t="s">
        <v>4522</v>
      </c>
      <c r="AB197" s="30" t="s">
        <v>151</v>
      </c>
      <c r="AC197" s="30" t="s">
        <v>151</v>
      </c>
      <c r="AD197" s="39">
        <v>2020</v>
      </c>
      <c r="AE197" s="30" t="s">
        <v>151</v>
      </c>
      <c r="AF197" s="35">
        <v>45576</v>
      </c>
      <c r="AG197" s="30" t="s">
        <v>151</v>
      </c>
      <c r="AH197" s="30" t="s">
        <v>151</v>
      </c>
      <c r="AI197" s="38">
        <v>1.6</v>
      </c>
      <c r="AJ197" s="32">
        <v>6.67</v>
      </c>
      <c r="AK197" s="38" t="s">
        <v>151</v>
      </c>
      <c r="AL197" s="38" t="s">
        <v>151</v>
      </c>
      <c r="AM197" s="38" t="s">
        <v>151</v>
      </c>
      <c r="AN197" s="38" t="s">
        <v>151</v>
      </c>
      <c r="AO197" s="38" t="s">
        <v>151</v>
      </c>
      <c r="AP197" s="38" t="s">
        <v>151</v>
      </c>
      <c r="AQ197" s="38" t="s">
        <v>151</v>
      </c>
      <c r="AR197" s="29" t="s">
        <v>841</v>
      </c>
      <c r="AS197" s="30" t="s">
        <v>4523</v>
      </c>
      <c r="AT197" s="30" t="s">
        <v>4524</v>
      </c>
      <c r="AU197" s="31">
        <v>13</v>
      </c>
      <c r="AV197" s="30" t="s">
        <v>151</v>
      </c>
      <c r="AW197" s="30" t="s">
        <v>151</v>
      </c>
      <c r="AX197" s="30" t="s">
        <v>151</v>
      </c>
      <c r="AY197" s="30" t="s">
        <v>4525</v>
      </c>
      <c r="AZ197" s="30" t="s">
        <v>151</v>
      </c>
      <c r="BA197" s="30" t="s">
        <v>151</v>
      </c>
      <c r="BB197" s="30" t="s">
        <v>151</v>
      </c>
      <c r="BC197" s="30" t="s">
        <v>601</v>
      </c>
      <c r="BD197" s="30" t="s">
        <v>4526</v>
      </c>
      <c r="BE197" s="30" t="s">
        <v>4527</v>
      </c>
      <c r="BF197" s="30" t="s">
        <v>493</v>
      </c>
      <c r="BG197" s="30" t="s">
        <v>4528</v>
      </c>
      <c r="BH197" s="30" t="s">
        <v>4529</v>
      </c>
      <c r="BI197" s="30" t="s">
        <v>764</v>
      </c>
      <c r="BJ197" s="30" t="s">
        <v>1434</v>
      </c>
      <c r="BK197" s="30" t="s">
        <v>4530</v>
      </c>
      <c r="BL197" s="30" t="s">
        <v>767</v>
      </c>
      <c r="BM197" s="30" t="s">
        <v>184</v>
      </c>
      <c r="BN197" s="29" t="s">
        <v>4531</v>
      </c>
      <c r="BO197" s="30" t="s">
        <v>186</v>
      </c>
      <c r="BP197" s="29" t="s">
        <v>4532</v>
      </c>
      <c r="BQ197" s="29" t="s">
        <v>151</v>
      </c>
      <c r="BR197" s="30" t="s">
        <v>4533</v>
      </c>
      <c r="BS197" s="30" t="s">
        <v>187</v>
      </c>
      <c r="BT197" s="30" t="s">
        <v>188</v>
      </c>
      <c r="BU197" s="35">
        <v>44361</v>
      </c>
      <c r="BV197" s="37">
        <v>4.33</v>
      </c>
      <c r="BW197" s="30" t="s">
        <v>192</v>
      </c>
      <c r="BX197" s="37">
        <v>34.33</v>
      </c>
      <c r="BY197" s="30" t="s">
        <v>192</v>
      </c>
      <c r="BZ197" s="30" t="s">
        <v>293</v>
      </c>
      <c r="CA197" s="30" t="s">
        <v>293</v>
      </c>
      <c r="CB197" s="30" t="s">
        <v>151</v>
      </c>
      <c r="CC197" s="30" t="s">
        <v>165</v>
      </c>
      <c r="CD197" s="30" t="s">
        <v>151</v>
      </c>
      <c r="CE197" s="30" t="s">
        <v>191</v>
      </c>
      <c r="CF197" s="35">
        <v>45393</v>
      </c>
      <c r="CG197" s="37">
        <v>47.56</v>
      </c>
      <c r="CH197" s="30" t="s">
        <v>192</v>
      </c>
      <c r="CI197" s="37">
        <v>242.56</v>
      </c>
      <c r="CJ197" s="30" t="s">
        <v>192</v>
      </c>
      <c r="CK197" s="29">
        <v>5.68</v>
      </c>
      <c r="CL197" s="30" t="s">
        <v>231</v>
      </c>
      <c r="CM197" s="30" t="s">
        <v>326</v>
      </c>
      <c r="CN197" s="30" t="s">
        <v>151</v>
      </c>
      <c r="CO197" s="30" t="s">
        <v>165</v>
      </c>
      <c r="CP197" s="35">
        <v>45393</v>
      </c>
      <c r="CQ197" s="37" t="s">
        <v>151</v>
      </c>
      <c r="CR197" s="30" t="s">
        <v>151</v>
      </c>
      <c r="CS197" s="30" t="s">
        <v>191</v>
      </c>
      <c r="CT197" s="29">
        <v>84</v>
      </c>
      <c r="CU197" s="30" t="s">
        <v>196</v>
      </c>
      <c r="CV197" s="32">
        <v>91</v>
      </c>
      <c r="CW197" s="32">
        <v>9</v>
      </c>
      <c r="CX197" s="30" t="s">
        <v>294</v>
      </c>
      <c r="CY197" s="32">
        <v>11</v>
      </c>
      <c r="CZ197" s="32">
        <v>80</v>
      </c>
      <c r="DA197" s="37">
        <v>242.56</v>
      </c>
      <c r="DB197" s="35">
        <v>45393</v>
      </c>
      <c r="DC197" s="30" t="s">
        <v>231</v>
      </c>
      <c r="DD197" s="29">
        <v>5.68</v>
      </c>
      <c r="DE197" s="32">
        <v>0.84</v>
      </c>
      <c r="DF197" s="34">
        <v>96</v>
      </c>
      <c r="DG197" s="32">
        <v>0</v>
      </c>
      <c r="DH197" s="32">
        <v>0</v>
      </c>
      <c r="DI197" s="32">
        <v>0.36</v>
      </c>
      <c r="DJ197" s="34">
        <v>94</v>
      </c>
      <c r="DK197" s="32" t="s">
        <v>151</v>
      </c>
      <c r="DL197" s="34" t="s">
        <v>151</v>
      </c>
      <c r="DM197" s="32">
        <v>0.36</v>
      </c>
      <c r="DN197" s="34">
        <v>94</v>
      </c>
      <c r="DO197" s="36">
        <v>8.26</v>
      </c>
      <c r="DP197" s="34">
        <v>88</v>
      </c>
      <c r="DQ197" s="36">
        <v>0</v>
      </c>
      <c r="DR197" s="32">
        <v>0</v>
      </c>
      <c r="DS197" s="36">
        <v>11.05</v>
      </c>
      <c r="DT197" s="34">
        <v>91</v>
      </c>
      <c r="DU197" s="36" t="s">
        <v>151</v>
      </c>
      <c r="DV197" s="34" t="s">
        <v>151</v>
      </c>
      <c r="DW197" s="36">
        <v>11.05</v>
      </c>
      <c r="DX197" s="34">
        <v>91</v>
      </c>
      <c r="DY197" s="31" t="s">
        <v>151</v>
      </c>
      <c r="DZ197" s="35" t="s">
        <v>151</v>
      </c>
      <c r="EA197" s="35" t="s">
        <v>151</v>
      </c>
      <c r="EB197" s="34">
        <v>12879</v>
      </c>
      <c r="EC197" s="33">
        <v>1428</v>
      </c>
      <c r="ED197" s="32">
        <v>12.47</v>
      </c>
      <c r="EE197" s="34">
        <v>210</v>
      </c>
      <c r="EF197" s="33">
        <v>1</v>
      </c>
      <c r="EG197" s="32">
        <v>0.48</v>
      </c>
      <c r="EH197" s="29" t="s">
        <v>198</v>
      </c>
      <c r="EI197" s="30" t="s">
        <v>151</v>
      </c>
      <c r="EJ197" s="30" t="s">
        <v>151</v>
      </c>
      <c r="EK197" s="31" t="s">
        <v>151</v>
      </c>
      <c r="EL197" s="31" t="s">
        <v>151</v>
      </c>
      <c r="EM197" s="31" t="s">
        <v>151</v>
      </c>
      <c r="EN197" s="31" t="s">
        <v>151</v>
      </c>
      <c r="EO197" s="31" t="s">
        <v>151</v>
      </c>
      <c r="EP197" s="30" t="s">
        <v>151</v>
      </c>
      <c r="EQ197" s="29" t="s">
        <v>151</v>
      </c>
      <c r="ER197" s="29" t="s">
        <v>151</v>
      </c>
      <c r="ES197" s="4">
        <f>HYPERLINK("https://my.pitchbook.com?c=467633-44","View Company Online")</f>
      </c>
    </row>
    <row r="198">
      <c r="A198" s="17" t="s">
        <v>4534</v>
      </c>
      <c r="B198" s="17" t="s">
        <v>4535</v>
      </c>
      <c r="C198" s="18" t="s">
        <v>151</v>
      </c>
      <c r="D198" s="17" t="s">
        <v>151</v>
      </c>
      <c r="E198" s="17" t="s">
        <v>151</v>
      </c>
      <c r="F198" s="17" t="s">
        <v>4536</v>
      </c>
      <c r="G198" s="17" t="s">
        <v>151</v>
      </c>
      <c r="H198" s="17" t="s">
        <v>151</v>
      </c>
      <c r="I198" s="17" t="s">
        <v>4537</v>
      </c>
      <c r="J198" s="17" t="s">
        <v>4534</v>
      </c>
      <c r="K198" s="17" t="s">
        <v>4538</v>
      </c>
      <c r="L198" s="17" t="s">
        <v>205</v>
      </c>
      <c r="M198" s="17" t="s">
        <v>206</v>
      </c>
      <c r="N198" s="17" t="s">
        <v>1268</v>
      </c>
      <c r="O198" s="17" t="s">
        <v>4539</v>
      </c>
      <c r="P198" s="17" t="s">
        <v>4540</v>
      </c>
      <c r="Q198" s="17" t="s">
        <v>4541</v>
      </c>
      <c r="R198" s="17" t="s">
        <v>151</v>
      </c>
      <c r="S198" s="17" t="s">
        <v>162</v>
      </c>
      <c r="T198" s="24">
        <v>19.4</v>
      </c>
      <c r="U198" s="17" t="s">
        <v>163</v>
      </c>
      <c r="V198" s="17" t="s">
        <v>164</v>
      </c>
      <c r="W198" s="17" t="s">
        <v>165</v>
      </c>
      <c r="X198" s="15" t="s">
        <v>4542</v>
      </c>
      <c r="Y198" s="15" t="s">
        <v>4543</v>
      </c>
      <c r="Z198" s="27">
        <v>12</v>
      </c>
      <c r="AA198" s="17" t="s">
        <v>4544</v>
      </c>
      <c r="AB198" s="17" t="s">
        <v>151</v>
      </c>
      <c r="AC198" s="17" t="s">
        <v>151</v>
      </c>
      <c r="AD198" s="26">
        <v>2022</v>
      </c>
      <c r="AE198" s="17" t="s">
        <v>151</v>
      </c>
      <c r="AF198" s="22">
        <v>45492</v>
      </c>
      <c r="AG198" s="17" t="s">
        <v>151</v>
      </c>
      <c r="AH198" s="17" t="s">
        <v>151</v>
      </c>
      <c r="AI198" s="25" t="s">
        <v>151</v>
      </c>
      <c r="AJ198" s="19" t="s">
        <v>151</v>
      </c>
      <c r="AK198" s="25" t="s">
        <v>151</v>
      </c>
      <c r="AL198" s="25" t="s">
        <v>151</v>
      </c>
      <c r="AM198" s="25" t="s">
        <v>151</v>
      </c>
      <c r="AN198" s="25" t="s">
        <v>151</v>
      </c>
      <c r="AO198" s="25" t="s">
        <v>151</v>
      </c>
      <c r="AP198" s="25" t="s">
        <v>151</v>
      </c>
      <c r="AQ198" s="25" t="s">
        <v>151</v>
      </c>
      <c r="AR198" s="16" t="s">
        <v>151</v>
      </c>
      <c r="AS198" s="17" t="s">
        <v>4545</v>
      </c>
      <c r="AT198" s="17" t="s">
        <v>4546</v>
      </c>
      <c r="AU198" s="18">
        <v>16</v>
      </c>
      <c r="AV198" s="17" t="s">
        <v>151</v>
      </c>
      <c r="AW198" s="17" t="s">
        <v>151</v>
      </c>
      <c r="AX198" s="17" t="s">
        <v>151</v>
      </c>
      <c r="AY198" s="17" t="s">
        <v>4547</v>
      </c>
      <c r="AZ198" s="17" t="s">
        <v>151</v>
      </c>
      <c r="BA198" s="17" t="s">
        <v>151</v>
      </c>
      <c r="BB198" s="17" t="s">
        <v>151</v>
      </c>
      <c r="BC198" s="17" t="s">
        <v>490</v>
      </c>
      <c r="BD198" s="17" t="s">
        <v>4548</v>
      </c>
      <c r="BE198" s="17" t="s">
        <v>4549</v>
      </c>
      <c r="BF198" s="17" t="s">
        <v>221</v>
      </c>
      <c r="BG198" s="17" t="s">
        <v>4550</v>
      </c>
      <c r="BH198" s="17" t="s">
        <v>151</v>
      </c>
      <c r="BI198" s="17" t="s">
        <v>764</v>
      </c>
      <c r="BJ198" s="17" t="s">
        <v>4551</v>
      </c>
      <c r="BK198" s="17" t="s">
        <v>2476</v>
      </c>
      <c r="BL198" s="17" t="s">
        <v>767</v>
      </c>
      <c r="BM198" s="17" t="s">
        <v>184</v>
      </c>
      <c r="BN198" s="16" t="s">
        <v>768</v>
      </c>
      <c r="BO198" s="17" t="s">
        <v>186</v>
      </c>
      <c r="BP198" s="16" t="s">
        <v>151</v>
      </c>
      <c r="BQ198" s="16" t="s">
        <v>151</v>
      </c>
      <c r="BR198" s="17" t="s">
        <v>151</v>
      </c>
      <c r="BS198" s="17" t="s">
        <v>187</v>
      </c>
      <c r="BT198" s="17" t="s">
        <v>188</v>
      </c>
      <c r="BU198" s="22">
        <v>45042</v>
      </c>
      <c r="BV198" s="24">
        <v>5.4</v>
      </c>
      <c r="BW198" s="17" t="s">
        <v>192</v>
      </c>
      <c r="BX198" s="24" t="s">
        <v>151</v>
      </c>
      <c r="BY198" s="17" t="s">
        <v>151</v>
      </c>
      <c r="BZ198" s="17" t="s">
        <v>293</v>
      </c>
      <c r="CA198" s="17" t="s">
        <v>293</v>
      </c>
      <c r="CB198" s="17" t="s">
        <v>151</v>
      </c>
      <c r="CC198" s="17" t="s">
        <v>165</v>
      </c>
      <c r="CD198" s="17" t="s">
        <v>151</v>
      </c>
      <c r="CE198" s="17" t="s">
        <v>191</v>
      </c>
      <c r="CF198" s="22">
        <v>45412</v>
      </c>
      <c r="CG198" s="24">
        <v>14</v>
      </c>
      <c r="CH198" s="17" t="s">
        <v>192</v>
      </c>
      <c r="CI198" s="24" t="s">
        <v>151</v>
      </c>
      <c r="CJ198" s="17" t="s">
        <v>151</v>
      </c>
      <c r="CK198" s="16" t="s">
        <v>151</v>
      </c>
      <c r="CL198" s="17" t="s">
        <v>231</v>
      </c>
      <c r="CM198" s="17" t="s">
        <v>232</v>
      </c>
      <c r="CN198" s="17" t="s">
        <v>151</v>
      </c>
      <c r="CO198" s="17" t="s">
        <v>165</v>
      </c>
      <c r="CP198" s="22">
        <v>45412</v>
      </c>
      <c r="CQ198" s="24" t="s">
        <v>151</v>
      </c>
      <c r="CR198" s="17" t="s">
        <v>151</v>
      </c>
      <c r="CS198" s="17" t="s">
        <v>191</v>
      </c>
      <c r="CT198" s="16">
        <v>92</v>
      </c>
      <c r="CU198" s="17" t="s">
        <v>196</v>
      </c>
      <c r="CV198" s="19">
        <v>85</v>
      </c>
      <c r="CW198" s="19">
        <v>15</v>
      </c>
      <c r="CX198" s="17" t="s">
        <v>294</v>
      </c>
      <c r="CY198" s="19">
        <v>1</v>
      </c>
      <c r="CZ198" s="19">
        <v>84</v>
      </c>
      <c r="DA198" s="24" t="s">
        <v>151</v>
      </c>
      <c r="DB198" s="22" t="s">
        <v>151</v>
      </c>
      <c r="DC198" s="17" t="s">
        <v>151</v>
      </c>
      <c r="DD198" s="16" t="s">
        <v>151</v>
      </c>
      <c r="DE198" s="19">
        <v>0.57</v>
      </c>
      <c r="DF198" s="21">
        <v>94</v>
      </c>
      <c r="DG198" s="19">
        <v>0</v>
      </c>
      <c r="DH198" s="19">
        <v>0</v>
      </c>
      <c r="DI198" s="19">
        <v>0</v>
      </c>
      <c r="DJ198" s="21">
        <v>10</v>
      </c>
      <c r="DK198" s="19" t="s">
        <v>151</v>
      </c>
      <c r="DL198" s="21" t="s">
        <v>151</v>
      </c>
      <c r="DM198" s="19">
        <v>0</v>
      </c>
      <c r="DN198" s="21">
        <v>10</v>
      </c>
      <c r="DO198" s="23">
        <v>2.75</v>
      </c>
      <c r="DP198" s="21">
        <v>73</v>
      </c>
      <c r="DQ198" s="23">
        <v>0</v>
      </c>
      <c r="DR198" s="19">
        <v>0</v>
      </c>
      <c r="DS198" s="23">
        <v>4.58</v>
      </c>
      <c r="DT198" s="21">
        <v>81</v>
      </c>
      <c r="DU198" s="23" t="s">
        <v>151</v>
      </c>
      <c r="DV198" s="21" t="s">
        <v>151</v>
      </c>
      <c r="DW198" s="23">
        <v>4.58</v>
      </c>
      <c r="DX198" s="21">
        <v>81</v>
      </c>
      <c r="DY198" s="18" t="s">
        <v>151</v>
      </c>
      <c r="DZ198" s="22" t="s">
        <v>151</v>
      </c>
      <c r="EA198" s="22" t="s">
        <v>151</v>
      </c>
      <c r="EB198" s="21">
        <v>4597</v>
      </c>
      <c r="EC198" s="20">
        <v>213</v>
      </c>
      <c r="ED198" s="19">
        <v>4.86</v>
      </c>
      <c r="EE198" s="21">
        <v>87</v>
      </c>
      <c r="EF198" s="20">
        <v>1</v>
      </c>
      <c r="EG198" s="19">
        <v>1.16</v>
      </c>
      <c r="EH198" s="16" t="s">
        <v>198</v>
      </c>
      <c r="EI198" s="17" t="s">
        <v>151</v>
      </c>
      <c r="EJ198" s="17" t="s">
        <v>151</v>
      </c>
      <c r="EK198" s="18" t="s">
        <v>151</v>
      </c>
      <c r="EL198" s="18" t="s">
        <v>151</v>
      </c>
      <c r="EM198" s="18" t="s">
        <v>151</v>
      </c>
      <c r="EN198" s="18" t="s">
        <v>151</v>
      </c>
      <c r="EO198" s="18" t="s">
        <v>151</v>
      </c>
      <c r="EP198" s="17" t="s">
        <v>151</v>
      </c>
      <c r="EQ198" s="16" t="s">
        <v>151</v>
      </c>
      <c r="ER198" s="16" t="s">
        <v>151</v>
      </c>
      <c r="ES198" s="3">
        <f>HYPERLINK("https://my.pitchbook.com?c=493530-49","View Company Online")</f>
      </c>
    </row>
    <row r="199">
      <c r="A199" s="30" t="s">
        <v>4552</v>
      </c>
      <c r="B199" s="30" t="s">
        <v>4553</v>
      </c>
      <c r="C199" s="31" t="s">
        <v>151</v>
      </c>
      <c r="D199" s="30" t="s">
        <v>151</v>
      </c>
      <c r="E199" s="30" t="s">
        <v>151</v>
      </c>
      <c r="F199" s="30" t="s">
        <v>4554</v>
      </c>
      <c r="G199" s="30" t="s">
        <v>151</v>
      </c>
      <c r="H199" s="30" t="s">
        <v>151</v>
      </c>
      <c r="I199" s="30" t="s">
        <v>4555</v>
      </c>
      <c r="J199" s="30" t="s">
        <v>4552</v>
      </c>
      <c r="K199" s="30" t="s">
        <v>4556</v>
      </c>
      <c r="L199" s="30" t="s">
        <v>205</v>
      </c>
      <c r="M199" s="30" t="s">
        <v>206</v>
      </c>
      <c r="N199" s="30" t="s">
        <v>269</v>
      </c>
      <c r="O199" s="30" t="s">
        <v>3558</v>
      </c>
      <c r="P199" s="30" t="s">
        <v>4557</v>
      </c>
      <c r="Q199" s="30" t="s">
        <v>4558</v>
      </c>
      <c r="R199" s="30" t="s">
        <v>151</v>
      </c>
      <c r="S199" s="30" t="s">
        <v>162</v>
      </c>
      <c r="T199" s="37">
        <v>4.97</v>
      </c>
      <c r="U199" s="30" t="s">
        <v>163</v>
      </c>
      <c r="V199" s="30" t="s">
        <v>164</v>
      </c>
      <c r="W199" s="30" t="s">
        <v>165</v>
      </c>
      <c r="X199" s="28" t="s">
        <v>4559</v>
      </c>
      <c r="Y199" s="28" t="s">
        <v>4560</v>
      </c>
      <c r="Z199" s="40">
        <v>28</v>
      </c>
      <c r="AA199" s="30" t="s">
        <v>4561</v>
      </c>
      <c r="AB199" s="30" t="s">
        <v>151</v>
      </c>
      <c r="AC199" s="30" t="s">
        <v>151</v>
      </c>
      <c r="AD199" s="39">
        <v>2020</v>
      </c>
      <c r="AE199" s="30" t="s">
        <v>151</v>
      </c>
      <c r="AF199" s="35">
        <v>45601</v>
      </c>
      <c r="AG199" s="30" t="s">
        <v>151</v>
      </c>
      <c r="AH199" s="30" t="s">
        <v>151</v>
      </c>
      <c r="AI199" s="38" t="s">
        <v>151</v>
      </c>
      <c r="AJ199" s="32" t="s">
        <v>151</v>
      </c>
      <c r="AK199" s="38" t="s">
        <v>151</v>
      </c>
      <c r="AL199" s="38" t="s">
        <v>151</v>
      </c>
      <c r="AM199" s="38" t="s">
        <v>151</v>
      </c>
      <c r="AN199" s="38" t="s">
        <v>151</v>
      </c>
      <c r="AO199" s="38" t="s">
        <v>151</v>
      </c>
      <c r="AP199" s="38" t="s">
        <v>151</v>
      </c>
      <c r="AQ199" s="38" t="s">
        <v>151</v>
      </c>
      <c r="AR199" s="29" t="s">
        <v>151</v>
      </c>
      <c r="AS199" s="30" t="s">
        <v>4562</v>
      </c>
      <c r="AT199" s="30" t="s">
        <v>4563</v>
      </c>
      <c r="AU199" s="31">
        <v>13</v>
      </c>
      <c r="AV199" s="30" t="s">
        <v>151</v>
      </c>
      <c r="AW199" s="30" t="s">
        <v>4564</v>
      </c>
      <c r="AX199" s="30" t="s">
        <v>151</v>
      </c>
      <c r="AY199" s="30" t="s">
        <v>4565</v>
      </c>
      <c r="AZ199" s="30" t="s">
        <v>4566</v>
      </c>
      <c r="BA199" s="30" t="s">
        <v>151</v>
      </c>
      <c r="BB199" s="30" t="s">
        <v>151</v>
      </c>
      <c r="BC199" s="30" t="s">
        <v>151</v>
      </c>
      <c r="BD199" s="30" t="s">
        <v>4567</v>
      </c>
      <c r="BE199" s="30" t="s">
        <v>4568</v>
      </c>
      <c r="BF199" s="30" t="s">
        <v>493</v>
      </c>
      <c r="BG199" s="30" t="s">
        <v>4569</v>
      </c>
      <c r="BH199" s="30" t="s">
        <v>151</v>
      </c>
      <c r="BI199" s="30" t="s">
        <v>578</v>
      </c>
      <c r="BJ199" s="30" t="s">
        <v>4570</v>
      </c>
      <c r="BK199" s="30" t="s">
        <v>4571</v>
      </c>
      <c r="BL199" s="30" t="s">
        <v>581</v>
      </c>
      <c r="BM199" s="30" t="s">
        <v>582</v>
      </c>
      <c r="BN199" s="29" t="s">
        <v>2743</v>
      </c>
      <c r="BO199" s="30" t="s">
        <v>186</v>
      </c>
      <c r="BP199" s="29" t="s">
        <v>151</v>
      </c>
      <c r="BQ199" s="29" t="s">
        <v>151</v>
      </c>
      <c r="BR199" s="30" t="s">
        <v>4572</v>
      </c>
      <c r="BS199" s="30" t="s">
        <v>187</v>
      </c>
      <c r="BT199" s="30" t="s">
        <v>188</v>
      </c>
      <c r="BU199" s="35" t="s">
        <v>151</v>
      </c>
      <c r="BV199" s="37" t="s">
        <v>151</v>
      </c>
      <c r="BW199" s="30" t="s">
        <v>151</v>
      </c>
      <c r="BX199" s="37" t="s">
        <v>151</v>
      </c>
      <c r="BY199" s="30" t="s">
        <v>151</v>
      </c>
      <c r="BZ199" s="30" t="s">
        <v>189</v>
      </c>
      <c r="CA199" s="30" t="s">
        <v>151</v>
      </c>
      <c r="CB199" s="30" t="s">
        <v>151</v>
      </c>
      <c r="CC199" s="30" t="s">
        <v>190</v>
      </c>
      <c r="CD199" s="30" t="s">
        <v>151</v>
      </c>
      <c r="CE199" s="30" t="s">
        <v>191</v>
      </c>
      <c r="CF199" s="35">
        <v>44386</v>
      </c>
      <c r="CG199" s="37">
        <v>3</v>
      </c>
      <c r="CH199" s="30" t="s">
        <v>192</v>
      </c>
      <c r="CI199" s="37">
        <v>10</v>
      </c>
      <c r="CJ199" s="30" t="s">
        <v>192</v>
      </c>
      <c r="CK199" s="29">
        <v>2.17</v>
      </c>
      <c r="CL199" s="30" t="s">
        <v>293</v>
      </c>
      <c r="CM199" s="30" t="s">
        <v>293</v>
      </c>
      <c r="CN199" s="30" t="s">
        <v>151</v>
      </c>
      <c r="CO199" s="30" t="s">
        <v>165</v>
      </c>
      <c r="CP199" s="35">
        <v>44386</v>
      </c>
      <c r="CQ199" s="37" t="s">
        <v>151</v>
      </c>
      <c r="CR199" s="30" t="s">
        <v>151</v>
      </c>
      <c r="CS199" s="30" t="s">
        <v>191</v>
      </c>
      <c r="CT199" s="29">
        <v>76</v>
      </c>
      <c r="CU199" s="30" t="s">
        <v>196</v>
      </c>
      <c r="CV199" s="32">
        <v>70</v>
      </c>
      <c r="CW199" s="32">
        <v>30</v>
      </c>
      <c r="CX199" s="30" t="s">
        <v>294</v>
      </c>
      <c r="CY199" s="32">
        <v>1</v>
      </c>
      <c r="CZ199" s="32">
        <v>69</v>
      </c>
      <c r="DA199" s="37">
        <v>10</v>
      </c>
      <c r="DB199" s="35">
        <v>44386</v>
      </c>
      <c r="DC199" s="30" t="s">
        <v>293</v>
      </c>
      <c r="DD199" s="29">
        <v>2.17</v>
      </c>
      <c r="DE199" s="32">
        <v>0.23</v>
      </c>
      <c r="DF199" s="34">
        <v>92</v>
      </c>
      <c r="DG199" s="32">
        <v>0</v>
      </c>
      <c r="DH199" s="32">
        <v>0</v>
      </c>
      <c r="DI199" s="32">
        <v>0</v>
      </c>
      <c r="DJ199" s="34">
        <v>10</v>
      </c>
      <c r="DK199" s="32" t="s">
        <v>151</v>
      </c>
      <c r="DL199" s="34" t="s">
        <v>151</v>
      </c>
      <c r="DM199" s="32">
        <v>0</v>
      </c>
      <c r="DN199" s="34">
        <v>10</v>
      </c>
      <c r="DO199" s="36">
        <v>3.63</v>
      </c>
      <c r="DP199" s="34">
        <v>78</v>
      </c>
      <c r="DQ199" s="36">
        <v>0</v>
      </c>
      <c r="DR199" s="32">
        <v>0</v>
      </c>
      <c r="DS199" s="36">
        <v>5.11</v>
      </c>
      <c r="DT199" s="34">
        <v>82</v>
      </c>
      <c r="DU199" s="36" t="s">
        <v>151</v>
      </c>
      <c r="DV199" s="34" t="s">
        <v>151</v>
      </c>
      <c r="DW199" s="36">
        <v>5.11</v>
      </c>
      <c r="DX199" s="34">
        <v>82</v>
      </c>
      <c r="DY199" s="31" t="s">
        <v>151</v>
      </c>
      <c r="DZ199" s="35" t="s">
        <v>151</v>
      </c>
      <c r="EA199" s="35" t="s">
        <v>151</v>
      </c>
      <c r="EB199" s="34">
        <v>274</v>
      </c>
      <c r="EC199" s="33">
        <v>-70</v>
      </c>
      <c r="ED199" s="32">
        <v>-20.35</v>
      </c>
      <c r="EE199" s="34">
        <v>97</v>
      </c>
      <c r="EF199" s="33">
        <v>0</v>
      </c>
      <c r="EG199" s="32">
        <v>0</v>
      </c>
      <c r="EH199" s="29" t="s">
        <v>198</v>
      </c>
      <c r="EI199" s="30" t="s">
        <v>151</v>
      </c>
      <c r="EJ199" s="30" t="s">
        <v>151</v>
      </c>
      <c r="EK199" s="31" t="s">
        <v>151</v>
      </c>
      <c r="EL199" s="31" t="s">
        <v>151</v>
      </c>
      <c r="EM199" s="31" t="s">
        <v>151</v>
      </c>
      <c r="EN199" s="31" t="s">
        <v>151</v>
      </c>
      <c r="EO199" s="31" t="s">
        <v>151</v>
      </c>
      <c r="EP199" s="30" t="s">
        <v>151</v>
      </c>
      <c r="EQ199" s="29" t="s">
        <v>151</v>
      </c>
      <c r="ER199" s="29" t="s">
        <v>151</v>
      </c>
      <c r="ES199" s="4">
        <f>HYPERLINK("https://my.pitchbook.com?c=226087-93","View Company Online")</f>
      </c>
    </row>
    <row r="200">
      <c r="A200" s="17" t="s">
        <v>4573</v>
      </c>
      <c r="B200" s="17" t="s">
        <v>4574</v>
      </c>
      <c r="C200" s="18" t="s">
        <v>151</v>
      </c>
      <c r="D200" s="17" t="s">
        <v>151</v>
      </c>
      <c r="E200" s="17" t="s">
        <v>151</v>
      </c>
      <c r="F200" s="17" t="s">
        <v>4575</v>
      </c>
      <c r="G200" s="17" t="s">
        <v>151</v>
      </c>
      <c r="H200" s="17" t="s">
        <v>151</v>
      </c>
      <c r="I200" s="17" t="s">
        <v>4576</v>
      </c>
      <c r="J200" s="17" t="s">
        <v>4573</v>
      </c>
      <c r="K200" s="17" t="s">
        <v>4577</v>
      </c>
      <c r="L200" s="17" t="s">
        <v>205</v>
      </c>
      <c r="M200" s="17" t="s">
        <v>206</v>
      </c>
      <c r="N200" s="17" t="s">
        <v>1130</v>
      </c>
      <c r="O200" s="17" t="s">
        <v>1131</v>
      </c>
      <c r="P200" s="17" t="s">
        <v>1153</v>
      </c>
      <c r="Q200" s="17" t="s">
        <v>4578</v>
      </c>
      <c r="R200" s="17" t="s">
        <v>151</v>
      </c>
      <c r="S200" s="17" t="s">
        <v>162</v>
      </c>
      <c r="T200" s="24">
        <v>16.09</v>
      </c>
      <c r="U200" s="17" t="s">
        <v>163</v>
      </c>
      <c r="V200" s="17" t="s">
        <v>164</v>
      </c>
      <c r="W200" s="17" t="s">
        <v>165</v>
      </c>
      <c r="X200" s="15" t="s">
        <v>4579</v>
      </c>
      <c r="Y200" s="15" t="s">
        <v>4580</v>
      </c>
      <c r="Z200" s="27">
        <v>10</v>
      </c>
      <c r="AA200" s="17" t="s">
        <v>4581</v>
      </c>
      <c r="AB200" s="17" t="s">
        <v>151</v>
      </c>
      <c r="AC200" s="17" t="s">
        <v>151</v>
      </c>
      <c r="AD200" s="26">
        <v>2018</v>
      </c>
      <c r="AE200" s="17" t="s">
        <v>151</v>
      </c>
      <c r="AF200" s="22">
        <v>45604</v>
      </c>
      <c r="AG200" s="17" t="s">
        <v>151</v>
      </c>
      <c r="AH200" s="17" t="s">
        <v>151</v>
      </c>
      <c r="AI200" s="25" t="s">
        <v>151</v>
      </c>
      <c r="AJ200" s="19" t="s">
        <v>151</v>
      </c>
      <c r="AK200" s="25" t="s">
        <v>151</v>
      </c>
      <c r="AL200" s="25" t="s">
        <v>151</v>
      </c>
      <c r="AM200" s="25" t="s">
        <v>151</v>
      </c>
      <c r="AN200" s="25" t="s">
        <v>151</v>
      </c>
      <c r="AO200" s="25" t="s">
        <v>151</v>
      </c>
      <c r="AP200" s="25" t="s">
        <v>151</v>
      </c>
      <c r="AQ200" s="25" t="s">
        <v>151</v>
      </c>
      <c r="AR200" s="16" t="s">
        <v>151</v>
      </c>
      <c r="AS200" s="17" t="s">
        <v>4582</v>
      </c>
      <c r="AT200" s="17" t="s">
        <v>4583</v>
      </c>
      <c r="AU200" s="18">
        <v>33</v>
      </c>
      <c r="AV200" s="17" t="s">
        <v>151</v>
      </c>
      <c r="AW200" s="17" t="s">
        <v>151</v>
      </c>
      <c r="AX200" s="17" t="s">
        <v>151</v>
      </c>
      <c r="AY200" s="17" t="s">
        <v>4584</v>
      </c>
      <c r="AZ200" s="17" t="s">
        <v>151</v>
      </c>
      <c r="BA200" s="17" t="s">
        <v>151</v>
      </c>
      <c r="BB200" s="17" t="s">
        <v>151</v>
      </c>
      <c r="BC200" s="17" t="s">
        <v>151</v>
      </c>
      <c r="BD200" s="17" t="s">
        <v>4585</v>
      </c>
      <c r="BE200" s="17" t="s">
        <v>4586</v>
      </c>
      <c r="BF200" s="17" t="s">
        <v>493</v>
      </c>
      <c r="BG200" s="17" t="s">
        <v>4587</v>
      </c>
      <c r="BH200" s="17" t="s">
        <v>151</v>
      </c>
      <c r="BI200" s="17" t="s">
        <v>1096</v>
      </c>
      <c r="BJ200" s="17" t="s">
        <v>4588</v>
      </c>
      <c r="BK200" s="17" t="s">
        <v>4589</v>
      </c>
      <c r="BL200" s="17" t="s">
        <v>1098</v>
      </c>
      <c r="BM200" s="17" t="s">
        <v>184</v>
      </c>
      <c r="BN200" s="16" t="s">
        <v>1099</v>
      </c>
      <c r="BO200" s="17" t="s">
        <v>186</v>
      </c>
      <c r="BP200" s="16" t="s">
        <v>151</v>
      </c>
      <c r="BQ200" s="16" t="s">
        <v>151</v>
      </c>
      <c r="BR200" s="17" t="s">
        <v>4590</v>
      </c>
      <c r="BS200" s="17" t="s">
        <v>187</v>
      </c>
      <c r="BT200" s="17" t="s">
        <v>188</v>
      </c>
      <c r="BU200" s="22">
        <v>43922</v>
      </c>
      <c r="BV200" s="24">
        <v>0.03</v>
      </c>
      <c r="BW200" s="17" t="s">
        <v>192</v>
      </c>
      <c r="BX200" s="24" t="s">
        <v>151</v>
      </c>
      <c r="BY200" s="17" t="s">
        <v>151</v>
      </c>
      <c r="BZ200" s="17" t="s">
        <v>189</v>
      </c>
      <c r="CA200" s="17" t="s">
        <v>151</v>
      </c>
      <c r="CB200" s="17" t="s">
        <v>151</v>
      </c>
      <c r="CC200" s="17" t="s">
        <v>190</v>
      </c>
      <c r="CD200" s="17" t="s">
        <v>151</v>
      </c>
      <c r="CE200" s="17" t="s">
        <v>191</v>
      </c>
      <c r="CF200" s="22">
        <v>45575</v>
      </c>
      <c r="CG200" s="24">
        <v>8.25</v>
      </c>
      <c r="CH200" s="17" t="s">
        <v>192</v>
      </c>
      <c r="CI200" s="24" t="s">
        <v>151</v>
      </c>
      <c r="CJ200" s="17" t="s">
        <v>151</v>
      </c>
      <c r="CK200" s="16" t="s">
        <v>151</v>
      </c>
      <c r="CL200" s="17" t="s">
        <v>293</v>
      </c>
      <c r="CM200" s="17" t="s">
        <v>293</v>
      </c>
      <c r="CN200" s="17" t="s">
        <v>151</v>
      </c>
      <c r="CO200" s="17" t="s">
        <v>165</v>
      </c>
      <c r="CP200" s="22">
        <v>45575</v>
      </c>
      <c r="CQ200" s="24" t="s">
        <v>151</v>
      </c>
      <c r="CR200" s="17" t="s">
        <v>151</v>
      </c>
      <c r="CS200" s="17" t="s">
        <v>191</v>
      </c>
      <c r="CT200" s="16">
        <v>94</v>
      </c>
      <c r="CU200" s="17" t="s">
        <v>196</v>
      </c>
      <c r="CV200" s="19">
        <v>87</v>
      </c>
      <c r="CW200" s="19">
        <v>13</v>
      </c>
      <c r="CX200" s="17" t="s">
        <v>294</v>
      </c>
      <c r="CY200" s="19">
        <v>1</v>
      </c>
      <c r="CZ200" s="19">
        <v>86</v>
      </c>
      <c r="DA200" s="24">
        <v>22.5</v>
      </c>
      <c r="DB200" s="22">
        <v>45036</v>
      </c>
      <c r="DC200" s="17" t="s">
        <v>293</v>
      </c>
      <c r="DD200" s="16">
        <v>1.37</v>
      </c>
      <c r="DE200" s="19">
        <v>0</v>
      </c>
      <c r="DF200" s="21">
        <v>11</v>
      </c>
      <c r="DG200" s="19">
        <v>0</v>
      </c>
      <c r="DH200" s="19">
        <v>0</v>
      </c>
      <c r="DI200" s="19" t="s">
        <v>151</v>
      </c>
      <c r="DJ200" s="21" t="s">
        <v>151</v>
      </c>
      <c r="DK200" s="19" t="s">
        <v>151</v>
      </c>
      <c r="DL200" s="21" t="s">
        <v>151</v>
      </c>
      <c r="DM200" s="19" t="s">
        <v>151</v>
      </c>
      <c r="DN200" s="21" t="s">
        <v>151</v>
      </c>
      <c r="DO200" s="23">
        <v>0.77</v>
      </c>
      <c r="DP200" s="21">
        <v>44</v>
      </c>
      <c r="DQ200" s="23">
        <v>0</v>
      </c>
      <c r="DR200" s="19">
        <v>0</v>
      </c>
      <c r="DS200" s="23" t="s">
        <v>151</v>
      </c>
      <c r="DT200" s="21" t="s">
        <v>151</v>
      </c>
      <c r="DU200" s="23" t="s">
        <v>151</v>
      </c>
      <c r="DV200" s="21" t="s">
        <v>151</v>
      </c>
      <c r="DW200" s="23" t="s">
        <v>151</v>
      </c>
      <c r="DX200" s="21" t="s">
        <v>151</v>
      </c>
      <c r="DY200" s="18" t="s">
        <v>151</v>
      </c>
      <c r="DZ200" s="22" t="s">
        <v>151</v>
      </c>
      <c r="EA200" s="22" t="s">
        <v>151</v>
      </c>
      <c r="EB200" s="21">
        <v>146</v>
      </c>
      <c r="EC200" s="20">
        <v>-87</v>
      </c>
      <c r="ED200" s="19">
        <v>-37.34</v>
      </c>
      <c r="EE200" s="21" t="s">
        <v>151</v>
      </c>
      <c r="EF200" s="20" t="s">
        <v>151</v>
      </c>
      <c r="EG200" s="19" t="s">
        <v>151</v>
      </c>
      <c r="EH200" s="16" t="s">
        <v>198</v>
      </c>
      <c r="EI200" s="17" t="s">
        <v>151</v>
      </c>
      <c r="EJ200" s="17" t="s">
        <v>151</v>
      </c>
      <c r="EK200" s="18" t="s">
        <v>151</v>
      </c>
      <c r="EL200" s="18" t="s">
        <v>151</v>
      </c>
      <c r="EM200" s="18" t="s">
        <v>151</v>
      </c>
      <c r="EN200" s="18" t="s">
        <v>151</v>
      </c>
      <c r="EO200" s="18" t="s">
        <v>151</v>
      </c>
      <c r="EP200" s="17" t="s">
        <v>151</v>
      </c>
      <c r="EQ200" s="16" t="s">
        <v>151</v>
      </c>
      <c r="ER200" s="16" t="s">
        <v>151</v>
      </c>
      <c r="ES200" s="3">
        <f>HYPERLINK("https://my.pitchbook.com?c=437325-58","View Company Online")</f>
      </c>
    </row>
    <row r="201">
      <c r="A201" s="30" t="s">
        <v>4591</v>
      </c>
      <c r="B201" s="30" t="s">
        <v>4592</v>
      </c>
      <c r="C201" s="31" t="s">
        <v>151</v>
      </c>
      <c r="D201" s="30" t="s">
        <v>151</v>
      </c>
      <c r="E201" s="30" t="s">
        <v>4593</v>
      </c>
      <c r="F201" s="30" t="s">
        <v>4594</v>
      </c>
      <c r="G201" s="30" t="s">
        <v>151</v>
      </c>
      <c r="H201" s="30" t="s">
        <v>151</v>
      </c>
      <c r="I201" s="30" t="s">
        <v>151</v>
      </c>
      <c r="J201" s="30" t="s">
        <v>4591</v>
      </c>
      <c r="K201" s="30" t="s">
        <v>4595</v>
      </c>
      <c r="L201" s="30" t="s">
        <v>205</v>
      </c>
      <c r="M201" s="30" t="s">
        <v>206</v>
      </c>
      <c r="N201" s="30" t="s">
        <v>998</v>
      </c>
      <c r="O201" s="30" t="s">
        <v>4596</v>
      </c>
      <c r="P201" s="30" t="s">
        <v>919</v>
      </c>
      <c r="Q201" s="30" t="s">
        <v>4597</v>
      </c>
      <c r="R201" s="30" t="s">
        <v>151</v>
      </c>
      <c r="S201" s="30" t="s">
        <v>162</v>
      </c>
      <c r="T201" s="37">
        <v>155.7</v>
      </c>
      <c r="U201" s="30" t="s">
        <v>163</v>
      </c>
      <c r="V201" s="30" t="s">
        <v>164</v>
      </c>
      <c r="W201" s="30" t="s">
        <v>420</v>
      </c>
      <c r="X201" s="28" t="s">
        <v>4598</v>
      </c>
      <c r="Y201" s="28" t="s">
        <v>4599</v>
      </c>
      <c r="Z201" s="40">
        <v>49</v>
      </c>
      <c r="AA201" s="30" t="s">
        <v>4600</v>
      </c>
      <c r="AB201" s="30" t="s">
        <v>151</v>
      </c>
      <c r="AC201" s="30" t="s">
        <v>151</v>
      </c>
      <c r="AD201" s="39">
        <v>2021</v>
      </c>
      <c r="AE201" s="30" t="s">
        <v>151</v>
      </c>
      <c r="AF201" s="35">
        <v>45600</v>
      </c>
      <c r="AG201" s="30" t="s">
        <v>151</v>
      </c>
      <c r="AH201" s="30" t="s">
        <v>151</v>
      </c>
      <c r="AI201" s="38" t="s">
        <v>151</v>
      </c>
      <c r="AJ201" s="32" t="s">
        <v>151</v>
      </c>
      <c r="AK201" s="38" t="s">
        <v>151</v>
      </c>
      <c r="AL201" s="38" t="s">
        <v>151</v>
      </c>
      <c r="AM201" s="38" t="s">
        <v>151</v>
      </c>
      <c r="AN201" s="38" t="s">
        <v>151</v>
      </c>
      <c r="AO201" s="38" t="s">
        <v>151</v>
      </c>
      <c r="AP201" s="38" t="s">
        <v>151</v>
      </c>
      <c r="AQ201" s="38" t="s">
        <v>151</v>
      </c>
      <c r="AR201" s="29" t="s">
        <v>151</v>
      </c>
      <c r="AS201" s="30" t="s">
        <v>4601</v>
      </c>
      <c r="AT201" s="30" t="s">
        <v>4602</v>
      </c>
      <c r="AU201" s="31">
        <v>5</v>
      </c>
      <c r="AV201" s="30" t="s">
        <v>151</v>
      </c>
      <c r="AW201" s="30" t="s">
        <v>151</v>
      </c>
      <c r="AX201" s="30" t="s">
        <v>151</v>
      </c>
      <c r="AY201" s="30" t="s">
        <v>4603</v>
      </c>
      <c r="AZ201" s="30" t="s">
        <v>151</v>
      </c>
      <c r="BA201" s="30" t="s">
        <v>151</v>
      </c>
      <c r="BB201" s="30" t="s">
        <v>151</v>
      </c>
      <c r="BC201" s="30" t="s">
        <v>4604</v>
      </c>
      <c r="BD201" s="30" t="s">
        <v>4605</v>
      </c>
      <c r="BE201" s="30" t="s">
        <v>4606</v>
      </c>
      <c r="BF201" s="30" t="s">
        <v>4607</v>
      </c>
      <c r="BG201" s="30" t="s">
        <v>4608</v>
      </c>
      <c r="BH201" s="30" t="s">
        <v>4609</v>
      </c>
      <c r="BI201" s="30" t="s">
        <v>2652</v>
      </c>
      <c r="BJ201" s="30" t="s">
        <v>4610</v>
      </c>
      <c r="BK201" s="30" t="s">
        <v>151</v>
      </c>
      <c r="BL201" s="30" t="s">
        <v>2654</v>
      </c>
      <c r="BM201" s="30" t="s">
        <v>1576</v>
      </c>
      <c r="BN201" s="29" t="s">
        <v>4611</v>
      </c>
      <c r="BO201" s="30" t="s">
        <v>186</v>
      </c>
      <c r="BP201" s="29" t="s">
        <v>4609</v>
      </c>
      <c r="BQ201" s="29" t="s">
        <v>151</v>
      </c>
      <c r="BR201" s="30" t="s">
        <v>4612</v>
      </c>
      <c r="BS201" s="30" t="s">
        <v>187</v>
      </c>
      <c r="BT201" s="30" t="s">
        <v>188</v>
      </c>
      <c r="BU201" s="35">
        <v>44515</v>
      </c>
      <c r="BV201" s="37">
        <v>8</v>
      </c>
      <c r="BW201" s="30" t="s">
        <v>192</v>
      </c>
      <c r="BX201" s="37" t="s">
        <v>151</v>
      </c>
      <c r="BY201" s="30" t="s">
        <v>151</v>
      </c>
      <c r="BZ201" s="30" t="s">
        <v>4613</v>
      </c>
      <c r="CA201" s="30" t="s">
        <v>151</v>
      </c>
      <c r="CB201" s="30" t="s">
        <v>151</v>
      </c>
      <c r="CC201" s="30" t="s">
        <v>439</v>
      </c>
      <c r="CD201" s="30" t="s">
        <v>4614</v>
      </c>
      <c r="CE201" s="30" t="s">
        <v>191</v>
      </c>
      <c r="CF201" s="35">
        <v>45363</v>
      </c>
      <c r="CG201" s="37">
        <v>29.7</v>
      </c>
      <c r="CH201" s="30" t="s">
        <v>192</v>
      </c>
      <c r="CI201" s="37">
        <v>80.7</v>
      </c>
      <c r="CJ201" s="30" t="s">
        <v>192</v>
      </c>
      <c r="CK201" s="29" t="s">
        <v>151</v>
      </c>
      <c r="CL201" s="30" t="s">
        <v>293</v>
      </c>
      <c r="CM201" s="30" t="s">
        <v>293</v>
      </c>
      <c r="CN201" s="30" t="s">
        <v>151</v>
      </c>
      <c r="CO201" s="30" t="s">
        <v>165</v>
      </c>
      <c r="CP201" s="35">
        <v>45363</v>
      </c>
      <c r="CQ201" s="37" t="s">
        <v>151</v>
      </c>
      <c r="CR201" s="30" t="s">
        <v>151</v>
      </c>
      <c r="CS201" s="30" t="s">
        <v>191</v>
      </c>
      <c r="CT201" s="29">
        <v>92</v>
      </c>
      <c r="CU201" s="30" t="s">
        <v>196</v>
      </c>
      <c r="CV201" s="32">
        <v>80</v>
      </c>
      <c r="CW201" s="32">
        <v>20</v>
      </c>
      <c r="CX201" s="30" t="s">
        <v>294</v>
      </c>
      <c r="CY201" s="32">
        <v>8</v>
      </c>
      <c r="CZ201" s="32">
        <v>72</v>
      </c>
      <c r="DA201" s="37">
        <v>80.7</v>
      </c>
      <c r="DB201" s="35">
        <v>45363</v>
      </c>
      <c r="DC201" s="30" t="s">
        <v>293</v>
      </c>
      <c r="DD201" s="29" t="s">
        <v>151</v>
      </c>
      <c r="DE201" s="32">
        <v>0.4</v>
      </c>
      <c r="DF201" s="34">
        <v>93</v>
      </c>
      <c r="DG201" s="32">
        <v>0</v>
      </c>
      <c r="DH201" s="32">
        <v>0</v>
      </c>
      <c r="DI201" s="32">
        <v>0</v>
      </c>
      <c r="DJ201" s="34">
        <v>10</v>
      </c>
      <c r="DK201" s="32" t="s">
        <v>151</v>
      </c>
      <c r="DL201" s="34" t="s">
        <v>151</v>
      </c>
      <c r="DM201" s="32">
        <v>0</v>
      </c>
      <c r="DN201" s="34">
        <v>10</v>
      </c>
      <c r="DO201" s="36">
        <v>2.25</v>
      </c>
      <c r="DP201" s="34">
        <v>69</v>
      </c>
      <c r="DQ201" s="36">
        <v>0</v>
      </c>
      <c r="DR201" s="32">
        <v>0</v>
      </c>
      <c r="DS201" s="36">
        <v>0.74</v>
      </c>
      <c r="DT201" s="34">
        <v>42</v>
      </c>
      <c r="DU201" s="36" t="s">
        <v>151</v>
      </c>
      <c r="DV201" s="34" t="s">
        <v>151</v>
      </c>
      <c r="DW201" s="36">
        <v>0.74</v>
      </c>
      <c r="DX201" s="34">
        <v>42</v>
      </c>
      <c r="DY201" s="31">
        <v>1</v>
      </c>
      <c r="DZ201" s="35">
        <v>44784</v>
      </c>
      <c r="EA201" s="35" t="s">
        <v>151</v>
      </c>
      <c r="EB201" s="34">
        <v>4</v>
      </c>
      <c r="EC201" s="33">
        <v>-22</v>
      </c>
      <c r="ED201" s="32">
        <v>-84.62</v>
      </c>
      <c r="EE201" s="34">
        <v>14</v>
      </c>
      <c r="EF201" s="33">
        <v>0</v>
      </c>
      <c r="EG201" s="32">
        <v>0</v>
      </c>
      <c r="EH201" s="29" t="s">
        <v>198</v>
      </c>
      <c r="EI201" s="30" t="s">
        <v>151</v>
      </c>
      <c r="EJ201" s="30" t="s">
        <v>151</v>
      </c>
      <c r="EK201" s="31" t="s">
        <v>151</v>
      </c>
      <c r="EL201" s="31" t="s">
        <v>151</v>
      </c>
      <c r="EM201" s="31" t="s">
        <v>151</v>
      </c>
      <c r="EN201" s="31" t="s">
        <v>151</v>
      </c>
      <c r="EO201" s="31" t="s">
        <v>151</v>
      </c>
      <c r="EP201" s="30" t="s">
        <v>151</v>
      </c>
      <c r="EQ201" s="29" t="s">
        <v>151</v>
      </c>
      <c r="ER201" s="29" t="s">
        <v>151</v>
      </c>
      <c r="ES201" s="4">
        <f>HYPERLINK("https://my.pitchbook.com?c=484338-16","View Company Online")</f>
      </c>
    </row>
    <row r="202">
      <c r="A202" s="17" t="s">
        <v>4615</v>
      </c>
      <c r="B202" s="17" t="s">
        <v>4616</v>
      </c>
      <c r="C202" s="18" t="s">
        <v>151</v>
      </c>
      <c r="D202" s="17" t="s">
        <v>151</v>
      </c>
      <c r="E202" s="17" t="s">
        <v>151</v>
      </c>
      <c r="F202" s="17" t="s">
        <v>4617</v>
      </c>
      <c r="G202" s="17" t="s">
        <v>151</v>
      </c>
      <c r="H202" s="17" t="s">
        <v>151</v>
      </c>
      <c r="I202" s="17" t="s">
        <v>4618</v>
      </c>
      <c r="J202" s="17" t="s">
        <v>4615</v>
      </c>
      <c r="K202" s="17" t="s">
        <v>4619</v>
      </c>
      <c r="L202" s="17" t="s">
        <v>205</v>
      </c>
      <c r="M202" s="17" t="s">
        <v>206</v>
      </c>
      <c r="N202" s="17" t="s">
        <v>998</v>
      </c>
      <c r="O202" s="17" t="s">
        <v>4620</v>
      </c>
      <c r="P202" s="17" t="s">
        <v>1107</v>
      </c>
      <c r="Q202" s="17" t="s">
        <v>4621</v>
      </c>
      <c r="R202" s="17" t="s">
        <v>151</v>
      </c>
      <c r="S202" s="17" t="s">
        <v>162</v>
      </c>
      <c r="T202" s="24">
        <v>13</v>
      </c>
      <c r="U202" s="17" t="s">
        <v>163</v>
      </c>
      <c r="V202" s="17" t="s">
        <v>164</v>
      </c>
      <c r="W202" s="17" t="s">
        <v>165</v>
      </c>
      <c r="X202" s="15" t="s">
        <v>4622</v>
      </c>
      <c r="Y202" s="15" t="s">
        <v>4623</v>
      </c>
      <c r="Z202" s="27">
        <v>11</v>
      </c>
      <c r="AA202" s="17" t="s">
        <v>4624</v>
      </c>
      <c r="AB202" s="17" t="s">
        <v>151</v>
      </c>
      <c r="AC202" s="17" t="s">
        <v>151</v>
      </c>
      <c r="AD202" s="26">
        <v>2017</v>
      </c>
      <c r="AE202" s="17" t="s">
        <v>151</v>
      </c>
      <c r="AF202" s="22">
        <v>45569</v>
      </c>
      <c r="AG202" s="17" t="s">
        <v>151</v>
      </c>
      <c r="AH202" s="17" t="s">
        <v>151</v>
      </c>
      <c r="AI202" s="25" t="s">
        <v>151</v>
      </c>
      <c r="AJ202" s="19" t="s">
        <v>151</v>
      </c>
      <c r="AK202" s="25" t="s">
        <v>151</v>
      </c>
      <c r="AL202" s="25" t="s">
        <v>151</v>
      </c>
      <c r="AM202" s="25" t="s">
        <v>151</v>
      </c>
      <c r="AN202" s="25" t="s">
        <v>151</v>
      </c>
      <c r="AO202" s="25" t="s">
        <v>151</v>
      </c>
      <c r="AP202" s="25" t="s">
        <v>151</v>
      </c>
      <c r="AQ202" s="25" t="s">
        <v>151</v>
      </c>
      <c r="AR202" s="16" t="s">
        <v>151</v>
      </c>
      <c r="AS202" s="17" t="s">
        <v>4625</v>
      </c>
      <c r="AT202" s="17" t="s">
        <v>4626</v>
      </c>
      <c r="AU202" s="18">
        <v>11</v>
      </c>
      <c r="AV202" s="17" t="s">
        <v>151</v>
      </c>
      <c r="AW202" s="17" t="s">
        <v>151</v>
      </c>
      <c r="AX202" s="17" t="s">
        <v>151</v>
      </c>
      <c r="AY202" s="17" t="s">
        <v>4627</v>
      </c>
      <c r="AZ202" s="17" t="s">
        <v>151</v>
      </c>
      <c r="BA202" s="17" t="s">
        <v>151</v>
      </c>
      <c r="BB202" s="17" t="s">
        <v>151</v>
      </c>
      <c r="BC202" s="17" t="s">
        <v>490</v>
      </c>
      <c r="BD202" s="17" t="s">
        <v>4628</v>
      </c>
      <c r="BE202" s="17" t="s">
        <v>4629</v>
      </c>
      <c r="BF202" s="17" t="s">
        <v>221</v>
      </c>
      <c r="BG202" s="17" t="s">
        <v>4630</v>
      </c>
      <c r="BH202" s="17" t="s">
        <v>4631</v>
      </c>
      <c r="BI202" s="17" t="s">
        <v>2652</v>
      </c>
      <c r="BJ202" s="17" t="s">
        <v>4632</v>
      </c>
      <c r="BK202" s="17" t="s">
        <v>4633</v>
      </c>
      <c r="BL202" s="17" t="s">
        <v>2654</v>
      </c>
      <c r="BM202" s="17" t="s">
        <v>1576</v>
      </c>
      <c r="BN202" s="16" t="s">
        <v>2655</v>
      </c>
      <c r="BO202" s="17" t="s">
        <v>186</v>
      </c>
      <c r="BP202" s="16" t="s">
        <v>4634</v>
      </c>
      <c r="BQ202" s="16" t="s">
        <v>151</v>
      </c>
      <c r="BR202" s="17" t="s">
        <v>4635</v>
      </c>
      <c r="BS202" s="17" t="s">
        <v>187</v>
      </c>
      <c r="BT202" s="17" t="s">
        <v>188</v>
      </c>
      <c r="BU202" s="22">
        <v>43927</v>
      </c>
      <c r="BV202" s="24">
        <v>3</v>
      </c>
      <c r="BW202" s="17" t="s">
        <v>193</v>
      </c>
      <c r="BX202" s="24">
        <v>9</v>
      </c>
      <c r="BY202" s="17" t="s">
        <v>192</v>
      </c>
      <c r="BZ202" s="17" t="s">
        <v>293</v>
      </c>
      <c r="CA202" s="17" t="s">
        <v>293</v>
      </c>
      <c r="CB202" s="17" t="s">
        <v>151</v>
      </c>
      <c r="CC202" s="17" t="s">
        <v>165</v>
      </c>
      <c r="CD202" s="17" t="s">
        <v>151</v>
      </c>
      <c r="CE202" s="17" t="s">
        <v>191</v>
      </c>
      <c r="CF202" s="22">
        <v>45244</v>
      </c>
      <c r="CG202" s="24">
        <v>10</v>
      </c>
      <c r="CH202" s="17" t="s">
        <v>192</v>
      </c>
      <c r="CI202" s="24" t="s">
        <v>151</v>
      </c>
      <c r="CJ202" s="17" t="s">
        <v>151</v>
      </c>
      <c r="CK202" s="16" t="s">
        <v>151</v>
      </c>
      <c r="CL202" s="17" t="s">
        <v>194</v>
      </c>
      <c r="CM202" s="17" t="s">
        <v>151</v>
      </c>
      <c r="CN202" s="17" t="s">
        <v>151</v>
      </c>
      <c r="CO202" s="17" t="s">
        <v>165</v>
      </c>
      <c r="CP202" s="22">
        <v>45244</v>
      </c>
      <c r="CQ202" s="24">
        <v>4.2</v>
      </c>
      <c r="CR202" s="17" t="s">
        <v>4636</v>
      </c>
      <c r="CS202" s="17" t="s">
        <v>191</v>
      </c>
      <c r="CT202" s="16">
        <v>84</v>
      </c>
      <c r="CU202" s="17" t="s">
        <v>196</v>
      </c>
      <c r="CV202" s="19">
        <v>77</v>
      </c>
      <c r="CW202" s="19">
        <v>23</v>
      </c>
      <c r="CX202" s="17" t="s">
        <v>294</v>
      </c>
      <c r="CY202" s="19">
        <v>1</v>
      </c>
      <c r="CZ202" s="19">
        <v>76</v>
      </c>
      <c r="DA202" s="24">
        <v>9</v>
      </c>
      <c r="DB202" s="22">
        <v>43927</v>
      </c>
      <c r="DC202" s="17" t="s">
        <v>293</v>
      </c>
      <c r="DD202" s="16" t="s">
        <v>151</v>
      </c>
      <c r="DE202" s="19">
        <v>1.78</v>
      </c>
      <c r="DF202" s="21">
        <v>98</v>
      </c>
      <c r="DG202" s="19">
        <v>0</v>
      </c>
      <c r="DH202" s="19">
        <v>0</v>
      </c>
      <c r="DI202" s="19">
        <v>2.31</v>
      </c>
      <c r="DJ202" s="21">
        <v>99</v>
      </c>
      <c r="DK202" s="19" t="s">
        <v>151</v>
      </c>
      <c r="DL202" s="21" t="s">
        <v>151</v>
      </c>
      <c r="DM202" s="19">
        <v>2.31</v>
      </c>
      <c r="DN202" s="21">
        <v>99</v>
      </c>
      <c r="DO202" s="23">
        <v>8.32</v>
      </c>
      <c r="DP202" s="21">
        <v>88</v>
      </c>
      <c r="DQ202" s="23">
        <v>0</v>
      </c>
      <c r="DR202" s="19">
        <v>0</v>
      </c>
      <c r="DS202" s="23">
        <v>15.79</v>
      </c>
      <c r="DT202" s="21">
        <v>93</v>
      </c>
      <c r="DU202" s="23" t="s">
        <v>151</v>
      </c>
      <c r="DV202" s="21" t="s">
        <v>151</v>
      </c>
      <c r="DW202" s="23">
        <v>15.79</v>
      </c>
      <c r="DX202" s="21">
        <v>93</v>
      </c>
      <c r="DY202" s="18" t="s">
        <v>151</v>
      </c>
      <c r="DZ202" s="22" t="s">
        <v>151</v>
      </c>
      <c r="EA202" s="22" t="s">
        <v>151</v>
      </c>
      <c r="EB202" s="21" t="s">
        <v>151</v>
      </c>
      <c r="EC202" s="20" t="s">
        <v>151</v>
      </c>
      <c r="ED202" s="19" t="s">
        <v>151</v>
      </c>
      <c r="EE202" s="21">
        <v>300</v>
      </c>
      <c r="EF202" s="20">
        <v>3</v>
      </c>
      <c r="EG202" s="19">
        <v>1.01</v>
      </c>
      <c r="EH202" s="16" t="s">
        <v>198</v>
      </c>
      <c r="EI202" s="17" t="s">
        <v>151</v>
      </c>
      <c r="EJ202" s="17" t="s">
        <v>151</v>
      </c>
      <c r="EK202" s="18" t="s">
        <v>151</v>
      </c>
      <c r="EL202" s="18" t="s">
        <v>151</v>
      </c>
      <c r="EM202" s="18" t="s">
        <v>151</v>
      </c>
      <c r="EN202" s="18" t="s">
        <v>151</v>
      </c>
      <c r="EO202" s="18" t="s">
        <v>151</v>
      </c>
      <c r="EP202" s="17" t="s">
        <v>151</v>
      </c>
      <c r="EQ202" s="16" t="s">
        <v>151</v>
      </c>
      <c r="ER202" s="16" t="s">
        <v>151</v>
      </c>
      <c r="ES202" s="3">
        <f>HYPERLINK("https://my.pitchbook.com?c=223380-64","View Company Online")</f>
      </c>
    </row>
    <row r="203">
      <c r="A203" s="30" t="s">
        <v>4637</v>
      </c>
      <c r="B203" s="30" t="s">
        <v>4638</v>
      </c>
      <c r="C203" s="31" t="s">
        <v>151</v>
      </c>
      <c r="D203" s="30" t="s">
        <v>151</v>
      </c>
      <c r="E203" s="30" t="s">
        <v>151</v>
      </c>
      <c r="F203" s="30" t="s">
        <v>4639</v>
      </c>
      <c r="G203" s="30" t="s">
        <v>151</v>
      </c>
      <c r="H203" s="30" t="s">
        <v>151</v>
      </c>
      <c r="I203" s="30" t="s">
        <v>151</v>
      </c>
      <c r="J203" s="30" t="s">
        <v>4637</v>
      </c>
      <c r="K203" s="30" t="s">
        <v>4640</v>
      </c>
      <c r="L203" s="30" t="s">
        <v>205</v>
      </c>
      <c r="M203" s="30" t="s">
        <v>206</v>
      </c>
      <c r="N203" s="30" t="s">
        <v>776</v>
      </c>
      <c r="O203" s="30" t="s">
        <v>777</v>
      </c>
      <c r="P203" s="30" t="s">
        <v>304</v>
      </c>
      <c r="Q203" s="30" t="s">
        <v>4641</v>
      </c>
      <c r="R203" s="30" t="s">
        <v>151</v>
      </c>
      <c r="S203" s="30" t="s">
        <v>162</v>
      </c>
      <c r="T203" s="37">
        <v>4.29</v>
      </c>
      <c r="U203" s="30" t="s">
        <v>163</v>
      </c>
      <c r="V203" s="30" t="s">
        <v>164</v>
      </c>
      <c r="W203" s="30" t="s">
        <v>165</v>
      </c>
      <c r="X203" s="28" t="s">
        <v>4642</v>
      </c>
      <c r="Y203" s="28" t="s">
        <v>4643</v>
      </c>
      <c r="Z203" s="40">
        <v>18</v>
      </c>
      <c r="AA203" s="30" t="s">
        <v>4644</v>
      </c>
      <c r="AB203" s="30" t="s">
        <v>151</v>
      </c>
      <c r="AC203" s="30" t="s">
        <v>151</v>
      </c>
      <c r="AD203" s="39">
        <v>2019</v>
      </c>
      <c r="AE203" s="30" t="s">
        <v>151</v>
      </c>
      <c r="AF203" s="35">
        <v>45315</v>
      </c>
      <c r="AG203" s="30" t="s">
        <v>151</v>
      </c>
      <c r="AH203" s="30" t="s">
        <v>151</v>
      </c>
      <c r="AI203" s="38" t="s">
        <v>151</v>
      </c>
      <c r="AJ203" s="32" t="s">
        <v>151</v>
      </c>
      <c r="AK203" s="38" t="s">
        <v>151</v>
      </c>
      <c r="AL203" s="38" t="s">
        <v>151</v>
      </c>
      <c r="AM203" s="38" t="s">
        <v>151</v>
      </c>
      <c r="AN203" s="38" t="s">
        <v>151</v>
      </c>
      <c r="AO203" s="38" t="s">
        <v>151</v>
      </c>
      <c r="AP203" s="38" t="s">
        <v>151</v>
      </c>
      <c r="AQ203" s="38" t="s">
        <v>151</v>
      </c>
      <c r="AR203" s="29" t="s">
        <v>151</v>
      </c>
      <c r="AS203" s="30" t="s">
        <v>4645</v>
      </c>
      <c r="AT203" s="30" t="s">
        <v>4646</v>
      </c>
      <c r="AU203" s="31">
        <v>14</v>
      </c>
      <c r="AV203" s="30" t="s">
        <v>151</v>
      </c>
      <c r="AW203" s="30" t="s">
        <v>151</v>
      </c>
      <c r="AX203" s="30" t="s">
        <v>151</v>
      </c>
      <c r="AY203" s="30" t="s">
        <v>4647</v>
      </c>
      <c r="AZ203" s="30" t="s">
        <v>151</v>
      </c>
      <c r="BA203" s="30" t="s">
        <v>151</v>
      </c>
      <c r="BB203" s="30" t="s">
        <v>1115</v>
      </c>
      <c r="BC203" s="30" t="s">
        <v>151</v>
      </c>
      <c r="BD203" s="30" t="s">
        <v>4648</v>
      </c>
      <c r="BE203" s="30" t="s">
        <v>4649</v>
      </c>
      <c r="BF203" s="30" t="s">
        <v>493</v>
      </c>
      <c r="BG203" s="30" t="s">
        <v>4650</v>
      </c>
      <c r="BH203" s="30" t="s">
        <v>4651</v>
      </c>
      <c r="BI203" s="30" t="s">
        <v>1040</v>
      </c>
      <c r="BJ203" s="30" t="s">
        <v>3782</v>
      </c>
      <c r="BK203" s="30" t="s">
        <v>2678</v>
      </c>
      <c r="BL203" s="30" t="s">
        <v>1042</v>
      </c>
      <c r="BM203" s="30" t="s">
        <v>1043</v>
      </c>
      <c r="BN203" s="29" t="s">
        <v>3783</v>
      </c>
      <c r="BO203" s="30" t="s">
        <v>186</v>
      </c>
      <c r="BP203" s="29" t="s">
        <v>4652</v>
      </c>
      <c r="BQ203" s="29" t="s">
        <v>151</v>
      </c>
      <c r="BR203" s="30" t="s">
        <v>4653</v>
      </c>
      <c r="BS203" s="30" t="s">
        <v>187</v>
      </c>
      <c r="BT203" s="30" t="s">
        <v>188</v>
      </c>
      <c r="BU203" s="35">
        <v>43801</v>
      </c>
      <c r="BV203" s="37">
        <v>0.02</v>
      </c>
      <c r="BW203" s="30" t="s">
        <v>192</v>
      </c>
      <c r="BX203" s="37">
        <v>0.33</v>
      </c>
      <c r="BY203" s="30" t="s">
        <v>192</v>
      </c>
      <c r="BZ203" s="30" t="s">
        <v>189</v>
      </c>
      <c r="CA203" s="30" t="s">
        <v>151</v>
      </c>
      <c r="CB203" s="30" t="s">
        <v>151</v>
      </c>
      <c r="CC203" s="30" t="s">
        <v>190</v>
      </c>
      <c r="CD203" s="30" t="s">
        <v>151</v>
      </c>
      <c r="CE203" s="30" t="s">
        <v>191</v>
      </c>
      <c r="CF203" s="35">
        <v>45310</v>
      </c>
      <c r="CG203" s="37">
        <v>3.89</v>
      </c>
      <c r="CH203" s="30" t="s">
        <v>192</v>
      </c>
      <c r="CI203" s="37">
        <v>11</v>
      </c>
      <c r="CJ203" s="30" t="s">
        <v>192</v>
      </c>
      <c r="CK203" s="29" t="s">
        <v>151</v>
      </c>
      <c r="CL203" s="30" t="s">
        <v>293</v>
      </c>
      <c r="CM203" s="30" t="s">
        <v>293</v>
      </c>
      <c r="CN203" s="30" t="s">
        <v>151</v>
      </c>
      <c r="CO203" s="30" t="s">
        <v>165</v>
      </c>
      <c r="CP203" s="35">
        <v>45310</v>
      </c>
      <c r="CQ203" s="37" t="s">
        <v>151</v>
      </c>
      <c r="CR203" s="30" t="s">
        <v>151</v>
      </c>
      <c r="CS203" s="30" t="s">
        <v>191</v>
      </c>
      <c r="CT203" s="29">
        <v>87</v>
      </c>
      <c r="CU203" s="30" t="s">
        <v>196</v>
      </c>
      <c r="CV203" s="32">
        <v>80</v>
      </c>
      <c r="CW203" s="32">
        <v>20</v>
      </c>
      <c r="CX203" s="30" t="s">
        <v>294</v>
      </c>
      <c r="CY203" s="32">
        <v>1</v>
      </c>
      <c r="CZ203" s="32">
        <v>79</v>
      </c>
      <c r="DA203" s="37">
        <v>11</v>
      </c>
      <c r="DB203" s="35">
        <v>45310</v>
      </c>
      <c r="DC203" s="30" t="s">
        <v>293</v>
      </c>
      <c r="DD203" s="29" t="s">
        <v>151</v>
      </c>
      <c r="DE203" s="32">
        <v>1.51</v>
      </c>
      <c r="DF203" s="34">
        <v>97</v>
      </c>
      <c r="DG203" s="32">
        <v>0</v>
      </c>
      <c r="DH203" s="32">
        <v>0</v>
      </c>
      <c r="DI203" s="32">
        <v>2.28</v>
      </c>
      <c r="DJ203" s="34">
        <v>99</v>
      </c>
      <c r="DK203" s="32">
        <v>0</v>
      </c>
      <c r="DL203" s="34">
        <v>11</v>
      </c>
      <c r="DM203" s="32">
        <v>4.55</v>
      </c>
      <c r="DN203" s="34">
        <v>100</v>
      </c>
      <c r="DO203" s="36">
        <v>3.29</v>
      </c>
      <c r="DP203" s="34">
        <v>76</v>
      </c>
      <c r="DQ203" s="36">
        <v>0</v>
      </c>
      <c r="DR203" s="32">
        <v>0</v>
      </c>
      <c r="DS203" s="36">
        <v>5.2</v>
      </c>
      <c r="DT203" s="34">
        <v>83</v>
      </c>
      <c r="DU203" s="36">
        <v>0.88</v>
      </c>
      <c r="DV203" s="34">
        <v>47</v>
      </c>
      <c r="DW203" s="36">
        <v>9.53</v>
      </c>
      <c r="DX203" s="34">
        <v>89</v>
      </c>
      <c r="DY203" s="31" t="s">
        <v>151</v>
      </c>
      <c r="DZ203" s="35" t="s">
        <v>151</v>
      </c>
      <c r="EA203" s="35" t="s">
        <v>151</v>
      </c>
      <c r="EB203" s="34">
        <v>181</v>
      </c>
      <c r="EC203" s="33">
        <v>-3</v>
      </c>
      <c r="ED203" s="32">
        <v>-1.63</v>
      </c>
      <c r="EE203" s="34">
        <v>181</v>
      </c>
      <c r="EF203" s="33">
        <v>3</v>
      </c>
      <c r="EG203" s="32">
        <v>1.69</v>
      </c>
      <c r="EH203" s="29" t="s">
        <v>198</v>
      </c>
      <c r="EI203" s="30" t="s">
        <v>151</v>
      </c>
      <c r="EJ203" s="30" t="s">
        <v>151</v>
      </c>
      <c r="EK203" s="31" t="s">
        <v>151</v>
      </c>
      <c r="EL203" s="31" t="s">
        <v>151</v>
      </c>
      <c r="EM203" s="31" t="s">
        <v>151</v>
      </c>
      <c r="EN203" s="31" t="s">
        <v>151</v>
      </c>
      <c r="EO203" s="31" t="s">
        <v>151</v>
      </c>
      <c r="EP203" s="30" t="s">
        <v>151</v>
      </c>
      <c r="EQ203" s="29" t="s">
        <v>151</v>
      </c>
      <c r="ER203" s="29" t="s">
        <v>151</v>
      </c>
      <c r="ES203" s="4">
        <f>HYPERLINK("https://my.pitchbook.com?c=432657-46","View Company Online")</f>
      </c>
    </row>
    <row r="204">
      <c r="A204" s="17" t="s">
        <v>4654</v>
      </c>
      <c r="B204" s="17" t="s">
        <v>4655</v>
      </c>
      <c r="C204" s="18" t="s">
        <v>151</v>
      </c>
      <c r="D204" s="17" t="s">
        <v>151</v>
      </c>
      <c r="E204" s="17" t="s">
        <v>4656</v>
      </c>
      <c r="F204" s="17" t="s">
        <v>4657</v>
      </c>
      <c r="G204" s="17" t="s">
        <v>151</v>
      </c>
      <c r="H204" s="17" t="s">
        <v>151</v>
      </c>
      <c r="I204" s="17" t="s">
        <v>151</v>
      </c>
      <c r="J204" s="17" t="s">
        <v>4654</v>
      </c>
      <c r="K204" s="17" t="s">
        <v>4658</v>
      </c>
      <c r="L204" s="17" t="s">
        <v>155</v>
      </c>
      <c r="M204" s="17" t="s">
        <v>2320</v>
      </c>
      <c r="N204" s="17" t="s">
        <v>2321</v>
      </c>
      <c r="O204" s="17" t="s">
        <v>4659</v>
      </c>
      <c r="P204" s="17" t="s">
        <v>151</v>
      </c>
      <c r="Q204" s="17" t="s">
        <v>4660</v>
      </c>
      <c r="R204" s="17" t="s">
        <v>151</v>
      </c>
      <c r="S204" s="17" t="s">
        <v>162</v>
      </c>
      <c r="T204" s="24">
        <v>1.57</v>
      </c>
      <c r="U204" s="17" t="s">
        <v>163</v>
      </c>
      <c r="V204" s="17" t="s">
        <v>164</v>
      </c>
      <c r="W204" s="17" t="s">
        <v>165</v>
      </c>
      <c r="X204" s="15" t="s">
        <v>4661</v>
      </c>
      <c r="Y204" s="15" t="s">
        <v>4662</v>
      </c>
      <c r="Z204" s="27">
        <v>6</v>
      </c>
      <c r="AA204" s="17" t="s">
        <v>4663</v>
      </c>
      <c r="AB204" s="17" t="s">
        <v>151</v>
      </c>
      <c r="AC204" s="17" t="s">
        <v>151</v>
      </c>
      <c r="AD204" s="26">
        <v>2022</v>
      </c>
      <c r="AE204" s="17" t="s">
        <v>151</v>
      </c>
      <c r="AF204" s="22">
        <v>45569</v>
      </c>
      <c r="AG204" s="17" t="s">
        <v>151</v>
      </c>
      <c r="AH204" s="17" t="s">
        <v>151</v>
      </c>
      <c r="AI204" s="25" t="s">
        <v>151</v>
      </c>
      <c r="AJ204" s="19" t="s">
        <v>151</v>
      </c>
      <c r="AK204" s="25" t="s">
        <v>151</v>
      </c>
      <c r="AL204" s="25" t="s">
        <v>151</v>
      </c>
      <c r="AM204" s="25" t="s">
        <v>151</v>
      </c>
      <c r="AN204" s="25" t="s">
        <v>151</v>
      </c>
      <c r="AO204" s="25" t="s">
        <v>151</v>
      </c>
      <c r="AP204" s="25" t="s">
        <v>151</v>
      </c>
      <c r="AQ204" s="25" t="s">
        <v>151</v>
      </c>
      <c r="AR204" s="16" t="s">
        <v>151</v>
      </c>
      <c r="AS204" s="17" t="s">
        <v>4664</v>
      </c>
      <c r="AT204" s="17" t="s">
        <v>4665</v>
      </c>
      <c r="AU204" s="18">
        <v>3</v>
      </c>
      <c r="AV204" s="17" t="s">
        <v>151</v>
      </c>
      <c r="AW204" s="17" t="s">
        <v>151</v>
      </c>
      <c r="AX204" s="17" t="s">
        <v>151</v>
      </c>
      <c r="AY204" s="17" t="s">
        <v>4666</v>
      </c>
      <c r="AZ204" s="17" t="s">
        <v>151</v>
      </c>
      <c r="BA204" s="17" t="s">
        <v>151</v>
      </c>
      <c r="BB204" s="17" t="s">
        <v>151</v>
      </c>
      <c r="BC204" s="17" t="s">
        <v>151</v>
      </c>
      <c r="BD204" s="17" t="s">
        <v>4667</v>
      </c>
      <c r="BE204" s="17" t="s">
        <v>4668</v>
      </c>
      <c r="BF204" s="17" t="s">
        <v>221</v>
      </c>
      <c r="BG204" s="17" t="s">
        <v>151</v>
      </c>
      <c r="BH204" s="17" t="s">
        <v>151</v>
      </c>
      <c r="BI204" s="17" t="s">
        <v>4669</v>
      </c>
      <c r="BJ204" s="17" t="s">
        <v>4670</v>
      </c>
      <c r="BK204" s="17" t="s">
        <v>151</v>
      </c>
      <c r="BL204" s="17" t="s">
        <v>4671</v>
      </c>
      <c r="BM204" s="17" t="s">
        <v>4672</v>
      </c>
      <c r="BN204" s="16" t="s">
        <v>4673</v>
      </c>
      <c r="BO204" s="17" t="s">
        <v>186</v>
      </c>
      <c r="BP204" s="16" t="s">
        <v>151</v>
      </c>
      <c r="BQ204" s="16" t="s">
        <v>151</v>
      </c>
      <c r="BR204" s="17" t="s">
        <v>4674</v>
      </c>
      <c r="BS204" s="17" t="s">
        <v>187</v>
      </c>
      <c r="BT204" s="17" t="s">
        <v>188</v>
      </c>
      <c r="BU204" s="22">
        <v>45015</v>
      </c>
      <c r="BV204" s="24">
        <v>0.07</v>
      </c>
      <c r="BW204" s="17" t="s">
        <v>192</v>
      </c>
      <c r="BX204" s="24" t="s">
        <v>151</v>
      </c>
      <c r="BY204" s="17" t="s">
        <v>151</v>
      </c>
      <c r="BZ204" s="17" t="s">
        <v>189</v>
      </c>
      <c r="CA204" s="17" t="s">
        <v>151</v>
      </c>
      <c r="CB204" s="17" t="s">
        <v>151</v>
      </c>
      <c r="CC204" s="17" t="s">
        <v>190</v>
      </c>
      <c r="CD204" s="17" t="s">
        <v>151</v>
      </c>
      <c r="CE204" s="17" t="s">
        <v>191</v>
      </c>
      <c r="CF204" s="22">
        <v>45181</v>
      </c>
      <c r="CG204" s="24">
        <v>1.5</v>
      </c>
      <c r="CH204" s="17" t="s">
        <v>192</v>
      </c>
      <c r="CI204" s="24">
        <v>8</v>
      </c>
      <c r="CJ204" s="17" t="s">
        <v>192</v>
      </c>
      <c r="CK204" s="16" t="s">
        <v>151</v>
      </c>
      <c r="CL204" s="17" t="s">
        <v>231</v>
      </c>
      <c r="CM204" s="17" t="s">
        <v>151</v>
      </c>
      <c r="CN204" s="17" t="s">
        <v>151</v>
      </c>
      <c r="CO204" s="17" t="s">
        <v>165</v>
      </c>
      <c r="CP204" s="22">
        <v>45181</v>
      </c>
      <c r="CQ204" s="24" t="s">
        <v>151</v>
      </c>
      <c r="CR204" s="17" t="s">
        <v>4675</v>
      </c>
      <c r="CS204" s="17" t="s">
        <v>191</v>
      </c>
      <c r="CT204" s="16" t="s">
        <v>151</v>
      </c>
      <c r="CU204" s="17" t="s">
        <v>151</v>
      </c>
      <c r="CV204" s="19" t="s">
        <v>151</v>
      </c>
      <c r="CW204" s="19" t="s">
        <v>151</v>
      </c>
      <c r="CX204" s="17" t="s">
        <v>151</v>
      </c>
      <c r="CY204" s="19" t="s">
        <v>151</v>
      </c>
      <c r="CZ204" s="19" t="s">
        <v>151</v>
      </c>
      <c r="DA204" s="24">
        <v>8</v>
      </c>
      <c r="DB204" s="22">
        <v>45181</v>
      </c>
      <c r="DC204" s="17" t="s">
        <v>231</v>
      </c>
      <c r="DD204" s="16" t="s">
        <v>151</v>
      </c>
      <c r="DE204" s="19">
        <v>2.5</v>
      </c>
      <c r="DF204" s="21">
        <v>99</v>
      </c>
      <c r="DG204" s="19">
        <v>0</v>
      </c>
      <c r="DH204" s="19">
        <v>0</v>
      </c>
      <c r="DI204" s="19" t="s">
        <v>151</v>
      </c>
      <c r="DJ204" s="21" t="s">
        <v>151</v>
      </c>
      <c r="DK204" s="19" t="s">
        <v>151</v>
      </c>
      <c r="DL204" s="21" t="s">
        <v>151</v>
      </c>
      <c r="DM204" s="19" t="s">
        <v>151</v>
      </c>
      <c r="DN204" s="21" t="s">
        <v>151</v>
      </c>
      <c r="DO204" s="23">
        <v>0.46</v>
      </c>
      <c r="DP204" s="21">
        <v>31</v>
      </c>
      <c r="DQ204" s="23">
        <v>0</v>
      </c>
      <c r="DR204" s="19">
        <v>0</v>
      </c>
      <c r="DS204" s="23" t="s">
        <v>151</v>
      </c>
      <c r="DT204" s="21" t="s">
        <v>151</v>
      </c>
      <c r="DU204" s="23" t="s">
        <v>151</v>
      </c>
      <c r="DV204" s="21" t="s">
        <v>151</v>
      </c>
      <c r="DW204" s="23" t="s">
        <v>151</v>
      </c>
      <c r="DX204" s="21" t="s">
        <v>151</v>
      </c>
      <c r="DY204" s="18" t="s">
        <v>151</v>
      </c>
      <c r="DZ204" s="22" t="s">
        <v>151</v>
      </c>
      <c r="EA204" s="22" t="s">
        <v>151</v>
      </c>
      <c r="EB204" s="21">
        <v>1320</v>
      </c>
      <c r="EC204" s="20">
        <v>-110</v>
      </c>
      <c r="ED204" s="19">
        <v>-7.69</v>
      </c>
      <c r="EE204" s="21" t="s">
        <v>151</v>
      </c>
      <c r="EF204" s="20" t="s">
        <v>151</v>
      </c>
      <c r="EG204" s="19" t="s">
        <v>151</v>
      </c>
      <c r="EH204" s="16" t="s">
        <v>198</v>
      </c>
      <c r="EI204" s="17" t="s">
        <v>151</v>
      </c>
      <c r="EJ204" s="17" t="s">
        <v>151</v>
      </c>
      <c r="EK204" s="18" t="s">
        <v>151</v>
      </c>
      <c r="EL204" s="18" t="s">
        <v>151</v>
      </c>
      <c r="EM204" s="18" t="s">
        <v>151</v>
      </c>
      <c r="EN204" s="18" t="s">
        <v>151</v>
      </c>
      <c r="EO204" s="18" t="s">
        <v>151</v>
      </c>
      <c r="EP204" s="17" t="s">
        <v>151</v>
      </c>
      <c r="EQ204" s="16" t="s">
        <v>151</v>
      </c>
      <c r="ER204" s="16" t="s">
        <v>151</v>
      </c>
      <c r="ES204" s="3">
        <f>HYPERLINK("https://my.pitchbook.com?c=528710-68","View Company Online")</f>
      </c>
    </row>
    <row r="205">
      <c r="A205" s="30" t="s">
        <v>4676</v>
      </c>
      <c r="B205" s="30" t="s">
        <v>4677</v>
      </c>
      <c r="C205" s="31" t="s">
        <v>151</v>
      </c>
      <c r="D205" s="30" t="s">
        <v>4678</v>
      </c>
      <c r="E205" s="30" t="s">
        <v>4679</v>
      </c>
      <c r="F205" s="30" t="s">
        <v>4680</v>
      </c>
      <c r="G205" s="30" t="s">
        <v>151</v>
      </c>
      <c r="H205" s="30" t="s">
        <v>151</v>
      </c>
      <c r="I205" s="30" t="s">
        <v>151</v>
      </c>
      <c r="J205" s="30" t="s">
        <v>4676</v>
      </c>
      <c r="K205" s="30" t="s">
        <v>4681</v>
      </c>
      <c r="L205" s="30" t="s">
        <v>205</v>
      </c>
      <c r="M205" s="30" t="s">
        <v>206</v>
      </c>
      <c r="N205" s="30" t="s">
        <v>776</v>
      </c>
      <c r="O205" s="30" t="s">
        <v>4682</v>
      </c>
      <c r="P205" s="30" t="s">
        <v>4683</v>
      </c>
      <c r="Q205" s="30" t="s">
        <v>4684</v>
      </c>
      <c r="R205" s="30" t="s">
        <v>151</v>
      </c>
      <c r="S205" s="30" t="s">
        <v>162</v>
      </c>
      <c r="T205" s="37">
        <v>21.5</v>
      </c>
      <c r="U205" s="30" t="s">
        <v>163</v>
      </c>
      <c r="V205" s="30" t="s">
        <v>164</v>
      </c>
      <c r="W205" s="30" t="s">
        <v>165</v>
      </c>
      <c r="X205" s="28" t="s">
        <v>4685</v>
      </c>
      <c r="Y205" s="28" t="s">
        <v>4686</v>
      </c>
      <c r="Z205" s="40">
        <v>43</v>
      </c>
      <c r="AA205" s="30" t="s">
        <v>4687</v>
      </c>
      <c r="AB205" s="30" t="s">
        <v>151</v>
      </c>
      <c r="AC205" s="30" t="s">
        <v>151</v>
      </c>
      <c r="AD205" s="39">
        <v>2021</v>
      </c>
      <c r="AE205" s="30" t="s">
        <v>151</v>
      </c>
      <c r="AF205" s="35">
        <v>45617</v>
      </c>
      <c r="AG205" s="30" t="s">
        <v>4688</v>
      </c>
      <c r="AH205" s="30" t="s">
        <v>4688</v>
      </c>
      <c r="AI205" s="38" t="s">
        <v>151</v>
      </c>
      <c r="AJ205" s="32" t="s">
        <v>151</v>
      </c>
      <c r="AK205" s="38" t="s">
        <v>151</v>
      </c>
      <c r="AL205" s="38" t="s">
        <v>151</v>
      </c>
      <c r="AM205" s="38" t="s">
        <v>151</v>
      </c>
      <c r="AN205" s="38" t="s">
        <v>151</v>
      </c>
      <c r="AO205" s="38" t="s">
        <v>151</v>
      </c>
      <c r="AP205" s="38" t="s">
        <v>151</v>
      </c>
      <c r="AQ205" s="38" t="s">
        <v>151</v>
      </c>
      <c r="AR205" s="29" t="s">
        <v>151</v>
      </c>
      <c r="AS205" s="30" t="s">
        <v>4689</v>
      </c>
      <c r="AT205" s="30" t="s">
        <v>4690</v>
      </c>
      <c r="AU205" s="31">
        <v>5</v>
      </c>
      <c r="AV205" s="30" t="s">
        <v>151</v>
      </c>
      <c r="AW205" s="30" t="s">
        <v>151</v>
      </c>
      <c r="AX205" s="30" t="s">
        <v>151</v>
      </c>
      <c r="AY205" s="30" t="s">
        <v>4691</v>
      </c>
      <c r="AZ205" s="30" t="s">
        <v>151</v>
      </c>
      <c r="BA205" s="30" t="s">
        <v>151</v>
      </c>
      <c r="BB205" s="30" t="s">
        <v>151</v>
      </c>
      <c r="BC205" s="30" t="s">
        <v>1115</v>
      </c>
      <c r="BD205" s="30" t="s">
        <v>4692</v>
      </c>
      <c r="BE205" s="30" t="s">
        <v>4693</v>
      </c>
      <c r="BF205" s="30" t="s">
        <v>493</v>
      </c>
      <c r="BG205" s="30" t="s">
        <v>4694</v>
      </c>
      <c r="BH205" s="30" t="s">
        <v>4695</v>
      </c>
      <c r="BI205" s="30" t="s">
        <v>764</v>
      </c>
      <c r="BJ205" s="30" t="s">
        <v>4696</v>
      </c>
      <c r="BK205" s="30" t="s">
        <v>4697</v>
      </c>
      <c r="BL205" s="30" t="s">
        <v>767</v>
      </c>
      <c r="BM205" s="30" t="s">
        <v>184</v>
      </c>
      <c r="BN205" s="29" t="s">
        <v>4698</v>
      </c>
      <c r="BO205" s="30" t="s">
        <v>186</v>
      </c>
      <c r="BP205" s="29" t="s">
        <v>4699</v>
      </c>
      <c r="BQ205" s="29" t="s">
        <v>151</v>
      </c>
      <c r="BR205" s="30" t="s">
        <v>4700</v>
      </c>
      <c r="BS205" s="30" t="s">
        <v>187</v>
      </c>
      <c r="BT205" s="30" t="s">
        <v>188</v>
      </c>
      <c r="BU205" s="35">
        <v>44316</v>
      </c>
      <c r="BV205" s="37">
        <v>2.5</v>
      </c>
      <c r="BW205" s="30" t="s">
        <v>192</v>
      </c>
      <c r="BX205" s="37">
        <v>8.5</v>
      </c>
      <c r="BY205" s="30" t="s">
        <v>192</v>
      </c>
      <c r="BZ205" s="30" t="s">
        <v>293</v>
      </c>
      <c r="CA205" s="30" t="s">
        <v>293</v>
      </c>
      <c r="CB205" s="30" t="s">
        <v>151</v>
      </c>
      <c r="CC205" s="30" t="s">
        <v>165</v>
      </c>
      <c r="CD205" s="30" t="s">
        <v>151</v>
      </c>
      <c r="CE205" s="30" t="s">
        <v>191</v>
      </c>
      <c r="CF205" s="35">
        <v>45615</v>
      </c>
      <c r="CG205" s="37">
        <v>14</v>
      </c>
      <c r="CH205" s="30" t="s">
        <v>192</v>
      </c>
      <c r="CI205" s="37" t="s">
        <v>151</v>
      </c>
      <c r="CJ205" s="30" t="s">
        <v>151</v>
      </c>
      <c r="CK205" s="29" t="s">
        <v>151</v>
      </c>
      <c r="CL205" s="30" t="s">
        <v>231</v>
      </c>
      <c r="CM205" s="30" t="s">
        <v>151</v>
      </c>
      <c r="CN205" s="30" t="s">
        <v>151</v>
      </c>
      <c r="CO205" s="30" t="s">
        <v>165</v>
      </c>
      <c r="CP205" s="35">
        <v>45615</v>
      </c>
      <c r="CQ205" s="37" t="s">
        <v>151</v>
      </c>
      <c r="CR205" s="30" t="s">
        <v>151</v>
      </c>
      <c r="CS205" s="30" t="s">
        <v>191</v>
      </c>
      <c r="CT205" s="29">
        <v>91</v>
      </c>
      <c r="CU205" s="30" t="s">
        <v>196</v>
      </c>
      <c r="CV205" s="32">
        <v>84</v>
      </c>
      <c r="CW205" s="32">
        <v>16</v>
      </c>
      <c r="CX205" s="30" t="s">
        <v>294</v>
      </c>
      <c r="CY205" s="32">
        <v>1</v>
      </c>
      <c r="CZ205" s="32">
        <v>83</v>
      </c>
      <c r="DA205" s="37">
        <v>21</v>
      </c>
      <c r="DB205" s="35">
        <v>44834</v>
      </c>
      <c r="DC205" s="30" t="s">
        <v>293</v>
      </c>
      <c r="DD205" s="29">
        <v>1.88</v>
      </c>
      <c r="DE205" s="32">
        <v>1.15</v>
      </c>
      <c r="DF205" s="34">
        <v>97</v>
      </c>
      <c r="DG205" s="32">
        <v>0</v>
      </c>
      <c r="DH205" s="32">
        <v>0</v>
      </c>
      <c r="DI205" s="32">
        <v>1.39</v>
      </c>
      <c r="DJ205" s="34">
        <v>97</v>
      </c>
      <c r="DK205" s="32" t="s">
        <v>151</v>
      </c>
      <c r="DL205" s="34" t="s">
        <v>151</v>
      </c>
      <c r="DM205" s="32">
        <v>1.39</v>
      </c>
      <c r="DN205" s="34">
        <v>97</v>
      </c>
      <c r="DO205" s="36">
        <v>59.15</v>
      </c>
      <c r="DP205" s="34">
        <v>98</v>
      </c>
      <c r="DQ205" s="36">
        <v>0</v>
      </c>
      <c r="DR205" s="32">
        <v>0</v>
      </c>
      <c r="DS205" s="36">
        <v>115</v>
      </c>
      <c r="DT205" s="34">
        <v>99</v>
      </c>
      <c r="DU205" s="36" t="s">
        <v>151</v>
      </c>
      <c r="DV205" s="34" t="s">
        <v>151</v>
      </c>
      <c r="DW205" s="36">
        <v>115</v>
      </c>
      <c r="DX205" s="34">
        <v>100</v>
      </c>
      <c r="DY205" s="31" t="s">
        <v>151</v>
      </c>
      <c r="DZ205" s="35" t="s">
        <v>151</v>
      </c>
      <c r="EA205" s="35" t="s">
        <v>151</v>
      </c>
      <c r="EB205" s="34">
        <v>15695</v>
      </c>
      <c r="EC205" s="33">
        <v>-68</v>
      </c>
      <c r="ED205" s="32">
        <v>-0.43</v>
      </c>
      <c r="EE205" s="34">
        <v>2185</v>
      </c>
      <c r="EF205" s="33">
        <v>16</v>
      </c>
      <c r="EG205" s="32">
        <v>0.74</v>
      </c>
      <c r="EH205" s="29" t="s">
        <v>198</v>
      </c>
      <c r="EI205" s="30" t="s">
        <v>151</v>
      </c>
      <c r="EJ205" s="30" t="s">
        <v>151</v>
      </c>
      <c r="EK205" s="31" t="s">
        <v>151</v>
      </c>
      <c r="EL205" s="31" t="s">
        <v>151</v>
      </c>
      <c r="EM205" s="31" t="s">
        <v>151</v>
      </c>
      <c r="EN205" s="31" t="s">
        <v>151</v>
      </c>
      <c r="EO205" s="31" t="s">
        <v>151</v>
      </c>
      <c r="EP205" s="30" t="s">
        <v>151</v>
      </c>
      <c r="EQ205" s="29" t="s">
        <v>151</v>
      </c>
      <c r="ER205" s="29" t="s">
        <v>151</v>
      </c>
      <c r="ES205" s="4">
        <f>HYPERLINK("https://my.pitchbook.com?c=470727-28","View Company Online")</f>
      </c>
    </row>
    <row r="206">
      <c r="A206" s="17" t="s">
        <v>4701</v>
      </c>
      <c r="B206" s="17" t="s">
        <v>4702</v>
      </c>
      <c r="C206" s="18" t="s">
        <v>151</v>
      </c>
      <c r="D206" s="17" t="s">
        <v>4703</v>
      </c>
      <c r="E206" s="17" t="s">
        <v>151</v>
      </c>
      <c r="F206" s="17" t="s">
        <v>4704</v>
      </c>
      <c r="G206" s="17" t="s">
        <v>151</v>
      </c>
      <c r="H206" s="17" t="s">
        <v>151</v>
      </c>
      <c r="I206" s="17" t="s">
        <v>151</v>
      </c>
      <c r="J206" s="17" t="s">
        <v>4701</v>
      </c>
      <c r="K206" s="17" t="s">
        <v>4705</v>
      </c>
      <c r="L206" s="17" t="s">
        <v>205</v>
      </c>
      <c r="M206" s="17" t="s">
        <v>206</v>
      </c>
      <c r="N206" s="17" t="s">
        <v>269</v>
      </c>
      <c r="O206" s="17" t="s">
        <v>4706</v>
      </c>
      <c r="P206" s="17" t="s">
        <v>4707</v>
      </c>
      <c r="Q206" s="17" t="s">
        <v>4708</v>
      </c>
      <c r="R206" s="17" t="s">
        <v>151</v>
      </c>
      <c r="S206" s="17" t="s">
        <v>162</v>
      </c>
      <c r="T206" s="24">
        <v>7.75</v>
      </c>
      <c r="U206" s="17" t="s">
        <v>163</v>
      </c>
      <c r="V206" s="17" t="s">
        <v>164</v>
      </c>
      <c r="W206" s="17" t="s">
        <v>165</v>
      </c>
      <c r="X206" s="15" t="s">
        <v>4709</v>
      </c>
      <c r="Y206" s="15" t="s">
        <v>4710</v>
      </c>
      <c r="Z206" s="27">
        <v>45</v>
      </c>
      <c r="AA206" s="17" t="s">
        <v>4711</v>
      </c>
      <c r="AB206" s="17" t="s">
        <v>151</v>
      </c>
      <c r="AC206" s="17" t="s">
        <v>151</v>
      </c>
      <c r="AD206" s="26">
        <v>2020</v>
      </c>
      <c r="AE206" s="17" t="s">
        <v>151</v>
      </c>
      <c r="AF206" s="22">
        <v>45469</v>
      </c>
      <c r="AG206" s="17" t="s">
        <v>151</v>
      </c>
      <c r="AH206" s="17" t="s">
        <v>151</v>
      </c>
      <c r="AI206" s="25" t="s">
        <v>151</v>
      </c>
      <c r="AJ206" s="19" t="s">
        <v>151</v>
      </c>
      <c r="AK206" s="25" t="s">
        <v>151</v>
      </c>
      <c r="AL206" s="25" t="s">
        <v>151</v>
      </c>
      <c r="AM206" s="25" t="s">
        <v>151</v>
      </c>
      <c r="AN206" s="25" t="s">
        <v>151</v>
      </c>
      <c r="AO206" s="25" t="s">
        <v>151</v>
      </c>
      <c r="AP206" s="25" t="s">
        <v>151</v>
      </c>
      <c r="AQ206" s="25" t="s">
        <v>151</v>
      </c>
      <c r="AR206" s="16" t="s">
        <v>151</v>
      </c>
      <c r="AS206" s="17" t="s">
        <v>4712</v>
      </c>
      <c r="AT206" s="17" t="s">
        <v>4713</v>
      </c>
      <c r="AU206" s="18">
        <v>6</v>
      </c>
      <c r="AV206" s="17" t="s">
        <v>151</v>
      </c>
      <c r="AW206" s="17" t="s">
        <v>151</v>
      </c>
      <c r="AX206" s="17" t="s">
        <v>151</v>
      </c>
      <c r="AY206" s="17" t="s">
        <v>4714</v>
      </c>
      <c r="AZ206" s="17" t="s">
        <v>151</v>
      </c>
      <c r="BA206" s="17" t="s">
        <v>151</v>
      </c>
      <c r="BB206" s="17" t="s">
        <v>151</v>
      </c>
      <c r="BC206" s="17" t="s">
        <v>601</v>
      </c>
      <c r="BD206" s="17" t="s">
        <v>4715</v>
      </c>
      <c r="BE206" s="17" t="s">
        <v>4716</v>
      </c>
      <c r="BF206" s="17" t="s">
        <v>221</v>
      </c>
      <c r="BG206" s="17" t="s">
        <v>4717</v>
      </c>
      <c r="BH206" s="17" t="s">
        <v>4718</v>
      </c>
      <c r="BI206" s="17" t="s">
        <v>934</v>
      </c>
      <c r="BJ206" s="17" t="s">
        <v>151</v>
      </c>
      <c r="BK206" s="17" t="s">
        <v>151</v>
      </c>
      <c r="BL206" s="17" t="s">
        <v>937</v>
      </c>
      <c r="BM206" s="17" t="s">
        <v>184</v>
      </c>
      <c r="BN206" s="16" t="s">
        <v>4719</v>
      </c>
      <c r="BO206" s="17" t="s">
        <v>186</v>
      </c>
      <c r="BP206" s="16" t="s">
        <v>4718</v>
      </c>
      <c r="BQ206" s="16" t="s">
        <v>151</v>
      </c>
      <c r="BR206" s="17" t="s">
        <v>4720</v>
      </c>
      <c r="BS206" s="17" t="s">
        <v>187</v>
      </c>
      <c r="BT206" s="17" t="s">
        <v>188</v>
      </c>
      <c r="BU206" s="22">
        <v>44069</v>
      </c>
      <c r="BV206" s="24">
        <v>0.15</v>
      </c>
      <c r="BW206" s="17" t="s">
        <v>192</v>
      </c>
      <c r="BX206" s="24">
        <v>2.14</v>
      </c>
      <c r="BY206" s="17" t="s">
        <v>192</v>
      </c>
      <c r="BZ206" s="17" t="s">
        <v>189</v>
      </c>
      <c r="CA206" s="17" t="s">
        <v>151</v>
      </c>
      <c r="CB206" s="17" t="s">
        <v>151</v>
      </c>
      <c r="CC206" s="17" t="s">
        <v>190</v>
      </c>
      <c r="CD206" s="17" t="s">
        <v>151</v>
      </c>
      <c r="CE206" s="17" t="s">
        <v>191</v>
      </c>
      <c r="CF206" s="22">
        <v>45352</v>
      </c>
      <c r="CG206" s="24" t="s">
        <v>151</v>
      </c>
      <c r="CH206" s="17" t="s">
        <v>151</v>
      </c>
      <c r="CI206" s="24" t="s">
        <v>151</v>
      </c>
      <c r="CJ206" s="17" t="s">
        <v>151</v>
      </c>
      <c r="CK206" s="16" t="s">
        <v>151</v>
      </c>
      <c r="CL206" s="17" t="s">
        <v>231</v>
      </c>
      <c r="CM206" s="17" t="s">
        <v>151</v>
      </c>
      <c r="CN206" s="17" t="s">
        <v>151</v>
      </c>
      <c r="CO206" s="17" t="s">
        <v>165</v>
      </c>
      <c r="CP206" s="22">
        <v>45352</v>
      </c>
      <c r="CQ206" s="24" t="s">
        <v>151</v>
      </c>
      <c r="CR206" s="17" t="s">
        <v>151</v>
      </c>
      <c r="CS206" s="17" t="s">
        <v>191</v>
      </c>
      <c r="CT206" s="16">
        <v>71</v>
      </c>
      <c r="CU206" s="17" t="s">
        <v>196</v>
      </c>
      <c r="CV206" s="19">
        <v>66</v>
      </c>
      <c r="CW206" s="19">
        <v>34</v>
      </c>
      <c r="CX206" s="17" t="s">
        <v>294</v>
      </c>
      <c r="CY206" s="19">
        <v>1</v>
      </c>
      <c r="CZ206" s="19">
        <v>65</v>
      </c>
      <c r="DA206" s="24">
        <v>19.96</v>
      </c>
      <c r="DB206" s="22">
        <v>44908</v>
      </c>
      <c r="DC206" s="17" t="s">
        <v>293</v>
      </c>
      <c r="DD206" s="16" t="s">
        <v>151</v>
      </c>
      <c r="DE206" s="19">
        <v>2.64</v>
      </c>
      <c r="DF206" s="21">
        <v>99</v>
      </c>
      <c r="DG206" s="19">
        <v>0</v>
      </c>
      <c r="DH206" s="19">
        <v>0</v>
      </c>
      <c r="DI206" s="19">
        <v>4.41</v>
      </c>
      <c r="DJ206" s="21">
        <v>100</v>
      </c>
      <c r="DK206" s="19" t="s">
        <v>151</v>
      </c>
      <c r="DL206" s="21" t="s">
        <v>151</v>
      </c>
      <c r="DM206" s="19">
        <v>4.41</v>
      </c>
      <c r="DN206" s="21">
        <v>100</v>
      </c>
      <c r="DO206" s="23">
        <v>9.7</v>
      </c>
      <c r="DP206" s="21">
        <v>90</v>
      </c>
      <c r="DQ206" s="23">
        <v>0</v>
      </c>
      <c r="DR206" s="19">
        <v>0</v>
      </c>
      <c r="DS206" s="23">
        <v>15.95</v>
      </c>
      <c r="DT206" s="21">
        <v>94</v>
      </c>
      <c r="DU206" s="23" t="s">
        <v>151</v>
      </c>
      <c r="DV206" s="21" t="s">
        <v>151</v>
      </c>
      <c r="DW206" s="23">
        <v>15.95</v>
      </c>
      <c r="DX206" s="21">
        <v>93</v>
      </c>
      <c r="DY206" s="18" t="s">
        <v>151</v>
      </c>
      <c r="DZ206" s="22" t="s">
        <v>151</v>
      </c>
      <c r="EA206" s="22" t="s">
        <v>151</v>
      </c>
      <c r="EB206" s="21">
        <v>9963</v>
      </c>
      <c r="EC206" s="20">
        <v>1683</v>
      </c>
      <c r="ED206" s="19">
        <v>20.33</v>
      </c>
      <c r="EE206" s="21">
        <v>303</v>
      </c>
      <c r="EF206" s="20">
        <v>-1</v>
      </c>
      <c r="EG206" s="19">
        <v>-0.33</v>
      </c>
      <c r="EH206" s="16" t="s">
        <v>198</v>
      </c>
      <c r="EI206" s="17" t="s">
        <v>151</v>
      </c>
      <c r="EJ206" s="17" t="s">
        <v>151</v>
      </c>
      <c r="EK206" s="18" t="s">
        <v>151</v>
      </c>
      <c r="EL206" s="18" t="s">
        <v>151</v>
      </c>
      <c r="EM206" s="18" t="s">
        <v>151</v>
      </c>
      <c r="EN206" s="18" t="s">
        <v>151</v>
      </c>
      <c r="EO206" s="18" t="s">
        <v>151</v>
      </c>
      <c r="EP206" s="17" t="s">
        <v>151</v>
      </c>
      <c r="EQ206" s="16" t="s">
        <v>151</v>
      </c>
      <c r="ER206" s="16" t="s">
        <v>151</v>
      </c>
      <c r="ES206" s="3">
        <f>HYPERLINK("https://my.pitchbook.com?c=439508-26","View Company Online")</f>
      </c>
    </row>
    <row r="207">
      <c r="A207" s="30" t="s">
        <v>4721</v>
      </c>
      <c r="B207" s="30" t="s">
        <v>4722</v>
      </c>
      <c r="C207" s="31" t="s">
        <v>151</v>
      </c>
      <c r="D207" s="30" t="s">
        <v>151</v>
      </c>
      <c r="E207" s="30" t="s">
        <v>4723</v>
      </c>
      <c r="F207" s="30" t="s">
        <v>4724</v>
      </c>
      <c r="G207" s="30" t="s">
        <v>151</v>
      </c>
      <c r="H207" s="30" t="s">
        <v>151</v>
      </c>
      <c r="I207" s="30" t="s">
        <v>151</v>
      </c>
      <c r="J207" s="30" t="s">
        <v>4721</v>
      </c>
      <c r="K207" s="30" t="s">
        <v>4725</v>
      </c>
      <c r="L207" s="30" t="s">
        <v>205</v>
      </c>
      <c r="M207" s="30" t="s">
        <v>206</v>
      </c>
      <c r="N207" s="30" t="s">
        <v>694</v>
      </c>
      <c r="O207" s="30" t="s">
        <v>4726</v>
      </c>
      <c r="P207" s="30" t="s">
        <v>4727</v>
      </c>
      <c r="Q207" s="30" t="s">
        <v>4728</v>
      </c>
      <c r="R207" s="30" t="s">
        <v>151</v>
      </c>
      <c r="S207" s="30" t="s">
        <v>162</v>
      </c>
      <c r="T207" s="37">
        <v>0.9</v>
      </c>
      <c r="U207" s="30" t="s">
        <v>163</v>
      </c>
      <c r="V207" s="30" t="s">
        <v>164</v>
      </c>
      <c r="W207" s="30" t="s">
        <v>165</v>
      </c>
      <c r="X207" s="28" t="s">
        <v>4729</v>
      </c>
      <c r="Y207" s="28" t="s">
        <v>4730</v>
      </c>
      <c r="Z207" s="40">
        <v>4</v>
      </c>
      <c r="AA207" s="30" t="s">
        <v>4731</v>
      </c>
      <c r="AB207" s="30" t="s">
        <v>151</v>
      </c>
      <c r="AC207" s="30" t="s">
        <v>151</v>
      </c>
      <c r="AD207" s="39">
        <v>2021</v>
      </c>
      <c r="AE207" s="30" t="s">
        <v>151</v>
      </c>
      <c r="AF207" s="35">
        <v>45563</v>
      </c>
      <c r="AG207" s="30" t="s">
        <v>151</v>
      </c>
      <c r="AH207" s="30" t="s">
        <v>151</v>
      </c>
      <c r="AI207" s="38" t="s">
        <v>151</v>
      </c>
      <c r="AJ207" s="32" t="s">
        <v>151</v>
      </c>
      <c r="AK207" s="38" t="s">
        <v>151</v>
      </c>
      <c r="AL207" s="38" t="s">
        <v>151</v>
      </c>
      <c r="AM207" s="38" t="s">
        <v>151</v>
      </c>
      <c r="AN207" s="38" t="s">
        <v>151</v>
      </c>
      <c r="AO207" s="38" t="s">
        <v>151</v>
      </c>
      <c r="AP207" s="38" t="s">
        <v>151</v>
      </c>
      <c r="AQ207" s="38" t="s">
        <v>151</v>
      </c>
      <c r="AR207" s="29" t="s">
        <v>151</v>
      </c>
      <c r="AS207" s="30" t="s">
        <v>4732</v>
      </c>
      <c r="AT207" s="30" t="s">
        <v>4733</v>
      </c>
      <c r="AU207" s="31">
        <v>3</v>
      </c>
      <c r="AV207" s="30" t="s">
        <v>151</v>
      </c>
      <c r="AW207" s="30" t="s">
        <v>151</v>
      </c>
      <c r="AX207" s="30" t="s">
        <v>151</v>
      </c>
      <c r="AY207" s="30" t="s">
        <v>4734</v>
      </c>
      <c r="AZ207" s="30" t="s">
        <v>151</v>
      </c>
      <c r="BA207" s="30" t="s">
        <v>151</v>
      </c>
      <c r="BB207" s="30" t="s">
        <v>151</v>
      </c>
      <c r="BC207" s="30" t="s">
        <v>151</v>
      </c>
      <c r="BD207" s="30" t="s">
        <v>4735</v>
      </c>
      <c r="BE207" s="30" t="s">
        <v>4736</v>
      </c>
      <c r="BF207" s="30" t="s">
        <v>221</v>
      </c>
      <c r="BG207" s="30" t="s">
        <v>4737</v>
      </c>
      <c r="BH207" s="30" t="s">
        <v>151</v>
      </c>
      <c r="BI207" s="30" t="s">
        <v>1783</v>
      </c>
      <c r="BJ207" s="30" t="s">
        <v>4738</v>
      </c>
      <c r="BK207" s="30" t="s">
        <v>151</v>
      </c>
      <c r="BL207" s="30" t="s">
        <v>1786</v>
      </c>
      <c r="BM207" s="30" t="s">
        <v>184</v>
      </c>
      <c r="BN207" s="29" t="s">
        <v>1787</v>
      </c>
      <c r="BO207" s="30" t="s">
        <v>186</v>
      </c>
      <c r="BP207" s="29" t="s">
        <v>151</v>
      </c>
      <c r="BQ207" s="29" t="s">
        <v>151</v>
      </c>
      <c r="BR207" s="30" t="s">
        <v>4739</v>
      </c>
      <c r="BS207" s="30" t="s">
        <v>187</v>
      </c>
      <c r="BT207" s="30" t="s">
        <v>188</v>
      </c>
      <c r="BU207" s="35">
        <v>44417</v>
      </c>
      <c r="BV207" s="37">
        <v>0.9</v>
      </c>
      <c r="BW207" s="30" t="s">
        <v>192</v>
      </c>
      <c r="BX207" s="37" t="s">
        <v>151</v>
      </c>
      <c r="BY207" s="30" t="s">
        <v>151</v>
      </c>
      <c r="BZ207" s="30" t="s">
        <v>293</v>
      </c>
      <c r="CA207" s="30" t="s">
        <v>293</v>
      </c>
      <c r="CB207" s="30" t="s">
        <v>151</v>
      </c>
      <c r="CC207" s="30" t="s">
        <v>165</v>
      </c>
      <c r="CD207" s="30" t="s">
        <v>151</v>
      </c>
      <c r="CE207" s="30" t="s">
        <v>191</v>
      </c>
      <c r="CF207" s="35">
        <v>44417</v>
      </c>
      <c r="CG207" s="37">
        <v>0.9</v>
      </c>
      <c r="CH207" s="30" t="s">
        <v>192</v>
      </c>
      <c r="CI207" s="37" t="s">
        <v>151</v>
      </c>
      <c r="CJ207" s="30" t="s">
        <v>151</v>
      </c>
      <c r="CK207" s="29" t="s">
        <v>151</v>
      </c>
      <c r="CL207" s="30" t="s">
        <v>293</v>
      </c>
      <c r="CM207" s="30" t="s">
        <v>293</v>
      </c>
      <c r="CN207" s="30" t="s">
        <v>151</v>
      </c>
      <c r="CO207" s="30" t="s">
        <v>165</v>
      </c>
      <c r="CP207" s="35">
        <v>44417</v>
      </c>
      <c r="CQ207" s="37" t="s">
        <v>151</v>
      </c>
      <c r="CR207" s="30" t="s">
        <v>151</v>
      </c>
      <c r="CS207" s="30" t="s">
        <v>191</v>
      </c>
      <c r="CT207" s="29" t="s">
        <v>151</v>
      </c>
      <c r="CU207" s="30" t="s">
        <v>151</v>
      </c>
      <c r="CV207" s="32" t="s">
        <v>151</v>
      </c>
      <c r="CW207" s="32" t="s">
        <v>151</v>
      </c>
      <c r="CX207" s="30" t="s">
        <v>151</v>
      </c>
      <c r="CY207" s="32" t="s">
        <v>151</v>
      </c>
      <c r="CZ207" s="32" t="s">
        <v>151</v>
      </c>
      <c r="DA207" s="37" t="s">
        <v>151</v>
      </c>
      <c r="DB207" s="35" t="s">
        <v>151</v>
      </c>
      <c r="DC207" s="30" t="s">
        <v>151</v>
      </c>
      <c r="DD207" s="29" t="s">
        <v>151</v>
      </c>
      <c r="DE207" s="32">
        <v>0</v>
      </c>
      <c r="DF207" s="34">
        <v>11</v>
      </c>
      <c r="DG207" s="32">
        <v>0</v>
      </c>
      <c r="DH207" s="32">
        <v>0</v>
      </c>
      <c r="DI207" s="32">
        <v>0</v>
      </c>
      <c r="DJ207" s="34">
        <v>10</v>
      </c>
      <c r="DK207" s="32" t="s">
        <v>151</v>
      </c>
      <c r="DL207" s="34" t="s">
        <v>151</v>
      </c>
      <c r="DM207" s="32">
        <v>0</v>
      </c>
      <c r="DN207" s="34">
        <v>10</v>
      </c>
      <c r="DO207" s="36">
        <v>2.07</v>
      </c>
      <c r="DP207" s="34">
        <v>67</v>
      </c>
      <c r="DQ207" s="36">
        <v>0</v>
      </c>
      <c r="DR207" s="32">
        <v>0</v>
      </c>
      <c r="DS207" s="36">
        <v>3.84</v>
      </c>
      <c r="DT207" s="34">
        <v>78</v>
      </c>
      <c r="DU207" s="36" t="s">
        <v>151</v>
      </c>
      <c r="DV207" s="34" t="s">
        <v>151</v>
      </c>
      <c r="DW207" s="36">
        <v>3.84</v>
      </c>
      <c r="DX207" s="34">
        <v>78</v>
      </c>
      <c r="DY207" s="31" t="s">
        <v>151</v>
      </c>
      <c r="DZ207" s="35" t="s">
        <v>151</v>
      </c>
      <c r="EA207" s="35" t="s">
        <v>151</v>
      </c>
      <c r="EB207" s="34">
        <v>2174</v>
      </c>
      <c r="EC207" s="33">
        <v>-159</v>
      </c>
      <c r="ED207" s="32">
        <v>-6.82</v>
      </c>
      <c r="EE207" s="34">
        <v>73</v>
      </c>
      <c r="EF207" s="33">
        <v>1</v>
      </c>
      <c r="EG207" s="32">
        <v>1.39</v>
      </c>
      <c r="EH207" s="29" t="s">
        <v>198</v>
      </c>
      <c r="EI207" s="30" t="s">
        <v>151</v>
      </c>
      <c r="EJ207" s="30" t="s">
        <v>151</v>
      </c>
      <c r="EK207" s="31" t="s">
        <v>151</v>
      </c>
      <c r="EL207" s="31" t="s">
        <v>151</v>
      </c>
      <c r="EM207" s="31" t="s">
        <v>151</v>
      </c>
      <c r="EN207" s="31" t="s">
        <v>151</v>
      </c>
      <c r="EO207" s="31" t="s">
        <v>151</v>
      </c>
      <c r="EP207" s="30" t="s">
        <v>151</v>
      </c>
      <c r="EQ207" s="29" t="s">
        <v>151</v>
      </c>
      <c r="ER207" s="29" t="s">
        <v>151</v>
      </c>
      <c r="ES207" s="4">
        <f>HYPERLINK("https://my.pitchbook.com?c=471663-19","View Company Online")</f>
      </c>
    </row>
    <row r="208">
      <c r="A208" s="17" t="s">
        <v>4740</v>
      </c>
      <c r="B208" s="17" t="s">
        <v>4741</v>
      </c>
      <c r="C208" s="18" t="s">
        <v>151</v>
      </c>
      <c r="D208" s="17" t="s">
        <v>4742</v>
      </c>
      <c r="E208" s="17" t="s">
        <v>4743</v>
      </c>
      <c r="F208" s="17" t="s">
        <v>4744</v>
      </c>
      <c r="G208" s="17" t="s">
        <v>151</v>
      </c>
      <c r="H208" s="17" t="s">
        <v>151</v>
      </c>
      <c r="I208" s="17" t="s">
        <v>4745</v>
      </c>
      <c r="J208" s="17" t="s">
        <v>4740</v>
      </c>
      <c r="K208" s="17" t="s">
        <v>4746</v>
      </c>
      <c r="L208" s="17" t="s">
        <v>205</v>
      </c>
      <c r="M208" s="17" t="s">
        <v>206</v>
      </c>
      <c r="N208" s="17" t="s">
        <v>269</v>
      </c>
      <c r="O208" s="17" t="s">
        <v>1819</v>
      </c>
      <c r="P208" s="17" t="s">
        <v>919</v>
      </c>
      <c r="Q208" s="17" t="s">
        <v>4747</v>
      </c>
      <c r="R208" s="17" t="s">
        <v>151</v>
      </c>
      <c r="S208" s="17" t="s">
        <v>162</v>
      </c>
      <c r="T208" s="24">
        <v>25.15</v>
      </c>
      <c r="U208" s="17" t="s">
        <v>163</v>
      </c>
      <c r="V208" s="17" t="s">
        <v>164</v>
      </c>
      <c r="W208" s="17" t="s">
        <v>165</v>
      </c>
      <c r="X208" s="15" t="s">
        <v>4748</v>
      </c>
      <c r="Y208" s="15" t="s">
        <v>4749</v>
      </c>
      <c r="Z208" s="27">
        <v>36</v>
      </c>
      <c r="AA208" s="17" t="s">
        <v>4750</v>
      </c>
      <c r="AB208" s="17" t="s">
        <v>151</v>
      </c>
      <c r="AC208" s="17" t="s">
        <v>151</v>
      </c>
      <c r="AD208" s="26">
        <v>2017</v>
      </c>
      <c r="AE208" s="17" t="s">
        <v>151</v>
      </c>
      <c r="AF208" s="22">
        <v>45527</v>
      </c>
      <c r="AG208" s="17" t="s">
        <v>151</v>
      </c>
      <c r="AH208" s="17" t="s">
        <v>151</v>
      </c>
      <c r="AI208" s="25" t="s">
        <v>151</v>
      </c>
      <c r="AJ208" s="19" t="s">
        <v>151</v>
      </c>
      <c r="AK208" s="25" t="s">
        <v>151</v>
      </c>
      <c r="AL208" s="25" t="s">
        <v>151</v>
      </c>
      <c r="AM208" s="25" t="s">
        <v>151</v>
      </c>
      <c r="AN208" s="25" t="s">
        <v>151</v>
      </c>
      <c r="AO208" s="25" t="s">
        <v>151</v>
      </c>
      <c r="AP208" s="25" t="s">
        <v>151</v>
      </c>
      <c r="AQ208" s="25" t="s">
        <v>151</v>
      </c>
      <c r="AR208" s="16" t="s">
        <v>151</v>
      </c>
      <c r="AS208" s="17" t="s">
        <v>4751</v>
      </c>
      <c r="AT208" s="17" t="s">
        <v>4752</v>
      </c>
      <c r="AU208" s="18">
        <v>21</v>
      </c>
      <c r="AV208" s="17" t="s">
        <v>151</v>
      </c>
      <c r="AW208" s="17" t="s">
        <v>4753</v>
      </c>
      <c r="AX208" s="17" t="s">
        <v>151</v>
      </c>
      <c r="AY208" s="17" t="s">
        <v>4754</v>
      </c>
      <c r="AZ208" s="17" t="s">
        <v>4755</v>
      </c>
      <c r="BA208" s="17" t="s">
        <v>151</v>
      </c>
      <c r="BB208" s="17" t="s">
        <v>1115</v>
      </c>
      <c r="BC208" s="17" t="s">
        <v>151</v>
      </c>
      <c r="BD208" s="17" t="s">
        <v>4756</v>
      </c>
      <c r="BE208" s="17" t="s">
        <v>4757</v>
      </c>
      <c r="BF208" s="17" t="s">
        <v>4135</v>
      </c>
      <c r="BG208" s="17" t="s">
        <v>4758</v>
      </c>
      <c r="BH208" s="17" t="s">
        <v>4759</v>
      </c>
      <c r="BI208" s="17" t="s">
        <v>1710</v>
      </c>
      <c r="BJ208" s="17" t="s">
        <v>4760</v>
      </c>
      <c r="BK208" s="17" t="s">
        <v>151</v>
      </c>
      <c r="BL208" s="17" t="s">
        <v>1713</v>
      </c>
      <c r="BM208" s="17" t="s">
        <v>184</v>
      </c>
      <c r="BN208" s="16" t="s">
        <v>1714</v>
      </c>
      <c r="BO208" s="17" t="s">
        <v>186</v>
      </c>
      <c r="BP208" s="16" t="s">
        <v>4759</v>
      </c>
      <c r="BQ208" s="16" t="s">
        <v>151</v>
      </c>
      <c r="BR208" s="17" t="s">
        <v>4761</v>
      </c>
      <c r="BS208" s="17" t="s">
        <v>187</v>
      </c>
      <c r="BT208" s="17" t="s">
        <v>188</v>
      </c>
      <c r="BU208" s="22">
        <v>44035</v>
      </c>
      <c r="BV208" s="24">
        <v>4.75</v>
      </c>
      <c r="BW208" s="17" t="s">
        <v>192</v>
      </c>
      <c r="BX208" s="24">
        <v>10.75</v>
      </c>
      <c r="BY208" s="17" t="s">
        <v>192</v>
      </c>
      <c r="BZ208" s="17" t="s">
        <v>293</v>
      </c>
      <c r="CA208" s="17" t="s">
        <v>293</v>
      </c>
      <c r="CB208" s="17" t="s">
        <v>151</v>
      </c>
      <c r="CC208" s="17" t="s">
        <v>165</v>
      </c>
      <c r="CD208" s="17" t="s">
        <v>151</v>
      </c>
      <c r="CE208" s="17" t="s">
        <v>191</v>
      </c>
      <c r="CF208" s="22">
        <v>45119</v>
      </c>
      <c r="CG208" s="24">
        <v>16.4</v>
      </c>
      <c r="CH208" s="17" t="s">
        <v>192</v>
      </c>
      <c r="CI208" s="24" t="s">
        <v>151</v>
      </c>
      <c r="CJ208" s="17" t="s">
        <v>151</v>
      </c>
      <c r="CK208" s="16" t="s">
        <v>151</v>
      </c>
      <c r="CL208" s="17" t="s">
        <v>194</v>
      </c>
      <c r="CM208" s="17" t="s">
        <v>232</v>
      </c>
      <c r="CN208" s="17" t="s">
        <v>151</v>
      </c>
      <c r="CO208" s="17" t="s">
        <v>165</v>
      </c>
      <c r="CP208" s="22">
        <v>45119</v>
      </c>
      <c r="CQ208" s="24" t="s">
        <v>151</v>
      </c>
      <c r="CR208" s="17" t="s">
        <v>151</v>
      </c>
      <c r="CS208" s="17" t="s">
        <v>191</v>
      </c>
      <c r="CT208" s="16">
        <v>96</v>
      </c>
      <c r="CU208" s="17" t="s">
        <v>196</v>
      </c>
      <c r="CV208" s="19">
        <v>91</v>
      </c>
      <c r="CW208" s="19">
        <v>9</v>
      </c>
      <c r="CX208" s="17" t="s">
        <v>294</v>
      </c>
      <c r="CY208" s="19">
        <v>1</v>
      </c>
      <c r="CZ208" s="19">
        <v>90</v>
      </c>
      <c r="DA208" s="24">
        <v>21</v>
      </c>
      <c r="DB208" s="22">
        <v>44326</v>
      </c>
      <c r="DC208" s="17" t="s">
        <v>293</v>
      </c>
      <c r="DD208" s="16">
        <v>1.58</v>
      </c>
      <c r="DE208" s="19">
        <v>2.26</v>
      </c>
      <c r="DF208" s="21">
        <v>99</v>
      </c>
      <c r="DG208" s="19">
        <v>0</v>
      </c>
      <c r="DH208" s="19">
        <v>0</v>
      </c>
      <c r="DI208" s="19">
        <v>4.53</v>
      </c>
      <c r="DJ208" s="21">
        <v>100</v>
      </c>
      <c r="DK208" s="19" t="s">
        <v>151</v>
      </c>
      <c r="DL208" s="21" t="s">
        <v>151</v>
      </c>
      <c r="DM208" s="19">
        <v>4.53</v>
      </c>
      <c r="DN208" s="21">
        <v>100</v>
      </c>
      <c r="DO208" s="23">
        <v>6.52</v>
      </c>
      <c r="DP208" s="21">
        <v>86</v>
      </c>
      <c r="DQ208" s="23">
        <v>0</v>
      </c>
      <c r="DR208" s="19">
        <v>0</v>
      </c>
      <c r="DS208" s="23">
        <v>10.26</v>
      </c>
      <c r="DT208" s="21">
        <v>90</v>
      </c>
      <c r="DU208" s="23" t="s">
        <v>151</v>
      </c>
      <c r="DV208" s="21" t="s">
        <v>151</v>
      </c>
      <c r="DW208" s="23">
        <v>10.26</v>
      </c>
      <c r="DX208" s="21">
        <v>90</v>
      </c>
      <c r="DY208" s="18" t="s">
        <v>151</v>
      </c>
      <c r="DZ208" s="22" t="s">
        <v>151</v>
      </c>
      <c r="EA208" s="22" t="s">
        <v>151</v>
      </c>
      <c r="EB208" s="21">
        <v>1308</v>
      </c>
      <c r="EC208" s="20">
        <v>99</v>
      </c>
      <c r="ED208" s="19">
        <v>8.19</v>
      </c>
      <c r="EE208" s="21">
        <v>195</v>
      </c>
      <c r="EF208" s="20">
        <v>4</v>
      </c>
      <c r="EG208" s="19">
        <v>2.09</v>
      </c>
      <c r="EH208" s="16" t="s">
        <v>198</v>
      </c>
      <c r="EI208" s="17" t="s">
        <v>151</v>
      </c>
      <c r="EJ208" s="17" t="s">
        <v>151</v>
      </c>
      <c r="EK208" s="18" t="s">
        <v>151</v>
      </c>
      <c r="EL208" s="18" t="s">
        <v>151</v>
      </c>
      <c r="EM208" s="18" t="s">
        <v>151</v>
      </c>
      <c r="EN208" s="18" t="s">
        <v>151</v>
      </c>
      <c r="EO208" s="18" t="s">
        <v>151</v>
      </c>
      <c r="EP208" s="17" t="s">
        <v>151</v>
      </c>
      <c r="EQ208" s="16" t="s">
        <v>151</v>
      </c>
      <c r="ER208" s="16" t="s">
        <v>151</v>
      </c>
      <c r="ES208" s="3">
        <f>HYPERLINK("https://my.pitchbook.com?c=267030-55","View Company Online")</f>
      </c>
    </row>
    <row r="209">
      <c r="A209" s="30" t="s">
        <v>4762</v>
      </c>
      <c r="B209" s="30" t="s">
        <v>4763</v>
      </c>
      <c r="C209" s="31" t="s">
        <v>151</v>
      </c>
      <c r="D209" s="30" t="s">
        <v>151</v>
      </c>
      <c r="E209" s="30" t="s">
        <v>4764</v>
      </c>
      <c r="F209" s="30" t="s">
        <v>4765</v>
      </c>
      <c r="G209" s="30" t="s">
        <v>151</v>
      </c>
      <c r="H209" s="30" t="s">
        <v>151</v>
      </c>
      <c r="I209" s="30" t="s">
        <v>4766</v>
      </c>
      <c r="J209" s="30" t="s">
        <v>4762</v>
      </c>
      <c r="K209" s="30" t="s">
        <v>4767</v>
      </c>
      <c r="L209" s="30" t="s">
        <v>205</v>
      </c>
      <c r="M209" s="30" t="s">
        <v>206</v>
      </c>
      <c r="N209" s="30" t="s">
        <v>1130</v>
      </c>
      <c r="O209" s="30" t="s">
        <v>4768</v>
      </c>
      <c r="P209" s="30" t="s">
        <v>1107</v>
      </c>
      <c r="Q209" s="30" t="s">
        <v>4769</v>
      </c>
      <c r="R209" s="30" t="s">
        <v>151</v>
      </c>
      <c r="S209" s="30" t="s">
        <v>162</v>
      </c>
      <c r="T209" s="37">
        <v>3.8</v>
      </c>
      <c r="U209" s="30" t="s">
        <v>163</v>
      </c>
      <c r="V209" s="30" t="s">
        <v>164</v>
      </c>
      <c r="W209" s="30" t="s">
        <v>165</v>
      </c>
      <c r="X209" s="28" t="s">
        <v>4770</v>
      </c>
      <c r="Y209" s="28" t="s">
        <v>4771</v>
      </c>
      <c r="Z209" s="40">
        <v>7</v>
      </c>
      <c r="AA209" s="30" t="s">
        <v>3963</v>
      </c>
      <c r="AB209" s="30" t="s">
        <v>151</v>
      </c>
      <c r="AC209" s="30" t="s">
        <v>151</v>
      </c>
      <c r="AD209" s="39">
        <v>2023</v>
      </c>
      <c r="AE209" s="30" t="s">
        <v>151</v>
      </c>
      <c r="AF209" s="35">
        <v>45397</v>
      </c>
      <c r="AG209" s="30" t="s">
        <v>151</v>
      </c>
      <c r="AH209" s="30" t="s">
        <v>151</v>
      </c>
      <c r="AI209" s="38" t="s">
        <v>151</v>
      </c>
      <c r="AJ209" s="32" t="s">
        <v>151</v>
      </c>
      <c r="AK209" s="38" t="s">
        <v>151</v>
      </c>
      <c r="AL209" s="38" t="s">
        <v>151</v>
      </c>
      <c r="AM209" s="38" t="s">
        <v>151</v>
      </c>
      <c r="AN209" s="38" t="s">
        <v>151</v>
      </c>
      <c r="AO209" s="38" t="s">
        <v>151</v>
      </c>
      <c r="AP209" s="38" t="s">
        <v>151</v>
      </c>
      <c r="AQ209" s="38" t="s">
        <v>151</v>
      </c>
      <c r="AR209" s="29" t="s">
        <v>151</v>
      </c>
      <c r="AS209" s="30" t="s">
        <v>4772</v>
      </c>
      <c r="AT209" s="30" t="s">
        <v>4773</v>
      </c>
      <c r="AU209" s="31">
        <v>8</v>
      </c>
      <c r="AV209" s="30" t="s">
        <v>151</v>
      </c>
      <c r="AW209" s="30" t="s">
        <v>151</v>
      </c>
      <c r="AX209" s="30" t="s">
        <v>151</v>
      </c>
      <c r="AY209" s="30" t="s">
        <v>4774</v>
      </c>
      <c r="AZ209" s="30" t="s">
        <v>151</v>
      </c>
      <c r="BA209" s="30" t="s">
        <v>151</v>
      </c>
      <c r="BB209" s="30" t="s">
        <v>151</v>
      </c>
      <c r="BC209" s="30" t="s">
        <v>601</v>
      </c>
      <c r="BD209" s="30" t="s">
        <v>4775</v>
      </c>
      <c r="BE209" s="30" t="s">
        <v>4776</v>
      </c>
      <c r="BF209" s="30" t="s">
        <v>221</v>
      </c>
      <c r="BG209" s="30" t="s">
        <v>151</v>
      </c>
      <c r="BH209" s="30" t="s">
        <v>151</v>
      </c>
      <c r="BI209" s="30" t="s">
        <v>764</v>
      </c>
      <c r="BJ209" s="30" t="s">
        <v>4777</v>
      </c>
      <c r="BK209" s="30" t="s">
        <v>4778</v>
      </c>
      <c r="BL209" s="30" t="s">
        <v>767</v>
      </c>
      <c r="BM209" s="30" t="s">
        <v>184</v>
      </c>
      <c r="BN209" s="29" t="s">
        <v>1260</v>
      </c>
      <c r="BO209" s="30" t="s">
        <v>186</v>
      </c>
      <c r="BP209" s="29" t="s">
        <v>151</v>
      </c>
      <c r="BQ209" s="29" t="s">
        <v>151</v>
      </c>
      <c r="BR209" s="30" t="s">
        <v>4779</v>
      </c>
      <c r="BS209" s="30" t="s">
        <v>187</v>
      </c>
      <c r="BT209" s="30" t="s">
        <v>188</v>
      </c>
      <c r="BU209" s="35">
        <v>45078</v>
      </c>
      <c r="BV209" s="37">
        <v>0.5</v>
      </c>
      <c r="BW209" s="30" t="s">
        <v>192</v>
      </c>
      <c r="BX209" s="37">
        <v>7.14</v>
      </c>
      <c r="BY209" s="30" t="s">
        <v>192</v>
      </c>
      <c r="BZ209" s="30" t="s">
        <v>189</v>
      </c>
      <c r="CA209" s="30" t="s">
        <v>151</v>
      </c>
      <c r="CB209" s="30" t="s">
        <v>151</v>
      </c>
      <c r="CC209" s="30" t="s">
        <v>190</v>
      </c>
      <c r="CD209" s="30" t="s">
        <v>151</v>
      </c>
      <c r="CE209" s="30" t="s">
        <v>191</v>
      </c>
      <c r="CF209" s="35">
        <v>45336</v>
      </c>
      <c r="CG209" s="37">
        <v>3.3</v>
      </c>
      <c r="CH209" s="30" t="s">
        <v>192</v>
      </c>
      <c r="CI209" s="37" t="s">
        <v>151</v>
      </c>
      <c r="CJ209" s="30" t="s">
        <v>151</v>
      </c>
      <c r="CK209" s="29" t="s">
        <v>151</v>
      </c>
      <c r="CL209" s="30" t="s">
        <v>293</v>
      </c>
      <c r="CM209" s="30" t="s">
        <v>293</v>
      </c>
      <c r="CN209" s="30" t="s">
        <v>151</v>
      </c>
      <c r="CO209" s="30" t="s">
        <v>165</v>
      </c>
      <c r="CP209" s="35">
        <v>45336</v>
      </c>
      <c r="CQ209" s="37" t="s">
        <v>151</v>
      </c>
      <c r="CR209" s="30" t="s">
        <v>151</v>
      </c>
      <c r="CS209" s="30" t="s">
        <v>191</v>
      </c>
      <c r="CT209" s="29" t="s">
        <v>151</v>
      </c>
      <c r="CU209" s="30" t="s">
        <v>151</v>
      </c>
      <c r="CV209" s="32" t="s">
        <v>151</v>
      </c>
      <c r="CW209" s="32" t="s">
        <v>151</v>
      </c>
      <c r="CX209" s="30" t="s">
        <v>151</v>
      </c>
      <c r="CY209" s="32" t="s">
        <v>151</v>
      </c>
      <c r="CZ209" s="32" t="s">
        <v>151</v>
      </c>
      <c r="DA209" s="37">
        <v>7.14</v>
      </c>
      <c r="DB209" s="35">
        <v>45078</v>
      </c>
      <c r="DC209" s="30" t="s">
        <v>189</v>
      </c>
      <c r="DD209" s="29" t="s">
        <v>151</v>
      </c>
      <c r="DE209" s="32">
        <v>0</v>
      </c>
      <c r="DF209" s="34">
        <v>11</v>
      </c>
      <c r="DG209" s="32">
        <v>0</v>
      </c>
      <c r="DH209" s="32">
        <v>0</v>
      </c>
      <c r="DI209" s="32">
        <v>0</v>
      </c>
      <c r="DJ209" s="34">
        <v>10</v>
      </c>
      <c r="DK209" s="32" t="s">
        <v>151</v>
      </c>
      <c r="DL209" s="34" t="s">
        <v>151</v>
      </c>
      <c r="DM209" s="32">
        <v>0</v>
      </c>
      <c r="DN209" s="34">
        <v>10</v>
      </c>
      <c r="DO209" s="36">
        <v>1.98</v>
      </c>
      <c r="DP209" s="34">
        <v>66</v>
      </c>
      <c r="DQ209" s="36">
        <v>0</v>
      </c>
      <c r="DR209" s="32">
        <v>0</v>
      </c>
      <c r="DS209" s="36">
        <v>3.42</v>
      </c>
      <c r="DT209" s="34">
        <v>76</v>
      </c>
      <c r="DU209" s="36" t="s">
        <v>151</v>
      </c>
      <c r="DV209" s="34" t="s">
        <v>151</v>
      </c>
      <c r="DW209" s="36">
        <v>3.42</v>
      </c>
      <c r="DX209" s="34">
        <v>76</v>
      </c>
      <c r="DY209" s="31" t="s">
        <v>151</v>
      </c>
      <c r="DZ209" s="35" t="s">
        <v>151</v>
      </c>
      <c r="EA209" s="35" t="s">
        <v>151</v>
      </c>
      <c r="EB209" s="34">
        <v>1264</v>
      </c>
      <c r="EC209" s="33">
        <v>25</v>
      </c>
      <c r="ED209" s="32">
        <v>2.02</v>
      </c>
      <c r="EE209" s="34">
        <v>65</v>
      </c>
      <c r="EF209" s="33">
        <v>0</v>
      </c>
      <c r="EG209" s="32">
        <v>0</v>
      </c>
      <c r="EH209" s="29" t="s">
        <v>198</v>
      </c>
      <c r="EI209" s="30" t="s">
        <v>151</v>
      </c>
      <c r="EJ209" s="30" t="s">
        <v>151</v>
      </c>
      <c r="EK209" s="31" t="s">
        <v>151</v>
      </c>
      <c r="EL209" s="31" t="s">
        <v>151</v>
      </c>
      <c r="EM209" s="31" t="s">
        <v>151</v>
      </c>
      <c r="EN209" s="31" t="s">
        <v>151</v>
      </c>
      <c r="EO209" s="31" t="s">
        <v>151</v>
      </c>
      <c r="EP209" s="30" t="s">
        <v>151</v>
      </c>
      <c r="EQ209" s="29" t="s">
        <v>151</v>
      </c>
      <c r="ER209" s="29" t="s">
        <v>151</v>
      </c>
      <c r="ES209" s="4">
        <f>HYPERLINK("https://my.pitchbook.com?c=528677-20","View Company Online")</f>
      </c>
    </row>
    <row r="210">
      <c r="A210" s="17" t="s">
        <v>4780</v>
      </c>
      <c r="B210" s="17" t="s">
        <v>4781</v>
      </c>
      <c r="C210" s="18" t="s">
        <v>151</v>
      </c>
      <c r="D210" s="17" t="s">
        <v>151</v>
      </c>
      <c r="E210" s="17" t="s">
        <v>151</v>
      </c>
      <c r="F210" s="17" t="s">
        <v>4782</v>
      </c>
      <c r="G210" s="17" t="s">
        <v>151</v>
      </c>
      <c r="H210" s="17" t="s">
        <v>151</v>
      </c>
      <c r="I210" s="17" t="s">
        <v>4783</v>
      </c>
      <c r="J210" s="17" t="s">
        <v>4780</v>
      </c>
      <c r="K210" s="17" t="s">
        <v>4784</v>
      </c>
      <c r="L210" s="17" t="s">
        <v>205</v>
      </c>
      <c r="M210" s="17" t="s">
        <v>206</v>
      </c>
      <c r="N210" s="17" t="s">
        <v>269</v>
      </c>
      <c r="O210" s="17" t="s">
        <v>563</v>
      </c>
      <c r="P210" s="17" t="s">
        <v>1153</v>
      </c>
      <c r="Q210" s="17" t="s">
        <v>4785</v>
      </c>
      <c r="R210" s="17" t="s">
        <v>151</v>
      </c>
      <c r="S210" s="17" t="s">
        <v>162</v>
      </c>
      <c r="T210" s="24">
        <v>7.18</v>
      </c>
      <c r="U210" s="17" t="s">
        <v>163</v>
      </c>
      <c r="V210" s="17" t="s">
        <v>164</v>
      </c>
      <c r="W210" s="17" t="s">
        <v>165</v>
      </c>
      <c r="X210" s="15" t="s">
        <v>4786</v>
      </c>
      <c r="Y210" s="15" t="s">
        <v>4787</v>
      </c>
      <c r="Z210" s="27">
        <v>25</v>
      </c>
      <c r="AA210" s="17" t="s">
        <v>4788</v>
      </c>
      <c r="AB210" s="17" t="s">
        <v>151</v>
      </c>
      <c r="AC210" s="17" t="s">
        <v>151</v>
      </c>
      <c r="AD210" s="26">
        <v>2023</v>
      </c>
      <c r="AE210" s="17" t="s">
        <v>151</v>
      </c>
      <c r="AF210" s="22">
        <v>45614</v>
      </c>
      <c r="AG210" s="17" t="s">
        <v>4789</v>
      </c>
      <c r="AH210" s="17" t="s">
        <v>4790</v>
      </c>
      <c r="AI210" s="25" t="s">
        <v>151</v>
      </c>
      <c r="AJ210" s="19" t="s">
        <v>151</v>
      </c>
      <c r="AK210" s="25" t="s">
        <v>151</v>
      </c>
      <c r="AL210" s="25" t="s">
        <v>151</v>
      </c>
      <c r="AM210" s="25" t="s">
        <v>151</v>
      </c>
      <c r="AN210" s="25" t="s">
        <v>151</v>
      </c>
      <c r="AO210" s="25" t="s">
        <v>151</v>
      </c>
      <c r="AP210" s="25" t="s">
        <v>151</v>
      </c>
      <c r="AQ210" s="25" t="s">
        <v>151</v>
      </c>
      <c r="AR210" s="16" t="s">
        <v>151</v>
      </c>
      <c r="AS210" s="17" t="s">
        <v>4791</v>
      </c>
      <c r="AT210" s="17" t="s">
        <v>4792</v>
      </c>
      <c r="AU210" s="18">
        <v>8</v>
      </c>
      <c r="AV210" s="17" t="s">
        <v>151</v>
      </c>
      <c r="AW210" s="17" t="s">
        <v>151</v>
      </c>
      <c r="AX210" s="17" t="s">
        <v>151</v>
      </c>
      <c r="AY210" s="17" t="s">
        <v>4793</v>
      </c>
      <c r="AZ210" s="17" t="s">
        <v>151</v>
      </c>
      <c r="BA210" s="17" t="s">
        <v>151</v>
      </c>
      <c r="BB210" s="17" t="s">
        <v>151</v>
      </c>
      <c r="BC210" s="17" t="s">
        <v>4213</v>
      </c>
      <c r="BD210" s="17" t="s">
        <v>4794</v>
      </c>
      <c r="BE210" s="17" t="s">
        <v>4795</v>
      </c>
      <c r="BF210" s="17" t="s">
        <v>221</v>
      </c>
      <c r="BG210" s="17" t="s">
        <v>151</v>
      </c>
      <c r="BH210" s="17" t="s">
        <v>151</v>
      </c>
      <c r="BI210" s="17" t="s">
        <v>4796</v>
      </c>
      <c r="BJ210" s="17" t="s">
        <v>4797</v>
      </c>
      <c r="BK210" s="17" t="s">
        <v>151</v>
      </c>
      <c r="BL210" s="17" t="s">
        <v>4798</v>
      </c>
      <c r="BM210" s="17" t="s">
        <v>184</v>
      </c>
      <c r="BN210" s="16" t="s">
        <v>4799</v>
      </c>
      <c r="BO210" s="17" t="s">
        <v>186</v>
      </c>
      <c r="BP210" s="16" t="s">
        <v>151</v>
      </c>
      <c r="BQ210" s="16" t="s">
        <v>151</v>
      </c>
      <c r="BR210" s="17" t="s">
        <v>4800</v>
      </c>
      <c r="BS210" s="17" t="s">
        <v>187</v>
      </c>
      <c r="BT210" s="17" t="s">
        <v>188</v>
      </c>
      <c r="BU210" s="22">
        <v>45265</v>
      </c>
      <c r="BV210" s="24">
        <v>7.18</v>
      </c>
      <c r="BW210" s="17" t="s">
        <v>192</v>
      </c>
      <c r="BX210" s="24">
        <v>32.18</v>
      </c>
      <c r="BY210" s="17" t="s">
        <v>192</v>
      </c>
      <c r="BZ210" s="17" t="s">
        <v>293</v>
      </c>
      <c r="CA210" s="17" t="s">
        <v>293</v>
      </c>
      <c r="CB210" s="17" t="s">
        <v>151</v>
      </c>
      <c r="CC210" s="17" t="s">
        <v>165</v>
      </c>
      <c r="CD210" s="17" t="s">
        <v>151</v>
      </c>
      <c r="CE210" s="17" t="s">
        <v>191</v>
      </c>
      <c r="CF210" s="22">
        <v>45265</v>
      </c>
      <c r="CG210" s="24">
        <v>7.18</v>
      </c>
      <c r="CH210" s="17" t="s">
        <v>192</v>
      </c>
      <c r="CI210" s="24">
        <v>32.18</v>
      </c>
      <c r="CJ210" s="17" t="s">
        <v>192</v>
      </c>
      <c r="CK210" s="16" t="s">
        <v>151</v>
      </c>
      <c r="CL210" s="17" t="s">
        <v>293</v>
      </c>
      <c r="CM210" s="17" t="s">
        <v>293</v>
      </c>
      <c r="CN210" s="17" t="s">
        <v>151</v>
      </c>
      <c r="CO210" s="17" t="s">
        <v>165</v>
      </c>
      <c r="CP210" s="22">
        <v>45265</v>
      </c>
      <c r="CQ210" s="24" t="s">
        <v>151</v>
      </c>
      <c r="CR210" s="17" t="s">
        <v>151</v>
      </c>
      <c r="CS210" s="17" t="s">
        <v>191</v>
      </c>
      <c r="CT210" s="16" t="s">
        <v>151</v>
      </c>
      <c r="CU210" s="17" t="s">
        <v>151</v>
      </c>
      <c r="CV210" s="19" t="s">
        <v>151</v>
      </c>
      <c r="CW210" s="19" t="s">
        <v>151</v>
      </c>
      <c r="CX210" s="17" t="s">
        <v>151</v>
      </c>
      <c r="CY210" s="19" t="s">
        <v>151</v>
      </c>
      <c r="CZ210" s="19" t="s">
        <v>151</v>
      </c>
      <c r="DA210" s="24">
        <v>32.18</v>
      </c>
      <c r="DB210" s="22">
        <v>45265</v>
      </c>
      <c r="DC210" s="17" t="s">
        <v>293</v>
      </c>
      <c r="DD210" s="16" t="s">
        <v>151</v>
      </c>
      <c r="DE210" s="19">
        <v>0.56</v>
      </c>
      <c r="DF210" s="21">
        <v>94</v>
      </c>
      <c r="DG210" s="19">
        <v>0</v>
      </c>
      <c r="DH210" s="19">
        <v>0</v>
      </c>
      <c r="DI210" s="19">
        <v>0</v>
      </c>
      <c r="DJ210" s="21">
        <v>10</v>
      </c>
      <c r="DK210" s="19" t="s">
        <v>151</v>
      </c>
      <c r="DL210" s="21" t="s">
        <v>151</v>
      </c>
      <c r="DM210" s="19">
        <v>0</v>
      </c>
      <c r="DN210" s="21">
        <v>10</v>
      </c>
      <c r="DO210" s="23">
        <v>1.45</v>
      </c>
      <c r="DP210" s="21">
        <v>59</v>
      </c>
      <c r="DQ210" s="23">
        <v>0</v>
      </c>
      <c r="DR210" s="19">
        <v>0</v>
      </c>
      <c r="DS210" s="23">
        <v>1.05</v>
      </c>
      <c r="DT210" s="21">
        <v>51</v>
      </c>
      <c r="DU210" s="23" t="s">
        <v>151</v>
      </c>
      <c r="DV210" s="21" t="s">
        <v>151</v>
      </c>
      <c r="DW210" s="23">
        <v>1.05</v>
      </c>
      <c r="DX210" s="21">
        <v>51</v>
      </c>
      <c r="DY210" s="18" t="s">
        <v>151</v>
      </c>
      <c r="DZ210" s="22" t="s">
        <v>151</v>
      </c>
      <c r="EA210" s="22" t="s">
        <v>151</v>
      </c>
      <c r="EB210" s="21">
        <v>837</v>
      </c>
      <c r="EC210" s="20">
        <v>30</v>
      </c>
      <c r="ED210" s="19">
        <v>3.72</v>
      </c>
      <c r="EE210" s="21">
        <v>20</v>
      </c>
      <c r="EF210" s="20">
        <v>0</v>
      </c>
      <c r="EG210" s="19">
        <v>0</v>
      </c>
      <c r="EH210" s="16" t="s">
        <v>198</v>
      </c>
      <c r="EI210" s="17" t="s">
        <v>151</v>
      </c>
      <c r="EJ210" s="17" t="s">
        <v>151</v>
      </c>
      <c r="EK210" s="18" t="s">
        <v>151</v>
      </c>
      <c r="EL210" s="18" t="s">
        <v>151</v>
      </c>
      <c r="EM210" s="18" t="s">
        <v>151</v>
      </c>
      <c r="EN210" s="18" t="s">
        <v>151</v>
      </c>
      <c r="EO210" s="18" t="s">
        <v>151</v>
      </c>
      <c r="EP210" s="17" t="s">
        <v>151</v>
      </c>
      <c r="EQ210" s="16" t="s">
        <v>151</v>
      </c>
      <c r="ER210" s="16" t="s">
        <v>151</v>
      </c>
      <c r="ES210" s="3">
        <f>HYPERLINK("https://my.pitchbook.com?c=541446-76","View Company Online")</f>
      </c>
    </row>
    <row r="211">
      <c r="A211" s="30" t="s">
        <v>4801</v>
      </c>
      <c r="B211" s="30" t="s">
        <v>4802</v>
      </c>
      <c r="C211" s="31" t="s">
        <v>151</v>
      </c>
      <c r="D211" s="30" t="s">
        <v>151</v>
      </c>
      <c r="E211" s="30" t="s">
        <v>151</v>
      </c>
      <c r="F211" s="30" t="s">
        <v>4803</v>
      </c>
      <c r="G211" s="30" t="s">
        <v>151</v>
      </c>
      <c r="H211" s="30" t="s">
        <v>151</v>
      </c>
      <c r="I211" s="30" t="s">
        <v>151</v>
      </c>
      <c r="J211" s="30" t="s">
        <v>4801</v>
      </c>
      <c r="K211" s="30" t="s">
        <v>4804</v>
      </c>
      <c r="L211" s="30" t="s">
        <v>205</v>
      </c>
      <c r="M211" s="30" t="s">
        <v>206</v>
      </c>
      <c r="N211" s="30" t="s">
        <v>269</v>
      </c>
      <c r="O211" s="30" t="s">
        <v>4805</v>
      </c>
      <c r="P211" s="30" t="s">
        <v>4806</v>
      </c>
      <c r="Q211" s="30" t="s">
        <v>4807</v>
      </c>
      <c r="R211" s="30" t="s">
        <v>151</v>
      </c>
      <c r="S211" s="30" t="s">
        <v>162</v>
      </c>
      <c r="T211" s="37">
        <v>0.15</v>
      </c>
      <c r="U211" s="30" t="s">
        <v>163</v>
      </c>
      <c r="V211" s="30" t="s">
        <v>164</v>
      </c>
      <c r="W211" s="30" t="s">
        <v>165</v>
      </c>
      <c r="X211" s="28" t="s">
        <v>4808</v>
      </c>
      <c r="Y211" s="28" t="s">
        <v>4809</v>
      </c>
      <c r="Z211" s="40">
        <v>2</v>
      </c>
      <c r="AA211" s="30" t="s">
        <v>4810</v>
      </c>
      <c r="AB211" s="30" t="s">
        <v>151</v>
      </c>
      <c r="AC211" s="30" t="s">
        <v>151</v>
      </c>
      <c r="AD211" s="39">
        <v>2017</v>
      </c>
      <c r="AE211" s="30" t="s">
        <v>151</v>
      </c>
      <c r="AF211" s="35">
        <v>45400</v>
      </c>
      <c r="AG211" s="30" t="s">
        <v>151</v>
      </c>
      <c r="AH211" s="30" t="s">
        <v>151</v>
      </c>
      <c r="AI211" s="38" t="s">
        <v>151</v>
      </c>
      <c r="AJ211" s="32" t="s">
        <v>151</v>
      </c>
      <c r="AK211" s="38" t="s">
        <v>151</v>
      </c>
      <c r="AL211" s="38" t="s">
        <v>151</v>
      </c>
      <c r="AM211" s="38" t="s">
        <v>151</v>
      </c>
      <c r="AN211" s="38" t="s">
        <v>151</v>
      </c>
      <c r="AO211" s="38" t="s">
        <v>151</v>
      </c>
      <c r="AP211" s="38" t="s">
        <v>151</v>
      </c>
      <c r="AQ211" s="38" t="s">
        <v>151</v>
      </c>
      <c r="AR211" s="29" t="s">
        <v>151</v>
      </c>
      <c r="AS211" s="30" t="s">
        <v>4811</v>
      </c>
      <c r="AT211" s="30" t="s">
        <v>4812</v>
      </c>
      <c r="AU211" s="31">
        <v>1</v>
      </c>
      <c r="AV211" s="30" t="s">
        <v>151</v>
      </c>
      <c r="AW211" s="30" t="s">
        <v>151</v>
      </c>
      <c r="AX211" s="30" t="s">
        <v>151</v>
      </c>
      <c r="AY211" s="30" t="s">
        <v>4813</v>
      </c>
      <c r="AZ211" s="30" t="s">
        <v>151</v>
      </c>
      <c r="BA211" s="30" t="s">
        <v>151</v>
      </c>
      <c r="BB211" s="30" t="s">
        <v>151</v>
      </c>
      <c r="BC211" s="30" t="s">
        <v>151</v>
      </c>
      <c r="BD211" s="30" t="s">
        <v>4814</v>
      </c>
      <c r="BE211" s="30" t="s">
        <v>4815</v>
      </c>
      <c r="BF211" s="30" t="s">
        <v>403</v>
      </c>
      <c r="BG211" s="30" t="s">
        <v>4816</v>
      </c>
      <c r="BH211" s="30" t="s">
        <v>4817</v>
      </c>
      <c r="BI211" s="30" t="s">
        <v>285</v>
      </c>
      <c r="BJ211" s="30" t="s">
        <v>4818</v>
      </c>
      <c r="BK211" s="30" t="s">
        <v>151</v>
      </c>
      <c r="BL211" s="30" t="s">
        <v>288</v>
      </c>
      <c r="BM211" s="30" t="s">
        <v>289</v>
      </c>
      <c r="BN211" s="29" t="s">
        <v>4819</v>
      </c>
      <c r="BO211" s="30" t="s">
        <v>186</v>
      </c>
      <c r="BP211" s="29" t="s">
        <v>4817</v>
      </c>
      <c r="BQ211" s="29" t="s">
        <v>151</v>
      </c>
      <c r="BR211" s="30" t="s">
        <v>4820</v>
      </c>
      <c r="BS211" s="30" t="s">
        <v>187</v>
      </c>
      <c r="BT211" s="30" t="s">
        <v>188</v>
      </c>
      <c r="BU211" s="35">
        <v>43894</v>
      </c>
      <c r="BV211" s="37">
        <v>0.15</v>
      </c>
      <c r="BW211" s="30" t="s">
        <v>193</v>
      </c>
      <c r="BX211" s="37">
        <v>0.9</v>
      </c>
      <c r="BY211" s="30" t="s">
        <v>192</v>
      </c>
      <c r="BZ211" s="30" t="s">
        <v>293</v>
      </c>
      <c r="CA211" s="30" t="s">
        <v>293</v>
      </c>
      <c r="CB211" s="30" t="s">
        <v>151</v>
      </c>
      <c r="CC211" s="30" t="s">
        <v>165</v>
      </c>
      <c r="CD211" s="30" t="s">
        <v>151</v>
      </c>
      <c r="CE211" s="30" t="s">
        <v>191</v>
      </c>
      <c r="CF211" s="35">
        <v>43894</v>
      </c>
      <c r="CG211" s="37">
        <v>0.15</v>
      </c>
      <c r="CH211" s="30" t="s">
        <v>193</v>
      </c>
      <c r="CI211" s="37">
        <v>0.9</v>
      </c>
      <c r="CJ211" s="30" t="s">
        <v>192</v>
      </c>
      <c r="CK211" s="29" t="s">
        <v>151</v>
      </c>
      <c r="CL211" s="30" t="s">
        <v>293</v>
      </c>
      <c r="CM211" s="30" t="s">
        <v>293</v>
      </c>
      <c r="CN211" s="30" t="s">
        <v>151</v>
      </c>
      <c r="CO211" s="30" t="s">
        <v>165</v>
      </c>
      <c r="CP211" s="35">
        <v>43894</v>
      </c>
      <c r="CQ211" s="37" t="s">
        <v>151</v>
      </c>
      <c r="CR211" s="30" t="s">
        <v>151</v>
      </c>
      <c r="CS211" s="30" t="s">
        <v>191</v>
      </c>
      <c r="CT211" s="29" t="s">
        <v>151</v>
      </c>
      <c r="CU211" s="30" t="s">
        <v>151</v>
      </c>
      <c r="CV211" s="32" t="s">
        <v>151</v>
      </c>
      <c r="CW211" s="32" t="s">
        <v>151</v>
      </c>
      <c r="CX211" s="30" t="s">
        <v>151</v>
      </c>
      <c r="CY211" s="32" t="s">
        <v>151</v>
      </c>
      <c r="CZ211" s="32" t="s">
        <v>151</v>
      </c>
      <c r="DA211" s="37">
        <v>0.9</v>
      </c>
      <c r="DB211" s="35">
        <v>43894</v>
      </c>
      <c r="DC211" s="30" t="s">
        <v>293</v>
      </c>
      <c r="DD211" s="29" t="s">
        <v>151</v>
      </c>
      <c r="DE211" s="32">
        <v>-2.08</v>
      </c>
      <c r="DF211" s="34">
        <v>2</v>
      </c>
      <c r="DG211" s="32">
        <v>0</v>
      </c>
      <c r="DH211" s="32">
        <v>0</v>
      </c>
      <c r="DI211" s="32">
        <v>0</v>
      </c>
      <c r="DJ211" s="34">
        <v>10</v>
      </c>
      <c r="DK211" s="32" t="s">
        <v>151</v>
      </c>
      <c r="DL211" s="34" t="s">
        <v>151</v>
      </c>
      <c r="DM211" s="32">
        <v>0</v>
      </c>
      <c r="DN211" s="34">
        <v>10</v>
      </c>
      <c r="DO211" s="36">
        <v>0.16</v>
      </c>
      <c r="DP211" s="34">
        <v>9</v>
      </c>
      <c r="DQ211" s="36">
        <v>0</v>
      </c>
      <c r="DR211" s="32">
        <v>0</v>
      </c>
      <c r="DS211" s="36">
        <v>0.16</v>
      </c>
      <c r="DT211" s="34">
        <v>10</v>
      </c>
      <c r="DU211" s="36" t="s">
        <v>151</v>
      </c>
      <c r="DV211" s="34" t="s">
        <v>151</v>
      </c>
      <c r="DW211" s="36">
        <v>0.16</v>
      </c>
      <c r="DX211" s="34">
        <v>10</v>
      </c>
      <c r="DY211" s="31" t="s">
        <v>151</v>
      </c>
      <c r="DZ211" s="35" t="s">
        <v>151</v>
      </c>
      <c r="EA211" s="35" t="s">
        <v>151</v>
      </c>
      <c r="EB211" s="34">
        <v>0</v>
      </c>
      <c r="EC211" s="33">
        <v>0</v>
      </c>
      <c r="ED211" s="32">
        <v>0</v>
      </c>
      <c r="EE211" s="34">
        <v>3</v>
      </c>
      <c r="EF211" s="33">
        <v>0</v>
      </c>
      <c r="EG211" s="32">
        <v>0</v>
      </c>
      <c r="EH211" s="29" t="s">
        <v>198</v>
      </c>
      <c r="EI211" s="30" t="s">
        <v>151</v>
      </c>
      <c r="EJ211" s="30" t="s">
        <v>151</v>
      </c>
      <c r="EK211" s="31" t="s">
        <v>151</v>
      </c>
      <c r="EL211" s="31" t="s">
        <v>151</v>
      </c>
      <c r="EM211" s="31" t="s">
        <v>151</v>
      </c>
      <c r="EN211" s="31" t="s">
        <v>151</v>
      </c>
      <c r="EO211" s="31" t="s">
        <v>151</v>
      </c>
      <c r="EP211" s="30" t="s">
        <v>151</v>
      </c>
      <c r="EQ211" s="29" t="s">
        <v>151</v>
      </c>
      <c r="ER211" s="29" t="s">
        <v>151</v>
      </c>
      <c r="ES211" s="4">
        <f>HYPERLINK("https://my.pitchbook.com?c=467043-49","View Company Online")</f>
      </c>
    </row>
    <row r="212">
      <c r="A212" s="17" t="s">
        <v>4821</v>
      </c>
      <c r="B212" s="17" t="s">
        <v>4822</v>
      </c>
      <c r="C212" s="18" t="s">
        <v>151</v>
      </c>
      <c r="D212" s="17" t="s">
        <v>151</v>
      </c>
      <c r="E212" s="17" t="s">
        <v>151</v>
      </c>
      <c r="F212" s="17" t="s">
        <v>4823</v>
      </c>
      <c r="G212" s="17" t="s">
        <v>151</v>
      </c>
      <c r="H212" s="17" t="s">
        <v>151</v>
      </c>
      <c r="I212" s="17" t="s">
        <v>151</v>
      </c>
      <c r="J212" s="17" t="s">
        <v>4821</v>
      </c>
      <c r="K212" s="17" t="s">
        <v>4824</v>
      </c>
      <c r="L212" s="17" t="s">
        <v>1178</v>
      </c>
      <c r="M212" s="17" t="s">
        <v>4825</v>
      </c>
      <c r="N212" s="17" t="s">
        <v>4826</v>
      </c>
      <c r="O212" s="17" t="s">
        <v>4827</v>
      </c>
      <c r="P212" s="17" t="s">
        <v>4828</v>
      </c>
      <c r="Q212" s="17" t="s">
        <v>4829</v>
      </c>
      <c r="R212" s="17" t="s">
        <v>151</v>
      </c>
      <c r="S212" s="17" t="s">
        <v>162</v>
      </c>
      <c r="T212" s="24">
        <v>10</v>
      </c>
      <c r="U212" s="17" t="s">
        <v>163</v>
      </c>
      <c r="V212" s="17" t="s">
        <v>164</v>
      </c>
      <c r="W212" s="17" t="s">
        <v>165</v>
      </c>
      <c r="X212" s="15" t="s">
        <v>4830</v>
      </c>
      <c r="Y212" s="15" t="s">
        <v>4831</v>
      </c>
      <c r="Z212" s="27">
        <v>51</v>
      </c>
      <c r="AA212" s="17" t="s">
        <v>4832</v>
      </c>
      <c r="AB212" s="17" t="s">
        <v>151</v>
      </c>
      <c r="AC212" s="17" t="s">
        <v>151</v>
      </c>
      <c r="AD212" s="26">
        <v>2020</v>
      </c>
      <c r="AE212" s="17" t="s">
        <v>151</v>
      </c>
      <c r="AF212" s="22">
        <v>45355</v>
      </c>
      <c r="AG212" s="17" t="s">
        <v>151</v>
      </c>
      <c r="AH212" s="17" t="s">
        <v>151</v>
      </c>
      <c r="AI212" s="25" t="s">
        <v>151</v>
      </c>
      <c r="AJ212" s="19" t="s">
        <v>151</v>
      </c>
      <c r="AK212" s="25" t="s">
        <v>151</v>
      </c>
      <c r="AL212" s="25" t="s">
        <v>151</v>
      </c>
      <c r="AM212" s="25" t="s">
        <v>151</v>
      </c>
      <c r="AN212" s="25" t="s">
        <v>151</v>
      </c>
      <c r="AO212" s="25" t="s">
        <v>151</v>
      </c>
      <c r="AP212" s="25" t="s">
        <v>151</v>
      </c>
      <c r="AQ212" s="25" t="s">
        <v>151</v>
      </c>
      <c r="AR212" s="16" t="s">
        <v>151</v>
      </c>
      <c r="AS212" s="17" t="s">
        <v>4833</v>
      </c>
      <c r="AT212" s="17" t="s">
        <v>4834</v>
      </c>
      <c r="AU212" s="18">
        <v>9</v>
      </c>
      <c r="AV212" s="17" t="s">
        <v>151</v>
      </c>
      <c r="AW212" s="17" t="s">
        <v>151</v>
      </c>
      <c r="AX212" s="17" t="s">
        <v>151</v>
      </c>
      <c r="AY212" s="17" t="s">
        <v>4835</v>
      </c>
      <c r="AZ212" s="17" t="s">
        <v>151</v>
      </c>
      <c r="BA212" s="17" t="s">
        <v>151</v>
      </c>
      <c r="BB212" s="17" t="s">
        <v>151</v>
      </c>
      <c r="BC212" s="17" t="s">
        <v>151</v>
      </c>
      <c r="BD212" s="17" t="s">
        <v>4836</v>
      </c>
      <c r="BE212" s="17" t="s">
        <v>4837</v>
      </c>
      <c r="BF212" s="17" t="s">
        <v>4297</v>
      </c>
      <c r="BG212" s="17" t="s">
        <v>4838</v>
      </c>
      <c r="BH212" s="17" t="s">
        <v>4839</v>
      </c>
      <c r="BI212" s="17" t="s">
        <v>1409</v>
      </c>
      <c r="BJ212" s="17" t="s">
        <v>4840</v>
      </c>
      <c r="BK212" s="17" t="s">
        <v>4841</v>
      </c>
      <c r="BL212" s="17" t="s">
        <v>1412</v>
      </c>
      <c r="BM212" s="17" t="s">
        <v>823</v>
      </c>
      <c r="BN212" s="16" t="s">
        <v>4074</v>
      </c>
      <c r="BO212" s="17" t="s">
        <v>186</v>
      </c>
      <c r="BP212" s="16" t="s">
        <v>4839</v>
      </c>
      <c r="BQ212" s="16" t="s">
        <v>151</v>
      </c>
      <c r="BR212" s="17" t="s">
        <v>151</v>
      </c>
      <c r="BS212" s="17" t="s">
        <v>187</v>
      </c>
      <c r="BT212" s="17" t="s">
        <v>188</v>
      </c>
      <c r="BU212" s="22">
        <v>44273</v>
      </c>
      <c r="BV212" s="24">
        <v>10</v>
      </c>
      <c r="BW212" s="17" t="s">
        <v>192</v>
      </c>
      <c r="BX212" s="24" t="s">
        <v>151</v>
      </c>
      <c r="BY212" s="17" t="s">
        <v>151</v>
      </c>
      <c r="BZ212" s="17" t="s">
        <v>231</v>
      </c>
      <c r="CA212" s="17" t="s">
        <v>232</v>
      </c>
      <c r="CB212" s="17" t="s">
        <v>151</v>
      </c>
      <c r="CC212" s="17" t="s">
        <v>165</v>
      </c>
      <c r="CD212" s="17" t="s">
        <v>151</v>
      </c>
      <c r="CE212" s="17" t="s">
        <v>191</v>
      </c>
      <c r="CF212" s="22">
        <v>44630</v>
      </c>
      <c r="CG212" s="24" t="s">
        <v>151</v>
      </c>
      <c r="CH212" s="17" t="s">
        <v>151</v>
      </c>
      <c r="CI212" s="24" t="s">
        <v>151</v>
      </c>
      <c r="CJ212" s="17" t="s">
        <v>151</v>
      </c>
      <c r="CK212" s="16" t="s">
        <v>151</v>
      </c>
      <c r="CL212" s="17" t="s">
        <v>231</v>
      </c>
      <c r="CM212" s="17" t="s">
        <v>326</v>
      </c>
      <c r="CN212" s="17" t="s">
        <v>151</v>
      </c>
      <c r="CO212" s="17" t="s">
        <v>165</v>
      </c>
      <c r="CP212" s="22">
        <v>44630</v>
      </c>
      <c r="CQ212" s="24" t="s">
        <v>151</v>
      </c>
      <c r="CR212" s="17" t="s">
        <v>151</v>
      </c>
      <c r="CS212" s="17" t="s">
        <v>191</v>
      </c>
      <c r="CT212" s="16">
        <v>52</v>
      </c>
      <c r="CU212" s="17" t="s">
        <v>196</v>
      </c>
      <c r="CV212" s="19">
        <v>64</v>
      </c>
      <c r="CW212" s="19">
        <v>36</v>
      </c>
      <c r="CX212" s="17" t="s">
        <v>294</v>
      </c>
      <c r="CY212" s="19">
        <v>2</v>
      </c>
      <c r="CZ212" s="19">
        <v>62</v>
      </c>
      <c r="DA212" s="24" t="s">
        <v>151</v>
      </c>
      <c r="DB212" s="22" t="s">
        <v>151</v>
      </c>
      <c r="DC212" s="17" t="s">
        <v>151</v>
      </c>
      <c r="DD212" s="16" t="s">
        <v>151</v>
      </c>
      <c r="DE212" s="19">
        <v>0</v>
      </c>
      <c r="DF212" s="21">
        <v>11</v>
      </c>
      <c r="DG212" s="19">
        <v>0</v>
      </c>
      <c r="DH212" s="19">
        <v>0</v>
      </c>
      <c r="DI212" s="19">
        <v>0</v>
      </c>
      <c r="DJ212" s="21">
        <v>10</v>
      </c>
      <c r="DK212" s="19" t="s">
        <v>151</v>
      </c>
      <c r="DL212" s="21" t="s">
        <v>151</v>
      </c>
      <c r="DM212" s="19">
        <v>0</v>
      </c>
      <c r="DN212" s="21">
        <v>10</v>
      </c>
      <c r="DO212" s="23">
        <v>4.53</v>
      </c>
      <c r="DP212" s="21">
        <v>81</v>
      </c>
      <c r="DQ212" s="23">
        <v>0</v>
      </c>
      <c r="DR212" s="19">
        <v>0</v>
      </c>
      <c r="DS212" s="23">
        <v>4.53</v>
      </c>
      <c r="DT212" s="21">
        <v>81</v>
      </c>
      <c r="DU212" s="23" t="s">
        <v>151</v>
      </c>
      <c r="DV212" s="21" t="s">
        <v>151</v>
      </c>
      <c r="DW212" s="23">
        <v>4.53</v>
      </c>
      <c r="DX212" s="21">
        <v>80</v>
      </c>
      <c r="DY212" s="18">
        <v>1</v>
      </c>
      <c r="DZ212" s="22">
        <v>45299</v>
      </c>
      <c r="EA212" s="22" t="s">
        <v>4842</v>
      </c>
      <c r="EB212" s="21">
        <v>458</v>
      </c>
      <c r="EC212" s="20">
        <v>-30</v>
      </c>
      <c r="ED212" s="19">
        <v>-6.15</v>
      </c>
      <c r="EE212" s="21">
        <v>86</v>
      </c>
      <c r="EF212" s="20">
        <v>0</v>
      </c>
      <c r="EG212" s="19">
        <v>0</v>
      </c>
      <c r="EH212" s="16" t="s">
        <v>198</v>
      </c>
      <c r="EI212" s="17" t="s">
        <v>151</v>
      </c>
      <c r="EJ212" s="17" t="s">
        <v>151</v>
      </c>
      <c r="EK212" s="18" t="s">
        <v>151</v>
      </c>
      <c r="EL212" s="18" t="s">
        <v>151</v>
      </c>
      <c r="EM212" s="18" t="s">
        <v>151</v>
      </c>
      <c r="EN212" s="18" t="s">
        <v>151</v>
      </c>
      <c r="EO212" s="18" t="s">
        <v>151</v>
      </c>
      <c r="EP212" s="17" t="s">
        <v>151</v>
      </c>
      <c r="EQ212" s="16" t="s">
        <v>151</v>
      </c>
      <c r="ER212" s="16" t="s">
        <v>151</v>
      </c>
      <c r="ES212" s="3">
        <f>HYPERLINK("https://my.pitchbook.com?c=463011-40","View Company Online")</f>
      </c>
    </row>
    <row r="213">
      <c r="A213" s="30" t="s">
        <v>4843</v>
      </c>
      <c r="B213" s="30" t="s">
        <v>4844</v>
      </c>
      <c r="C213" s="31" t="s">
        <v>151</v>
      </c>
      <c r="D213" s="30" t="s">
        <v>151</v>
      </c>
      <c r="E213" s="30" t="s">
        <v>151</v>
      </c>
      <c r="F213" s="30" t="s">
        <v>4845</v>
      </c>
      <c r="G213" s="30" t="s">
        <v>151</v>
      </c>
      <c r="H213" s="30" t="s">
        <v>151</v>
      </c>
      <c r="I213" s="30" t="s">
        <v>4846</v>
      </c>
      <c r="J213" s="30" t="s">
        <v>4843</v>
      </c>
      <c r="K213" s="30" t="s">
        <v>4847</v>
      </c>
      <c r="L213" s="30" t="s">
        <v>205</v>
      </c>
      <c r="M213" s="30" t="s">
        <v>206</v>
      </c>
      <c r="N213" s="30" t="s">
        <v>1268</v>
      </c>
      <c r="O213" s="30" t="s">
        <v>1485</v>
      </c>
      <c r="P213" s="30" t="s">
        <v>892</v>
      </c>
      <c r="Q213" s="30" t="s">
        <v>4848</v>
      </c>
      <c r="R213" s="30" t="s">
        <v>151</v>
      </c>
      <c r="S213" s="30" t="s">
        <v>162</v>
      </c>
      <c r="T213" s="37">
        <v>1.4</v>
      </c>
      <c r="U213" s="30" t="s">
        <v>4045</v>
      </c>
      <c r="V213" s="30" t="s">
        <v>164</v>
      </c>
      <c r="W213" s="30" t="s">
        <v>165</v>
      </c>
      <c r="X213" s="28" t="s">
        <v>4849</v>
      </c>
      <c r="Y213" s="28" t="s">
        <v>4850</v>
      </c>
      <c r="Z213" s="40">
        <v>5</v>
      </c>
      <c r="AA213" s="30" t="s">
        <v>4170</v>
      </c>
      <c r="AB213" s="30" t="s">
        <v>151</v>
      </c>
      <c r="AC213" s="30" t="s">
        <v>151</v>
      </c>
      <c r="AD213" s="39">
        <v>2022</v>
      </c>
      <c r="AE213" s="30" t="s">
        <v>151</v>
      </c>
      <c r="AF213" s="35">
        <v>45610</v>
      </c>
      <c r="AG213" s="30" t="s">
        <v>151</v>
      </c>
      <c r="AH213" s="30" t="s">
        <v>151</v>
      </c>
      <c r="AI213" s="38" t="s">
        <v>151</v>
      </c>
      <c r="AJ213" s="32" t="s">
        <v>151</v>
      </c>
      <c r="AK213" s="38" t="s">
        <v>151</v>
      </c>
      <c r="AL213" s="38" t="s">
        <v>151</v>
      </c>
      <c r="AM213" s="38" t="s">
        <v>151</v>
      </c>
      <c r="AN213" s="38" t="s">
        <v>151</v>
      </c>
      <c r="AO213" s="38" t="s">
        <v>151</v>
      </c>
      <c r="AP213" s="38" t="s">
        <v>151</v>
      </c>
      <c r="AQ213" s="38" t="s">
        <v>151</v>
      </c>
      <c r="AR213" s="29" t="s">
        <v>151</v>
      </c>
      <c r="AS213" s="30" t="s">
        <v>4851</v>
      </c>
      <c r="AT213" s="30" t="s">
        <v>4852</v>
      </c>
      <c r="AU213" s="31">
        <v>5</v>
      </c>
      <c r="AV213" s="30" t="s">
        <v>151</v>
      </c>
      <c r="AW213" s="30" t="s">
        <v>151</v>
      </c>
      <c r="AX213" s="30" t="s">
        <v>151</v>
      </c>
      <c r="AY213" s="30" t="s">
        <v>4853</v>
      </c>
      <c r="AZ213" s="30" t="s">
        <v>151</v>
      </c>
      <c r="BA213" s="30" t="s">
        <v>151</v>
      </c>
      <c r="BB213" s="30" t="s">
        <v>151</v>
      </c>
      <c r="BC213" s="30" t="s">
        <v>490</v>
      </c>
      <c r="BD213" s="30" t="s">
        <v>4854</v>
      </c>
      <c r="BE213" s="30" t="s">
        <v>4855</v>
      </c>
      <c r="BF213" s="30" t="s">
        <v>403</v>
      </c>
      <c r="BG213" s="30" t="s">
        <v>4856</v>
      </c>
      <c r="BH213" s="30" t="s">
        <v>4857</v>
      </c>
      <c r="BI213" s="30" t="s">
        <v>4858</v>
      </c>
      <c r="BJ213" s="30" t="s">
        <v>4859</v>
      </c>
      <c r="BK213" s="30" t="s">
        <v>908</v>
      </c>
      <c r="BL213" s="30" t="s">
        <v>2957</v>
      </c>
      <c r="BM213" s="30" t="s">
        <v>259</v>
      </c>
      <c r="BN213" s="29" t="s">
        <v>2958</v>
      </c>
      <c r="BO213" s="30" t="s">
        <v>186</v>
      </c>
      <c r="BP213" s="29" t="s">
        <v>4860</v>
      </c>
      <c r="BQ213" s="29" t="s">
        <v>151</v>
      </c>
      <c r="BR213" s="30" t="s">
        <v>4861</v>
      </c>
      <c r="BS213" s="30" t="s">
        <v>187</v>
      </c>
      <c r="BT213" s="30" t="s">
        <v>188</v>
      </c>
      <c r="BU213" s="35">
        <v>45489</v>
      </c>
      <c r="BV213" s="37">
        <v>1.4</v>
      </c>
      <c r="BW213" s="30" t="s">
        <v>192</v>
      </c>
      <c r="BX213" s="37" t="s">
        <v>151</v>
      </c>
      <c r="BY213" s="30" t="s">
        <v>151</v>
      </c>
      <c r="BZ213" s="30" t="s">
        <v>293</v>
      </c>
      <c r="CA213" s="30" t="s">
        <v>293</v>
      </c>
      <c r="CB213" s="30" t="s">
        <v>151</v>
      </c>
      <c r="CC213" s="30" t="s">
        <v>165</v>
      </c>
      <c r="CD213" s="30" t="s">
        <v>151</v>
      </c>
      <c r="CE213" s="30" t="s">
        <v>191</v>
      </c>
      <c r="CF213" s="35">
        <v>45489</v>
      </c>
      <c r="CG213" s="37">
        <v>1.4</v>
      </c>
      <c r="CH213" s="30" t="s">
        <v>192</v>
      </c>
      <c r="CI213" s="37" t="s">
        <v>151</v>
      </c>
      <c r="CJ213" s="30" t="s">
        <v>151</v>
      </c>
      <c r="CK213" s="29" t="s">
        <v>151</v>
      </c>
      <c r="CL213" s="30" t="s">
        <v>293</v>
      </c>
      <c r="CM213" s="30" t="s">
        <v>293</v>
      </c>
      <c r="CN213" s="30" t="s">
        <v>151</v>
      </c>
      <c r="CO213" s="30" t="s">
        <v>165</v>
      </c>
      <c r="CP213" s="35">
        <v>45489</v>
      </c>
      <c r="CQ213" s="37" t="s">
        <v>151</v>
      </c>
      <c r="CR213" s="30" t="s">
        <v>151</v>
      </c>
      <c r="CS213" s="30" t="s">
        <v>191</v>
      </c>
      <c r="CT213" s="29" t="s">
        <v>151</v>
      </c>
      <c r="CU213" s="30" t="s">
        <v>151</v>
      </c>
      <c r="CV213" s="32" t="s">
        <v>151</v>
      </c>
      <c r="CW213" s="32" t="s">
        <v>151</v>
      </c>
      <c r="CX213" s="30" t="s">
        <v>151</v>
      </c>
      <c r="CY213" s="32" t="s">
        <v>151</v>
      </c>
      <c r="CZ213" s="32" t="s">
        <v>151</v>
      </c>
      <c r="DA213" s="37" t="s">
        <v>151</v>
      </c>
      <c r="DB213" s="35" t="s">
        <v>151</v>
      </c>
      <c r="DC213" s="30" t="s">
        <v>151</v>
      </c>
      <c r="DD213" s="29" t="s">
        <v>151</v>
      </c>
      <c r="DE213" s="32">
        <v>0</v>
      </c>
      <c r="DF213" s="34">
        <v>11</v>
      </c>
      <c r="DG213" s="32">
        <v>0</v>
      </c>
      <c r="DH213" s="32">
        <v>0</v>
      </c>
      <c r="DI213" s="32" t="s">
        <v>151</v>
      </c>
      <c r="DJ213" s="34" t="s">
        <v>151</v>
      </c>
      <c r="DK213" s="32" t="s">
        <v>151</v>
      </c>
      <c r="DL213" s="34" t="s">
        <v>151</v>
      </c>
      <c r="DM213" s="32" t="s">
        <v>151</v>
      </c>
      <c r="DN213" s="34" t="s">
        <v>151</v>
      </c>
      <c r="DO213" s="36">
        <v>0.38</v>
      </c>
      <c r="DP213" s="34">
        <v>27</v>
      </c>
      <c r="DQ213" s="36">
        <v>0</v>
      </c>
      <c r="DR213" s="32">
        <v>0</v>
      </c>
      <c r="DS213" s="36" t="s">
        <v>151</v>
      </c>
      <c r="DT213" s="34" t="s">
        <v>151</v>
      </c>
      <c r="DU213" s="36" t="s">
        <v>151</v>
      </c>
      <c r="DV213" s="34" t="s">
        <v>151</v>
      </c>
      <c r="DW213" s="36" t="s">
        <v>151</v>
      </c>
      <c r="DX213" s="34" t="s">
        <v>151</v>
      </c>
      <c r="DY213" s="31" t="s">
        <v>151</v>
      </c>
      <c r="DZ213" s="35" t="s">
        <v>151</v>
      </c>
      <c r="EA213" s="35" t="s">
        <v>151</v>
      </c>
      <c r="EB213" s="34">
        <v>125</v>
      </c>
      <c r="EC213" s="33">
        <v>-21</v>
      </c>
      <c r="ED213" s="32">
        <v>-14.38</v>
      </c>
      <c r="EE213" s="34" t="s">
        <v>151</v>
      </c>
      <c r="EF213" s="33" t="s">
        <v>151</v>
      </c>
      <c r="EG213" s="32" t="s">
        <v>151</v>
      </c>
      <c r="EH213" s="29" t="s">
        <v>198</v>
      </c>
      <c r="EI213" s="30" t="s">
        <v>151</v>
      </c>
      <c r="EJ213" s="30" t="s">
        <v>151</v>
      </c>
      <c r="EK213" s="31" t="s">
        <v>151</v>
      </c>
      <c r="EL213" s="31" t="s">
        <v>151</v>
      </c>
      <c r="EM213" s="31" t="s">
        <v>151</v>
      </c>
      <c r="EN213" s="31" t="s">
        <v>151</v>
      </c>
      <c r="EO213" s="31" t="s">
        <v>151</v>
      </c>
      <c r="EP213" s="30" t="s">
        <v>151</v>
      </c>
      <c r="EQ213" s="29" t="s">
        <v>151</v>
      </c>
      <c r="ER213" s="29" t="s">
        <v>151</v>
      </c>
      <c r="ES213" s="4">
        <f>HYPERLINK("https://my.pitchbook.com?c=502833-16","View Company Online")</f>
      </c>
    </row>
    <row r="214">
      <c r="A214" s="17" t="s">
        <v>4862</v>
      </c>
      <c r="B214" s="17" t="s">
        <v>4863</v>
      </c>
      <c r="C214" s="18" t="s">
        <v>151</v>
      </c>
      <c r="D214" s="17" t="s">
        <v>4864</v>
      </c>
      <c r="E214" s="17" t="s">
        <v>151</v>
      </c>
      <c r="F214" s="17" t="s">
        <v>151</v>
      </c>
      <c r="G214" s="17" t="s">
        <v>151</v>
      </c>
      <c r="H214" s="17" t="s">
        <v>151</v>
      </c>
      <c r="I214" s="17" t="s">
        <v>151</v>
      </c>
      <c r="J214" s="17" t="s">
        <v>4862</v>
      </c>
      <c r="K214" s="17" t="s">
        <v>4865</v>
      </c>
      <c r="L214" s="17" t="s">
        <v>616</v>
      </c>
      <c r="M214" s="17" t="s">
        <v>834</v>
      </c>
      <c r="N214" s="17" t="s">
        <v>3076</v>
      </c>
      <c r="O214" s="17" t="s">
        <v>4866</v>
      </c>
      <c r="P214" s="17" t="s">
        <v>1652</v>
      </c>
      <c r="Q214" s="17" t="s">
        <v>4867</v>
      </c>
      <c r="R214" s="17" t="s">
        <v>151</v>
      </c>
      <c r="S214" s="17" t="s">
        <v>162</v>
      </c>
      <c r="T214" s="24">
        <v>5</v>
      </c>
      <c r="U214" s="17" t="s">
        <v>163</v>
      </c>
      <c r="V214" s="17" t="s">
        <v>164</v>
      </c>
      <c r="W214" s="17" t="s">
        <v>165</v>
      </c>
      <c r="X214" s="15" t="s">
        <v>4868</v>
      </c>
      <c r="Y214" s="15" t="s">
        <v>4869</v>
      </c>
      <c r="Z214" s="27">
        <v>46</v>
      </c>
      <c r="AA214" s="17" t="s">
        <v>4870</v>
      </c>
      <c r="AB214" s="17" t="s">
        <v>151</v>
      </c>
      <c r="AC214" s="17" t="s">
        <v>151</v>
      </c>
      <c r="AD214" s="26">
        <v>2020</v>
      </c>
      <c r="AE214" s="17" t="s">
        <v>151</v>
      </c>
      <c r="AF214" s="22">
        <v>45527</v>
      </c>
      <c r="AG214" s="17" t="s">
        <v>151</v>
      </c>
      <c r="AH214" s="17" t="s">
        <v>151</v>
      </c>
      <c r="AI214" s="25">
        <v>1</v>
      </c>
      <c r="AJ214" s="19">
        <v>0</v>
      </c>
      <c r="AK214" s="25" t="s">
        <v>151</v>
      </c>
      <c r="AL214" s="25" t="s">
        <v>151</v>
      </c>
      <c r="AM214" s="25" t="s">
        <v>151</v>
      </c>
      <c r="AN214" s="25" t="s">
        <v>151</v>
      </c>
      <c r="AO214" s="25" t="s">
        <v>151</v>
      </c>
      <c r="AP214" s="25" t="s">
        <v>151</v>
      </c>
      <c r="AQ214" s="25" t="s">
        <v>151</v>
      </c>
      <c r="AR214" s="16" t="s">
        <v>170</v>
      </c>
      <c r="AS214" s="17" t="s">
        <v>4871</v>
      </c>
      <c r="AT214" s="17" t="s">
        <v>4872</v>
      </c>
      <c r="AU214" s="18">
        <v>19</v>
      </c>
      <c r="AV214" s="17" t="s">
        <v>151</v>
      </c>
      <c r="AW214" s="17" t="s">
        <v>151</v>
      </c>
      <c r="AX214" s="17" t="s">
        <v>151</v>
      </c>
      <c r="AY214" s="17" t="s">
        <v>4873</v>
      </c>
      <c r="AZ214" s="17" t="s">
        <v>151</v>
      </c>
      <c r="BA214" s="17" t="s">
        <v>151</v>
      </c>
      <c r="BB214" s="17" t="s">
        <v>151</v>
      </c>
      <c r="BC214" s="17" t="s">
        <v>151</v>
      </c>
      <c r="BD214" s="17" t="s">
        <v>4874</v>
      </c>
      <c r="BE214" s="17" t="s">
        <v>4875</v>
      </c>
      <c r="BF214" s="17" t="s">
        <v>221</v>
      </c>
      <c r="BG214" s="17" t="s">
        <v>4876</v>
      </c>
      <c r="BH214" s="17" t="s">
        <v>4877</v>
      </c>
      <c r="BI214" s="17" t="s">
        <v>764</v>
      </c>
      <c r="BJ214" s="17" t="s">
        <v>4878</v>
      </c>
      <c r="BK214" s="17" t="s">
        <v>151</v>
      </c>
      <c r="BL214" s="17" t="s">
        <v>767</v>
      </c>
      <c r="BM214" s="17" t="s">
        <v>184</v>
      </c>
      <c r="BN214" s="16" t="s">
        <v>2979</v>
      </c>
      <c r="BO214" s="17" t="s">
        <v>186</v>
      </c>
      <c r="BP214" s="16" t="s">
        <v>151</v>
      </c>
      <c r="BQ214" s="16" t="s">
        <v>151</v>
      </c>
      <c r="BR214" s="17" t="s">
        <v>151</v>
      </c>
      <c r="BS214" s="17" t="s">
        <v>187</v>
      </c>
      <c r="BT214" s="17" t="s">
        <v>188</v>
      </c>
      <c r="BU214" s="22">
        <v>44165</v>
      </c>
      <c r="BV214" s="24">
        <v>0.1</v>
      </c>
      <c r="BW214" s="17" t="s">
        <v>192</v>
      </c>
      <c r="BX214" s="24">
        <v>1.67</v>
      </c>
      <c r="BY214" s="17" t="s">
        <v>192</v>
      </c>
      <c r="BZ214" s="17" t="s">
        <v>231</v>
      </c>
      <c r="CA214" s="17" t="s">
        <v>151</v>
      </c>
      <c r="CB214" s="17" t="s">
        <v>151</v>
      </c>
      <c r="CC214" s="17" t="s">
        <v>165</v>
      </c>
      <c r="CD214" s="17" t="s">
        <v>151</v>
      </c>
      <c r="CE214" s="17" t="s">
        <v>191</v>
      </c>
      <c r="CF214" s="22">
        <v>45338</v>
      </c>
      <c r="CG214" s="24">
        <v>2.75</v>
      </c>
      <c r="CH214" s="17" t="s">
        <v>192</v>
      </c>
      <c r="CI214" s="24" t="s">
        <v>151</v>
      </c>
      <c r="CJ214" s="17" t="s">
        <v>151</v>
      </c>
      <c r="CK214" s="16" t="s">
        <v>151</v>
      </c>
      <c r="CL214" s="17" t="s">
        <v>293</v>
      </c>
      <c r="CM214" s="17" t="s">
        <v>293</v>
      </c>
      <c r="CN214" s="17" t="s">
        <v>151</v>
      </c>
      <c r="CO214" s="17" t="s">
        <v>165</v>
      </c>
      <c r="CP214" s="22">
        <v>45338</v>
      </c>
      <c r="CQ214" s="24" t="s">
        <v>151</v>
      </c>
      <c r="CR214" s="17" t="s">
        <v>151</v>
      </c>
      <c r="CS214" s="17" t="s">
        <v>191</v>
      </c>
      <c r="CT214" s="16">
        <v>82</v>
      </c>
      <c r="CU214" s="17" t="s">
        <v>196</v>
      </c>
      <c r="CV214" s="19">
        <v>75</v>
      </c>
      <c r="CW214" s="19">
        <v>25</v>
      </c>
      <c r="CX214" s="17" t="s">
        <v>294</v>
      </c>
      <c r="CY214" s="19">
        <v>1</v>
      </c>
      <c r="CZ214" s="19">
        <v>74</v>
      </c>
      <c r="DA214" s="24">
        <v>1.67</v>
      </c>
      <c r="DB214" s="22">
        <v>44165</v>
      </c>
      <c r="DC214" s="17" t="s">
        <v>231</v>
      </c>
      <c r="DD214" s="16" t="s">
        <v>151</v>
      </c>
      <c r="DE214" s="19">
        <v>0.28</v>
      </c>
      <c r="DF214" s="21">
        <v>92</v>
      </c>
      <c r="DG214" s="19">
        <v>0</v>
      </c>
      <c r="DH214" s="19">
        <v>0</v>
      </c>
      <c r="DI214" s="19" t="s">
        <v>151</v>
      </c>
      <c r="DJ214" s="21" t="s">
        <v>151</v>
      </c>
      <c r="DK214" s="19" t="s">
        <v>151</v>
      </c>
      <c r="DL214" s="21" t="s">
        <v>151</v>
      </c>
      <c r="DM214" s="19" t="s">
        <v>151</v>
      </c>
      <c r="DN214" s="21" t="s">
        <v>151</v>
      </c>
      <c r="DO214" s="23">
        <v>3.54</v>
      </c>
      <c r="DP214" s="21">
        <v>77</v>
      </c>
      <c r="DQ214" s="23">
        <v>0</v>
      </c>
      <c r="DR214" s="19">
        <v>0</v>
      </c>
      <c r="DS214" s="23" t="s">
        <v>151</v>
      </c>
      <c r="DT214" s="21" t="s">
        <v>151</v>
      </c>
      <c r="DU214" s="23" t="s">
        <v>151</v>
      </c>
      <c r="DV214" s="21" t="s">
        <v>151</v>
      </c>
      <c r="DW214" s="23" t="s">
        <v>151</v>
      </c>
      <c r="DX214" s="21" t="s">
        <v>151</v>
      </c>
      <c r="DY214" s="18" t="s">
        <v>151</v>
      </c>
      <c r="DZ214" s="22" t="s">
        <v>151</v>
      </c>
      <c r="EA214" s="22" t="s">
        <v>151</v>
      </c>
      <c r="EB214" s="21" t="s">
        <v>151</v>
      </c>
      <c r="EC214" s="20" t="s">
        <v>151</v>
      </c>
      <c r="ED214" s="19" t="s">
        <v>151</v>
      </c>
      <c r="EE214" s="21" t="s">
        <v>151</v>
      </c>
      <c r="EF214" s="20" t="s">
        <v>151</v>
      </c>
      <c r="EG214" s="19" t="s">
        <v>151</v>
      </c>
      <c r="EH214" s="16" t="s">
        <v>198</v>
      </c>
      <c r="EI214" s="17" t="s">
        <v>151</v>
      </c>
      <c r="EJ214" s="17" t="s">
        <v>151</v>
      </c>
      <c r="EK214" s="18" t="s">
        <v>151</v>
      </c>
      <c r="EL214" s="18" t="s">
        <v>151</v>
      </c>
      <c r="EM214" s="18" t="s">
        <v>151</v>
      </c>
      <c r="EN214" s="18" t="s">
        <v>151</v>
      </c>
      <c r="EO214" s="18" t="s">
        <v>151</v>
      </c>
      <c r="EP214" s="17" t="s">
        <v>151</v>
      </c>
      <c r="EQ214" s="16" t="s">
        <v>151</v>
      </c>
      <c r="ER214" s="16" t="s">
        <v>151</v>
      </c>
      <c r="ES214" s="3">
        <f>HYPERLINK("https://my.pitchbook.com?c=458361-01","View Company Online")</f>
      </c>
    </row>
    <row r="215">
      <c r="A215" s="30" t="s">
        <v>4879</v>
      </c>
      <c r="B215" s="30" t="s">
        <v>4880</v>
      </c>
      <c r="C215" s="31" t="s">
        <v>151</v>
      </c>
      <c r="D215" s="30" t="s">
        <v>151</v>
      </c>
      <c r="E215" s="30" t="s">
        <v>151</v>
      </c>
      <c r="F215" s="30" t="s">
        <v>4881</v>
      </c>
      <c r="G215" s="30" t="s">
        <v>151</v>
      </c>
      <c r="H215" s="30" t="s">
        <v>151</v>
      </c>
      <c r="I215" s="30" t="s">
        <v>151</v>
      </c>
      <c r="J215" s="30" t="s">
        <v>4879</v>
      </c>
      <c r="K215" s="30" t="s">
        <v>4882</v>
      </c>
      <c r="L215" s="30" t="s">
        <v>205</v>
      </c>
      <c r="M215" s="30" t="s">
        <v>206</v>
      </c>
      <c r="N215" s="30" t="s">
        <v>269</v>
      </c>
      <c r="O215" s="30" t="s">
        <v>4883</v>
      </c>
      <c r="P215" s="30" t="s">
        <v>4884</v>
      </c>
      <c r="Q215" s="30" t="s">
        <v>4885</v>
      </c>
      <c r="R215" s="30" t="s">
        <v>151</v>
      </c>
      <c r="S215" s="30" t="s">
        <v>162</v>
      </c>
      <c r="T215" s="37">
        <v>3.3</v>
      </c>
      <c r="U215" s="30" t="s">
        <v>4045</v>
      </c>
      <c r="V215" s="30" t="s">
        <v>164</v>
      </c>
      <c r="W215" s="30" t="s">
        <v>165</v>
      </c>
      <c r="X215" s="28" t="s">
        <v>4886</v>
      </c>
      <c r="Y215" s="28" t="s">
        <v>4887</v>
      </c>
      <c r="Z215" s="40">
        <v>6</v>
      </c>
      <c r="AA215" s="30" t="s">
        <v>4888</v>
      </c>
      <c r="AB215" s="30" t="s">
        <v>151</v>
      </c>
      <c r="AC215" s="30" t="s">
        <v>151</v>
      </c>
      <c r="AD215" s="39">
        <v>2023</v>
      </c>
      <c r="AE215" s="30" t="s">
        <v>151</v>
      </c>
      <c r="AF215" s="35">
        <v>45597</v>
      </c>
      <c r="AG215" s="30" t="s">
        <v>151</v>
      </c>
      <c r="AH215" s="30" t="s">
        <v>151</v>
      </c>
      <c r="AI215" s="38">
        <v>0.15</v>
      </c>
      <c r="AJ215" s="32" t="s">
        <v>151</v>
      </c>
      <c r="AK215" s="38" t="s">
        <v>151</v>
      </c>
      <c r="AL215" s="38" t="s">
        <v>151</v>
      </c>
      <c r="AM215" s="38" t="s">
        <v>151</v>
      </c>
      <c r="AN215" s="38" t="s">
        <v>151</v>
      </c>
      <c r="AO215" s="38" t="s">
        <v>151</v>
      </c>
      <c r="AP215" s="38" t="s">
        <v>151</v>
      </c>
      <c r="AQ215" s="38" t="s">
        <v>151</v>
      </c>
      <c r="AR215" s="29" t="s">
        <v>170</v>
      </c>
      <c r="AS215" s="30" t="s">
        <v>4889</v>
      </c>
      <c r="AT215" s="30" t="s">
        <v>4890</v>
      </c>
      <c r="AU215" s="31">
        <v>10</v>
      </c>
      <c r="AV215" s="30" t="s">
        <v>151</v>
      </c>
      <c r="AW215" s="30" t="s">
        <v>151</v>
      </c>
      <c r="AX215" s="30" t="s">
        <v>151</v>
      </c>
      <c r="AY215" s="30" t="s">
        <v>4891</v>
      </c>
      <c r="AZ215" s="30" t="s">
        <v>151</v>
      </c>
      <c r="BA215" s="30" t="s">
        <v>151</v>
      </c>
      <c r="BB215" s="30" t="s">
        <v>2288</v>
      </c>
      <c r="BC215" s="30" t="s">
        <v>4892</v>
      </c>
      <c r="BD215" s="30" t="s">
        <v>4893</v>
      </c>
      <c r="BE215" s="30" t="s">
        <v>4894</v>
      </c>
      <c r="BF215" s="30" t="s">
        <v>493</v>
      </c>
      <c r="BG215" s="30" t="s">
        <v>4895</v>
      </c>
      <c r="BH215" s="30" t="s">
        <v>4896</v>
      </c>
      <c r="BI215" s="30" t="s">
        <v>764</v>
      </c>
      <c r="BJ215" s="30" t="s">
        <v>151</v>
      </c>
      <c r="BK215" s="30" t="s">
        <v>151</v>
      </c>
      <c r="BL215" s="30" t="s">
        <v>767</v>
      </c>
      <c r="BM215" s="30" t="s">
        <v>184</v>
      </c>
      <c r="BN215" s="29" t="s">
        <v>151</v>
      </c>
      <c r="BO215" s="30" t="s">
        <v>186</v>
      </c>
      <c r="BP215" s="29" t="s">
        <v>151</v>
      </c>
      <c r="BQ215" s="29" t="s">
        <v>151</v>
      </c>
      <c r="BR215" s="30" t="s">
        <v>4897</v>
      </c>
      <c r="BS215" s="30" t="s">
        <v>187</v>
      </c>
      <c r="BT215" s="30" t="s">
        <v>188</v>
      </c>
      <c r="BU215" s="35" t="s">
        <v>151</v>
      </c>
      <c r="BV215" s="37" t="s">
        <v>151</v>
      </c>
      <c r="BW215" s="30" t="s">
        <v>151</v>
      </c>
      <c r="BX215" s="37" t="s">
        <v>151</v>
      </c>
      <c r="BY215" s="30" t="s">
        <v>151</v>
      </c>
      <c r="BZ215" s="30" t="s">
        <v>189</v>
      </c>
      <c r="CA215" s="30" t="s">
        <v>151</v>
      </c>
      <c r="CB215" s="30" t="s">
        <v>151</v>
      </c>
      <c r="CC215" s="30" t="s">
        <v>190</v>
      </c>
      <c r="CD215" s="30" t="s">
        <v>151</v>
      </c>
      <c r="CE215" s="30" t="s">
        <v>191</v>
      </c>
      <c r="CF215" s="35">
        <v>45337</v>
      </c>
      <c r="CG215" s="37">
        <v>3.3</v>
      </c>
      <c r="CH215" s="30" t="s">
        <v>192</v>
      </c>
      <c r="CI215" s="37">
        <v>20</v>
      </c>
      <c r="CJ215" s="30" t="s">
        <v>192</v>
      </c>
      <c r="CK215" s="29" t="s">
        <v>151</v>
      </c>
      <c r="CL215" s="30" t="s">
        <v>293</v>
      </c>
      <c r="CM215" s="30" t="s">
        <v>293</v>
      </c>
      <c r="CN215" s="30" t="s">
        <v>151</v>
      </c>
      <c r="CO215" s="30" t="s">
        <v>165</v>
      </c>
      <c r="CP215" s="35">
        <v>45337</v>
      </c>
      <c r="CQ215" s="37" t="s">
        <v>151</v>
      </c>
      <c r="CR215" s="30" t="s">
        <v>151</v>
      </c>
      <c r="CS215" s="30" t="s">
        <v>191</v>
      </c>
      <c r="CT215" s="29" t="s">
        <v>151</v>
      </c>
      <c r="CU215" s="30" t="s">
        <v>151</v>
      </c>
      <c r="CV215" s="32" t="s">
        <v>151</v>
      </c>
      <c r="CW215" s="32" t="s">
        <v>151</v>
      </c>
      <c r="CX215" s="30" t="s">
        <v>151</v>
      </c>
      <c r="CY215" s="32" t="s">
        <v>151</v>
      </c>
      <c r="CZ215" s="32" t="s">
        <v>151</v>
      </c>
      <c r="DA215" s="37">
        <v>20</v>
      </c>
      <c r="DB215" s="35">
        <v>45337</v>
      </c>
      <c r="DC215" s="30" t="s">
        <v>293</v>
      </c>
      <c r="DD215" s="29" t="s">
        <v>151</v>
      </c>
      <c r="DE215" s="32">
        <v>1.25</v>
      </c>
      <c r="DF215" s="34">
        <v>97</v>
      </c>
      <c r="DG215" s="32">
        <v>0</v>
      </c>
      <c r="DH215" s="32">
        <v>0</v>
      </c>
      <c r="DI215" s="32">
        <v>0</v>
      </c>
      <c r="DJ215" s="34">
        <v>10</v>
      </c>
      <c r="DK215" s="32" t="s">
        <v>151</v>
      </c>
      <c r="DL215" s="34" t="s">
        <v>151</v>
      </c>
      <c r="DM215" s="32">
        <v>0</v>
      </c>
      <c r="DN215" s="34">
        <v>10</v>
      </c>
      <c r="DO215" s="36">
        <v>0.44</v>
      </c>
      <c r="DP215" s="34">
        <v>30</v>
      </c>
      <c r="DQ215" s="36">
        <v>0</v>
      </c>
      <c r="DR215" s="32">
        <v>0</v>
      </c>
      <c r="DS215" s="36">
        <v>0.42</v>
      </c>
      <c r="DT215" s="34">
        <v>29</v>
      </c>
      <c r="DU215" s="36" t="s">
        <v>151</v>
      </c>
      <c r="DV215" s="34" t="s">
        <v>151</v>
      </c>
      <c r="DW215" s="36">
        <v>0.42</v>
      </c>
      <c r="DX215" s="34">
        <v>29</v>
      </c>
      <c r="DY215" s="31" t="s">
        <v>151</v>
      </c>
      <c r="DZ215" s="35" t="s">
        <v>151</v>
      </c>
      <c r="EA215" s="35" t="s">
        <v>151</v>
      </c>
      <c r="EB215" s="34">
        <v>460</v>
      </c>
      <c r="EC215" s="33">
        <v>-24</v>
      </c>
      <c r="ED215" s="32">
        <v>-4.96</v>
      </c>
      <c r="EE215" s="34">
        <v>8</v>
      </c>
      <c r="EF215" s="33">
        <v>0</v>
      </c>
      <c r="EG215" s="32">
        <v>0</v>
      </c>
      <c r="EH215" s="29" t="s">
        <v>198</v>
      </c>
      <c r="EI215" s="30" t="s">
        <v>151</v>
      </c>
      <c r="EJ215" s="30" t="s">
        <v>151</v>
      </c>
      <c r="EK215" s="31" t="s">
        <v>151</v>
      </c>
      <c r="EL215" s="31" t="s">
        <v>151</v>
      </c>
      <c r="EM215" s="31" t="s">
        <v>151</v>
      </c>
      <c r="EN215" s="31" t="s">
        <v>151</v>
      </c>
      <c r="EO215" s="31" t="s">
        <v>151</v>
      </c>
      <c r="EP215" s="30" t="s">
        <v>151</v>
      </c>
      <c r="EQ215" s="29" t="s">
        <v>151</v>
      </c>
      <c r="ER215" s="29" t="s">
        <v>151</v>
      </c>
      <c r="ES215" s="4">
        <f>HYPERLINK("https://my.pitchbook.com?c=588825-55","View Company Online")</f>
      </c>
    </row>
    <row r="216">
      <c r="A216" s="17" t="s">
        <v>4898</v>
      </c>
      <c r="B216" s="17" t="s">
        <v>4899</v>
      </c>
      <c r="C216" s="18" t="s">
        <v>151</v>
      </c>
      <c r="D216" s="17" t="s">
        <v>151</v>
      </c>
      <c r="E216" s="17" t="s">
        <v>151</v>
      </c>
      <c r="F216" s="17" t="s">
        <v>4900</v>
      </c>
      <c r="G216" s="17" t="s">
        <v>151</v>
      </c>
      <c r="H216" s="17" t="s">
        <v>151</v>
      </c>
      <c r="I216" s="17" t="s">
        <v>151</v>
      </c>
      <c r="J216" s="17" t="s">
        <v>4898</v>
      </c>
      <c r="K216" s="17" t="s">
        <v>4901</v>
      </c>
      <c r="L216" s="17" t="s">
        <v>205</v>
      </c>
      <c r="M216" s="17" t="s">
        <v>206</v>
      </c>
      <c r="N216" s="17" t="s">
        <v>1268</v>
      </c>
      <c r="O216" s="17" t="s">
        <v>4902</v>
      </c>
      <c r="P216" s="17" t="s">
        <v>2130</v>
      </c>
      <c r="Q216" s="17" t="s">
        <v>4903</v>
      </c>
      <c r="R216" s="17" t="s">
        <v>151</v>
      </c>
      <c r="S216" s="17" t="s">
        <v>162</v>
      </c>
      <c r="T216" s="24">
        <v>2.2</v>
      </c>
      <c r="U216" s="17" t="s">
        <v>163</v>
      </c>
      <c r="V216" s="17" t="s">
        <v>164</v>
      </c>
      <c r="W216" s="17" t="s">
        <v>165</v>
      </c>
      <c r="X216" s="15" t="s">
        <v>4904</v>
      </c>
      <c r="Y216" s="15" t="s">
        <v>151</v>
      </c>
      <c r="Z216" s="27" t="s">
        <v>151</v>
      </c>
      <c r="AA216" s="17" t="s">
        <v>151</v>
      </c>
      <c r="AB216" s="17" t="s">
        <v>151</v>
      </c>
      <c r="AC216" s="17" t="s">
        <v>151</v>
      </c>
      <c r="AD216" s="26">
        <v>2021</v>
      </c>
      <c r="AE216" s="17" t="s">
        <v>151</v>
      </c>
      <c r="AF216" s="22">
        <v>45433</v>
      </c>
      <c r="AG216" s="17" t="s">
        <v>151</v>
      </c>
      <c r="AH216" s="17" t="s">
        <v>151</v>
      </c>
      <c r="AI216" s="25" t="s">
        <v>151</v>
      </c>
      <c r="AJ216" s="19" t="s">
        <v>151</v>
      </c>
      <c r="AK216" s="25" t="s">
        <v>151</v>
      </c>
      <c r="AL216" s="25" t="s">
        <v>151</v>
      </c>
      <c r="AM216" s="25" t="s">
        <v>151</v>
      </c>
      <c r="AN216" s="25" t="s">
        <v>151</v>
      </c>
      <c r="AO216" s="25" t="s">
        <v>151</v>
      </c>
      <c r="AP216" s="25" t="s">
        <v>151</v>
      </c>
      <c r="AQ216" s="25" t="s">
        <v>151</v>
      </c>
      <c r="AR216" s="16" t="s">
        <v>151</v>
      </c>
      <c r="AS216" s="17" t="s">
        <v>4905</v>
      </c>
      <c r="AT216" s="17" t="s">
        <v>4906</v>
      </c>
      <c r="AU216" s="18">
        <v>3</v>
      </c>
      <c r="AV216" s="17" t="s">
        <v>151</v>
      </c>
      <c r="AW216" s="17" t="s">
        <v>4907</v>
      </c>
      <c r="AX216" s="17" t="s">
        <v>151</v>
      </c>
      <c r="AY216" s="17" t="s">
        <v>4908</v>
      </c>
      <c r="AZ216" s="17" t="s">
        <v>4909</v>
      </c>
      <c r="BA216" s="17" t="s">
        <v>151</v>
      </c>
      <c r="BB216" s="17" t="s">
        <v>151</v>
      </c>
      <c r="BC216" s="17" t="s">
        <v>151</v>
      </c>
      <c r="BD216" s="17" t="s">
        <v>4910</v>
      </c>
      <c r="BE216" s="17" t="s">
        <v>4911</v>
      </c>
      <c r="BF216" s="17" t="s">
        <v>4912</v>
      </c>
      <c r="BG216" s="17" t="s">
        <v>4913</v>
      </c>
      <c r="BH216" s="17" t="s">
        <v>4914</v>
      </c>
      <c r="BI216" s="17" t="s">
        <v>764</v>
      </c>
      <c r="BJ216" s="17" t="s">
        <v>4915</v>
      </c>
      <c r="BK216" s="17" t="s">
        <v>4916</v>
      </c>
      <c r="BL216" s="17" t="s">
        <v>767</v>
      </c>
      <c r="BM216" s="17" t="s">
        <v>184</v>
      </c>
      <c r="BN216" s="16" t="s">
        <v>151</v>
      </c>
      <c r="BO216" s="17" t="s">
        <v>186</v>
      </c>
      <c r="BP216" s="16" t="s">
        <v>4914</v>
      </c>
      <c r="BQ216" s="16" t="s">
        <v>151</v>
      </c>
      <c r="BR216" s="17" t="s">
        <v>151</v>
      </c>
      <c r="BS216" s="17" t="s">
        <v>187</v>
      </c>
      <c r="BT216" s="17" t="s">
        <v>188</v>
      </c>
      <c r="BU216" s="22">
        <v>44378</v>
      </c>
      <c r="BV216" s="24">
        <v>2.2</v>
      </c>
      <c r="BW216" s="17" t="s">
        <v>192</v>
      </c>
      <c r="BX216" s="24" t="s">
        <v>151</v>
      </c>
      <c r="BY216" s="17" t="s">
        <v>151</v>
      </c>
      <c r="BZ216" s="17" t="s">
        <v>293</v>
      </c>
      <c r="CA216" s="17" t="s">
        <v>293</v>
      </c>
      <c r="CB216" s="17" t="s">
        <v>151</v>
      </c>
      <c r="CC216" s="17" t="s">
        <v>165</v>
      </c>
      <c r="CD216" s="17" t="s">
        <v>151</v>
      </c>
      <c r="CE216" s="17" t="s">
        <v>191</v>
      </c>
      <c r="CF216" s="22">
        <v>45292</v>
      </c>
      <c r="CG216" s="24" t="s">
        <v>151</v>
      </c>
      <c r="CH216" s="17" t="s">
        <v>151</v>
      </c>
      <c r="CI216" s="24" t="s">
        <v>151</v>
      </c>
      <c r="CJ216" s="17" t="s">
        <v>151</v>
      </c>
      <c r="CK216" s="16" t="s">
        <v>151</v>
      </c>
      <c r="CL216" s="17" t="s">
        <v>231</v>
      </c>
      <c r="CM216" s="17" t="s">
        <v>151</v>
      </c>
      <c r="CN216" s="17" t="s">
        <v>151</v>
      </c>
      <c r="CO216" s="17" t="s">
        <v>165</v>
      </c>
      <c r="CP216" s="22">
        <v>45292</v>
      </c>
      <c r="CQ216" s="24" t="s">
        <v>151</v>
      </c>
      <c r="CR216" s="17" t="s">
        <v>151</v>
      </c>
      <c r="CS216" s="17" t="s">
        <v>191</v>
      </c>
      <c r="CT216" s="16">
        <v>19</v>
      </c>
      <c r="CU216" s="17" t="s">
        <v>263</v>
      </c>
      <c r="CV216" s="19">
        <v>20</v>
      </c>
      <c r="CW216" s="19">
        <v>80</v>
      </c>
      <c r="CX216" s="17" t="s">
        <v>263</v>
      </c>
      <c r="CY216" s="19">
        <v>1</v>
      </c>
      <c r="CZ216" s="19">
        <v>19</v>
      </c>
      <c r="DA216" s="24" t="s">
        <v>151</v>
      </c>
      <c r="DB216" s="22" t="s">
        <v>151</v>
      </c>
      <c r="DC216" s="17" t="s">
        <v>151</v>
      </c>
      <c r="DD216" s="16" t="s">
        <v>151</v>
      </c>
      <c r="DE216" s="19">
        <v>0</v>
      </c>
      <c r="DF216" s="21">
        <v>11</v>
      </c>
      <c r="DG216" s="19">
        <v>0</v>
      </c>
      <c r="DH216" s="19">
        <v>0</v>
      </c>
      <c r="DI216" s="19">
        <v>0</v>
      </c>
      <c r="DJ216" s="21">
        <v>10</v>
      </c>
      <c r="DK216" s="19">
        <v>0</v>
      </c>
      <c r="DL216" s="21">
        <v>11</v>
      </c>
      <c r="DM216" s="19">
        <v>0</v>
      </c>
      <c r="DN216" s="21">
        <v>10</v>
      </c>
      <c r="DO216" s="23">
        <v>0.07</v>
      </c>
      <c r="DP216" s="21">
        <v>5</v>
      </c>
      <c r="DQ216" s="23">
        <v>0</v>
      </c>
      <c r="DR216" s="19">
        <v>0</v>
      </c>
      <c r="DS216" s="23">
        <v>0.07</v>
      </c>
      <c r="DT216" s="21">
        <v>5</v>
      </c>
      <c r="DU216" s="23">
        <v>0.03</v>
      </c>
      <c r="DV216" s="21">
        <v>15</v>
      </c>
      <c r="DW216" s="23">
        <v>0.11</v>
      </c>
      <c r="DX216" s="21">
        <v>5</v>
      </c>
      <c r="DY216" s="18" t="s">
        <v>151</v>
      </c>
      <c r="DZ216" s="22" t="s">
        <v>151</v>
      </c>
      <c r="EA216" s="22" t="s">
        <v>151</v>
      </c>
      <c r="EB216" s="21">
        <v>0</v>
      </c>
      <c r="EC216" s="20">
        <v>0</v>
      </c>
      <c r="ED216" s="19">
        <v>0</v>
      </c>
      <c r="EE216" s="21">
        <v>2</v>
      </c>
      <c r="EF216" s="20">
        <v>0</v>
      </c>
      <c r="EG216" s="19">
        <v>0</v>
      </c>
      <c r="EH216" s="16" t="s">
        <v>198</v>
      </c>
      <c r="EI216" s="17" t="s">
        <v>151</v>
      </c>
      <c r="EJ216" s="17" t="s">
        <v>151</v>
      </c>
      <c r="EK216" s="18" t="s">
        <v>151</v>
      </c>
      <c r="EL216" s="18" t="s">
        <v>151</v>
      </c>
      <c r="EM216" s="18" t="s">
        <v>151</v>
      </c>
      <c r="EN216" s="18" t="s">
        <v>151</v>
      </c>
      <c r="EO216" s="18" t="s">
        <v>151</v>
      </c>
      <c r="EP216" s="17" t="s">
        <v>151</v>
      </c>
      <c r="EQ216" s="16" t="s">
        <v>151</v>
      </c>
      <c r="ER216" s="16" t="s">
        <v>151</v>
      </c>
      <c r="ES216" s="3">
        <f>HYPERLINK("https://my.pitchbook.com?c=596866-33","View Company Online")</f>
      </c>
    </row>
    <row r="217">
      <c r="A217" s="30" t="s">
        <v>4917</v>
      </c>
      <c r="B217" s="30" t="s">
        <v>4918</v>
      </c>
      <c r="C217" s="31" t="s">
        <v>151</v>
      </c>
      <c r="D217" s="30" t="s">
        <v>151</v>
      </c>
      <c r="E217" s="30" t="s">
        <v>151</v>
      </c>
      <c r="F217" s="30" t="s">
        <v>4919</v>
      </c>
      <c r="G217" s="30" t="s">
        <v>151</v>
      </c>
      <c r="H217" s="30" t="s">
        <v>151</v>
      </c>
      <c r="I217" s="30" t="s">
        <v>151</v>
      </c>
      <c r="J217" s="30" t="s">
        <v>4917</v>
      </c>
      <c r="K217" s="30" t="s">
        <v>4920</v>
      </c>
      <c r="L217" s="30" t="s">
        <v>205</v>
      </c>
      <c r="M217" s="30" t="s">
        <v>206</v>
      </c>
      <c r="N217" s="30" t="s">
        <v>1940</v>
      </c>
      <c r="O217" s="30" t="s">
        <v>4921</v>
      </c>
      <c r="P217" s="30" t="s">
        <v>4922</v>
      </c>
      <c r="Q217" s="30" t="s">
        <v>4923</v>
      </c>
      <c r="R217" s="30" t="s">
        <v>780</v>
      </c>
      <c r="S217" s="30" t="s">
        <v>162</v>
      </c>
      <c r="T217" s="37">
        <v>4</v>
      </c>
      <c r="U217" s="30" t="s">
        <v>1727</v>
      </c>
      <c r="V217" s="30" t="s">
        <v>164</v>
      </c>
      <c r="W217" s="30" t="s">
        <v>165</v>
      </c>
      <c r="X217" s="28" t="s">
        <v>4924</v>
      </c>
      <c r="Y217" s="28" t="s">
        <v>4925</v>
      </c>
      <c r="Z217" s="40">
        <v>9</v>
      </c>
      <c r="AA217" s="30" t="s">
        <v>4926</v>
      </c>
      <c r="AB217" s="30" t="s">
        <v>151</v>
      </c>
      <c r="AC217" s="30" t="s">
        <v>151</v>
      </c>
      <c r="AD217" s="39">
        <v>2023</v>
      </c>
      <c r="AE217" s="30" t="s">
        <v>151</v>
      </c>
      <c r="AF217" s="35">
        <v>45483</v>
      </c>
      <c r="AG217" s="30" t="s">
        <v>151</v>
      </c>
      <c r="AH217" s="30" t="s">
        <v>151</v>
      </c>
      <c r="AI217" s="38" t="s">
        <v>151</v>
      </c>
      <c r="AJ217" s="32" t="s">
        <v>151</v>
      </c>
      <c r="AK217" s="38" t="s">
        <v>151</v>
      </c>
      <c r="AL217" s="38" t="s">
        <v>151</v>
      </c>
      <c r="AM217" s="38" t="s">
        <v>151</v>
      </c>
      <c r="AN217" s="38" t="s">
        <v>151</v>
      </c>
      <c r="AO217" s="38" t="s">
        <v>151</v>
      </c>
      <c r="AP217" s="38" t="s">
        <v>151</v>
      </c>
      <c r="AQ217" s="38" t="s">
        <v>151</v>
      </c>
      <c r="AR217" s="29" t="s">
        <v>151</v>
      </c>
      <c r="AS217" s="30" t="s">
        <v>4927</v>
      </c>
      <c r="AT217" s="30" t="s">
        <v>4928</v>
      </c>
      <c r="AU217" s="31">
        <v>13</v>
      </c>
      <c r="AV217" s="30" t="s">
        <v>151</v>
      </c>
      <c r="AW217" s="30" t="s">
        <v>151</v>
      </c>
      <c r="AX217" s="30" t="s">
        <v>151</v>
      </c>
      <c r="AY217" s="30" t="s">
        <v>4929</v>
      </c>
      <c r="AZ217" s="30" t="s">
        <v>151</v>
      </c>
      <c r="BA217" s="30" t="s">
        <v>151</v>
      </c>
      <c r="BB217" s="30" t="s">
        <v>151</v>
      </c>
      <c r="BC217" s="30" t="s">
        <v>151</v>
      </c>
      <c r="BD217" s="30" t="s">
        <v>4930</v>
      </c>
      <c r="BE217" s="30" t="s">
        <v>4931</v>
      </c>
      <c r="BF217" s="30" t="s">
        <v>403</v>
      </c>
      <c r="BG217" s="30" t="s">
        <v>151</v>
      </c>
      <c r="BH217" s="30" t="s">
        <v>151</v>
      </c>
      <c r="BI217" s="30" t="s">
        <v>4299</v>
      </c>
      <c r="BJ217" s="30" t="s">
        <v>151</v>
      </c>
      <c r="BK217" s="30" t="s">
        <v>151</v>
      </c>
      <c r="BL217" s="30" t="s">
        <v>4300</v>
      </c>
      <c r="BM217" s="30" t="s">
        <v>1388</v>
      </c>
      <c r="BN217" s="29" t="s">
        <v>151</v>
      </c>
      <c r="BO217" s="30" t="s">
        <v>186</v>
      </c>
      <c r="BP217" s="29" t="s">
        <v>151</v>
      </c>
      <c r="BQ217" s="29" t="s">
        <v>151</v>
      </c>
      <c r="BR217" s="30" t="s">
        <v>151</v>
      </c>
      <c r="BS217" s="30" t="s">
        <v>187</v>
      </c>
      <c r="BT217" s="30" t="s">
        <v>188</v>
      </c>
      <c r="BU217" s="35">
        <v>45160</v>
      </c>
      <c r="BV217" s="37">
        <v>4</v>
      </c>
      <c r="BW217" s="30" t="s">
        <v>192</v>
      </c>
      <c r="BX217" s="37" t="s">
        <v>151</v>
      </c>
      <c r="BY217" s="30" t="s">
        <v>151</v>
      </c>
      <c r="BZ217" s="30" t="s">
        <v>293</v>
      </c>
      <c r="CA217" s="30" t="s">
        <v>293</v>
      </c>
      <c r="CB217" s="30" t="s">
        <v>151</v>
      </c>
      <c r="CC217" s="30" t="s">
        <v>165</v>
      </c>
      <c r="CD217" s="30" t="s">
        <v>151</v>
      </c>
      <c r="CE217" s="30" t="s">
        <v>191</v>
      </c>
      <c r="CF217" s="35">
        <v>45160</v>
      </c>
      <c r="CG217" s="37">
        <v>4</v>
      </c>
      <c r="CH217" s="30" t="s">
        <v>192</v>
      </c>
      <c r="CI217" s="37" t="s">
        <v>151</v>
      </c>
      <c r="CJ217" s="30" t="s">
        <v>151</v>
      </c>
      <c r="CK217" s="29" t="s">
        <v>151</v>
      </c>
      <c r="CL217" s="30" t="s">
        <v>293</v>
      </c>
      <c r="CM217" s="30" t="s">
        <v>293</v>
      </c>
      <c r="CN217" s="30" t="s">
        <v>151</v>
      </c>
      <c r="CO217" s="30" t="s">
        <v>165</v>
      </c>
      <c r="CP217" s="35">
        <v>45160</v>
      </c>
      <c r="CQ217" s="37" t="s">
        <v>151</v>
      </c>
      <c r="CR217" s="30" t="s">
        <v>151</v>
      </c>
      <c r="CS217" s="30" t="s">
        <v>191</v>
      </c>
      <c r="CT217" s="29" t="s">
        <v>151</v>
      </c>
      <c r="CU217" s="30" t="s">
        <v>151</v>
      </c>
      <c r="CV217" s="32" t="s">
        <v>151</v>
      </c>
      <c r="CW217" s="32" t="s">
        <v>151</v>
      </c>
      <c r="CX217" s="30" t="s">
        <v>151</v>
      </c>
      <c r="CY217" s="32" t="s">
        <v>151</v>
      </c>
      <c r="CZ217" s="32" t="s">
        <v>151</v>
      </c>
      <c r="DA217" s="37" t="s">
        <v>151</v>
      </c>
      <c r="DB217" s="35" t="s">
        <v>151</v>
      </c>
      <c r="DC217" s="30" t="s">
        <v>151</v>
      </c>
      <c r="DD217" s="29" t="s">
        <v>151</v>
      </c>
      <c r="DE217" s="32" t="s">
        <v>151</v>
      </c>
      <c r="DF217" s="34" t="s">
        <v>151</v>
      </c>
      <c r="DG217" s="32" t="s">
        <v>151</v>
      </c>
      <c r="DH217" s="32" t="s">
        <v>151</v>
      </c>
      <c r="DI217" s="32" t="s">
        <v>151</v>
      </c>
      <c r="DJ217" s="34" t="s">
        <v>151</v>
      </c>
      <c r="DK217" s="32" t="s">
        <v>151</v>
      </c>
      <c r="DL217" s="34" t="s">
        <v>151</v>
      </c>
      <c r="DM217" s="32" t="s">
        <v>151</v>
      </c>
      <c r="DN217" s="34" t="s">
        <v>151</v>
      </c>
      <c r="DO217" s="36" t="s">
        <v>151</v>
      </c>
      <c r="DP217" s="34" t="s">
        <v>151</v>
      </c>
      <c r="DQ217" s="36" t="s">
        <v>151</v>
      </c>
      <c r="DR217" s="32" t="s">
        <v>151</v>
      </c>
      <c r="DS217" s="36" t="s">
        <v>151</v>
      </c>
      <c r="DT217" s="34" t="s">
        <v>151</v>
      </c>
      <c r="DU217" s="36" t="s">
        <v>151</v>
      </c>
      <c r="DV217" s="34" t="s">
        <v>151</v>
      </c>
      <c r="DW217" s="36" t="s">
        <v>151</v>
      </c>
      <c r="DX217" s="34" t="s">
        <v>151</v>
      </c>
      <c r="DY217" s="31" t="s">
        <v>151</v>
      </c>
      <c r="DZ217" s="35" t="s">
        <v>151</v>
      </c>
      <c r="EA217" s="35" t="s">
        <v>151</v>
      </c>
      <c r="EB217" s="34" t="s">
        <v>151</v>
      </c>
      <c r="EC217" s="33" t="s">
        <v>151</v>
      </c>
      <c r="ED217" s="32" t="s">
        <v>151</v>
      </c>
      <c r="EE217" s="34" t="s">
        <v>151</v>
      </c>
      <c r="EF217" s="33" t="s">
        <v>151</v>
      </c>
      <c r="EG217" s="32" t="s">
        <v>151</v>
      </c>
      <c r="EH217" s="29" t="s">
        <v>198</v>
      </c>
      <c r="EI217" s="30" t="s">
        <v>151</v>
      </c>
      <c r="EJ217" s="30" t="s">
        <v>151</v>
      </c>
      <c r="EK217" s="31" t="s">
        <v>151</v>
      </c>
      <c r="EL217" s="31" t="s">
        <v>151</v>
      </c>
      <c r="EM217" s="31" t="s">
        <v>151</v>
      </c>
      <c r="EN217" s="31" t="s">
        <v>151</v>
      </c>
      <c r="EO217" s="31" t="s">
        <v>151</v>
      </c>
      <c r="EP217" s="30" t="s">
        <v>151</v>
      </c>
      <c r="EQ217" s="29" t="s">
        <v>151</v>
      </c>
      <c r="ER217" s="29" t="s">
        <v>151</v>
      </c>
      <c r="ES217" s="4">
        <f>HYPERLINK("https://my.pitchbook.com?c=529194-25","View Company Online")</f>
      </c>
    </row>
    <row r="218">
      <c r="A218" s="17" t="s">
        <v>4932</v>
      </c>
      <c r="B218" s="17" t="s">
        <v>4933</v>
      </c>
      <c r="C218" s="18" t="s">
        <v>151</v>
      </c>
      <c r="D218" s="17" t="s">
        <v>151</v>
      </c>
      <c r="E218" s="17" t="s">
        <v>151</v>
      </c>
      <c r="F218" s="17" t="s">
        <v>4934</v>
      </c>
      <c r="G218" s="17" t="s">
        <v>151</v>
      </c>
      <c r="H218" s="17" t="s">
        <v>151</v>
      </c>
      <c r="I218" s="17" t="s">
        <v>151</v>
      </c>
      <c r="J218" s="17" t="s">
        <v>4932</v>
      </c>
      <c r="K218" s="17" t="s">
        <v>4935</v>
      </c>
      <c r="L218" s="17" t="s">
        <v>205</v>
      </c>
      <c r="M218" s="17" t="s">
        <v>206</v>
      </c>
      <c r="N218" s="17" t="s">
        <v>269</v>
      </c>
      <c r="O218" s="17" t="s">
        <v>4936</v>
      </c>
      <c r="P218" s="17" t="s">
        <v>1153</v>
      </c>
      <c r="Q218" s="17" t="s">
        <v>4937</v>
      </c>
      <c r="R218" s="17" t="s">
        <v>151</v>
      </c>
      <c r="S218" s="17" t="s">
        <v>162</v>
      </c>
      <c r="T218" s="24">
        <v>3.46</v>
      </c>
      <c r="U218" s="17" t="s">
        <v>163</v>
      </c>
      <c r="V218" s="17" t="s">
        <v>164</v>
      </c>
      <c r="W218" s="17" t="s">
        <v>165</v>
      </c>
      <c r="X218" s="15" t="s">
        <v>4938</v>
      </c>
      <c r="Y218" s="15" t="s">
        <v>4939</v>
      </c>
      <c r="Z218" s="27">
        <v>21</v>
      </c>
      <c r="AA218" s="17" t="s">
        <v>4940</v>
      </c>
      <c r="AB218" s="17" t="s">
        <v>151</v>
      </c>
      <c r="AC218" s="17" t="s">
        <v>151</v>
      </c>
      <c r="AD218" s="26">
        <v>2023</v>
      </c>
      <c r="AE218" s="17" t="s">
        <v>151</v>
      </c>
      <c r="AF218" s="22">
        <v>45554</v>
      </c>
      <c r="AG218" s="17" t="s">
        <v>151</v>
      </c>
      <c r="AH218" s="17" t="s">
        <v>151</v>
      </c>
      <c r="AI218" s="25" t="s">
        <v>151</v>
      </c>
      <c r="AJ218" s="19" t="s">
        <v>151</v>
      </c>
      <c r="AK218" s="25" t="s">
        <v>151</v>
      </c>
      <c r="AL218" s="25" t="s">
        <v>151</v>
      </c>
      <c r="AM218" s="25" t="s">
        <v>151</v>
      </c>
      <c r="AN218" s="25" t="s">
        <v>151</v>
      </c>
      <c r="AO218" s="25" t="s">
        <v>151</v>
      </c>
      <c r="AP218" s="25" t="s">
        <v>151</v>
      </c>
      <c r="AQ218" s="25" t="s">
        <v>151</v>
      </c>
      <c r="AR218" s="16" t="s">
        <v>151</v>
      </c>
      <c r="AS218" s="17" t="s">
        <v>4941</v>
      </c>
      <c r="AT218" s="17" t="s">
        <v>4942</v>
      </c>
      <c r="AU218" s="18">
        <v>9</v>
      </c>
      <c r="AV218" s="17" t="s">
        <v>151</v>
      </c>
      <c r="AW218" s="17" t="s">
        <v>151</v>
      </c>
      <c r="AX218" s="17" t="s">
        <v>151</v>
      </c>
      <c r="AY218" s="17" t="s">
        <v>4943</v>
      </c>
      <c r="AZ218" s="17" t="s">
        <v>151</v>
      </c>
      <c r="BA218" s="17" t="s">
        <v>151</v>
      </c>
      <c r="BB218" s="17" t="s">
        <v>151</v>
      </c>
      <c r="BC218" s="17" t="s">
        <v>4944</v>
      </c>
      <c r="BD218" s="17" t="s">
        <v>4945</v>
      </c>
      <c r="BE218" s="17" t="s">
        <v>4946</v>
      </c>
      <c r="BF218" s="17" t="s">
        <v>931</v>
      </c>
      <c r="BG218" s="17" t="s">
        <v>151</v>
      </c>
      <c r="BH218" s="17" t="s">
        <v>4947</v>
      </c>
      <c r="BI218" s="17" t="s">
        <v>764</v>
      </c>
      <c r="BJ218" s="17" t="s">
        <v>4948</v>
      </c>
      <c r="BK218" s="17" t="s">
        <v>4949</v>
      </c>
      <c r="BL218" s="17" t="s">
        <v>767</v>
      </c>
      <c r="BM218" s="17" t="s">
        <v>184</v>
      </c>
      <c r="BN218" s="16" t="s">
        <v>1170</v>
      </c>
      <c r="BO218" s="17" t="s">
        <v>186</v>
      </c>
      <c r="BP218" s="16" t="s">
        <v>4947</v>
      </c>
      <c r="BQ218" s="16" t="s">
        <v>151</v>
      </c>
      <c r="BR218" s="17" t="s">
        <v>4950</v>
      </c>
      <c r="BS218" s="17" t="s">
        <v>187</v>
      </c>
      <c r="BT218" s="17" t="s">
        <v>188</v>
      </c>
      <c r="BU218" s="22">
        <v>45138</v>
      </c>
      <c r="BV218" s="24">
        <v>3.46</v>
      </c>
      <c r="BW218" s="17" t="s">
        <v>192</v>
      </c>
      <c r="BX218" s="24">
        <v>13.46</v>
      </c>
      <c r="BY218" s="17" t="s">
        <v>193</v>
      </c>
      <c r="BZ218" s="17" t="s">
        <v>293</v>
      </c>
      <c r="CA218" s="17" t="s">
        <v>293</v>
      </c>
      <c r="CB218" s="17" t="s">
        <v>151</v>
      </c>
      <c r="CC218" s="17" t="s">
        <v>165</v>
      </c>
      <c r="CD218" s="17" t="s">
        <v>151</v>
      </c>
      <c r="CE218" s="17" t="s">
        <v>191</v>
      </c>
      <c r="CF218" s="22">
        <v>45386</v>
      </c>
      <c r="CG218" s="24" t="s">
        <v>151</v>
      </c>
      <c r="CH218" s="17" t="s">
        <v>151</v>
      </c>
      <c r="CI218" s="24" t="s">
        <v>151</v>
      </c>
      <c r="CJ218" s="17" t="s">
        <v>151</v>
      </c>
      <c r="CK218" s="16" t="s">
        <v>151</v>
      </c>
      <c r="CL218" s="17" t="s">
        <v>189</v>
      </c>
      <c r="CM218" s="17" t="s">
        <v>151</v>
      </c>
      <c r="CN218" s="17" t="s">
        <v>151</v>
      </c>
      <c r="CO218" s="17" t="s">
        <v>190</v>
      </c>
      <c r="CP218" s="22">
        <v>45386</v>
      </c>
      <c r="CQ218" s="24" t="s">
        <v>151</v>
      </c>
      <c r="CR218" s="17" t="s">
        <v>151</v>
      </c>
      <c r="CS218" s="17" t="s">
        <v>191</v>
      </c>
      <c r="CT218" s="16" t="s">
        <v>151</v>
      </c>
      <c r="CU218" s="17" t="s">
        <v>151</v>
      </c>
      <c r="CV218" s="19" t="s">
        <v>151</v>
      </c>
      <c r="CW218" s="19" t="s">
        <v>151</v>
      </c>
      <c r="CX218" s="17" t="s">
        <v>151</v>
      </c>
      <c r="CY218" s="19" t="s">
        <v>151</v>
      </c>
      <c r="CZ218" s="19" t="s">
        <v>151</v>
      </c>
      <c r="DA218" s="24">
        <v>13.46</v>
      </c>
      <c r="DB218" s="22">
        <v>45138</v>
      </c>
      <c r="DC218" s="17" t="s">
        <v>293</v>
      </c>
      <c r="DD218" s="16" t="s">
        <v>151</v>
      </c>
      <c r="DE218" s="19" t="s">
        <v>151</v>
      </c>
      <c r="DF218" s="21" t="s">
        <v>151</v>
      </c>
      <c r="DG218" s="19" t="s">
        <v>151</v>
      </c>
      <c r="DH218" s="19" t="s">
        <v>151</v>
      </c>
      <c r="DI218" s="19" t="s">
        <v>151</v>
      </c>
      <c r="DJ218" s="21" t="s">
        <v>151</v>
      </c>
      <c r="DK218" s="19" t="s">
        <v>151</v>
      </c>
      <c r="DL218" s="21" t="s">
        <v>151</v>
      </c>
      <c r="DM218" s="19" t="s">
        <v>151</v>
      </c>
      <c r="DN218" s="21" t="s">
        <v>151</v>
      </c>
      <c r="DO218" s="23" t="s">
        <v>151</v>
      </c>
      <c r="DP218" s="21" t="s">
        <v>151</v>
      </c>
      <c r="DQ218" s="23" t="s">
        <v>151</v>
      </c>
      <c r="DR218" s="19" t="s">
        <v>151</v>
      </c>
      <c r="DS218" s="23" t="s">
        <v>151</v>
      </c>
      <c r="DT218" s="21" t="s">
        <v>151</v>
      </c>
      <c r="DU218" s="23" t="s">
        <v>151</v>
      </c>
      <c r="DV218" s="21" t="s">
        <v>151</v>
      </c>
      <c r="DW218" s="23" t="s">
        <v>151</v>
      </c>
      <c r="DX218" s="21" t="s">
        <v>151</v>
      </c>
      <c r="DY218" s="18" t="s">
        <v>151</v>
      </c>
      <c r="DZ218" s="22" t="s">
        <v>151</v>
      </c>
      <c r="EA218" s="22" t="s">
        <v>151</v>
      </c>
      <c r="EB218" s="21" t="s">
        <v>151</v>
      </c>
      <c r="EC218" s="20" t="s">
        <v>151</v>
      </c>
      <c r="ED218" s="19" t="s">
        <v>151</v>
      </c>
      <c r="EE218" s="21" t="s">
        <v>151</v>
      </c>
      <c r="EF218" s="20" t="s">
        <v>151</v>
      </c>
      <c r="EG218" s="19" t="s">
        <v>151</v>
      </c>
      <c r="EH218" s="16" t="s">
        <v>198</v>
      </c>
      <c r="EI218" s="17" t="s">
        <v>151</v>
      </c>
      <c r="EJ218" s="17" t="s">
        <v>151</v>
      </c>
      <c r="EK218" s="18" t="s">
        <v>151</v>
      </c>
      <c r="EL218" s="18" t="s">
        <v>151</v>
      </c>
      <c r="EM218" s="18" t="s">
        <v>151</v>
      </c>
      <c r="EN218" s="18" t="s">
        <v>151</v>
      </c>
      <c r="EO218" s="18" t="s">
        <v>151</v>
      </c>
      <c r="EP218" s="17" t="s">
        <v>151</v>
      </c>
      <c r="EQ218" s="16" t="s">
        <v>151</v>
      </c>
      <c r="ER218" s="16" t="s">
        <v>151</v>
      </c>
      <c r="ES218" s="3">
        <f>HYPERLINK("https://my.pitchbook.com?c=534736-45","View Company Online")</f>
      </c>
    </row>
    <row r="219">
      <c r="A219" s="30" t="s">
        <v>4951</v>
      </c>
      <c r="B219" s="30" t="s">
        <v>4952</v>
      </c>
      <c r="C219" s="31" t="s">
        <v>151</v>
      </c>
      <c r="D219" s="30" t="s">
        <v>151</v>
      </c>
      <c r="E219" s="30" t="s">
        <v>151</v>
      </c>
      <c r="F219" s="30" t="s">
        <v>4953</v>
      </c>
      <c r="G219" s="30" t="s">
        <v>151</v>
      </c>
      <c r="H219" s="30" t="s">
        <v>151</v>
      </c>
      <c r="I219" s="30" t="s">
        <v>151</v>
      </c>
      <c r="J219" s="30" t="s">
        <v>4951</v>
      </c>
      <c r="K219" s="30" t="s">
        <v>4954</v>
      </c>
      <c r="L219" s="30" t="s">
        <v>205</v>
      </c>
      <c r="M219" s="30" t="s">
        <v>206</v>
      </c>
      <c r="N219" s="30" t="s">
        <v>269</v>
      </c>
      <c r="O219" s="30" t="s">
        <v>2965</v>
      </c>
      <c r="P219" s="30" t="s">
        <v>919</v>
      </c>
      <c r="Q219" s="30" t="s">
        <v>4955</v>
      </c>
      <c r="R219" s="30" t="s">
        <v>151</v>
      </c>
      <c r="S219" s="30" t="s">
        <v>162</v>
      </c>
      <c r="T219" s="37">
        <v>6</v>
      </c>
      <c r="U219" s="30" t="s">
        <v>163</v>
      </c>
      <c r="V219" s="30" t="s">
        <v>164</v>
      </c>
      <c r="W219" s="30" t="s">
        <v>165</v>
      </c>
      <c r="X219" s="28" t="s">
        <v>4956</v>
      </c>
      <c r="Y219" s="28" t="s">
        <v>4957</v>
      </c>
      <c r="Z219" s="40">
        <v>21</v>
      </c>
      <c r="AA219" s="30" t="s">
        <v>4958</v>
      </c>
      <c r="AB219" s="30" t="s">
        <v>151</v>
      </c>
      <c r="AC219" s="30" t="s">
        <v>151</v>
      </c>
      <c r="AD219" s="39">
        <v>2019</v>
      </c>
      <c r="AE219" s="30" t="s">
        <v>151</v>
      </c>
      <c r="AF219" s="35">
        <v>45595</v>
      </c>
      <c r="AG219" s="30" t="s">
        <v>151</v>
      </c>
      <c r="AH219" s="30" t="s">
        <v>151</v>
      </c>
      <c r="AI219" s="38" t="s">
        <v>151</v>
      </c>
      <c r="AJ219" s="32" t="s">
        <v>151</v>
      </c>
      <c r="AK219" s="38" t="s">
        <v>151</v>
      </c>
      <c r="AL219" s="38" t="s">
        <v>151</v>
      </c>
      <c r="AM219" s="38" t="s">
        <v>151</v>
      </c>
      <c r="AN219" s="38" t="s">
        <v>151</v>
      </c>
      <c r="AO219" s="38" t="s">
        <v>151</v>
      </c>
      <c r="AP219" s="38" t="s">
        <v>151</v>
      </c>
      <c r="AQ219" s="38" t="s">
        <v>151</v>
      </c>
      <c r="AR219" s="29" t="s">
        <v>151</v>
      </c>
      <c r="AS219" s="30" t="s">
        <v>4959</v>
      </c>
      <c r="AT219" s="30" t="s">
        <v>4960</v>
      </c>
      <c r="AU219" s="31">
        <v>9</v>
      </c>
      <c r="AV219" s="30" t="s">
        <v>151</v>
      </c>
      <c r="AW219" s="30" t="s">
        <v>151</v>
      </c>
      <c r="AX219" s="30" t="s">
        <v>151</v>
      </c>
      <c r="AY219" s="30" t="s">
        <v>4961</v>
      </c>
      <c r="AZ219" s="30" t="s">
        <v>151</v>
      </c>
      <c r="BA219" s="30" t="s">
        <v>151</v>
      </c>
      <c r="BB219" s="30" t="s">
        <v>151</v>
      </c>
      <c r="BC219" s="30" t="s">
        <v>151</v>
      </c>
      <c r="BD219" s="30" t="s">
        <v>4962</v>
      </c>
      <c r="BE219" s="30" t="s">
        <v>4963</v>
      </c>
      <c r="BF219" s="30" t="s">
        <v>221</v>
      </c>
      <c r="BG219" s="30" t="s">
        <v>4964</v>
      </c>
      <c r="BH219" s="30" t="s">
        <v>4965</v>
      </c>
      <c r="BI219" s="30" t="s">
        <v>764</v>
      </c>
      <c r="BJ219" s="30" t="s">
        <v>4966</v>
      </c>
      <c r="BK219" s="30" t="s">
        <v>151</v>
      </c>
      <c r="BL219" s="30" t="s">
        <v>767</v>
      </c>
      <c r="BM219" s="30" t="s">
        <v>184</v>
      </c>
      <c r="BN219" s="29" t="s">
        <v>4967</v>
      </c>
      <c r="BO219" s="30" t="s">
        <v>186</v>
      </c>
      <c r="BP219" s="29" t="s">
        <v>4965</v>
      </c>
      <c r="BQ219" s="29" t="s">
        <v>151</v>
      </c>
      <c r="BR219" s="30" t="s">
        <v>151</v>
      </c>
      <c r="BS219" s="30" t="s">
        <v>187</v>
      </c>
      <c r="BT219" s="30" t="s">
        <v>188</v>
      </c>
      <c r="BU219" s="35" t="s">
        <v>151</v>
      </c>
      <c r="BV219" s="37" t="s">
        <v>151</v>
      </c>
      <c r="BW219" s="30" t="s">
        <v>151</v>
      </c>
      <c r="BX219" s="37" t="s">
        <v>151</v>
      </c>
      <c r="BY219" s="30" t="s">
        <v>151</v>
      </c>
      <c r="BZ219" s="30" t="s">
        <v>189</v>
      </c>
      <c r="CA219" s="30" t="s">
        <v>151</v>
      </c>
      <c r="CB219" s="30" t="s">
        <v>151</v>
      </c>
      <c r="CC219" s="30" t="s">
        <v>190</v>
      </c>
      <c r="CD219" s="30" t="s">
        <v>151</v>
      </c>
      <c r="CE219" s="30" t="s">
        <v>191</v>
      </c>
      <c r="CF219" s="35">
        <v>45047</v>
      </c>
      <c r="CG219" s="37">
        <v>3.5</v>
      </c>
      <c r="CH219" s="30" t="s">
        <v>192</v>
      </c>
      <c r="CI219" s="37">
        <v>13.5</v>
      </c>
      <c r="CJ219" s="30" t="s">
        <v>192</v>
      </c>
      <c r="CK219" s="29" t="s">
        <v>151</v>
      </c>
      <c r="CL219" s="30" t="s">
        <v>293</v>
      </c>
      <c r="CM219" s="30" t="s">
        <v>293</v>
      </c>
      <c r="CN219" s="30" t="s">
        <v>151</v>
      </c>
      <c r="CO219" s="30" t="s">
        <v>165</v>
      </c>
      <c r="CP219" s="35">
        <v>45047</v>
      </c>
      <c r="CQ219" s="37" t="s">
        <v>151</v>
      </c>
      <c r="CR219" s="30" t="s">
        <v>151</v>
      </c>
      <c r="CS219" s="30" t="s">
        <v>191</v>
      </c>
      <c r="CT219" s="29">
        <v>73</v>
      </c>
      <c r="CU219" s="30" t="s">
        <v>196</v>
      </c>
      <c r="CV219" s="32">
        <v>68</v>
      </c>
      <c r="CW219" s="32">
        <v>32</v>
      </c>
      <c r="CX219" s="30" t="s">
        <v>294</v>
      </c>
      <c r="CY219" s="32">
        <v>1</v>
      </c>
      <c r="CZ219" s="32">
        <v>67</v>
      </c>
      <c r="DA219" s="37">
        <v>13.5</v>
      </c>
      <c r="DB219" s="35">
        <v>45047</v>
      </c>
      <c r="DC219" s="30" t="s">
        <v>293</v>
      </c>
      <c r="DD219" s="29" t="s">
        <v>151</v>
      </c>
      <c r="DE219" s="32">
        <v>0</v>
      </c>
      <c r="DF219" s="34">
        <v>11</v>
      </c>
      <c r="DG219" s="32">
        <v>0</v>
      </c>
      <c r="DH219" s="32">
        <v>0</v>
      </c>
      <c r="DI219" s="32">
        <v>0</v>
      </c>
      <c r="DJ219" s="34">
        <v>10</v>
      </c>
      <c r="DK219" s="32" t="s">
        <v>151</v>
      </c>
      <c r="DL219" s="34" t="s">
        <v>151</v>
      </c>
      <c r="DM219" s="32">
        <v>0</v>
      </c>
      <c r="DN219" s="34">
        <v>10</v>
      </c>
      <c r="DO219" s="36">
        <v>3.12</v>
      </c>
      <c r="DP219" s="34">
        <v>75</v>
      </c>
      <c r="DQ219" s="36">
        <v>0</v>
      </c>
      <c r="DR219" s="32">
        <v>0</v>
      </c>
      <c r="DS219" s="36">
        <v>4.63</v>
      </c>
      <c r="DT219" s="34">
        <v>81</v>
      </c>
      <c r="DU219" s="36" t="s">
        <v>151</v>
      </c>
      <c r="DV219" s="34" t="s">
        <v>151</v>
      </c>
      <c r="DW219" s="36">
        <v>4.63</v>
      </c>
      <c r="DX219" s="34">
        <v>81</v>
      </c>
      <c r="DY219" s="31" t="s">
        <v>151</v>
      </c>
      <c r="DZ219" s="35" t="s">
        <v>151</v>
      </c>
      <c r="EA219" s="35" t="s">
        <v>151</v>
      </c>
      <c r="EB219" s="34">
        <v>388</v>
      </c>
      <c r="EC219" s="33">
        <v>25</v>
      </c>
      <c r="ED219" s="32">
        <v>6.89</v>
      </c>
      <c r="EE219" s="34">
        <v>88</v>
      </c>
      <c r="EF219" s="33">
        <v>0</v>
      </c>
      <c r="EG219" s="32">
        <v>0</v>
      </c>
      <c r="EH219" s="29" t="s">
        <v>198</v>
      </c>
      <c r="EI219" s="30" t="s">
        <v>151</v>
      </c>
      <c r="EJ219" s="30" t="s">
        <v>151</v>
      </c>
      <c r="EK219" s="31" t="s">
        <v>151</v>
      </c>
      <c r="EL219" s="31" t="s">
        <v>151</v>
      </c>
      <c r="EM219" s="31" t="s">
        <v>151</v>
      </c>
      <c r="EN219" s="31" t="s">
        <v>151</v>
      </c>
      <c r="EO219" s="31" t="s">
        <v>151</v>
      </c>
      <c r="EP219" s="30" t="s">
        <v>151</v>
      </c>
      <c r="EQ219" s="29" t="s">
        <v>151</v>
      </c>
      <c r="ER219" s="29" t="s">
        <v>151</v>
      </c>
      <c r="ES219" s="4">
        <f>HYPERLINK("https://my.pitchbook.com?c=483749-65","View Company Online")</f>
      </c>
    </row>
    <row r="220">
      <c r="A220" s="17" t="s">
        <v>4968</v>
      </c>
      <c r="B220" s="17" t="s">
        <v>4969</v>
      </c>
      <c r="C220" s="18" t="s">
        <v>151</v>
      </c>
      <c r="D220" s="17" t="s">
        <v>151</v>
      </c>
      <c r="E220" s="17" t="s">
        <v>4970</v>
      </c>
      <c r="F220" s="17" t="s">
        <v>4971</v>
      </c>
      <c r="G220" s="17" t="s">
        <v>151</v>
      </c>
      <c r="H220" s="17" t="s">
        <v>151</v>
      </c>
      <c r="I220" s="17" t="s">
        <v>151</v>
      </c>
      <c r="J220" s="17" t="s">
        <v>4968</v>
      </c>
      <c r="K220" s="17" t="s">
        <v>4972</v>
      </c>
      <c r="L220" s="17" t="s">
        <v>155</v>
      </c>
      <c r="M220" s="17" t="s">
        <v>2320</v>
      </c>
      <c r="N220" s="17" t="s">
        <v>2321</v>
      </c>
      <c r="O220" s="17" t="s">
        <v>2322</v>
      </c>
      <c r="P220" s="17" t="s">
        <v>2640</v>
      </c>
      <c r="Q220" s="17" t="s">
        <v>4973</v>
      </c>
      <c r="R220" s="17" t="s">
        <v>151</v>
      </c>
      <c r="S220" s="17" t="s">
        <v>162</v>
      </c>
      <c r="T220" s="24">
        <v>1.7</v>
      </c>
      <c r="U220" s="17" t="s">
        <v>163</v>
      </c>
      <c r="V220" s="17" t="s">
        <v>164</v>
      </c>
      <c r="W220" s="17" t="s">
        <v>165</v>
      </c>
      <c r="X220" s="15" t="s">
        <v>4974</v>
      </c>
      <c r="Y220" s="15" t="s">
        <v>4975</v>
      </c>
      <c r="Z220" s="27" t="s">
        <v>151</v>
      </c>
      <c r="AA220" s="17" t="s">
        <v>151</v>
      </c>
      <c r="AB220" s="17" t="s">
        <v>151</v>
      </c>
      <c r="AC220" s="17" t="s">
        <v>151</v>
      </c>
      <c r="AD220" s="26">
        <v>2023</v>
      </c>
      <c r="AE220" s="17" t="s">
        <v>151</v>
      </c>
      <c r="AF220" s="22">
        <v>45602</v>
      </c>
      <c r="AG220" s="17" t="s">
        <v>151</v>
      </c>
      <c r="AH220" s="17" t="s">
        <v>151</v>
      </c>
      <c r="AI220" s="25" t="s">
        <v>151</v>
      </c>
      <c r="AJ220" s="19" t="s">
        <v>151</v>
      </c>
      <c r="AK220" s="25" t="s">
        <v>151</v>
      </c>
      <c r="AL220" s="25" t="s">
        <v>151</v>
      </c>
      <c r="AM220" s="25" t="s">
        <v>151</v>
      </c>
      <c r="AN220" s="25" t="s">
        <v>151</v>
      </c>
      <c r="AO220" s="25" t="s">
        <v>151</v>
      </c>
      <c r="AP220" s="25" t="s">
        <v>151</v>
      </c>
      <c r="AQ220" s="25" t="s">
        <v>151</v>
      </c>
      <c r="AR220" s="16" t="s">
        <v>151</v>
      </c>
      <c r="AS220" s="17" t="s">
        <v>4976</v>
      </c>
      <c r="AT220" s="17" t="s">
        <v>4977</v>
      </c>
      <c r="AU220" s="18">
        <v>4</v>
      </c>
      <c r="AV220" s="17" t="s">
        <v>151</v>
      </c>
      <c r="AW220" s="17" t="s">
        <v>151</v>
      </c>
      <c r="AX220" s="17" t="s">
        <v>151</v>
      </c>
      <c r="AY220" s="17" t="s">
        <v>4978</v>
      </c>
      <c r="AZ220" s="17" t="s">
        <v>151</v>
      </c>
      <c r="BA220" s="17" t="s">
        <v>151</v>
      </c>
      <c r="BB220" s="17" t="s">
        <v>151</v>
      </c>
      <c r="BC220" s="17" t="s">
        <v>151</v>
      </c>
      <c r="BD220" s="17" t="s">
        <v>4979</v>
      </c>
      <c r="BE220" s="17" t="s">
        <v>4980</v>
      </c>
      <c r="BF220" s="17" t="s">
        <v>282</v>
      </c>
      <c r="BG220" s="17" t="s">
        <v>151</v>
      </c>
      <c r="BH220" s="17" t="s">
        <v>4981</v>
      </c>
      <c r="BI220" s="17" t="s">
        <v>906</v>
      </c>
      <c r="BJ220" s="17" t="s">
        <v>4982</v>
      </c>
      <c r="BK220" s="17" t="s">
        <v>2957</v>
      </c>
      <c r="BL220" s="17" t="s">
        <v>259</v>
      </c>
      <c r="BM220" s="17" t="s">
        <v>259</v>
      </c>
      <c r="BN220" s="16" t="s">
        <v>4983</v>
      </c>
      <c r="BO220" s="17" t="s">
        <v>186</v>
      </c>
      <c r="BP220" s="16" t="s">
        <v>4981</v>
      </c>
      <c r="BQ220" s="16" t="s">
        <v>151</v>
      </c>
      <c r="BR220" s="17" t="s">
        <v>4984</v>
      </c>
      <c r="BS220" s="17" t="s">
        <v>187</v>
      </c>
      <c r="BT220" s="17" t="s">
        <v>188</v>
      </c>
      <c r="BU220" s="22">
        <v>45209</v>
      </c>
      <c r="BV220" s="24">
        <v>1.7</v>
      </c>
      <c r="BW220" s="17" t="s">
        <v>192</v>
      </c>
      <c r="BX220" s="24" t="s">
        <v>151</v>
      </c>
      <c r="BY220" s="17" t="s">
        <v>151</v>
      </c>
      <c r="BZ220" s="17" t="s">
        <v>293</v>
      </c>
      <c r="CA220" s="17" t="s">
        <v>293</v>
      </c>
      <c r="CB220" s="17" t="s">
        <v>151</v>
      </c>
      <c r="CC220" s="17" t="s">
        <v>165</v>
      </c>
      <c r="CD220" s="17" t="s">
        <v>151</v>
      </c>
      <c r="CE220" s="17" t="s">
        <v>191</v>
      </c>
      <c r="CF220" s="22">
        <v>45209</v>
      </c>
      <c r="CG220" s="24">
        <v>1.7</v>
      </c>
      <c r="CH220" s="17" t="s">
        <v>192</v>
      </c>
      <c r="CI220" s="24" t="s">
        <v>151</v>
      </c>
      <c r="CJ220" s="17" t="s">
        <v>151</v>
      </c>
      <c r="CK220" s="16" t="s">
        <v>151</v>
      </c>
      <c r="CL220" s="17" t="s">
        <v>293</v>
      </c>
      <c r="CM220" s="17" t="s">
        <v>293</v>
      </c>
      <c r="CN220" s="17" t="s">
        <v>151</v>
      </c>
      <c r="CO220" s="17" t="s">
        <v>165</v>
      </c>
      <c r="CP220" s="22">
        <v>45209</v>
      </c>
      <c r="CQ220" s="24" t="s">
        <v>151</v>
      </c>
      <c r="CR220" s="17" t="s">
        <v>151</v>
      </c>
      <c r="CS220" s="17" t="s">
        <v>191</v>
      </c>
      <c r="CT220" s="16" t="s">
        <v>151</v>
      </c>
      <c r="CU220" s="17" t="s">
        <v>151</v>
      </c>
      <c r="CV220" s="19" t="s">
        <v>151</v>
      </c>
      <c r="CW220" s="19" t="s">
        <v>151</v>
      </c>
      <c r="CX220" s="17" t="s">
        <v>151</v>
      </c>
      <c r="CY220" s="19" t="s">
        <v>151</v>
      </c>
      <c r="CZ220" s="19" t="s">
        <v>151</v>
      </c>
      <c r="DA220" s="24" t="s">
        <v>151</v>
      </c>
      <c r="DB220" s="22" t="s">
        <v>151</v>
      </c>
      <c r="DC220" s="17" t="s">
        <v>151</v>
      </c>
      <c r="DD220" s="16" t="s">
        <v>151</v>
      </c>
      <c r="DE220" s="19">
        <v>0</v>
      </c>
      <c r="DF220" s="21">
        <v>11</v>
      </c>
      <c r="DG220" s="19">
        <v>0</v>
      </c>
      <c r="DH220" s="19">
        <v>0</v>
      </c>
      <c r="DI220" s="19">
        <v>0</v>
      </c>
      <c r="DJ220" s="21">
        <v>10</v>
      </c>
      <c r="DK220" s="19" t="s">
        <v>151</v>
      </c>
      <c r="DL220" s="21" t="s">
        <v>151</v>
      </c>
      <c r="DM220" s="19">
        <v>0</v>
      </c>
      <c r="DN220" s="21">
        <v>10</v>
      </c>
      <c r="DO220" s="23">
        <v>2.68</v>
      </c>
      <c r="DP220" s="21">
        <v>72</v>
      </c>
      <c r="DQ220" s="23">
        <v>0</v>
      </c>
      <c r="DR220" s="19">
        <v>0</v>
      </c>
      <c r="DS220" s="23">
        <v>2.68</v>
      </c>
      <c r="DT220" s="21">
        <v>72</v>
      </c>
      <c r="DU220" s="23" t="s">
        <v>151</v>
      </c>
      <c r="DV220" s="21" t="s">
        <v>151</v>
      </c>
      <c r="DW220" s="23">
        <v>2.68</v>
      </c>
      <c r="DX220" s="21">
        <v>72</v>
      </c>
      <c r="DY220" s="18" t="s">
        <v>151</v>
      </c>
      <c r="DZ220" s="22" t="s">
        <v>151</v>
      </c>
      <c r="EA220" s="22" t="s">
        <v>151</v>
      </c>
      <c r="EB220" s="21" t="s">
        <v>151</v>
      </c>
      <c r="EC220" s="20" t="s">
        <v>151</v>
      </c>
      <c r="ED220" s="19" t="s">
        <v>151</v>
      </c>
      <c r="EE220" s="21">
        <v>51</v>
      </c>
      <c r="EF220" s="20">
        <v>0</v>
      </c>
      <c r="EG220" s="19">
        <v>0</v>
      </c>
      <c r="EH220" s="16" t="s">
        <v>198</v>
      </c>
      <c r="EI220" s="17" t="s">
        <v>151</v>
      </c>
      <c r="EJ220" s="17" t="s">
        <v>151</v>
      </c>
      <c r="EK220" s="18" t="s">
        <v>151</v>
      </c>
      <c r="EL220" s="18" t="s">
        <v>151</v>
      </c>
      <c r="EM220" s="18" t="s">
        <v>151</v>
      </c>
      <c r="EN220" s="18" t="s">
        <v>151</v>
      </c>
      <c r="EO220" s="18" t="s">
        <v>151</v>
      </c>
      <c r="EP220" s="17" t="s">
        <v>151</v>
      </c>
      <c r="EQ220" s="16" t="s">
        <v>151</v>
      </c>
      <c r="ER220" s="16" t="s">
        <v>151</v>
      </c>
      <c r="ES220" s="3">
        <f>HYPERLINK("https://my.pitchbook.com?c=538143-58","View Company Online")</f>
      </c>
    </row>
    <row r="221">
      <c r="A221" s="30" t="s">
        <v>4985</v>
      </c>
      <c r="B221" s="30" t="s">
        <v>4986</v>
      </c>
      <c r="C221" s="31" t="s">
        <v>151</v>
      </c>
      <c r="D221" s="30" t="s">
        <v>4987</v>
      </c>
      <c r="E221" s="30" t="s">
        <v>4988</v>
      </c>
      <c r="F221" s="30" t="s">
        <v>4989</v>
      </c>
      <c r="G221" s="30" t="s">
        <v>151</v>
      </c>
      <c r="H221" s="30" t="s">
        <v>151</v>
      </c>
      <c r="I221" s="30" t="s">
        <v>151</v>
      </c>
      <c r="J221" s="30" t="s">
        <v>4985</v>
      </c>
      <c r="K221" s="30" t="s">
        <v>4990</v>
      </c>
      <c r="L221" s="30" t="s">
        <v>205</v>
      </c>
      <c r="M221" s="30" t="s">
        <v>206</v>
      </c>
      <c r="N221" s="30" t="s">
        <v>1268</v>
      </c>
      <c r="O221" s="30" t="s">
        <v>4991</v>
      </c>
      <c r="P221" s="30" t="s">
        <v>2130</v>
      </c>
      <c r="Q221" s="30" t="s">
        <v>4992</v>
      </c>
      <c r="R221" s="30" t="s">
        <v>151</v>
      </c>
      <c r="S221" s="30" t="s">
        <v>162</v>
      </c>
      <c r="T221" s="37">
        <v>2.63</v>
      </c>
      <c r="U221" s="30" t="s">
        <v>4993</v>
      </c>
      <c r="V221" s="30" t="s">
        <v>164</v>
      </c>
      <c r="W221" s="30" t="s">
        <v>165</v>
      </c>
      <c r="X221" s="28" t="s">
        <v>4994</v>
      </c>
      <c r="Y221" s="28" t="s">
        <v>4995</v>
      </c>
      <c r="Z221" s="40">
        <v>6</v>
      </c>
      <c r="AA221" s="30" t="s">
        <v>4996</v>
      </c>
      <c r="AB221" s="30" t="s">
        <v>151</v>
      </c>
      <c r="AC221" s="30" t="s">
        <v>151</v>
      </c>
      <c r="AD221" s="39">
        <v>2021</v>
      </c>
      <c r="AE221" s="30" t="s">
        <v>151</v>
      </c>
      <c r="AF221" s="35">
        <v>45590</v>
      </c>
      <c r="AG221" s="30" t="s">
        <v>151</v>
      </c>
      <c r="AH221" s="30" t="s">
        <v>151</v>
      </c>
      <c r="AI221" s="38" t="s">
        <v>151</v>
      </c>
      <c r="AJ221" s="32" t="s">
        <v>151</v>
      </c>
      <c r="AK221" s="38" t="s">
        <v>151</v>
      </c>
      <c r="AL221" s="38" t="s">
        <v>151</v>
      </c>
      <c r="AM221" s="38" t="s">
        <v>151</v>
      </c>
      <c r="AN221" s="38" t="s">
        <v>151</v>
      </c>
      <c r="AO221" s="38" t="s">
        <v>151</v>
      </c>
      <c r="AP221" s="38" t="s">
        <v>151</v>
      </c>
      <c r="AQ221" s="38" t="s">
        <v>151</v>
      </c>
      <c r="AR221" s="29" t="s">
        <v>151</v>
      </c>
      <c r="AS221" s="30" t="s">
        <v>4997</v>
      </c>
      <c r="AT221" s="30" t="s">
        <v>4998</v>
      </c>
      <c r="AU221" s="31">
        <v>5</v>
      </c>
      <c r="AV221" s="30" t="s">
        <v>151</v>
      </c>
      <c r="AW221" s="30" t="s">
        <v>151</v>
      </c>
      <c r="AX221" s="30" t="s">
        <v>151</v>
      </c>
      <c r="AY221" s="30" t="s">
        <v>4999</v>
      </c>
      <c r="AZ221" s="30" t="s">
        <v>151</v>
      </c>
      <c r="BA221" s="30" t="s">
        <v>151</v>
      </c>
      <c r="BB221" s="30" t="s">
        <v>151</v>
      </c>
      <c r="BC221" s="30" t="s">
        <v>151</v>
      </c>
      <c r="BD221" s="30" t="s">
        <v>5000</v>
      </c>
      <c r="BE221" s="30" t="s">
        <v>5001</v>
      </c>
      <c r="BF221" s="30" t="s">
        <v>5002</v>
      </c>
      <c r="BG221" s="30" t="s">
        <v>5003</v>
      </c>
      <c r="BH221" s="30" t="s">
        <v>151</v>
      </c>
      <c r="BI221" s="30" t="s">
        <v>764</v>
      </c>
      <c r="BJ221" s="30" t="s">
        <v>5004</v>
      </c>
      <c r="BK221" s="30" t="s">
        <v>5005</v>
      </c>
      <c r="BL221" s="30" t="s">
        <v>767</v>
      </c>
      <c r="BM221" s="30" t="s">
        <v>184</v>
      </c>
      <c r="BN221" s="29" t="s">
        <v>5006</v>
      </c>
      <c r="BO221" s="30" t="s">
        <v>186</v>
      </c>
      <c r="BP221" s="29" t="s">
        <v>151</v>
      </c>
      <c r="BQ221" s="29" t="s">
        <v>151</v>
      </c>
      <c r="BR221" s="30" t="s">
        <v>5007</v>
      </c>
      <c r="BS221" s="30" t="s">
        <v>187</v>
      </c>
      <c r="BT221" s="30" t="s">
        <v>188</v>
      </c>
      <c r="BU221" s="35">
        <v>44929</v>
      </c>
      <c r="BV221" s="37">
        <v>0.87</v>
      </c>
      <c r="BW221" s="30" t="s">
        <v>192</v>
      </c>
      <c r="BX221" s="37">
        <v>5.5</v>
      </c>
      <c r="BY221" s="30" t="s">
        <v>192</v>
      </c>
      <c r="BZ221" s="30" t="s">
        <v>189</v>
      </c>
      <c r="CA221" s="30" t="s">
        <v>151</v>
      </c>
      <c r="CB221" s="30" t="s">
        <v>151</v>
      </c>
      <c r="CC221" s="30" t="s">
        <v>190</v>
      </c>
      <c r="CD221" s="30" t="s">
        <v>151</v>
      </c>
      <c r="CE221" s="30" t="s">
        <v>191</v>
      </c>
      <c r="CF221" s="35" t="s">
        <v>151</v>
      </c>
      <c r="CG221" s="37">
        <v>1.3</v>
      </c>
      <c r="CH221" s="30" t="s">
        <v>192</v>
      </c>
      <c r="CI221" s="37" t="s">
        <v>151</v>
      </c>
      <c r="CJ221" s="30" t="s">
        <v>151</v>
      </c>
      <c r="CK221" s="29" t="s">
        <v>151</v>
      </c>
      <c r="CL221" s="30" t="s">
        <v>231</v>
      </c>
      <c r="CM221" s="30" t="s">
        <v>151</v>
      </c>
      <c r="CN221" s="30" t="s">
        <v>151</v>
      </c>
      <c r="CO221" s="30" t="s">
        <v>165</v>
      </c>
      <c r="CP221" s="35" t="s">
        <v>151</v>
      </c>
      <c r="CQ221" s="37" t="s">
        <v>151</v>
      </c>
      <c r="CR221" s="30" t="s">
        <v>151</v>
      </c>
      <c r="CS221" s="30" t="s">
        <v>191</v>
      </c>
      <c r="CT221" s="29">
        <v>47</v>
      </c>
      <c r="CU221" s="30" t="s">
        <v>263</v>
      </c>
      <c r="CV221" s="32">
        <v>46</v>
      </c>
      <c r="CW221" s="32">
        <v>54</v>
      </c>
      <c r="CX221" s="30" t="s">
        <v>263</v>
      </c>
      <c r="CY221" s="32">
        <v>1</v>
      </c>
      <c r="CZ221" s="32">
        <v>45</v>
      </c>
      <c r="DA221" s="37">
        <v>10</v>
      </c>
      <c r="DB221" s="35">
        <v>45383</v>
      </c>
      <c r="DC221" s="30" t="s">
        <v>231</v>
      </c>
      <c r="DD221" s="29" t="s">
        <v>151</v>
      </c>
      <c r="DE221" s="32">
        <v>0</v>
      </c>
      <c r="DF221" s="34">
        <v>11</v>
      </c>
      <c r="DG221" s="32">
        <v>0</v>
      </c>
      <c r="DH221" s="32">
        <v>0</v>
      </c>
      <c r="DI221" s="32">
        <v>0</v>
      </c>
      <c r="DJ221" s="34">
        <v>10</v>
      </c>
      <c r="DK221" s="32" t="s">
        <v>151</v>
      </c>
      <c r="DL221" s="34" t="s">
        <v>151</v>
      </c>
      <c r="DM221" s="32">
        <v>0</v>
      </c>
      <c r="DN221" s="34">
        <v>10</v>
      </c>
      <c r="DO221" s="36">
        <v>1.98</v>
      </c>
      <c r="DP221" s="34">
        <v>66</v>
      </c>
      <c r="DQ221" s="36">
        <v>0.03</v>
      </c>
      <c r="DR221" s="32">
        <v>1.35</v>
      </c>
      <c r="DS221" s="36">
        <v>3.58</v>
      </c>
      <c r="DT221" s="34">
        <v>77</v>
      </c>
      <c r="DU221" s="36" t="s">
        <v>151</v>
      </c>
      <c r="DV221" s="34" t="s">
        <v>151</v>
      </c>
      <c r="DW221" s="36">
        <v>3.58</v>
      </c>
      <c r="DX221" s="34">
        <v>77</v>
      </c>
      <c r="DY221" s="31" t="s">
        <v>151</v>
      </c>
      <c r="DZ221" s="35" t="s">
        <v>151</v>
      </c>
      <c r="EA221" s="35" t="s">
        <v>151</v>
      </c>
      <c r="EB221" s="34">
        <v>316</v>
      </c>
      <c r="EC221" s="33">
        <v>41</v>
      </c>
      <c r="ED221" s="32">
        <v>14.91</v>
      </c>
      <c r="EE221" s="34">
        <v>68</v>
      </c>
      <c r="EF221" s="33">
        <v>3</v>
      </c>
      <c r="EG221" s="32">
        <v>4.62</v>
      </c>
      <c r="EH221" s="29" t="s">
        <v>198</v>
      </c>
      <c r="EI221" s="30" t="s">
        <v>151</v>
      </c>
      <c r="EJ221" s="30" t="s">
        <v>151</v>
      </c>
      <c r="EK221" s="31" t="s">
        <v>151</v>
      </c>
      <c r="EL221" s="31" t="s">
        <v>151</v>
      </c>
      <c r="EM221" s="31" t="s">
        <v>151</v>
      </c>
      <c r="EN221" s="31" t="s">
        <v>151</v>
      </c>
      <c r="EO221" s="31" t="s">
        <v>151</v>
      </c>
      <c r="EP221" s="30" t="s">
        <v>151</v>
      </c>
      <c r="EQ221" s="29" t="s">
        <v>151</v>
      </c>
      <c r="ER221" s="29" t="s">
        <v>151</v>
      </c>
      <c r="ES221" s="4">
        <f>HYPERLINK("https://my.pitchbook.com?c=523281-88","View Company Online")</f>
      </c>
    </row>
    <row r="222">
      <c r="A222" s="17" t="s">
        <v>5008</v>
      </c>
      <c r="B222" s="17" t="s">
        <v>5009</v>
      </c>
      <c r="C222" s="18" t="s">
        <v>151</v>
      </c>
      <c r="D222" s="17" t="s">
        <v>151</v>
      </c>
      <c r="E222" s="17" t="s">
        <v>151</v>
      </c>
      <c r="F222" s="17" t="s">
        <v>5010</v>
      </c>
      <c r="G222" s="17" t="s">
        <v>151</v>
      </c>
      <c r="H222" s="17" t="s">
        <v>151</v>
      </c>
      <c r="I222" s="17" t="s">
        <v>5011</v>
      </c>
      <c r="J222" s="17" t="s">
        <v>5008</v>
      </c>
      <c r="K222" s="17" t="s">
        <v>5012</v>
      </c>
      <c r="L222" s="17" t="s">
        <v>205</v>
      </c>
      <c r="M222" s="17" t="s">
        <v>206</v>
      </c>
      <c r="N222" s="17" t="s">
        <v>269</v>
      </c>
      <c r="O222" s="17" t="s">
        <v>5013</v>
      </c>
      <c r="P222" s="17" t="s">
        <v>536</v>
      </c>
      <c r="Q222" s="17" t="s">
        <v>5014</v>
      </c>
      <c r="R222" s="17" t="s">
        <v>151</v>
      </c>
      <c r="S222" s="17" t="s">
        <v>162</v>
      </c>
      <c r="T222" s="24">
        <v>32.36</v>
      </c>
      <c r="U222" s="17" t="s">
        <v>163</v>
      </c>
      <c r="V222" s="17" t="s">
        <v>164</v>
      </c>
      <c r="W222" s="17" t="s">
        <v>165</v>
      </c>
      <c r="X222" s="15" t="s">
        <v>5015</v>
      </c>
      <c r="Y222" s="15" t="s">
        <v>5016</v>
      </c>
      <c r="Z222" s="27">
        <v>126</v>
      </c>
      <c r="AA222" s="17" t="s">
        <v>5017</v>
      </c>
      <c r="AB222" s="17" t="s">
        <v>151</v>
      </c>
      <c r="AC222" s="17" t="s">
        <v>151</v>
      </c>
      <c r="AD222" s="26">
        <v>2018</v>
      </c>
      <c r="AE222" s="17" t="s">
        <v>151</v>
      </c>
      <c r="AF222" s="22">
        <v>45540</v>
      </c>
      <c r="AG222" s="17" t="s">
        <v>151</v>
      </c>
      <c r="AH222" s="17" t="s">
        <v>151</v>
      </c>
      <c r="AI222" s="25">
        <v>5.85</v>
      </c>
      <c r="AJ222" s="19" t="s">
        <v>151</v>
      </c>
      <c r="AK222" s="25" t="s">
        <v>151</v>
      </c>
      <c r="AL222" s="25" t="s">
        <v>151</v>
      </c>
      <c r="AM222" s="25" t="s">
        <v>151</v>
      </c>
      <c r="AN222" s="25" t="s">
        <v>151</v>
      </c>
      <c r="AO222" s="25" t="s">
        <v>151</v>
      </c>
      <c r="AP222" s="25" t="s">
        <v>151</v>
      </c>
      <c r="AQ222" s="25" t="s">
        <v>151</v>
      </c>
      <c r="AR222" s="16" t="s">
        <v>810</v>
      </c>
      <c r="AS222" s="17" t="s">
        <v>5018</v>
      </c>
      <c r="AT222" s="17" t="s">
        <v>5019</v>
      </c>
      <c r="AU222" s="18">
        <v>11</v>
      </c>
      <c r="AV222" s="17" t="s">
        <v>151</v>
      </c>
      <c r="AW222" s="17" t="s">
        <v>5020</v>
      </c>
      <c r="AX222" s="17" t="s">
        <v>151</v>
      </c>
      <c r="AY222" s="17" t="s">
        <v>5021</v>
      </c>
      <c r="AZ222" s="17" t="s">
        <v>5022</v>
      </c>
      <c r="BA222" s="17" t="s">
        <v>151</v>
      </c>
      <c r="BB222" s="17" t="s">
        <v>5023</v>
      </c>
      <c r="BC222" s="17" t="s">
        <v>5024</v>
      </c>
      <c r="BD222" s="17" t="s">
        <v>5025</v>
      </c>
      <c r="BE222" s="17" t="s">
        <v>5026</v>
      </c>
      <c r="BF222" s="17" t="s">
        <v>5027</v>
      </c>
      <c r="BG222" s="17" t="s">
        <v>5028</v>
      </c>
      <c r="BH222" s="17" t="s">
        <v>5029</v>
      </c>
      <c r="BI222" s="17" t="s">
        <v>5030</v>
      </c>
      <c r="BJ222" s="17" t="s">
        <v>5031</v>
      </c>
      <c r="BK222" s="17" t="s">
        <v>151</v>
      </c>
      <c r="BL222" s="17" t="s">
        <v>5032</v>
      </c>
      <c r="BM222" s="17" t="s">
        <v>3217</v>
      </c>
      <c r="BN222" s="16" t="s">
        <v>5033</v>
      </c>
      <c r="BO222" s="17" t="s">
        <v>186</v>
      </c>
      <c r="BP222" s="16" t="s">
        <v>5029</v>
      </c>
      <c r="BQ222" s="16" t="s">
        <v>151</v>
      </c>
      <c r="BR222" s="17" t="s">
        <v>5034</v>
      </c>
      <c r="BS222" s="17" t="s">
        <v>187</v>
      </c>
      <c r="BT222" s="17" t="s">
        <v>188</v>
      </c>
      <c r="BU222" s="22">
        <v>44063</v>
      </c>
      <c r="BV222" s="24">
        <v>1.35</v>
      </c>
      <c r="BW222" s="17" t="s">
        <v>192</v>
      </c>
      <c r="BX222" s="24" t="s">
        <v>151</v>
      </c>
      <c r="BY222" s="17" t="s">
        <v>151</v>
      </c>
      <c r="BZ222" s="17" t="s">
        <v>231</v>
      </c>
      <c r="CA222" s="17" t="s">
        <v>151</v>
      </c>
      <c r="CB222" s="17" t="s">
        <v>151</v>
      </c>
      <c r="CC222" s="17" t="s">
        <v>165</v>
      </c>
      <c r="CD222" s="17" t="s">
        <v>151</v>
      </c>
      <c r="CE222" s="17" t="s">
        <v>191</v>
      </c>
      <c r="CF222" s="22">
        <v>45314</v>
      </c>
      <c r="CG222" s="24">
        <v>2</v>
      </c>
      <c r="CH222" s="17" t="s">
        <v>192</v>
      </c>
      <c r="CI222" s="24" t="s">
        <v>151</v>
      </c>
      <c r="CJ222" s="17" t="s">
        <v>151</v>
      </c>
      <c r="CK222" s="16" t="s">
        <v>151</v>
      </c>
      <c r="CL222" s="17" t="s">
        <v>194</v>
      </c>
      <c r="CM222" s="17" t="s">
        <v>151</v>
      </c>
      <c r="CN222" s="17" t="s">
        <v>151</v>
      </c>
      <c r="CO222" s="17" t="s">
        <v>165</v>
      </c>
      <c r="CP222" s="22">
        <v>45314</v>
      </c>
      <c r="CQ222" s="24" t="s">
        <v>151</v>
      </c>
      <c r="CR222" s="17" t="s">
        <v>151</v>
      </c>
      <c r="CS222" s="17" t="s">
        <v>191</v>
      </c>
      <c r="CT222" s="16">
        <v>86</v>
      </c>
      <c r="CU222" s="17" t="s">
        <v>196</v>
      </c>
      <c r="CV222" s="19">
        <v>95</v>
      </c>
      <c r="CW222" s="19">
        <v>5</v>
      </c>
      <c r="CX222" s="17" t="s">
        <v>294</v>
      </c>
      <c r="CY222" s="19">
        <v>1</v>
      </c>
      <c r="CZ222" s="19">
        <v>94</v>
      </c>
      <c r="DA222" s="24" t="s">
        <v>151</v>
      </c>
      <c r="DB222" s="22" t="s">
        <v>151</v>
      </c>
      <c r="DC222" s="17" t="s">
        <v>151</v>
      </c>
      <c r="DD222" s="16" t="s">
        <v>151</v>
      </c>
      <c r="DE222" s="19">
        <v>1.06</v>
      </c>
      <c r="DF222" s="21">
        <v>96</v>
      </c>
      <c r="DG222" s="19">
        <v>0</v>
      </c>
      <c r="DH222" s="19">
        <v>0</v>
      </c>
      <c r="DI222" s="19">
        <v>1.81</v>
      </c>
      <c r="DJ222" s="21">
        <v>98</v>
      </c>
      <c r="DK222" s="19" t="s">
        <v>151</v>
      </c>
      <c r="DL222" s="21" t="s">
        <v>151</v>
      </c>
      <c r="DM222" s="19">
        <v>1.81</v>
      </c>
      <c r="DN222" s="21">
        <v>98</v>
      </c>
      <c r="DO222" s="23">
        <v>13.93</v>
      </c>
      <c r="DP222" s="21">
        <v>93</v>
      </c>
      <c r="DQ222" s="23">
        <v>0</v>
      </c>
      <c r="DR222" s="19">
        <v>0</v>
      </c>
      <c r="DS222" s="23">
        <v>18.16</v>
      </c>
      <c r="DT222" s="21">
        <v>94</v>
      </c>
      <c r="DU222" s="23" t="s">
        <v>151</v>
      </c>
      <c r="DV222" s="21" t="s">
        <v>151</v>
      </c>
      <c r="DW222" s="23">
        <v>18.16</v>
      </c>
      <c r="DX222" s="21">
        <v>94</v>
      </c>
      <c r="DY222" s="18">
        <v>3</v>
      </c>
      <c r="DZ222" s="22">
        <v>45329</v>
      </c>
      <c r="EA222" s="22" t="s">
        <v>151</v>
      </c>
      <c r="EB222" s="21">
        <v>3358</v>
      </c>
      <c r="EC222" s="20">
        <v>-121</v>
      </c>
      <c r="ED222" s="19">
        <v>-3.48</v>
      </c>
      <c r="EE222" s="21">
        <v>345</v>
      </c>
      <c r="EF222" s="20">
        <v>1</v>
      </c>
      <c r="EG222" s="19">
        <v>0.29</v>
      </c>
      <c r="EH222" s="16" t="s">
        <v>198</v>
      </c>
      <c r="EI222" s="17" t="s">
        <v>151</v>
      </c>
      <c r="EJ222" s="17" t="s">
        <v>151</v>
      </c>
      <c r="EK222" s="18" t="s">
        <v>151</v>
      </c>
      <c r="EL222" s="18" t="s">
        <v>151</v>
      </c>
      <c r="EM222" s="18" t="s">
        <v>151</v>
      </c>
      <c r="EN222" s="18" t="s">
        <v>151</v>
      </c>
      <c r="EO222" s="18" t="s">
        <v>151</v>
      </c>
      <c r="EP222" s="17" t="s">
        <v>151</v>
      </c>
      <c r="EQ222" s="16" t="s">
        <v>151</v>
      </c>
      <c r="ER222" s="16" t="s">
        <v>151</v>
      </c>
      <c r="ES222" s="3">
        <f>HYPERLINK("https://my.pitchbook.com?c=433234-63","View Company Online")</f>
      </c>
    </row>
    <row r="223">
      <c r="A223" s="30" t="s">
        <v>5035</v>
      </c>
      <c r="B223" s="30" t="s">
        <v>5036</v>
      </c>
      <c r="C223" s="31" t="s">
        <v>151</v>
      </c>
      <c r="D223" s="30" t="s">
        <v>151</v>
      </c>
      <c r="E223" s="30" t="s">
        <v>151</v>
      </c>
      <c r="F223" s="30" t="s">
        <v>5037</v>
      </c>
      <c r="G223" s="30" t="s">
        <v>151</v>
      </c>
      <c r="H223" s="30" t="s">
        <v>151</v>
      </c>
      <c r="I223" s="30" t="s">
        <v>151</v>
      </c>
      <c r="J223" s="30" t="s">
        <v>5035</v>
      </c>
      <c r="K223" s="30" t="s">
        <v>5038</v>
      </c>
      <c r="L223" s="30" t="s">
        <v>205</v>
      </c>
      <c r="M223" s="30" t="s">
        <v>206</v>
      </c>
      <c r="N223" s="30" t="s">
        <v>269</v>
      </c>
      <c r="O223" s="30" t="s">
        <v>563</v>
      </c>
      <c r="P223" s="30" t="s">
        <v>2640</v>
      </c>
      <c r="Q223" s="30" t="s">
        <v>5039</v>
      </c>
      <c r="R223" s="30" t="s">
        <v>151</v>
      </c>
      <c r="S223" s="30" t="s">
        <v>162</v>
      </c>
      <c r="T223" s="37">
        <v>5</v>
      </c>
      <c r="U223" s="30" t="s">
        <v>163</v>
      </c>
      <c r="V223" s="30" t="s">
        <v>164</v>
      </c>
      <c r="W223" s="30" t="s">
        <v>165</v>
      </c>
      <c r="X223" s="28" t="s">
        <v>5040</v>
      </c>
      <c r="Y223" s="28" t="s">
        <v>5041</v>
      </c>
      <c r="Z223" s="40">
        <v>11</v>
      </c>
      <c r="AA223" s="30" t="s">
        <v>5042</v>
      </c>
      <c r="AB223" s="30" t="s">
        <v>151</v>
      </c>
      <c r="AC223" s="30" t="s">
        <v>151</v>
      </c>
      <c r="AD223" s="39">
        <v>2019</v>
      </c>
      <c r="AE223" s="30" t="s">
        <v>151</v>
      </c>
      <c r="AF223" s="35">
        <v>45503</v>
      </c>
      <c r="AG223" s="30" t="s">
        <v>151</v>
      </c>
      <c r="AH223" s="30" t="s">
        <v>151</v>
      </c>
      <c r="AI223" s="38" t="s">
        <v>151</v>
      </c>
      <c r="AJ223" s="32" t="s">
        <v>151</v>
      </c>
      <c r="AK223" s="38" t="s">
        <v>151</v>
      </c>
      <c r="AL223" s="38" t="s">
        <v>151</v>
      </c>
      <c r="AM223" s="38" t="s">
        <v>151</v>
      </c>
      <c r="AN223" s="38" t="s">
        <v>151</v>
      </c>
      <c r="AO223" s="38" t="s">
        <v>151</v>
      </c>
      <c r="AP223" s="38" t="s">
        <v>151</v>
      </c>
      <c r="AQ223" s="38" t="s">
        <v>151</v>
      </c>
      <c r="AR223" s="29" t="s">
        <v>151</v>
      </c>
      <c r="AS223" s="30" t="s">
        <v>5043</v>
      </c>
      <c r="AT223" s="30" t="s">
        <v>5044</v>
      </c>
      <c r="AU223" s="31">
        <v>3</v>
      </c>
      <c r="AV223" s="30" t="s">
        <v>151</v>
      </c>
      <c r="AW223" s="30" t="s">
        <v>151</v>
      </c>
      <c r="AX223" s="30" t="s">
        <v>151</v>
      </c>
      <c r="AY223" s="30" t="s">
        <v>5045</v>
      </c>
      <c r="AZ223" s="30" t="s">
        <v>151</v>
      </c>
      <c r="BA223" s="30" t="s">
        <v>151</v>
      </c>
      <c r="BB223" s="30" t="s">
        <v>151</v>
      </c>
      <c r="BC223" s="30" t="s">
        <v>4088</v>
      </c>
      <c r="BD223" s="30" t="s">
        <v>5046</v>
      </c>
      <c r="BE223" s="30" t="s">
        <v>5047</v>
      </c>
      <c r="BF223" s="30" t="s">
        <v>931</v>
      </c>
      <c r="BG223" s="30" t="s">
        <v>5048</v>
      </c>
      <c r="BH223" s="30" t="s">
        <v>151</v>
      </c>
      <c r="BI223" s="30" t="s">
        <v>906</v>
      </c>
      <c r="BJ223" s="30" t="s">
        <v>5049</v>
      </c>
      <c r="BK223" s="30" t="s">
        <v>5050</v>
      </c>
      <c r="BL223" s="30" t="s">
        <v>259</v>
      </c>
      <c r="BM223" s="30" t="s">
        <v>259</v>
      </c>
      <c r="BN223" s="29" t="s">
        <v>5051</v>
      </c>
      <c r="BO223" s="30" t="s">
        <v>186</v>
      </c>
      <c r="BP223" s="29" t="s">
        <v>151</v>
      </c>
      <c r="BQ223" s="29" t="s">
        <v>151</v>
      </c>
      <c r="BR223" s="30" t="s">
        <v>151</v>
      </c>
      <c r="BS223" s="30" t="s">
        <v>187</v>
      </c>
      <c r="BT223" s="30" t="s">
        <v>188</v>
      </c>
      <c r="BU223" s="35">
        <v>44539</v>
      </c>
      <c r="BV223" s="37">
        <v>5</v>
      </c>
      <c r="BW223" s="30" t="s">
        <v>192</v>
      </c>
      <c r="BX223" s="37" t="s">
        <v>151</v>
      </c>
      <c r="BY223" s="30" t="s">
        <v>151</v>
      </c>
      <c r="BZ223" s="30" t="s">
        <v>293</v>
      </c>
      <c r="CA223" s="30" t="s">
        <v>472</v>
      </c>
      <c r="CB223" s="30" t="s">
        <v>151</v>
      </c>
      <c r="CC223" s="30" t="s">
        <v>165</v>
      </c>
      <c r="CD223" s="30" t="s">
        <v>151</v>
      </c>
      <c r="CE223" s="30" t="s">
        <v>191</v>
      </c>
      <c r="CF223" s="35">
        <v>44539</v>
      </c>
      <c r="CG223" s="37">
        <v>5</v>
      </c>
      <c r="CH223" s="30" t="s">
        <v>192</v>
      </c>
      <c r="CI223" s="37" t="s">
        <v>151</v>
      </c>
      <c r="CJ223" s="30" t="s">
        <v>151</v>
      </c>
      <c r="CK223" s="29" t="s">
        <v>151</v>
      </c>
      <c r="CL223" s="30" t="s">
        <v>293</v>
      </c>
      <c r="CM223" s="30" t="s">
        <v>472</v>
      </c>
      <c r="CN223" s="30" t="s">
        <v>151</v>
      </c>
      <c r="CO223" s="30" t="s">
        <v>165</v>
      </c>
      <c r="CP223" s="35">
        <v>44539</v>
      </c>
      <c r="CQ223" s="37" t="s">
        <v>151</v>
      </c>
      <c r="CR223" s="30" t="s">
        <v>151</v>
      </c>
      <c r="CS223" s="30" t="s">
        <v>191</v>
      </c>
      <c r="CT223" s="29" t="s">
        <v>151</v>
      </c>
      <c r="CU223" s="30" t="s">
        <v>151</v>
      </c>
      <c r="CV223" s="32" t="s">
        <v>151</v>
      </c>
      <c r="CW223" s="32" t="s">
        <v>151</v>
      </c>
      <c r="CX223" s="30" t="s">
        <v>151</v>
      </c>
      <c r="CY223" s="32" t="s">
        <v>151</v>
      </c>
      <c r="CZ223" s="32" t="s">
        <v>151</v>
      </c>
      <c r="DA223" s="37" t="s">
        <v>151</v>
      </c>
      <c r="DB223" s="35" t="s">
        <v>151</v>
      </c>
      <c r="DC223" s="30" t="s">
        <v>151</v>
      </c>
      <c r="DD223" s="29" t="s">
        <v>151</v>
      </c>
      <c r="DE223" s="32">
        <v>0</v>
      </c>
      <c r="DF223" s="34">
        <v>11</v>
      </c>
      <c r="DG223" s="32">
        <v>0</v>
      </c>
      <c r="DH223" s="32">
        <v>0</v>
      </c>
      <c r="DI223" s="32">
        <v>0</v>
      </c>
      <c r="DJ223" s="34">
        <v>10</v>
      </c>
      <c r="DK223" s="32" t="s">
        <v>151</v>
      </c>
      <c r="DL223" s="34" t="s">
        <v>151</v>
      </c>
      <c r="DM223" s="32">
        <v>0</v>
      </c>
      <c r="DN223" s="34">
        <v>10</v>
      </c>
      <c r="DO223" s="36">
        <v>3.05</v>
      </c>
      <c r="DP223" s="34">
        <v>75</v>
      </c>
      <c r="DQ223" s="36">
        <v>0</v>
      </c>
      <c r="DR223" s="32">
        <v>0</v>
      </c>
      <c r="DS223" s="36">
        <v>3.05</v>
      </c>
      <c r="DT223" s="34">
        <v>74</v>
      </c>
      <c r="DU223" s="36" t="s">
        <v>151</v>
      </c>
      <c r="DV223" s="34" t="s">
        <v>151</v>
      </c>
      <c r="DW223" s="36">
        <v>3.05</v>
      </c>
      <c r="DX223" s="34">
        <v>74</v>
      </c>
      <c r="DY223" s="31" t="s">
        <v>151</v>
      </c>
      <c r="DZ223" s="35" t="s">
        <v>151</v>
      </c>
      <c r="EA223" s="35" t="s">
        <v>151</v>
      </c>
      <c r="EB223" s="34">
        <v>242</v>
      </c>
      <c r="EC223" s="33">
        <v>-72</v>
      </c>
      <c r="ED223" s="32">
        <v>-22.93</v>
      </c>
      <c r="EE223" s="34">
        <v>58</v>
      </c>
      <c r="EF223" s="33">
        <v>0</v>
      </c>
      <c r="EG223" s="32">
        <v>0</v>
      </c>
      <c r="EH223" s="29" t="s">
        <v>198</v>
      </c>
      <c r="EI223" s="30" t="s">
        <v>151</v>
      </c>
      <c r="EJ223" s="30" t="s">
        <v>151</v>
      </c>
      <c r="EK223" s="31" t="s">
        <v>151</v>
      </c>
      <c r="EL223" s="31" t="s">
        <v>151</v>
      </c>
      <c r="EM223" s="31" t="s">
        <v>151</v>
      </c>
      <c r="EN223" s="31" t="s">
        <v>151</v>
      </c>
      <c r="EO223" s="31" t="s">
        <v>151</v>
      </c>
      <c r="EP223" s="30" t="s">
        <v>151</v>
      </c>
      <c r="EQ223" s="29" t="s">
        <v>151</v>
      </c>
      <c r="ER223" s="29" t="s">
        <v>151</v>
      </c>
      <c r="ES223" s="4">
        <f>HYPERLINK("https://my.pitchbook.com?c=482339-53","View Company Online")</f>
      </c>
    </row>
    <row r="224">
      <c r="A224" s="17" t="s">
        <v>5052</v>
      </c>
      <c r="B224" s="17" t="s">
        <v>5053</v>
      </c>
      <c r="C224" s="18" t="s">
        <v>151</v>
      </c>
      <c r="D224" s="17" t="s">
        <v>151</v>
      </c>
      <c r="E224" s="17" t="s">
        <v>151</v>
      </c>
      <c r="F224" s="17" t="s">
        <v>5054</v>
      </c>
      <c r="G224" s="17" t="s">
        <v>151</v>
      </c>
      <c r="H224" s="17" t="s">
        <v>151</v>
      </c>
      <c r="I224" s="17" t="s">
        <v>151</v>
      </c>
      <c r="J224" s="17" t="s">
        <v>5052</v>
      </c>
      <c r="K224" s="17" t="s">
        <v>5055</v>
      </c>
      <c r="L224" s="17" t="s">
        <v>155</v>
      </c>
      <c r="M224" s="17" t="s">
        <v>2320</v>
      </c>
      <c r="N224" s="17" t="s">
        <v>2321</v>
      </c>
      <c r="O224" s="17" t="s">
        <v>3273</v>
      </c>
      <c r="P224" s="17" t="s">
        <v>5056</v>
      </c>
      <c r="Q224" s="17" t="s">
        <v>5057</v>
      </c>
      <c r="R224" s="17" t="s">
        <v>151</v>
      </c>
      <c r="S224" s="17" t="s">
        <v>162</v>
      </c>
      <c r="T224" s="24">
        <v>1.52</v>
      </c>
      <c r="U224" s="17" t="s">
        <v>163</v>
      </c>
      <c r="V224" s="17" t="s">
        <v>164</v>
      </c>
      <c r="W224" s="17" t="s">
        <v>165</v>
      </c>
      <c r="X224" s="15" t="s">
        <v>5058</v>
      </c>
      <c r="Y224" s="15" t="s">
        <v>5059</v>
      </c>
      <c r="Z224" s="27">
        <v>7</v>
      </c>
      <c r="AA224" s="17" t="s">
        <v>5060</v>
      </c>
      <c r="AB224" s="17" t="s">
        <v>151</v>
      </c>
      <c r="AC224" s="17" t="s">
        <v>151</v>
      </c>
      <c r="AD224" s="26">
        <v>2020</v>
      </c>
      <c r="AE224" s="17" t="s">
        <v>151</v>
      </c>
      <c r="AF224" s="22">
        <v>45596</v>
      </c>
      <c r="AG224" s="17" t="s">
        <v>151</v>
      </c>
      <c r="AH224" s="17" t="s">
        <v>151</v>
      </c>
      <c r="AI224" s="25" t="s">
        <v>151</v>
      </c>
      <c r="AJ224" s="19" t="s">
        <v>151</v>
      </c>
      <c r="AK224" s="25" t="s">
        <v>151</v>
      </c>
      <c r="AL224" s="25" t="s">
        <v>151</v>
      </c>
      <c r="AM224" s="25" t="s">
        <v>151</v>
      </c>
      <c r="AN224" s="25" t="s">
        <v>151</v>
      </c>
      <c r="AO224" s="25" t="s">
        <v>151</v>
      </c>
      <c r="AP224" s="25" t="s">
        <v>151</v>
      </c>
      <c r="AQ224" s="25" t="s">
        <v>151</v>
      </c>
      <c r="AR224" s="16" t="s">
        <v>151</v>
      </c>
      <c r="AS224" s="17" t="s">
        <v>5061</v>
      </c>
      <c r="AT224" s="17" t="s">
        <v>5062</v>
      </c>
      <c r="AU224" s="18">
        <v>5</v>
      </c>
      <c r="AV224" s="17" t="s">
        <v>151</v>
      </c>
      <c r="AW224" s="17" t="s">
        <v>151</v>
      </c>
      <c r="AX224" s="17" t="s">
        <v>151</v>
      </c>
      <c r="AY224" s="17" t="s">
        <v>5063</v>
      </c>
      <c r="AZ224" s="17" t="s">
        <v>151</v>
      </c>
      <c r="BA224" s="17" t="s">
        <v>151</v>
      </c>
      <c r="BB224" s="17" t="s">
        <v>151</v>
      </c>
      <c r="BC224" s="17" t="s">
        <v>151</v>
      </c>
      <c r="BD224" s="17" t="s">
        <v>5064</v>
      </c>
      <c r="BE224" s="17" t="s">
        <v>5065</v>
      </c>
      <c r="BF224" s="17" t="s">
        <v>5066</v>
      </c>
      <c r="BG224" s="17" t="s">
        <v>5067</v>
      </c>
      <c r="BH224" s="17" t="s">
        <v>5068</v>
      </c>
      <c r="BI224" s="17" t="s">
        <v>2430</v>
      </c>
      <c r="BJ224" s="17" t="s">
        <v>5069</v>
      </c>
      <c r="BK224" s="17" t="s">
        <v>151</v>
      </c>
      <c r="BL224" s="17" t="s">
        <v>2432</v>
      </c>
      <c r="BM224" s="17" t="s">
        <v>322</v>
      </c>
      <c r="BN224" s="16" t="s">
        <v>5070</v>
      </c>
      <c r="BO224" s="17" t="s">
        <v>186</v>
      </c>
      <c r="BP224" s="16" t="s">
        <v>5068</v>
      </c>
      <c r="BQ224" s="16" t="s">
        <v>151</v>
      </c>
      <c r="BR224" s="17" t="s">
        <v>5071</v>
      </c>
      <c r="BS224" s="17" t="s">
        <v>187</v>
      </c>
      <c r="BT224" s="17" t="s">
        <v>188</v>
      </c>
      <c r="BU224" s="22">
        <v>44562</v>
      </c>
      <c r="BV224" s="24">
        <v>0.28</v>
      </c>
      <c r="BW224" s="17" t="s">
        <v>192</v>
      </c>
      <c r="BX224" s="24" t="s">
        <v>151</v>
      </c>
      <c r="BY224" s="17" t="s">
        <v>151</v>
      </c>
      <c r="BZ224" s="17" t="s">
        <v>293</v>
      </c>
      <c r="CA224" s="17" t="s">
        <v>293</v>
      </c>
      <c r="CB224" s="17" t="s">
        <v>151</v>
      </c>
      <c r="CC224" s="17" t="s">
        <v>165</v>
      </c>
      <c r="CD224" s="17" t="s">
        <v>151</v>
      </c>
      <c r="CE224" s="17" t="s">
        <v>191</v>
      </c>
      <c r="CF224" s="22" t="s">
        <v>151</v>
      </c>
      <c r="CG224" s="24" t="s">
        <v>151</v>
      </c>
      <c r="CH224" s="17" t="s">
        <v>151</v>
      </c>
      <c r="CI224" s="24" t="s">
        <v>151</v>
      </c>
      <c r="CJ224" s="17" t="s">
        <v>151</v>
      </c>
      <c r="CK224" s="16" t="s">
        <v>151</v>
      </c>
      <c r="CL224" s="17" t="s">
        <v>189</v>
      </c>
      <c r="CM224" s="17" t="s">
        <v>151</v>
      </c>
      <c r="CN224" s="17" t="s">
        <v>151</v>
      </c>
      <c r="CO224" s="17" t="s">
        <v>190</v>
      </c>
      <c r="CP224" s="22" t="s">
        <v>151</v>
      </c>
      <c r="CQ224" s="24" t="s">
        <v>151</v>
      </c>
      <c r="CR224" s="17" t="s">
        <v>151</v>
      </c>
      <c r="CS224" s="17" t="s">
        <v>191</v>
      </c>
      <c r="CT224" s="16">
        <v>41</v>
      </c>
      <c r="CU224" s="17" t="s">
        <v>263</v>
      </c>
      <c r="CV224" s="19">
        <v>40</v>
      </c>
      <c r="CW224" s="19">
        <v>60</v>
      </c>
      <c r="CX224" s="17" t="s">
        <v>263</v>
      </c>
      <c r="CY224" s="19">
        <v>1</v>
      </c>
      <c r="CZ224" s="19">
        <v>39</v>
      </c>
      <c r="DA224" s="24">
        <v>4</v>
      </c>
      <c r="DB224" s="22">
        <v>44880</v>
      </c>
      <c r="DC224" s="17" t="s">
        <v>231</v>
      </c>
      <c r="DD224" s="16" t="s">
        <v>151</v>
      </c>
      <c r="DE224" s="19">
        <v>0</v>
      </c>
      <c r="DF224" s="21">
        <v>11</v>
      </c>
      <c r="DG224" s="19">
        <v>0</v>
      </c>
      <c r="DH224" s="19">
        <v>0</v>
      </c>
      <c r="DI224" s="19" t="s">
        <v>151</v>
      </c>
      <c r="DJ224" s="21" t="s">
        <v>151</v>
      </c>
      <c r="DK224" s="19" t="s">
        <v>151</v>
      </c>
      <c r="DL224" s="21" t="s">
        <v>151</v>
      </c>
      <c r="DM224" s="19" t="s">
        <v>151</v>
      </c>
      <c r="DN224" s="21" t="s">
        <v>151</v>
      </c>
      <c r="DO224" s="23">
        <v>0.54</v>
      </c>
      <c r="DP224" s="21">
        <v>35</v>
      </c>
      <c r="DQ224" s="23">
        <v>0</v>
      </c>
      <c r="DR224" s="19">
        <v>0</v>
      </c>
      <c r="DS224" s="23" t="s">
        <v>151</v>
      </c>
      <c r="DT224" s="21" t="s">
        <v>151</v>
      </c>
      <c r="DU224" s="23" t="s">
        <v>151</v>
      </c>
      <c r="DV224" s="21" t="s">
        <v>151</v>
      </c>
      <c r="DW224" s="23" t="s">
        <v>151</v>
      </c>
      <c r="DX224" s="21" t="s">
        <v>151</v>
      </c>
      <c r="DY224" s="18" t="s">
        <v>151</v>
      </c>
      <c r="DZ224" s="22" t="s">
        <v>151</v>
      </c>
      <c r="EA224" s="22" t="s">
        <v>151</v>
      </c>
      <c r="EB224" s="21">
        <v>506</v>
      </c>
      <c r="EC224" s="20">
        <v>41</v>
      </c>
      <c r="ED224" s="19">
        <v>8.82</v>
      </c>
      <c r="EE224" s="21" t="s">
        <v>151</v>
      </c>
      <c r="EF224" s="20" t="s">
        <v>151</v>
      </c>
      <c r="EG224" s="19" t="s">
        <v>151</v>
      </c>
      <c r="EH224" s="16" t="s">
        <v>198</v>
      </c>
      <c r="EI224" s="17" t="s">
        <v>151</v>
      </c>
      <c r="EJ224" s="17" t="s">
        <v>151</v>
      </c>
      <c r="EK224" s="18" t="s">
        <v>151</v>
      </c>
      <c r="EL224" s="18" t="s">
        <v>151</v>
      </c>
      <c r="EM224" s="18" t="s">
        <v>151</v>
      </c>
      <c r="EN224" s="18" t="s">
        <v>151</v>
      </c>
      <c r="EO224" s="18" t="s">
        <v>151</v>
      </c>
      <c r="EP224" s="17" t="s">
        <v>151</v>
      </c>
      <c r="EQ224" s="16" t="s">
        <v>151</v>
      </c>
      <c r="ER224" s="16" t="s">
        <v>151</v>
      </c>
      <c r="ES224" s="3">
        <f>HYPERLINK("https://my.pitchbook.com?c=470031-94","View Company Online")</f>
      </c>
    </row>
    <row r="225">
      <c r="A225" s="30" t="s">
        <v>5072</v>
      </c>
      <c r="B225" s="30" t="s">
        <v>5073</v>
      </c>
      <c r="C225" s="31" t="s">
        <v>151</v>
      </c>
      <c r="D225" s="30" t="s">
        <v>151</v>
      </c>
      <c r="E225" s="30" t="s">
        <v>151</v>
      </c>
      <c r="F225" s="30" t="s">
        <v>5074</v>
      </c>
      <c r="G225" s="30" t="s">
        <v>151</v>
      </c>
      <c r="H225" s="30" t="s">
        <v>151</v>
      </c>
      <c r="I225" s="30" t="s">
        <v>151</v>
      </c>
      <c r="J225" s="30" t="s">
        <v>5072</v>
      </c>
      <c r="K225" s="30" t="s">
        <v>5075</v>
      </c>
      <c r="L225" s="30" t="s">
        <v>205</v>
      </c>
      <c r="M225" s="30" t="s">
        <v>206</v>
      </c>
      <c r="N225" s="30" t="s">
        <v>269</v>
      </c>
      <c r="O225" s="30" t="s">
        <v>1746</v>
      </c>
      <c r="P225" s="30" t="s">
        <v>2640</v>
      </c>
      <c r="Q225" s="30" t="s">
        <v>5076</v>
      </c>
      <c r="R225" s="30" t="s">
        <v>151</v>
      </c>
      <c r="S225" s="30" t="s">
        <v>162</v>
      </c>
      <c r="T225" s="37">
        <v>2</v>
      </c>
      <c r="U225" s="30" t="s">
        <v>163</v>
      </c>
      <c r="V225" s="30" t="s">
        <v>164</v>
      </c>
      <c r="W225" s="30" t="s">
        <v>165</v>
      </c>
      <c r="X225" s="28" t="s">
        <v>5077</v>
      </c>
      <c r="Y225" s="28" t="s">
        <v>5078</v>
      </c>
      <c r="Z225" s="40">
        <v>23</v>
      </c>
      <c r="AA225" s="30" t="s">
        <v>5079</v>
      </c>
      <c r="AB225" s="30" t="s">
        <v>151</v>
      </c>
      <c r="AC225" s="30" t="s">
        <v>151</v>
      </c>
      <c r="AD225" s="39">
        <v>2021</v>
      </c>
      <c r="AE225" s="30" t="s">
        <v>151</v>
      </c>
      <c r="AF225" s="35">
        <v>45572</v>
      </c>
      <c r="AG225" s="30" t="s">
        <v>151</v>
      </c>
      <c r="AH225" s="30" t="s">
        <v>151</v>
      </c>
      <c r="AI225" s="38" t="s">
        <v>151</v>
      </c>
      <c r="AJ225" s="32" t="s">
        <v>151</v>
      </c>
      <c r="AK225" s="38" t="s">
        <v>151</v>
      </c>
      <c r="AL225" s="38" t="s">
        <v>151</v>
      </c>
      <c r="AM225" s="38" t="s">
        <v>151</v>
      </c>
      <c r="AN225" s="38" t="s">
        <v>151</v>
      </c>
      <c r="AO225" s="38" t="s">
        <v>151</v>
      </c>
      <c r="AP225" s="38" t="s">
        <v>151</v>
      </c>
      <c r="AQ225" s="38" t="s">
        <v>151</v>
      </c>
      <c r="AR225" s="29" t="s">
        <v>151</v>
      </c>
      <c r="AS225" s="30" t="s">
        <v>5080</v>
      </c>
      <c r="AT225" s="30" t="s">
        <v>5081</v>
      </c>
      <c r="AU225" s="31">
        <v>7</v>
      </c>
      <c r="AV225" s="30" t="s">
        <v>151</v>
      </c>
      <c r="AW225" s="30" t="s">
        <v>151</v>
      </c>
      <c r="AX225" s="30" t="s">
        <v>151</v>
      </c>
      <c r="AY225" s="30" t="s">
        <v>5082</v>
      </c>
      <c r="AZ225" s="30" t="s">
        <v>151</v>
      </c>
      <c r="BA225" s="30" t="s">
        <v>151</v>
      </c>
      <c r="BB225" s="30" t="s">
        <v>151</v>
      </c>
      <c r="BC225" s="30" t="s">
        <v>374</v>
      </c>
      <c r="BD225" s="30" t="s">
        <v>5083</v>
      </c>
      <c r="BE225" s="30" t="s">
        <v>5084</v>
      </c>
      <c r="BF225" s="30" t="s">
        <v>221</v>
      </c>
      <c r="BG225" s="30" t="s">
        <v>5085</v>
      </c>
      <c r="BH225" s="30" t="s">
        <v>151</v>
      </c>
      <c r="BI225" s="30" t="s">
        <v>2162</v>
      </c>
      <c r="BJ225" s="30" t="s">
        <v>151</v>
      </c>
      <c r="BK225" s="30" t="s">
        <v>151</v>
      </c>
      <c r="BL225" s="30" t="s">
        <v>289</v>
      </c>
      <c r="BM225" s="30" t="s">
        <v>2165</v>
      </c>
      <c r="BN225" s="29" t="s">
        <v>151</v>
      </c>
      <c r="BO225" s="30" t="s">
        <v>186</v>
      </c>
      <c r="BP225" s="29" t="s">
        <v>151</v>
      </c>
      <c r="BQ225" s="29" t="s">
        <v>151</v>
      </c>
      <c r="BR225" s="30" t="s">
        <v>151</v>
      </c>
      <c r="BS225" s="30" t="s">
        <v>187</v>
      </c>
      <c r="BT225" s="30" t="s">
        <v>188</v>
      </c>
      <c r="BU225" s="35">
        <v>44609</v>
      </c>
      <c r="BV225" s="37">
        <v>2</v>
      </c>
      <c r="BW225" s="30" t="s">
        <v>192</v>
      </c>
      <c r="BX225" s="37" t="s">
        <v>151</v>
      </c>
      <c r="BY225" s="30" t="s">
        <v>151</v>
      </c>
      <c r="BZ225" s="30" t="s">
        <v>293</v>
      </c>
      <c r="CA225" s="30" t="s">
        <v>293</v>
      </c>
      <c r="CB225" s="30" t="s">
        <v>151</v>
      </c>
      <c r="CC225" s="30" t="s">
        <v>165</v>
      </c>
      <c r="CD225" s="30" t="s">
        <v>151</v>
      </c>
      <c r="CE225" s="30" t="s">
        <v>191</v>
      </c>
      <c r="CF225" s="35">
        <v>44609</v>
      </c>
      <c r="CG225" s="37">
        <v>2</v>
      </c>
      <c r="CH225" s="30" t="s">
        <v>192</v>
      </c>
      <c r="CI225" s="37" t="s">
        <v>151</v>
      </c>
      <c r="CJ225" s="30" t="s">
        <v>151</v>
      </c>
      <c r="CK225" s="29" t="s">
        <v>151</v>
      </c>
      <c r="CL225" s="30" t="s">
        <v>293</v>
      </c>
      <c r="CM225" s="30" t="s">
        <v>293</v>
      </c>
      <c r="CN225" s="30" t="s">
        <v>151</v>
      </c>
      <c r="CO225" s="30" t="s">
        <v>165</v>
      </c>
      <c r="CP225" s="35">
        <v>44609</v>
      </c>
      <c r="CQ225" s="37" t="s">
        <v>151</v>
      </c>
      <c r="CR225" s="30" t="s">
        <v>151</v>
      </c>
      <c r="CS225" s="30" t="s">
        <v>191</v>
      </c>
      <c r="CT225" s="29" t="s">
        <v>151</v>
      </c>
      <c r="CU225" s="30" t="s">
        <v>151</v>
      </c>
      <c r="CV225" s="32" t="s">
        <v>151</v>
      </c>
      <c r="CW225" s="32" t="s">
        <v>151</v>
      </c>
      <c r="CX225" s="30" t="s">
        <v>151</v>
      </c>
      <c r="CY225" s="32" t="s">
        <v>151</v>
      </c>
      <c r="CZ225" s="32" t="s">
        <v>151</v>
      </c>
      <c r="DA225" s="37" t="s">
        <v>151</v>
      </c>
      <c r="DB225" s="35" t="s">
        <v>151</v>
      </c>
      <c r="DC225" s="30" t="s">
        <v>151</v>
      </c>
      <c r="DD225" s="29" t="s">
        <v>151</v>
      </c>
      <c r="DE225" s="32">
        <v>0.28</v>
      </c>
      <c r="DF225" s="34">
        <v>92</v>
      </c>
      <c r="DG225" s="32">
        <v>0</v>
      </c>
      <c r="DH225" s="32">
        <v>0</v>
      </c>
      <c r="DI225" s="32">
        <v>0</v>
      </c>
      <c r="DJ225" s="34">
        <v>10</v>
      </c>
      <c r="DK225" s="32" t="s">
        <v>151</v>
      </c>
      <c r="DL225" s="34" t="s">
        <v>151</v>
      </c>
      <c r="DM225" s="32">
        <v>0</v>
      </c>
      <c r="DN225" s="34">
        <v>10</v>
      </c>
      <c r="DO225" s="36">
        <v>1.33</v>
      </c>
      <c r="DP225" s="34">
        <v>57</v>
      </c>
      <c r="DQ225" s="36">
        <v>0</v>
      </c>
      <c r="DR225" s="32">
        <v>0</v>
      </c>
      <c r="DS225" s="36">
        <v>0.89</v>
      </c>
      <c r="DT225" s="34">
        <v>47</v>
      </c>
      <c r="DU225" s="36" t="s">
        <v>151</v>
      </c>
      <c r="DV225" s="34" t="s">
        <v>151</v>
      </c>
      <c r="DW225" s="36">
        <v>0.89</v>
      </c>
      <c r="DX225" s="34">
        <v>47</v>
      </c>
      <c r="DY225" s="31" t="s">
        <v>151</v>
      </c>
      <c r="DZ225" s="35" t="s">
        <v>151</v>
      </c>
      <c r="EA225" s="35" t="s">
        <v>151</v>
      </c>
      <c r="EB225" s="34">
        <v>202</v>
      </c>
      <c r="EC225" s="33">
        <v>34</v>
      </c>
      <c r="ED225" s="32">
        <v>20.24</v>
      </c>
      <c r="EE225" s="34">
        <v>17</v>
      </c>
      <c r="EF225" s="33">
        <v>0</v>
      </c>
      <c r="EG225" s="32">
        <v>0</v>
      </c>
      <c r="EH225" s="29" t="s">
        <v>198</v>
      </c>
      <c r="EI225" s="30" t="s">
        <v>151</v>
      </c>
      <c r="EJ225" s="30" t="s">
        <v>151</v>
      </c>
      <c r="EK225" s="31" t="s">
        <v>151</v>
      </c>
      <c r="EL225" s="31" t="s">
        <v>151</v>
      </c>
      <c r="EM225" s="31" t="s">
        <v>151</v>
      </c>
      <c r="EN225" s="31" t="s">
        <v>151</v>
      </c>
      <c r="EO225" s="31" t="s">
        <v>151</v>
      </c>
      <c r="EP225" s="30" t="s">
        <v>151</v>
      </c>
      <c r="EQ225" s="29" t="s">
        <v>151</v>
      </c>
      <c r="ER225" s="29" t="s">
        <v>151</v>
      </c>
      <c r="ES225" s="4">
        <f>HYPERLINK("https://my.pitchbook.com?c=494012-53","View Company Online")</f>
      </c>
    </row>
    <row r="226">
      <c r="A226" s="17" t="s">
        <v>5086</v>
      </c>
      <c r="B226" s="17" t="s">
        <v>5087</v>
      </c>
      <c r="C226" s="18" t="s">
        <v>151</v>
      </c>
      <c r="D226" s="17" t="s">
        <v>151</v>
      </c>
      <c r="E226" s="17" t="s">
        <v>5088</v>
      </c>
      <c r="F226" s="17" t="s">
        <v>5089</v>
      </c>
      <c r="G226" s="17" t="s">
        <v>151</v>
      </c>
      <c r="H226" s="17" t="s">
        <v>151</v>
      </c>
      <c r="I226" s="17" t="s">
        <v>151</v>
      </c>
      <c r="J226" s="17" t="s">
        <v>5086</v>
      </c>
      <c r="K226" s="17" t="s">
        <v>5090</v>
      </c>
      <c r="L226" s="17" t="s">
        <v>155</v>
      </c>
      <c r="M226" s="17" t="s">
        <v>361</v>
      </c>
      <c r="N226" s="17" t="s">
        <v>362</v>
      </c>
      <c r="O226" s="17" t="s">
        <v>5091</v>
      </c>
      <c r="P226" s="17" t="s">
        <v>5092</v>
      </c>
      <c r="Q226" s="17" t="s">
        <v>5093</v>
      </c>
      <c r="R226" s="17" t="s">
        <v>151</v>
      </c>
      <c r="S226" s="17" t="s">
        <v>162</v>
      </c>
      <c r="T226" s="24">
        <v>1.72</v>
      </c>
      <c r="U226" s="17" t="s">
        <v>163</v>
      </c>
      <c r="V226" s="17" t="s">
        <v>164</v>
      </c>
      <c r="W226" s="17" t="s">
        <v>165</v>
      </c>
      <c r="X226" s="15" t="s">
        <v>5094</v>
      </c>
      <c r="Y226" s="15" t="s">
        <v>5095</v>
      </c>
      <c r="Z226" s="27">
        <v>11</v>
      </c>
      <c r="AA226" s="17" t="s">
        <v>5096</v>
      </c>
      <c r="AB226" s="17" t="s">
        <v>151</v>
      </c>
      <c r="AC226" s="17" t="s">
        <v>151</v>
      </c>
      <c r="AD226" s="26">
        <v>2017</v>
      </c>
      <c r="AE226" s="17" t="s">
        <v>151</v>
      </c>
      <c r="AF226" s="22">
        <v>45593</v>
      </c>
      <c r="AG226" s="17" t="s">
        <v>151</v>
      </c>
      <c r="AH226" s="17" t="s">
        <v>151</v>
      </c>
      <c r="AI226" s="25" t="s">
        <v>151</v>
      </c>
      <c r="AJ226" s="19" t="s">
        <v>151</v>
      </c>
      <c r="AK226" s="25" t="s">
        <v>151</v>
      </c>
      <c r="AL226" s="25" t="s">
        <v>151</v>
      </c>
      <c r="AM226" s="25" t="s">
        <v>151</v>
      </c>
      <c r="AN226" s="25" t="s">
        <v>151</v>
      </c>
      <c r="AO226" s="25" t="s">
        <v>151</v>
      </c>
      <c r="AP226" s="25" t="s">
        <v>151</v>
      </c>
      <c r="AQ226" s="25" t="s">
        <v>151</v>
      </c>
      <c r="AR226" s="16" t="s">
        <v>151</v>
      </c>
      <c r="AS226" s="17" t="s">
        <v>5097</v>
      </c>
      <c r="AT226" s="17" t="s">
        <v>5098</v>
      </c>
      <c r="AU226" s="18">
        <v>3</v>
      </c>
      <c r="AV226" s="17" t="s">
        <v>151</v>
      </c>
      <c r="AW226" s="17" t="s">
        <v>151</v>
      </c>
      <c r="AX226" s="17" t="s">
        <v>151</v>
      </c>
      <c r="AY226" s="17" t="s">
        <v>5099</v>
      </c>
      <c r="AZ226" s="17" t="s">
        <v>151</v>
      </c>
      <c r="BA226" s="17" t="s">
        <v>151</v>
      </c>
      <c r="BB226" s="17" t="s">
        <v>151</v>
      </c>
      <c r="BC226" s="17" t="s">
        <v>2626</v>
      </c>
      <c r="BD226" s="17" t="s">
        <v>5100</v>
      </c>
      <c r="BE226" s="17" t="s">
        <v>5101</v>
      </c>
      <c r="BF226" s="17" t="s">
        <v>5102</v>
      </c>
      <c r="BG226" s="17" t="s">
        <v>5103</v>
      </c>
      <c r="BH226" s="17" t="s">
        <v>151</v>
      </c>
      <c r="BI226" s="17" t="s">
        <v>5104</v>
      </c>
      <c r="BJ226" s="17" t="s">
        <v>5105</v>
      </c>
      <c r="BK226" s="17" t="s">
        <v>151</v>
      </c>
      <c r="BL226" s="17" t="s">
        <v>5106</v>
      </c>
      <c r="BM226" s="17" t="s">
        <v>1043</v>
      </c>
      <c r="BN226" s="16" t="s">
        <v>5107</v>
      </c>
      <c r="BO226" s="17" t="s">
        <v>186</v>
      </c>
      <c r="BP226" s="16" t="s">
        <v>151</v>
      </c>
      <c r="BQ226" s="16" t="s">
        <v>151</v>
      </c>
      <c r="BR226" s="17" t="s">
        <v>5108</v>
      </c>
      <c r="BS226" s="17" t="s">
        <v>187</v>
      </c>
      <c r="BT226" s="17" t="s">
        <v>188</v>
      </c>
      <c r="BU226" s="22">
        <v>44105</v>
      </c>
      <c r="BV226" s="24">
        <v>0.12</v>
      </c>
      <c r="BW226" s="17" t="s">
        <v>192</v>
      </c>
      <c r="BX226" s="24" t="s">
        <v>151</v>
      </c>
      <c r="BY226" s="17" t="s">
        <v>151</v>
      </c>
      <c r="BZ226" s="17" t="s">
        <v>1363</v>
      </c>
      <c r="CA226" s="17" t="s">
        <v>151</v>
      </c>
      <c r="CB226" s="17" t="s">
        <v>151</v>
      </c>
      <c r="CC226" s="17" t="s">
        <v>585</v>
      </c>
      <c r="CD226" s="17" t="s">
        <v>151</v>
      </c>
      <c r="CE226" s="17" t="s">
        <v>191</v>
      </c>
      <c r="CF226" s="22">
        <v>44291</v>
      </c>
      <c r="CG226" s="24">
        <v>1.6</v>
      </c>
      <c r="CH226" s="17" t="s">
        <v>192</v>
      </c>
      <c r="CI226" s="24" t="s">
        <v>151</v>
      </c>
      <c r="CJ226" s="17" t="s">
        <v>151</v>
      </c>
      <c r="CK226" s="16" t="s">
        <v>151</v>
      </c>
      <c r="CL226" s="17" t="s">
        <v>231</v>
      </c>
      <c r="CM226" s="17" t="s">
        <v>232</v>
      </c>
      <c r="CN226" s="17" t="s">
        <v>151</v>
      </c>
      <c r="CO226" s="17" t="s">
        <v>165</v>
      </c>
      <c r="CP226" s="22">
        <v>44291</v>
      </c>
      <c r="CQ226" s="24" t="s">
        <v>151</v>
      </c>
      <c r="CR226" s="17" t="s">
        <v>151</v>
      </c>
      <c r="CS226" s="17" t="s">
        <v>191</v>
      </c>
      <c r="CT226" s="16" t="s">
        <v>151</v>
      </c>
      <c r="CU226" s="17" t="s">
        <v>151</v>
      </c>
      <c r="CV226" s="19" t="s">
        <v>151</v>
      </c>
      <c r="CW226" s="19" t="s">
        <v>151</v>
      </c>
      <c r="CX226" s="17" t="s">
        <v>151</v>
      </c>
      <c r="CY226" s="19" t="s">
        <v>151</v>
      </c>
      <c r="CZ226" s="19" t="s">
        <v>151</v>
      </c>
      <c r="DA226" s="24" t="s">
        <v>151</v>
      </c>
      <c r="DB226" s="22" t="s">
        <v>151</v>
      </c>
      <c r="DC226" s="17" t="s">
        <v>151</v>
      </c>
      <c r="DD226" s="16" t="s">
        <v>151</v>
      </c>
      <c r="DE226" s="19">
        <v>-1.62</v>
      </c>
      <c r="DF226" s="21">
        <v>3</v>
      </c>
      <c r="DG226" s="19">
        <v>0</v>
      </c>
      <c r="DH226" s="19">
        <v>0</v>
      </c>
      <c r="DI226" s="19">
        <v>-3.24</v>
      </c>
      <c r="DJ226" s="21">
        <v>1</v>
      </c>
      <c r="DK226" s="19" t="s">
        <v>151</v>
      </c>
      <c r="DL226" s="21" t="s">
        <v>151</v>
      </c>
      <c r="DM226" s="19">
        <v>-3.24</v>
      </c>
      <c r="DN226" s="21">
        <v>1</v>
      </c>
      <c r="DO226" s="23">
        <v>5.48</v>
      </c>
      <c r="DP226" s="21">
        <v>84</v>
      </c>
      <c r="DQ226" s="23">
        <v>0</v>
      </c>
      <c r="DR226" s="19">
        <v>0</v>
      </c>
      <c r="DS226" s="23">
        <v>10.11</v>
      </c>
      <c r="DT226" s="21">
        <v>90</v>
      </c>
      <c r="DU226" s="23" t="s">
        <v>151</v>
      </c>
      <c r="DV226" s="21" t="s">
        <v>151</v>
      </c>
      <c r="DW226" s="23">
        <v>10.11</v>
      </c>
      <c r="DX226" s="21">
        <v>90</v>
      </c>
      <c r="DY226" s="18" t="s">
        <v>151</v>
      </c>
      <c r="DZ226" s="22" t="s">
        <v>151</v>
      </c>
      <c r="EA226" s="22" t="s">
        <v>151</v>
      </c>
      <c r="EB226" s="21">
        <v>311</v>
      </c>
      <c r="EC226" s="20">
        <v>4</v>
      </c>
      <c r="ED226" s="19">
        <v>1.3</v>
      </c>
      <c r="EE226" s="21">
        <v>192</v>
      </c>
      <c r="EF226" s="20">
        <v>-6</v>
      </c>
      <c r="EG226" s="19">
        <v>-3.03</v>
      </c>
      <c r="EH226" s="16" t="s">
        <v>198</v>
      </c>
      <c r="EI226" s="17" t="s">
        <v>151</v>
      </c>
      <c r="EJ226" s="17" t="s">
        <v>151</v>
      </c>
      <c r="EK226" s="18" t="s">
        <v>151</v>
      </c>
      <c r="EL226" s="18" t="s">
        <v>151</v>
      </c>
      <c r="EM226" s="18" t="s">
        <v>151</v>
      </c>
      <c r="EN226" s="18" t="s">
        <v>151</v>
      </c>
      <c r="EO226" s="18" t="s">
        <v>151</v>
      </c>
      <c r="EP226" s="17" t="s">
        <v>151</v>
      </c>
      <c r="EQ226" s="16" t="s">
        <v>151</v>
      </c>
      <c r="ER226" s="16" t="s">
        <v>151</v>
      </c>
      <c r="ES226" s="3">
        <f>HYPERLINK("https://my.pitchbook.com?c=465927-04","View Company Online")</f>
      </c>
    </row>
    <row r="227">
      <c r="A227" s="30" t="s">
        <v>5109</v>
      </c>
      <c r="B227" s="30" t="s">
        <v>5110</v>
      </c>
      <c r="C227" s="31" t="s">
        <v>151</v>
      </c>
      <c r="D227" s="30" t="s">
        <v>151</v>
      </c>
      <c r="E227" s="30" t="s">
        <v>151</v>
      </c>
      <c r="F227" s="30" t="s">
        <v>5111</v>
      </c>
      <c r="G227" s="30" t="s">
        <v>151</v>
      </c>
      <c r="H227" s="30" t="s">
        <v>151</v>
      </c>
      <c r="I227" s="30" t="s">
        <v>5112</v>
      </c>
      <c r="J227" s="30" t="s">
        <v>5109</v>
      </c>
      <c r="K227" s="30" t="s">
        <v>5113</v>
      </c>
      <c r="L227" s="30" t="s">
        <v>155</v>
      </c>
      <c r="M227" s="30" t="s">
        <v>361</v>
      </c>
      <c r="N227" s="30" t="s">
        <v>362</v>
      </c>
      <c r="O227" s="30" t="s">
        <v>5114</v>
      </c>
      <c r="P227" s="30" t="s">
        <v>5115</v>
      </c>
      <c r="Q227" s="30" t="s">
        <v>5116</v>
      </c>
      <c r="R227" s="30" t="s">
        <v>151</v>
      </c>
      <c r="S227" s="30" t="s">
        <v>162</v>
      </c>
      <c r="T227" s="37">
        <v>7.81</v>
      </c>
      <c r="U227" s="30" t="s">
        <v>163</v>
      </c>
      <c r="V227" s="30" t="s">
        <v>164</v>
      </c>
      <c r="W227" s="30" t="s">
        <v>165</v>
      </c>
      <c r="X227" s="28" t="s">
        <v>5117</v>
      </c>
      <c r="Y227" s="28" t="s">
        <v>5118</v>
      </c>
      <c r="Z227" s="40">
        <v>11</v>
      </c>
      <c r="AA227" s="30" t="s">
        <v>5119</v>
      </c>
      <c r="AB227" s="30" t="s">
        <v>151</v>
      </c>
      <c r="AC227" s="30" t="s">
        <v>151</v>
      </c>
      <c r="AD227" s="39">
        <v>2020</v>
      </c>
      <c r="AE227" s="30" t="s">
        <v>151</v>
      </c>
      <c r="AF227" s="35">
        <v>45384</v>
      </c>
      <c r="AG227" s="30" t="s">
        <v>151</v>
      </c>
      <c r="AH227" s="30" t="s">
        <v>151</v>
      </c>
      <c r="AI227" s="38" t="s">
        <v>151</v>
      </c>
      <c r="AJ227" s="32" t="s">
        <v>151</v>
      </c>
      <c r="AK227" s="38" t="s">
        <v>151</v>
      </c>
      <c r="AL227" s="38" t="s">
        <v>151</v>
      </c>
      <c r="AM227" s="38" t="s">
        <v>151</v>
      </c>
      <c r="AN227" s="38" t="s">
        <v>151</v>
      </c>
      <c r="AO227" s="38" t="s">
        <v>151</v>
      </c>
      <c r="AP227" s="38" t="s">
        <v>151</v>
      </c>
      <c r="AQ227" s="38" t="s">
        <v>151</v>
      </c>
      <c r="AR227" s="29" t="s">
        <v>151</v>
      </c>
      <c r="AS227" s="30" t="s">
        <v>5120</v>
      </c>
      <c r="AT227" s="30" t="s">
        <v>5121</v>
      </c>
      <c r="AU227" s="31">
        <v>4</v>
      </c>
      <c r="AV227" s="30" t="s">
        <v>151</v>
      </c>
      <c r="AW227" s="30" t="s">
        <v>151</v>
      </c>
      <c r="AX227" s="30" t="s">
        <v>151</v>
      </c>
      <c r="AY227" s="30" t="s">
        <v>5122</v>
      </c>
      <c r="AZ227" s="30" t="s">
        <v>151</v>
      </c>
      <c r="BA227" s="30" t="s">
        <v>151</v>
      </c>
      <c r="BB227" s="30" t="s">
        <v>151</v>
      </c>
      <c r="BC227" s="30" t="s">
        <v>151</v>
      </c>
      <c r="BD227" s="30" t="s">
        <v>5123</v>
      </c>
      <c r="BE227" s="30" t="s">
        <v>5124</v>
      </c>
      <c r="BF227" s="30" t="s">
        <v>5125</v>
      </c>
      <c r="BG227" s="30" t="s">
        <v>151</v>
      </c>
      <c r="BH227" s="30" t="s">
        <v>5126</v>
      </c>
      <c r="BI227" s="30" t="s">
        <v>5127</v>
      </c>
      <c r="BJ227" s="30" t="s">
        <v>5128</v>
      </c>
      <c r="BK227" s="30" t="s">
        <v>151</v>
      </c>
      <c r="BL227" s="30" t="s">
        <v>5129</v>
      </c>
      <c r="BM227" s="30" t="s">
        <v>259</v>
      </c>
      <c r="BN227" s="29" t="s">
        <v>5130</v>
      </c>
      <c r="BO227" s="30" t="s">
        <v>186</v>
      </c>
      <c r="BP227" s="29" t="s">
        <v>5126</v>
      </c>
      <c r="BQ227" s="29" t="s">
        <v>151</v>
      </c>
      <c r="BR227" s="30" t="s">
        <v>5131</v>
      </c>
      <c r="BS227" s="30" t="s">
        <v>187</v>
      </c>
      <c r="BT227" s="30" t="s">
        <v>188</v>
      </c>
      <c r="BU227" s="35">
        <v>44288</v>
      </c>
      <c r="BV227" s="37">
        <v>1.31</v>
      </c>
      <c r="BW227" s="30" t="s">
        <v>192</v>
      </c>
      <c r="BX227" s="37">
        <v>6.31</v>
      </c>
      <c r="BY227" s="30" t="s">
        <v>192</v>
      </c>
      <c r="BZ227" s="30" t="s">
        <v>293</v>
      </c>
      <c r="CA227" s="30" t="s">
        <v>293</v>
      </c>
      <c r="CB227" s="30" t="s">
        <v>151</v>
      </c>
      <c r="CC227" s="30" t="s">
        <v>165</v>
      </c>
      <c r="CD227" s="30" t="s">
        <v>151</v>
      </c>
      <c r="CE227" s="30" t="s">
        <v>191</v>
      </c>
      <c r="CF227" s="35">
        <v>44602</v>
      </c>
      <c r="CG227" s="37">
        <v>6.5</v>
      </c>
      <c r="CH227" s="30" t="s">
        <v>192</v>
      </c>
      <c r="CI227" s="37" t="s">
        <v>151</v>
      </c>
      <c r="CJ227" s="30" t="s">
        <v>151</v>
      </c>
      <c r="CK227" s="29" t="s">
        <v>151</v>
      </c>
      <c r="CL227" s="30" t="s">
        <v>293</v>
      </c>
      <c r="CM227" s="30" t="s">
        <v>293</v>
      </c>
      <c r="CN227" s="30" t="s">
        <v>151</v>
      </c>
      <c r="CO227" s="30" t="s">
        <v>165</v>
      </c>
      <c r="CP227" s="35">
        <v>44602</v>
      </c>
      <c r="CQ227" s="37" t="s">
        <v>151</v>
      </c>
      <c r="CR227" s="30" t="s">
        <v>151</v>
      </c>
      <c r="CS227" s="30" t="s">
        <v>191</v>
      </c>
      <c r="CT227" s="29">
        <v>79</v>
      </c>
      <c r="CU227" s="30" t="s">
        <v>196</v>
      </c>
      <c r="CV227" s="32">
        <v>73</v>
      </c>
      <c r="CW227" s="32">
        <v>27</v>
      </c>
      <c r="CX227" s="30" t="s">
        <v>294</v>
      </c>
      <c r="CY227" s="32">
        <v>1</v>
      </c>
      <c r="CZ227" s="32">
        <v>72</v>
      </c>
      <c r="DA227" s="37">
        <v>6.31</v>
      </c>
      <c r="DB227" s="35">
        <v>44288</v>
      </c>
      <c r="DC227" s="30" t="s">
        <v>293</v>
      </c>
      <c r="DD227" s="29" t="s">
        <v>151</v>
      </c>
      <c r="DE227" s="32">
        <v>-0.52</v>
      </c>
      <c r="DF227" s="34">
        <v>7</v>
      </c>
      <c r="DG227" s="32">
        <v>0</v>
      </c>
      <c r="DH227" s="32">
        <v>0</v>
      </c>
      <c r="DI227" s="32">
        <v>0</v>
      </c>
      <c r="DJ227" s="34">
        <v>10</v>
      </c>
      <c r="DK227" s="32" t="s">
        <v>151</v>
      </c>
      <c r="DL227" s="34" t="s">
        <v>151</v>
      </c>
      <c r="DM227" s="32">
        <v>0</v>
      </c>
      <c r="DN227" s="34">
        <v>10</v>
      </c>
      <c r="DO227" s="36">
        <v>2.58</v>
      </c>
      <c r="DP227" s="34">
        <v>71</v>
      </c>
      <c r="DQ227" s="36">
        <v>0</v>
      </c>
      <c r="DR227" s="32">
        <v>0</v>
      </c>
      <c r="DS227" s="36">
        <v>4.32</v>
      </c>
      <c r="DT227" s="34">
        <v>80</v>
      </c>
      <c r="DU227" s="36" t="s">
        <v>151</v>
      </c>
      <c r="DV227" s="34" t="s">
        <v>151</v>
      </c>
      <c r="DW227" s="36">
        <v>4.32</v>
      </c>
      <c r="DX227" s="34">
        <v>80</v>
      </c>
      <c r="DY227" s="31" t="s">
        <v>151</v>
      </c>
      <c r="DZ227" s="35" t="s">
        <v>151</v>
      </c>
      <c r="EA227" s="35" t="s">
        <v>151</v>
      </c>
      <c r="EB227" s="34">
        <v>309</v>
      </c>
      <c r="EC227" s="33">
        <v>-21</v>
      </c>
      <c r="ED227" s="32">
        <v>-6.36</v>
      </c>
      <c r="EE227" s="34">
        <v>82</v>
      </c>
      <c r="EF227" s="33">
        <v>0</v>
      </c>
      <c r="EG227" s="32">
        <v>0</v>
      </c>
      <c r="EH227" s="29" t="s">
        <v>198</v>
      </c>
      <c r="EI227" s="30" t="s">
        <v>151</v>
      </c>
      <c r="EJ227" s="30" t="s">
        <v>151</v>
      </c>
      <c r="EK227" s="31" t="s">
        <v>151</v>
      </c>
      <c r="EL227" s="31" t="s">
        <v>151</v>
      </c>
      <c r="EM227" s="31" t="s">
        <v>151</v>
      </c>
      <c r="EN227" s="31" t="s">
        <v>151</v>
      </c>
      <c r="EO227" s="31" t="s">
        <v>151</v>
      </c>
      <c r="EP227" s="30" t="s">
        <v>151</v>
      </c>
      <c r="EQ227" s="29" t="s">
        <v>151</v>
      </c>
      <c r="ER227" s="29" t="s">
        <v>151</v>
      </c>
      <c r="ES227" s="4">
        <f>HYPERLINK("https://my.pitchbook.com?c=464035-15","View Company Online")</f>
      </c>
    </row>
    <row r="228">
      <c r="A228" s="17" t="s">
        <v>5132</v>
      </c>
      <c r="B228" s="17" t="s">
        <v>5133</v>
      </c>
      <c r="C228" s="18" t="s">
        <v>151</v>
      </c>
      <c r="D228" s="17" t="s">
        <v>5134</v>
      </c>
      <c r="E228" s="17" t="s">
        <v>151</v>
      </c>
      <c r="F228" s="17" t="s">
        <v>5135</v>
      </c>
      <c r="G228" s="17" t="s">
        <v>151</v>
      </c>
      <c r="H228" s="17" t="s">
        <v>151</v>
      </c>
      <c r="I228" s="17" t="s">
        <v>151</v>
      </c>
      <c r="J228" s="17" t="s">
        <v>5132</v>
      </c>
      <c r="K228" s="17" t="s">
        <v>5136</v>
      </c>
      <c r="L228" s="17" t="s">
        <v>205</v>
      </c>
      <c r="M228" s="17" t="s">
        <v>206</v>
      </c>
      <c r="N228" s="17" t="s">
        <v>269</v>
      </c>
      <c r="O228" s="17" t="s">
        <v>563</v>
      </c>
      <c r="P228" s="17" t="s">
        <v>5137</v>
      </c>
      <c r="Q228" s="17" t="s">
        <v>5138</v>
      </c>
      <c r="R228" s="17" t="s">
        <v>151</v>
      </c>
      <c r="S228" s="17" t="s">
        <v>162</v>
      </c>
      <c r="T228" s="24">
        <v>4</v>
      </c>
      <c r="U228" s="17" t="s">
        <v>163</v>
      </c>
      <c r="V228" s="17" t="s">
        <v>164</v>
      </c>
      <c r="W228" s="17" t="s">
        <v>165</v>
      </c>
      <c r="X228" s="15" t="s">
        <v>5139</v>
      </c>
      <c r="Y228" s="15" t="s">
        <v>5140</v>
      </c>
      <c r="Z228" s="27">
        <v>16</v>
      </c>
      <c r="AA228" s="17" t="s">
        <v>5141</v>
      </c>
      <c r="AB228" s="17" t="s">
        <v>151</v>
      </c>
      <c r="AC228" s="17" t="s">
        <v>151</v>
      </c>
      <c r="AD228" s="26">
        <v>2018</v>
      </c>
      <c r="AE228" s="17" t="s">
        <v>151</v>
      </c>
      <c r="AF228" s="22">
        <v>45537</v>
      </c>
      <c r="AG228" s="17" t="s">
        <v>151</v>
      </c>
      <c r="AH228" s="17" t="s">
        <v>151</v>
      </c>
      <c r="AI228" s="25" t="s">
        <v>151</v>
      </c>
      <c r="AJ228" s="19" t="s">
        <v>151</v>
      </c>
      <c r="AK228" s="25" t="s">
        <v>151</v>
      </c>
      <c r="AL228" s="25" t="s">
        <v>151</v>
      </c>
      <c r="AM228" s="25" t="s">
        <v>151</v>
      </c>
      <c r="AN228" s="25" t="s">
        <v>151</v>
      </c>
      <c r="AO228" s="25" t="s">
        <v>151</v>
      </c>
      <c r="AP228" s="25" t="s">
        <v>151</v>
      </c>
      <c r="AQ228" s="25" t="s">
        <v>151</v>
      </c>
      <c r="AR228" s="16" t="s">
        <v>151</v>
      </c>
      <c r="AS228" s="17" t="s">
        <v>5142</v>
      </c>
      <c r="AT228" s="17" t="s">
        <v>5143</v>
      </c>
      <c r="AU228" s="18">
        <v>9</v>
      </c>
      <c r="AV228" s="17" t="s">
        <v>151</v>
      </c>
      <c r="AW228" s="17" t="s">
        <v>151</v>
      </c>
      <c r="AX228" s="17" t="s">
        <v>151</v>
      </c>
      <c r="AY228" s="17" t="s">
        <v>5144</v>
      </c>
      <c r="AZ228" s="17" t="s">
        <v>151</v>
      </c>
      <c r="BA228" s="17" t="s">
        <v>151</v>
      </c>
      <c r="BB228" s="17" t="s">
        <v>151</v>
      </c>
      <c r="BC228" s="17" t="s">
        <v>1903</v>
      </c>
      <c r="BD228" s="17" t="s">
        <v>5145</v>
      </c>
      <c r="BE228" s="17" t="s">
        <v>5146</v>
      </c>
      <c r="BF228" s="17" t="s">
        <v>493</v>
      </c>
      <c r="BG228" s="17" t="s">
        <v>5147</v>
      </c>
      <c r="BH228" s="17" t="s">
        <v>5148</v>
      </c>
      <c r="BI228" s="17" t="s">
        <v>906</v>
      </c>
      <c r="BJ228" s="17" t="s">
        <v>5149</v>
      </c>
      <c r="BK228" s="17" t="s">
        <v>151</v>
      </c>
      <c r="BL228" s="17" t="s">
        <v>259</v>
      </c>
      <c r="BM228" s="17" t="s">
        <v>259</v>
      </c>
      <c r="BN228" s="16" t="s">
        <v>1643</v>
      </c>
      <c r="BO228" s="17" t="s">
        <v>186</v>
      </c>
      <c r="BP228" s="16" t="s">
        <v>151</v>
      </c>
      <c r="BQ228" s="16" t="s">
        <v>151</v>
      </c>
      <c r="BR228" s="17" t="s">
        <v>5150</v>
      </c>
      <c r="BS228" s="17" t="s">
        <v>187</v>
      </c>
      <c r="BT228" s="17" t="s">
        <v>188</v>
      </c>
      <c r="BU228" s="22">
        <v>44197</v>
      </c>
      <c r="BV228" s="24">
        <v>1.5</v>
      </c>
      <c r="BW228" s="17" t="s">
        <v>193</v>
      </c>
      <c r="BX228" s="24">
        <v>4.5</v>
      </c>
      <c r="BY228" s="17" t="s">
        <v>192</v>
      </c>
      <c r="BZ228" s="17" t="s">
        <v>293</v>
      </c>
      <c r="CA228" s="17" t="s">
        <v>293</v>
      </c>
      <c r="CB228" s="17" t="s">
        <v>151</v>
      </c>
      <c r="CC228" s="17" t="s">
        <v>165</v>
      </c>
      <c r="CD228" s="17" t="s">
        <v>151</v>
      </c>
      <c r="CE228" s="17" t="s">
        <v>191</v>
      </c>
      <c r="CF228" s="22">
        <v>45467</v>
      </c>
      <c r="CG228" s="24" t="s">
        <v>151</v>
      </c>
      <c r="CH228" s="17" t="s">
        <v>151</v>
      </c>
      <c r="CI228" s="24" t="s">
        <v>151</v>
      </c>
      <c r="CJ228" s="17" t="s">
        <v>151</v>
      </c>
      <c r="CK228" s="16" t="s">
        <v>151</v>
      </c>
      <c r="CL228" s="17" t="s">
        <v>293</v>
      </c>
      <c r="CM228" s="17" t="s">
        <v>293</v>
      </c>
      <c r="CN228" s="17" t="s">
        <v>151</v>
      </c>
      <c r="CO228" s="17" t="s">
        <v>165</v>
      </c>
      <c r="CP228" s="22">
        <v>45467</v>
      </c>
      <c r="CQ228" s="24" t="s">
        <v>151</v>
      </c>
      <c r="CR228" s="17" t="s">
        <v>151</v>
      </c>
      <c r="CS228" s="17" t="s">
        <v>191</v>
      </c>
      <c r="CT228" s="16">
        <v>89</v>
      </c>
      <c r="CU228" s="17" t="s">
        <v>196</v>
      </c>
      <c r="CV228" s="19">
        <v>82</v>
      </c>
      <c r="CW228" s="19">
        <v>18</v>
      </c>
      <c r="CX228" s="17" t="s">
        <v>294</v>
      </c>
      <c r="CY228" s="19">
        <v>1</v>
      </c>
      <c r="CZ228" s="19">
        <v>81</v>
      </c>
      <c r="DA228" s="24">
        <v>10.5</v>
      </c>
      <c r="DB228" s="22">
        <v>44986</v>
      </c>
      <c r="DC228" s="17" t="s">
        <v>293</v>
      </c>
      <c r="DD228" s="16">
        <v>1.78</v>
      </c>
      <c r="DE228" s="19">
        <v>0.83</v>
      </c>
      <c r="DF228" s="21">
        <v>95</v>
      </c>
      <c r="DG228" s="19">
        <v>0</v>
      </c>
      <c r="DH228" s="19">
        <v>0</v>
      </c>
      <c r="DI228" s="19" t="s">
        <v>151</v>
      </c>
      <c r="DJ228" s="21" t="s">
        <v>151</v>
      </c>
      <c r="DK228" s="19" t="s">
        <v>151</v>
      </c>
      <c r="DL228" s="21" t="s">
        <v>151</v>
      </c>
      <c r="DM228" s="19" t="s">
        <v>151</v>
      </c>
      <c r="DN228" s="21" t="s">
        <v>151</v>
      </c>
      <c r="DO228" s="23">
        <v>1.23</v>
      </c>
      <c r="DP228" s="21">
        <v>55</v>
      </c>
      <c r="DQ228" s="23">
        <v>0</v>
      </c>
      <c r="DR228" s="19">
        <v>0</v>
      </c>
      <c r="DS228" s="23" t="s">
        <v>151</v>
      </c>
      <c r="DT228" s="21" t="s">
        <v>151</v>
      </c>
      <c r="DU228" s="23" t="s">
        <v>151</v>
      </c>
      <c r="DV228" s="21" t="s">
        <v>151</v>
      </c>
      <c r="DW228" s="23" t="s">
        <v>151</v>
      </c>
      <c r="DX228" s="21" t="s">
        <v>151</v>
      </c>
      <c r="DY228" s="18" t="s">
        <v>151</v>
      </c>
      <c r="DZ228" s="22" t="s">
        <v>151</v>
      </c>
      <c r="EA228" s="22" t="s">
        <v>151</v>
      </c>
      <c r="EB228" s="21">
        <v>107</v>
      </c>
      <c r="EC228" s="20">
        <v>-39</v>
      </c>
      <c r="ED228" s="19">
        <v>-26.71</v>
      </c>
      <c r="EE228" s="21" t="s">
        <v>151</v>
      </c>
      <c r="EF228" s="20" t="s">
        <v>151</v>
      </c>
      <c r="EG228" s="19" t="s">
        <v>151</v>
      </c>
      <c r="EH228" s="16" t="s">
        <v>198</v>
      </c>
      <c r="EI228" s="17" t="s">
        <v>151</v>
      </c>
      <c r="EJ228" s="17" t="s">
        <v>151</v>
      </c>
      <c r="EK228" s="18" t="s">
        <v>151</v>
      </c>
      <c r="EL228" s="18" t="s">
        <v>151</v>
      </c>
      <c r="EM228" s="18" t="s">
        <v>151</v>
      </c>
      <c r="EN228" s="18" t="s">
        <v>151</v>
      </c>
      <c r="EO228" s="18" t="s">
        <v>151</v>
      </c>
      <c r="EP228" s="17" t="s">
        <v>151</v>
      </c>
      <c r="EQ228" s="16" t="s">
        <v>151</v>
      </c>
      <c r="ER228" s="16" t="s">
        <v>151</v>
      </c>
      <c r="ES228" s="3">
        <f>HYPERLINK("https://my.pitchbook.com?c=471601-72","View Company Online")</f>
      </c>
    </row>
    <row r="229">
      <c r="A229" s="30" t="s">
        <v>5151</v>
      </c>
      <c r="B229" s="30" t="s">
        <v>5152</v>
      </c>
      <c r="C229" s="31" t="s">
        <v>151</v>
      </c>
      <c r="D229" s="30" t="s">
        <v>5153</v>
      </c>
      <c r="E229" s="30" t="s">
        <v>151</v>
      </c>
      <c r="F229" s="30" t="s">
        <v>5154</v>
      </c>
      <c r="G229" s="30" t="s">
        <v>151</v>
      </c>
      <c r="H229" s="30" t="s">
        <v>151</v>
      </c>
      <c r="I229" s="30" t="s">
        <v>151</v>
      </c>
      <c r="J229" s="30" t="s">
        <v>5151</v>
      </c>
      <c r="K229" s="30" t="s">
        <v>5155</v>
      </c>
      <c r="L229" s="30" t="s">
        <v>155</v>
      </c>
      <c r="M229" s="30" t="s">
        <v>361</v>
      </c>
      <c r="N229" s="30" t="s">
        <v>362</v>
      </c>
      <c r="O229" s="30" t="s">
        <v>5156</v>
      </c>
      <c r="P229" s="30" t="s">
        <v>4922</v>
      </c>
      <c r="Q229" s="30" t="s">
        <v>5157</v>
      </c>
      <c r="R229" s="30" t="s">
        <v>151</v>
      </c>
      <c r="S229" s="30" t="s">
        <v>162</v>
      </c>
      <c r="T229" s="37">
        <v>8.8</v>
      </c>
      <c r="U229" s="30" t="s">
        <v>163</v>
      </c>
      <c r="V229" s="30" t="s">
        <v>164</v>
      </c>
      <c r="W229" s="30" t="s">
        <v>420</v>
      </c>
      <c r="X229" s="28" t="s">
        <v>5158</v>
      </c>
      <c r="Y229" s="28" t="s">
        <v>5159</v>
      </c>
      <c r="Z229" s="40">
        <v>71</v>
      </c>
      <c r="AA229" s="30" t="s">
        <v>5160</v>
      </c>
      <c r="AB229" s="30" t="s">
        <v>151</v>
      </c>
      <c r="AC229" s="30" t="s">
        <v>151</v>
      </c>
      <c r="AD229" s="39">
        <v>2019</v>
      </c>
      <c r="AE229" s="30" t="s">
        <v>151</v>
      </c>
      <c r="AF229" s="35">
        <v>45469</v>
      </c>
      <c r="AG229" s="30" t="s">
        <v>151</v>
      </c>
      <c r="AH229" s="30" t="s">
        <v>151</v>
      </c>
      <c r="AI229" s="38" t="s">
        <v>151</v>
      </c>
      <c r="AJ229" s="32" t="s">
        <v>151</v>
      </c>
      <c r="AK229" s="38" t="s">
        <v>151</v>
      </c>
      <c r="AL229" s="38" t="s">
        <v>151</v>
      </c>
      <c r="AM229" s="38" t="s">
        <v>151</v>
      </c>
      <c r="AN229" s="38" t="s">
        <v>151</v>
      </c>
      <c r="AO229" s="38" t="s">
        <v>151</v>
      </c>
      <c r="AP229" s="38" t="s">
        <v>151</v>
      </c>
      <c r="AQ229" s="38" t="s">
        <v>151</v>
      </c>
      <c r="AR229" s="29" t="s">
        <v>151</v>
      </c>
      <c r="AS229" s="30" t="s">
        <v>5161</v>
      </c>
      <c r="AT229" s="30" t="s">
        <v>5162</v>
      </c>
      <c r="AU229" s="31">
        <v>2</v>
      </c>
      <c r="AV229" s="30" t="s">
        <v>151</v>
      </c>
      <c r="AW229" s="30" t="s">
        <v>151</v>
      </c>
      <c r="AX229" s="30" t="s">
        <v>151</v>
      </c>
      <c r="AY229" s="30" t="s">
        <v>5163</v>
      </c>
      <c r="AZ229" s="30" t="s">
        <v>151</v>
      </c>
      <c r="BA229" s="30" t="s">
        <v>151</v>
      </c>
      <c r="BB229" s="30" t="s">
        <v>151</v>
      </c>
      <c r="BC229" s="30" t="s">
        <v>151</v>
      </c>
      <c r="BD229" s="30" t="s">
        <v>5164</v>
      </c>
      <c r="BE229" s="30" t="s">
        <v>5165</v>
      </c>
      <c r="BF229" s="30" t="s">
        <v>546</v>
      </c>
      <c r="BG229" s="30" t="s">
        <v>5166</v>
      </c>
      <c r="BH229" s="30" t="s">
        <v>5167</v>
      </c>
      <c r="BI229" s="30" t="s">
        <v>5168</v>
      </c>
      <c r="BJ229" s="30" t="s">
        <v>5169</v>
      </c>
      <c r="BK229" s="30" t="s">
        <v>1597</v>
      </c>
      <c r="BL229" s="30" t="s">
        <v>5170</v>
      </c>
      <c r="BM229" s="30" t="s">
        <v>1957</v>
      </c>
      <c r="BN229" s="29" t="s">
        <v>5171</v>
      </c>
      <c r="BO229" s="30" t="s">
        <v>186</v>
      </c>
      <c r="BP229" s="29" t="s">
        <v>5167</v>
      </c>
      <c r="BQ229" s="29" t="s">
        <v>151</v>
      </c>
      <c r="BR229" s="30" t="s">
        <v>5172</v>
      </c>
      <c r="BS229" s="30" t="s">
        <v>187</v>
      </c>
      <c r="BT229" s="30" t="s">
        <v>188</v>
      </c>
      <c r="BU229" s="35">
        <v>43952</v>
      </c>
      <c r="BV229" s="37">
        <v>0.57</v>
      </c>
      <c r="BW229" s="30" t="s">
        <v>192</v>
      </c>
      <c r="BX229" s="37" t="s">
        <v>151</v>
      </c>
      <c r="BY229" s="30" t="s">
        <v>151</v>
      </c>
      <c r="BZ229" s="30" t="s">
        <v>438</v>
      </c>
      <c r="CA229" s="30" t="s">
        <v>151</v>
      </c>
      <c r="CB229" s="30" t="s">
        <v>151</v>
      </c>
      <c r="CC229" s="30" t="s">
        <v>439</v>
      </c>
      <c r="CD229" s="30" t="s">
        <v>151</v>
      </c>
      <c r="CE229" s="30" t="s">
        <v>191</v>
      </c>
      <c r="CF229" s="35">
        <v>44097</v>
      </c>
      <c r="CG229" s="37">
        <v>8.8</v>
      </c>
      <c r="CH229" s="30" t="s">
        <v>192</v>
      </c>
      <c r="CI229" s="37">
        <v>27.65</v>
      </c>
      <c r="CJ229" s="30" t="s">
        <v>192</v>
      </c>
      <c r="CK229" s="29" t="s">
        <v>151</v>
      </c>
      <c r="CL229" s="30" t="s">
        <v>231</v>
      </c>
      <c r="CM229" s="30" t="s">
        <v>232</v>
      </c>
      <c r="CN229" s="30" t="s">
        <v>151</v>
      </c>
      <c r="CO229" s="30" t="s">
        <v>165</v>
      </c>
      <c r="CP229" s="35">
        <v>44097</v>
      </c>
      <c r="CQ229" s="37">
        <v>1.15</v>
      </c>
      <c r="CR229" s="30" t="s">
        <v>5173</v>
      </c>
      <c r="CS229" s="30" t="s">
        <v>191</v>
      </c>
      <c r="CT229" s="29" t="s">
        <v>151</v>
      </c>
      <c r="CU229" s="30" t="s">
        <v>151</v>
      </c>
      <c r="CV229" s="32" t="s">
        <v>151</v>
      </c>
      <c r="CW229" s="32" t="s">
        <v>151</v>
      </c>
      <c r="CX229" s="30" t="s">
        <v>151</v>
      </c>
      <c r="CY229" s="32" t="s">
        <v>151</v>
      </c>
      <c r="CZ229" s="32" t="s">
        <v>151</v>
      </c>
      <c r="DA229" s="37">
        <v>27.65</v>
      </c>
      <c r="DB229" s="35">
        <v>44097</v>
      </c>
      <c r="DC229" s="30" t="s">
        <v>231</v>
      </c>
      <c r="DD229" s="29" t="s">
        <v>151</v>
      </c>
      <c r="DE229" s="32">
        <v>2.06</v>
      </c>
      <c r="DF229" s="34">
        <v>98</v>
      </c>
      <c r="DG229" s="32">
        <v>0</v>
      </c>
      <c r="DH229" s="32">
        <v>0</v>
      </c>
      <c r="DI229" s="32">
        <v>2.06</v>
      </c>
      <c r="DJ229" s="34">
        <v>98</v>
      </c>
      <c r="DK229" s="32" t="s">
        <v>151</v>
      </c>
      <c r="DL229" s="34" t="s">
        <v>151</v>
      </c>
      <c r="DM229" s="32">
        <v>2.06</v>
      </c>
      <c r="DN229" s="34">
        <v>98</v>
      </c>
      <c r="DO229" s="36">
        <v>10.84</v>
      </c>
      <c r="DP229" s="34">
        <v>91</v>
      </c>
      <c r="DQ229" s="36">
        <v>0</v>
      </c>
      <c r="DR229" s="32">
        <v>0</v>
      </c>
      <c r="DS229" s="36">
        <v>10.84</v>
      </c>
      <c r="DT229" s="34">
        <v>91</v>
      </c>
      <c r="DU229" s="36" t="s">
        <v>151</v>
      </c>
      <c r="DV229" s="34" t="s">
        <v>151</v>
      </c>
      <c r="DW229" s="36">
        <v>10.84</v>
      </c>
      <c r="DX229" s="34">
        <v>91</v>
      </c>
      <c r="DY229" s="31" t="s">
        <v>151</v>
      </c>
      <c r="DZ229" s="35" t="s">
        <v>151</v>
      </c>
      <c r="EA229" s="35" t="s">
        <v>151</v>
      </c>
      <c r="EB229" s="34">
        <v>1428</v>
      </c>
      <c r="EC229" s="33">
        <v>71</v>
      </c>
      <c r="ED229" s="32">
        <v>5.23</v>
      </c>
      <c r="EE229" s="34">
        <v>206</v>
      </c>
      <c r="EF229" s="33">
        <v>2</v>
      </c>
      <c r="EG229" s="32">
        <v>0.98</v>
      </c>
      <c r="EH229" s="29" t="s">
        <v>198</v>
      </c>
      <c r="EI229" s="30" t="s">
        <v>151</v>
      </c>
      <c r="EJ229" s="30" t="s">
        <v>151</v>
      </c>
      <c r="EK229" s="31" t="s">
        <v>151</v>
      </c>
      <c r="EL229" s="31" t="s">
        <v>151</v>
      </c>
      <c r="EM229" s="31" t="s">
        <v>151</v>
      </c>
      <c r="EN229" s="31" t="s">
        <v>151</v>
      </c>
      <c r="EO229" s="31" t="s">
        <v>151</v>
      </c>
      <c r="EP229" s="30" t="s">
        <v>151</v>
      </c>
      <c r="EQ229" s="29" t="s">
        <v>151</v>
      </c>
      <c r="ER229" s="29" t="s">
        <v>151</v>
      </c>
      <c r="ES229" s="4">
        <f>HYPERLINK("https://my.pitchbook.com?c=439372-27","View Company Online")</f>
      </c>
    </row>
    <row r="230">
      <c r="A230" s="17" t="s">
        <v>5174</v>
      </c>
      <c r="B230" s="17" t="s">
        <v>5175</v>
      </c>
      <c r="C230" s="18" t="s">
        <v>151</v>
      </c>
      <c r="D230" s="17" t="s">
        <v>151</v>
      </c>
      <c r="E230" s="17" t="s">
        <v>151</v>
      </c>
      <c r="F230" s="17" t="s">
        <v>5176</v>
      </c>
      <c r="G230" s="17" t="s">
        <v>151</v>
      </c>
      <c r="H230" s="17" t="s">
        <v>151</v>
      </c>
      <c r="I230" s="17" t="s">
        <v>151</v>
      </c>
      <c r="J230" s="17" t="s">
        <v>5174</v>
      </c>
      <c r="K230" s="17" t="s">
        <v>5177</v>
      </c>
      <c r="L230" s="17" t="s">
        <v>155</v>
      </c>
      <c r="M230" s="17" t="s">
        <v>361</v>
      </c>
      <c r="N230" s="17" t="s">
        <v>3162</v>
      </c>
      <c r="O230" s="17" t="s">
        <v>5178</v>
      </c>
      <c r="P230" s="17" t="s">
        <v>5179</v>
      </c>
      <c r="Q230" s="17" t="s">
        <v>5180</v>
      </c>
      <c r="R230" s="17" t="s">
        <v>151</v>
      </c>
      <c r="S230" s="17" t="s">
        <v>162</v>
      </c>
      <c r="T230" s="24">
        <v>0.3</v>
      </c>
      <c r="U230" s="17" t="s">
        <v>163</v>
      </c>
      <c r="V230" s="17" t="s">
        <v>164</v>
      </c>
      <c r="W230" s="17" t="s">
        <v>165</v>
      </c>
      <c r="X230" s="15" t="s">
        <v>5181</v>
      </c>
      <c r="Y230" s="15" t="s">
        <v>5182</v>
      </c>
      <c r="Z230" s="27">
        <v>8</v>
      </c>
      <c r="AA230" s="17" t="s">
        <v>5183</v>
      </c>
      <c r="AB230" s="17" t="s">
        <v>151</v>
      </c>
      <c r="AC230" s="17" t="s">
        <v>151</v>
      </c>
      <c r="AD230" s="26">
        <v>2019</v>
      </c>
      <c r="AE230" s="17" t="s">
        <v>151</v>
      </c>
      <c r="AF230" s="22">
        <v>45596</v>
      </c>
      <c r="AG230" s="17" t="s">
        <v>151</v>
      </c>
      <c r="AH230" s="17" t="s">
        <v>151</v>
      </c>
      <c r="AI230" s="25" t="s">
        <v>151</v>
      </c>
      <c r="AJ230" s="19" t="s">
        <v>151</v>
      </c>
      <c r="AK230" s="25" t="s">
        <v>151</v>
      </c>
      <c r="AL230" s="25" t="s">
        <v>151</v>
      </c>
      <c r="AM230" s="25" t="s">
        <v>151</v>
      </c>
      <c r="AN230" s="25" t="s">
        <v>151</v>
      </c>
      <c r="AO230" s="25" t="s">
        <v>151</v>
      </c>
      <c r="AP230" s="25" t="s">
        <v>151</v>
      </c>
      <c r="AQ230" s="25" t="s">
        <v>151</v>
      </c>
      <c r="AR230" s="16" t="s">
        <v>151</v>
      </c>
      <c r="AS230" s="17" t="s">
        <v>5184</v>
      </c>
      <c r="AT230" s="17" t="s">
        <v>5185</v>
      </c>
      <c r="AU230" s="18">
        <v>4</v>
      </c>
      <c r="AV230" s="17" t="s">
        <v>151</v>
      </c>
      <c r="AW230" s="17" t="s">
        <v>151</v>
      </c>
      <c r="AX230" s="17" t="s">
        <v>151</v>
      </c>
      <c r="AY230" s="17" t="s">
        <v>5186</v>
      </c>
      <c r="AZ230" s="17" t="s">
        <v>151</v>
      </c>
      <c r="BA230" s="17" t="s">
        <v>151</v>
      </c>
      <c r="BB230" s="17" t="s">
        <v>151</v>
      </c>
      <c r="BC230" s="17" t="s">
        <v>151</v>
      </c>
      <c r="BD230" s="17" t="s">
        <v>5187</v>
      </c>
      <c r="BE230" s="17" t="s">
        <v>5188</v>
      </c>
      <c r="BF230" s="17" t="s">
        <v>5189</v>
      </c>
      <c r="BG230" s="17" t="s">
        <v>5190</v>
      </c>
      <c r="BH230" s="17" t="s">
        <v>5191</v>
      </c>
      <c r="BI230" s="17" t="s">
        <v>5192</v>
      </c>
      <c r="BJ230" s="17" t="s">
        <v>5193</v>
      </c>
      <c r="BK230" s="17" t="s">
        <v>151</v>
      </c>
      <c r="BL230" s="17" t="s">
        <v>5194</v>
      </c>
      <c r="BM230" s="17" t="s">
        <v>5195</v>
      </c>
      <c r="BN230" s="16" t="s">
        <v>151</v>
      </c>
      <c r="BO230" s="17" t="s">
        <v>186</v>
      </c>
      <c r="BP230" s="16" t="s">
        <v>5191</v>
      </c>
      <c r="BQ230" s="16" t="s">
        <v>151</v>
      </c>
      <c r="BR230" s="17" t="s">
        <v>5196</v>
      </c>
      <c r="BS230" s="17" t="s">
        <v>187</v>
      </c>
      <c r="BT230" s="17" t="s">
        <v>188</v>
      </c>
      <c r="BU230" s="22">
        <v>43943</v>
      </c>
      <c r="BV230" s="24">
        <v>0.04</v>
      </c>
      <c r="BW230" s="17" t="s">
        <v>192</v>
      </c>
      <c r="BX230" s="24" t="s">
        <v>151</v>
      </c>
      <c r="BY230" s="17" t="s">
        <v>151</v>
      </c>
      <c r="BZ230" s="17" t="s">
        <v>189</v>
      </c>
      <c r="CA230" s="17" t="s">
        <v>151</v>
      </c>
      <c r="CB230" s="17" t="s">
        <v>151</v>
      </c>
      <c r="CC230" s="17" t="s">
        <v>190</v>
      </c>
      <c r="CD230" s="17" t="s">
        <v>151</v>
      </c>
      <c r="CE230" s="17" t="s">
        <v>191</v>
      </c>
      <c r="CF230" s="22">
        <v>45110</v>
      </c>
      <c r="CG230" s="24" t="s">
        <v>151</v>
      </c>
      <c r="CH230" s="17" t="s">
        <v>151</v>
      </c>
      <c r="CI230" s="24" t="s">
        <v>151</v>
      </c>
      <c r="CJ230" s="17" t="s">
        <v>151</v>
      </c>
      <c r="CK230" s="16" t="s">
        <v>151</v>
      </c>
      <c r="CL230" s="17" t="s">
        <v>189</v>
      </c>
      <c r="CM230" s="17" t="s">
        <v>151</v>
      </c>
      <c r="CN230" s="17" t="s">
        <v>151</v>
      </c>
      <c r="CO230" s="17" t="s">
        <v>190</v>
      </c>
      <c r="CP230" s="22">
        <v>45110</v>
      </c>
      <c r="CQ230" s="24" t="s">
        <v>151</v>
      </c>
      <c r="CR230" s="17" t="s">
        <v>151</v>
      </c>
      <c r="CS230" s="17" t="s">
        <v>191</v>
      </c>
      <c r="CT230" s="16" t="s">
        <v>151</v>
      </c>
      <c r="CU230" s="17" t="s">
        <v>151</v>
      </c>
      <c r="CV230" s="19" t="s">
        <v>151</v>
      </c>
      <c r="CW230" s="19" t="s">
        <v>151</v>
      </c>
      <c r="CX230" s="17" t="s">
        <v>151</v>
      </c>
      <c r="CY230" s="19" t="s">
        <v>151</v>
      </c>
      <c r="CZ230" s="19" t="s">
        <v>151</v>
      </c>
      <c r="DA230" s="24" t="s">
        <v>151</v>
      </c>
      <c r="DB230" s="22" t="s">
        <v>151</v>
      </c>
      <c r="DC230" s="17" t="s">
        <v>151</v>
      </c>
      <c r="DD230" s="16" t="s">
        <v>151</v>
      </c>
      <c r="DE230" s="19">
        <v>-1.39</v>
      </c>
      <c r="DF230" s="21">
        <v>3</v>
      </c>
      <c r="DG230" s="19">
        <v>0</v>
      </c>
      <c r="DH230" s="19">
        <v>0</v>
      </c>
      <c r="DI230" s="19" t="s">
        <v>151</v>
      </c>
      <c r="DJ230" s="21" t="s">
        <v>151</v>
      </c>
      <c r="DK230" s="19" t="s">
        <v>151</v>
      </c>
      <c r="DL230" s="21" t="s">
        <v>151</v>
      </c>
      <c r="DM230" s="19" t="s">
        <v>151</v>
      </c>
      <c r="DN230" s="21" t="s">
        <v>151</v>
      </c>
      <c r="DO230" s="23">
        <v>0.62</v>
      </c>
      <c r="DP230" s="21">
        <v>38</v>
      </c>
      <c r="DQ230" s="23">
        <v>0</v>
      </c>
      <c r="DR230" s="19">
        <v>0</v>
      </c>
      <c r="DS230" s="23" t="s">
        <v>151</v>
      </c>
      <c r="DT230" s="21" t="s">
        <v>151</v>
      </c>
      <c r="DU230" s="23" t="s">
        <v>151</v>
      </c>
      <c r="DV230" s="21" t="s">
        <v>151</v>
      </c>
      <c r="DW230" s="23" t="s">
        <v>151</v>
      </c>
      <c r="DX230" s="21" t="s">
        <v>151</v>
      </c>
      <c r="DY230" s="18" t="s">
        <v>151</v>
      </c>
      <c r="DZ230" s="22" t="s">
        <v>151</v>
      </c>
      <c r="EA230" s="22" t="s">
        <v>151</v>
      </c>
      <c r="EB230" s="21">
        <v>0</v>
      </c>
      <c r="EC230" s="20">
        <v>0</v>
      </c>
      <c r="ED230" s="19">
        <v>0</v>
      </c>
      <c r="EE230" s="21" t="s">
        <v>151</v>
      </c>
      <c r="EF230" s="20" t="s">
        <v>151</v>
      </c>
      <c r="EG230" s="19" t="s">
        <v>151</v>
      </c>
      <c r="EH230" s="16" t="s">
        <v>198</v>
      </c>
      <c r="EI230" s="17" t="s">
        <v>151</v>
      </c>
      <c r="EJ230" s="17" t="s">
        <v>151</v>
      </c>
      <c r="EK230" s="18" t="s">
        <v>151</v>
      </c>
      <c r="EL230" s="18" t="s">
        <v>151</v>
      </c>
      <c r="EM230" s="18" t="s">
        <v>151</v>
      </c>
      <c r="EN230" s="18" t="s">
        <v>151</v>
      </c>
      <c r="EO230" s="18" t="s">
        <v>151</v>
      </c>
      <c r="EP230" s="17" t="s">
        <v>151</v>
      </c>
      <c r="EQ230" s="16" t="s">
        <v>151</v>
      </c>
      <c r="ER230" s="16" t="s">
        <v>151</v>
      </c>
      <c r="ES230" s="3">
        <f>HYPERLINK("https://my.pitchbook.com?c=494787-43","View Company Online")</f>
      </c>
    </row>
    <row r="231">
      <c r="A231" s="30" t="s">
        <v>5197</v>
      </c>
      <c r="B231" s="30" t="s">
        <v>5198</v>
      </c>
      <c r="C231" s="31" t="s">
        <v>151</v>
      </c>
      <c r="D231" s="30" t="s">
        <v>5199</v>
      </c>
      <c r="E231" s="30" t="s">
        <v>151</v>
      </c>
      <c r="F231" s="30" t="s">
        <v>5200</v>
      </c>
      <c r="G231" s="30" t="s">
        <v>151</v>
      </c>
      <c r="H231" s="30" t="s">
        <v>151</v>
      </c>
      <c r="I231" s="30" t="s">
        <v>151</v>
      </c>
      <c r="J231" s="30" t="s">
        <v>5197</v>
      </c>
      <c r="K231" s="30" t="s">
        <v>5201</v>
      </c>
      <c r="L231" s="30" t="s">
        <v>205</v>
      </c>
      <c r="M231" s="30" t="s">
        <v>206</v>
      </c>
      <c r="N231" s="30" t="s">
        <v>269</v>
      </c>
      <c r="O231" s="30" t="s">
        <v>4166</v>
      </c>
      <c r="P231" s="30" t="s">
        <v>4229</v>
      </c>
      <c r="Q231" s="30" t="s">
        <v>5202</v>
      </c>
      <c r="R231" s="30" t="s">
        <v>151</v>
      </c>
      <c r="S231" s="30" t="s">
        <v>162</v>
      </c>
      <c r="T231" s="37">
        <v>4.3</v>
      </c>
      <c r="U231" s="30" t="s">
        <v>163</v>
      </c>
      <c r="V231" s="30" t="s">
        <v>164</v>
      </c>
      <c r="W231" s="30" t="s">
        <v>165</v>
      </c>
      <c r="X231" s="28" t="s">
        <v>5203</v>
      </c>
      <c r="Y231" s="28" t="s">
        <v>5204</v>
      </c>
      <c r="Z231" s="40">
        <v>18</v>
      </c>
      <c r="AA231" s="30" t="s">
        <v>5205</v>
      </c>
      <c r="AB231" s="30" t="s">
        <v>151</v>
      </c>
      <c r="AC231" s="30" t="s">
        <v>151</v>
      </c>
      <c r="AD231" s="39">
        <v>2018</v>
      </c>
      <c r="AE231" s="30" t="s">
        <v>151</v>
      </c>
      <c r="AF231" s="35">
        <v>45401</v>
      </c>
      <c r="AG231" s="30" t="s">
        <v>151</v>
      </c>
      <c r="AH231" s="30" t="s">
        <v>151</v>
      </c>
      <c r="AI231" s="38" t="s">
        <v>151</v>
      </c>
      <c r="AJ231" s="32" t="s">
        <v>151</v>
      </c>
      <c r="AK231" s="38" t="s">
        <v>151</v>
      </c>
      <c r="AL231" s="38" t="s">
        <v>151</v>
      </c>
      <c r="AM231" s="38" t="s">
        <v>151</v>
      </c>
      <c r="AN231" s="38" t="s">
        <v>151</v>
      </c>
      <c r="AO231" s="38" t="s">
        <v>151</v>
      </c>
      <c r="AP231" s="38" t="s">
        <v>151</v>
      </c>
      <c r="AQ231" s="38" t="s">
        <v>151</v>
      </c>
      <c r="AR231" s="29" t="s">
        <v>151</v>
      </c>
      <c r="AS231" s="30" t="s">
        <v>5206</v>
      </c>
      <c r="AT231" s="30" t="s">
        <v>5207</v>
      </c>
      <c r="AU231" s="31">
        <v>19</v>
      </c>
      <c r="AV231" s="30" t="s">
        <v>151</v>
      </c>
      <c r="AW231" s="30" t="s">
        <v>151</v>
      </c>
      <c r="AX231" s="30" t="s">
        <v>151</v>
      </c>
      <c r="AY231" s="30" t="s">
        <v>5208</v>
      </c>
      <c r="AZ231" s="30" t="s">
        <v>151</v>
      </c>
      <c r="BA231" s="30" t="s">
        <v>151</v>
      </c>
      <c r="BB231" s="30" t="s">
        <v>151</v>
      </c>
      <c r="BC231" s="30" t="s">
        <v>151</v>
      </c>
      <c r="BD231" s="30" t="s">
        <v>5209</v>
      </c>
      <c r="BE231" s="30" t="s">
        <v>5210</v>
      </c>
      <c r="BF231" s="30" t="s">
        <v>221</v>
      </c>
      <c r="BG231" s="30" t="s">
        <v>5211</v>
      </c>
      <c r="BH231" s="30" t="s">
        <v>5212</v>
      </c>
      <c r="BI231" s="30" t="s">
        <v>2652</v>
      </c>
      <c r="BJ231" s="30" t="s">
        <v>5213</v>
      </c>
      <c r="BK231" s="30" t="s">
        <v>5214</v>
      </c>
      <c r="BL231" s="30" t="s">
        <v>2654</v>
      </c>
      <c r="BM231" s="30" t="s">
        <v>1576</v>
      </c>
      <c r="BN231" s="29" t="s">
        <v>5215</v>
      </c>
      <c r="BO231" s="30" t="s">
        <v>186</v>
      </c>
      <c r="BP231" s="29" t="s">
        <v>5212</v>
      </c>
      <c r="BQ231" s="29" t="s">
        <v>151</v>
      </c>
      <c r="BR231" s="30" t="s">
        <v>151</v>
      </c>
      <c r="BS231" s="30" t="s">
        <v>187</v>
      </c>
      <c r="BT231" s="30" t="s">
        <v>188</v>
      </c>
      <c r="BU231" s="35">
        <v>43841</v>
      </c>
      <c r="BV231" s="37">
        <v>0.35</v>
      </c>
      <c r="BW231" s="30" t="s">
        <v>192</v>
      </c>
      <c r="BX231" s="37" t="s">
        <v>151</v>
      </c>
      <c r="BY231" s="30" t="s">
        <v>151</v>
      </c>
      <c r="BZ231" s="30" t="s">
        <v>231</v>
      </c>
      <c r="CA231" s="30" t="s">
        <v>151</v>
      </c>
      <c r="CB231" s="30" t="s">
        <v>151</v>
      </c>
      <c r="CC231" s="30" t="s">
        <v>165</v>
      </c>
      <c r="CD231" s="30" t="s">
        <v>151</v>
      </c>
      <c r="CE231" s="30" t="s">
        <v>191</v>
      </c>
      <c r="CF231" s="35">
        <v>44699</v>
      </c>
      <c r="CG231" s="37">
        <v>3</v>
      </c>
      <c r="CH231" s="30" t="s">
        <v>192</v>
      </c>
      <c r="CI231" s="37" t="s">
        <v>151</v>
      </c>
      <c r="CJ231" s="30" t="s">
        <v>151</v>
      </c>
      <c r="CK231" s="29" t="s">
        <v>151</v>
      </c>
      <c r="CL231" s="30" t="s">
        <v>231</v>
      </c>
      <c r="CM231" s="30" t="s">
        <v>151</v>
      </c>
      <c r="CN231" s="30" t="s">
        <v>151</v>
      </c>
      <c r="CO231" s="30" t="s">
        <v>165</v>
      </c>
      <c r="CP231" s="35">
        <v>44699</v>
      </c>
      <c r="CQ231" s="37" t="s">
        <v>151</v>
      </c>
      <c r="CR231" s="30" t="s">
        <v>151</v>
      </c>
      <c r="CS231" s="30" t="s">
        <v>191</v>
      </c>
      <c r="CT231" s="29">
        <v>29</v>
      </c>
      <c r="CU231" s="30" t="s">
        <v>263</v>
      </c>
      <c r="CV231" s="32">
        <v>30</v>
      </c>
      <c r="CW231" s="32">
        <v>70</v>
      </c>
      <c r="CX231" s="30" t="s">
        <v>263</v>
      </c>
      <c r="CY231" s="32">
        <v>1</v>
      </c>
      <c r="CZ231" s="32">
        <v>29</v>
      </c>
      <c r="DA231" s="37">
        <v>4.3</v>
      </c>
      <c r="DB231" s="35">
        <v>44307</v>
      </c>
      <c r="DC231" s="30" t="s">
        <v>231</v>
      </c>
      <c r="DD231" s="29" t="s">
        <v>151</v>
      </c>
      <c r="DE231" s="32">
        <v>-0.48</v>
      </c>
      <c r="DF231" s="34">
        <v>7</v>
      </c>
      <c r="DG231" s="32">
        <v>0</v>
      </c>
      <c r="DH231" s="32">
        <v>0</v>
      </c>
      <c r="DI231" s="32">
        <v>-0.48</v>
      </c>
      <c r="DJ231" s="34">
        <v>7</v>
      </c>
      <c r="DK231" s="32" t="s">
        <v>151</v>
      </c>
      <c r="DL231" s="34" t="s">
        <v>151</v>
      </c>
      <c r="DM231" s="32">
        <v>-0.48</v>
      </c>
      <c r="DN231" s="34">
        <v>7</v>
      </c>
      <c r="DO231" s="36">
        <v>4.63</v>
      </c>
      <c r="DP231" s="34">
        <v>81</v>
      </c>
      <c r="DQ231" s="36">
        <v>0</v>
      </c>
      <c r="DR231" s="32">
        <v>0</v>
      </c>
      <c r="DS231" s="36">
        <v>4.63</v>
      </c>
      <c r="DT231" s="34">
        <v>81</v>
      </c>
      <c r="DU231" s="36" t="s">
        <v>151</v>
      </c>
      <c r="DV231" s="34" t="s">
        <v>151</v>
      </c>
      <c r="DW231" s="36">
        <v>4.63</v>
      </c>
      <c r="DX231" s="34">
        <v>81</v>
      </c>
      <c r="DY231" s="31" t="s">
        <v>151</v>
      </c>
      <c r="DZ231" s="35" t="s">
        <v>151</v>
      </c>
      <c r="EA231" s="35" t="s">
        <v>151</v>
      </c>
      <c r="EB231" s="34">
        <v>297</v>
      </c>
      <c r="EC231" s="33">
        <v>-11</v>
      </c>
      <c r="ED231" s="32">
        <v>-3.57</v>
      </c>
      <c r="EE231" s="34">
        <v>88</v>
      </c>
      <c r="EF231" s="33">
        <v>0</v>
      </c>
      <c r="EG231" s="32">
        <v>0</v>
      </c>
      <c r="EH231" s="29" t="s">
        <v>198</v>
      </c>
      <c r="EI231" s="30" t="s">
        <v>151</v>
      </c>
      <c r="EJ231" s="30" t="s">
        <v>151</v>
      </c>
      <c r="EK231" s="31" t="s">
        <v>151</v>
      </c>
      <c r="EL231" s="31" t="s">
        <v>151</v>
      </c>
      <c r="EM231" s="31" t="s">
        <v>151</v>
      </c>
      <c r="EN231" s="31" t="s">
        <v>151</v>
      </c>
      <c r="EO231" s="31" t="s">
        <v>151</v>
      </c>
      <c r="EP231" s="30" t="s">
        <v>151</v>
      </c>
      <c r="EQ231" s="29" t="s">
        <v>151</v>
      </c>
      <c r="ER231" s="29" t="s">
        <v>151</v>
      </c>
      <c r="ES231" s="4">
        <f>HYPERLINK("https://my.pitchbook.com?c=435595-15","View Company Online")</f>
      </c>
    </row>
    <row r="232">
      <c r="A232" s="17" t="s">
        <v>5216</v>
      </c>
      <c r="B232" s="17" t="s">
        <v>5217</v>
      </c>
      <c r="C232" s="18" t="s">
        <v>151</v>
      </c>
      <c r="D232" s="17" t="s">
        <v>151</v>
      </c>
      <c r="E232" s="17" t="s">
        <v>5218</v>
      </c>
      <c r="F232" s="17" t="s">
        <v>5219</v>
      </c>
      <c r="G232" s="17" t="s">
        <v>151</v>
      </c>
      <c r="H232" s="17" t="s">
        <v>151</v>
      </c>
      <c r="I232" s="17" t="s">
        <v>5220</v>
      </c>
      <c r="J232" s="17" t="s">
        <v>5216</v>
      </c>
      <c r="K232" s="17" t="s">
        <v>5221</v>
      </c>
      <c r="L232" s="17" t="s">
        <v>205</v>
      </c>
      <c r="M232" s="17" t="s">
        <v>206</v>
      </c>
      <c r="N232" s="17" t="s">
        <v>776</v>
      </c>
      <c r="O232" s="17" t="s">
        <v>5222</v>
      </c>
      <c r="P232" s="17" t="s">
        <v>5223</v>
      </c>
      <c r="Q232" s="17" t="s">
        <v>5224</v>
      </c>
      <c r="R232" s="17" t="s">
        <v>780</v>
      </c>
      <c r="S232" s="17" t="s">
        <v>162</v>
      </c>
      <c r="T232" s="24">
        <v>3</v>
      </c>
      <c r="U232" s="17" t="s">
        <v>163</v>
      </c>
      <c r="V232" s="17" t="s">
        <v>164</v>
      </c>
      <c r="W232" s="17" t="s">
        <v>165</v>
      </c>
      <c r="X232" s="15" t="s">
        <v>5225</v>
      </c>
      <c r="Y232" s="15" t="s">
        <v>5226</v>
      </c>
      <c r="Z232" s="27">
        <v>12</v>
      </c>
      <c r="AA232" s="17" t="s">
        <v>5227</v>
      </c>
      <c r="AB232" s="17" t="s">
        <v>151</v>
      </c>
      <c r="AC232" s="17" t="s">
        <v>151</v>
      </c>
      <c r="AD232" s="26">
        <v>2021</v>
      </c>
      <c r="AE232" s="17" t="s">
        <v>151</v>
      </c>
      <c r="AF232" s="22">
        <v>45477</v>
      </c>
      <c r="AG232" s="17" t="s">
        <v>151</v>
      </c>
      <c r="AH232" s="17" t="s">
        <v>151</v>
      </c>
      <c r="AI232" s="25" t="s">
        <v>151</v>
      </c>
      <c r="AJ232" s="19" t="s">
        <v>151</v>
      </c>
      <c r="AK232" s="25" t="s">
        <v>151</v>
      </c>
      <c r="AL232" s="25" t="s">
        <v>151</v>
      </c>
      <c r="AM232" s="25" t="s">
        <v>151</v>
      </c>
      <c r="AN232" s="25" t="s">
        <v>151</v>
      </c>
      <c r="AO232" s="25" t="s">
        <v>151</v>
      </c>
      <c r="AP232" s="25" t="s">
        <v>151</v>
      </c>
      <c r="AQ232" s="25" t="s">
        <v>151</v>
      </c>
      <c r="AR232" s="16" t="s">
        <v>151</v>
      </c>
      <c r="AS232" s="17" t="s">
        <v>5228</v>
      </c>
      <c r="AT232" s="17" t="s">
        <v>5229</v>
      </c>
      <c r="AU232" s="18">
        <v>6</v>
      </c>
      <c r="AV232" s="17" t="s">
        <v>151</v>
      </c>
      <c r="AW232" s="17" t="s">
        <v>151</v>
      </c>
      <c r="AX232" s="17" t="s">
        <v>151</v>
      </c>
      <c r="AY232" s="17" t="s">
        <v>5230</v>
      </c>
      <c r="AZ232" s="17" t="s">
        <v>151</v>
      </c>
      <c r="BA232" s="17" t="s">
        <v>151</v>
      </c>
      <c r="BB232" s="17" t="s">
        <v>151</v>
      </c>
      <c r="BC232" s="17" t="s">
        <v>2424</v>
      </c>
      <c r="BD232" s="17" t="s">
        <v>5231</v>
      </c>
      <c r="BE232" s="17" t="s">
        <v>5232</v>
      </c>
      <c r="BF232" s="17" t="s">
        <v>3330</v>
      </c>
      <c r="BG232" s="17" t="s">
        <v>5233</v>
      </c>
      <c r="BH232" s="17" t="s">
        <v>5234</v>
      </c>
      <c r="BI232" s="17" t="s">
        <v>5235</v>
      </c>
      <c r="BJ232" s="17" t="s">
        <v>151</v>
      </c>
      <c r="BK232" s="17" t="s">
        <v>151</v>
      </c>
      <c r="BL232" s="17" t="s">
        <v>5236</v>
      </c>
      <c r="BM232" s="17" t="s">
        <v>184</v>
      </c>
      <c r="BN232" s="16" t="s">
        <v>151</v>
      </c>
      <c r="BO232" s="17" t="s">
        <v>186</v>
      </c>
      <c r="BP232" s="16" t="s">
        <v>151</v>
      </c>
      <c r="BQ232" s="16" t="s">
        <v>151</v>
      </c>
      <c r="BR232" s="17" t="s">
        <v>5237</v>
      </c>
      <c r="BS232" s="17" t="s">
        <v>187</v>
      </c>
      <c r="BT232" s="17" t="s">
        <v>188</v>
      </c>
      <c r="BU232" s="22">
        <v>45170</v>
      </c>
      <c r="BV232" s="24">
        <v>3</v>
      </c>
      <c r="BW232" s="17" t="s">
        <v>192</v>
      </c>
      <c r="BX232" s="24">
        <v>15</v>
      </c>
      <c r="BY232" s="17" t="s">
        <v>192</v>
      </c>
      <c r="BZ232" s="17" t="s">
        <v>293</v>
      </c>
      <c r="CA232" s="17" t="s">
        <v>293</v>
      </c>
      <c r="CB232" s="17" t="s">
        <v>151</v>
      </c>
      <c r="CC232" s="17" t="s">
        <v>165</v>
      </c>
      <c r="CD232" s="17" t="s">
        <v>151</v>
      </c>
      <c r="CE232" s="17" t="s">
        <v>191</v>
      </c>
      <c r="CF232" s="22">
        <v>45170</v>
      </c>
      <c r="CG232" s="24">
        <v>3</v>
      </c>
      <c r="CH232" s="17" t="s">
        <v>192</v>
      </c>
      <c r="CI232" s="24">
        <v>15</v>
      </c>
      <c r="CJ232" s="17" t="s">
        <v>192</v>
      </c>
      <c r="CK232" s="16" t="s">
        <v>151</v>
      </c>
      <c r="CL232" s="17" t="s">
        <v>293</v>
      </c>
      <c r="CM232" s="17" t="s">
        <v>293</v>
      </c>
      <c r="CN232" s="17" t="s">
        <v>151</v>
      </c>
      <c r="CO232" s="17" t="s">
        <v>165</v>
      </c>
      <c r="CP232" s="22">
        <v>45170</v>
      </c>
      <c r="CQ232" s="24" t="s">
        <v>151</v>
      </c>
      <c r="CR232" s="17" t="s">
        <v>151</v>
      </c>
      <c r="CS232" s="17" t="s">
        <v>191</v>
      </c>
      <c r="CT232" s="16" t="s">
        <v>151</v>
      </c>
      <c r="CU232" s="17" t="s">
        <v>151</v>
      </c>
      <c r="CV232" s="19" t="s">
        <v>151</v>
      </c>
      <c r="CW232" s="19" t="s">
        <v>151</v>
      </c>
      <c r="CX232" s="17" t="s">
        <v>151</v>
      </c>
      <c r="CY232" s="19" t="s">
        <v>151</v>
      </c>
      <c r="CZ232" s="19" t="s">
        <v>151</v>
      </c>
      <c r="DA232" s="24">
        <v>15</v>
      </c>
      <c r="DB232" s="22">
        <v>45170</v>
      </c>
      <c r="DC232" s="17" t="s">
        <v>293</v>
      </c>
      <c r="DD232" s="16" t="s">
        <v>151</v>
      </c>
      <c r="DE232" s="19" t="s">
        <v>151</v>
      </c>
      <c r="DF232" s="21" t="s">
        <v>151</v>
      </c>
      <c r="DG232" s="19" t="s">
        <v>151</v>
      </c>
      <c r="DH232" s="19" t="s">
        <v>151</v>
      </c>
      <c r="DI232" s="19" t="s">
        <v>151</v>
      </c>
      <c r="DJ232" s="21" t="s">
        <v>151</v>
      </c>
      <c r="DK232" s="19" t="s">
        <v>151</v>
      </c>
      <c r="DL232" s="21" t="s">
        <v>151</v>
      </c>
      <c r="DM232" s="19" t="s">
        <v>151</v>
      </c>
      <c r="DN232" s="21" t="s">
        <v>151</v>
      </c>
      <c r="DO232" s="23" t="s">
        <v>151</v>
      </c>
      <c r="DP232" s="21" t="s">
        <v>151</v>
      </c>
      <c r="DQ232" s="23" t="s">
        <v>151</v>
      </c>
      <c r="DR232" s="19" t="s">
        <v>151</v>
      </c>
      <c r="DS232" s="23" t="s">
        <v>151</v>
      </c>
      <c r="DT232" s="21" t="s">
        <v>151</v>
      </c>
      <c r="DU232" s="23" t="s">
        <v>151</v>
      </c>
      <c r="DV232" s="21" t="s">
        <v>151</v>
      </c>
      <c r="DW232" s="23" t="s">
        <v>151</v>
      </c>
      <c r="DX232" s="21" t="s">
        <v>151</v>
      </c>
      <c r="DY232" s="18" t="s">
        <v>151</v>
      </c>
      <c r="DZ232" s="22" t="s">
        <v>151</v>
      </c>
      <c r="EA232" s="22" t="s">
        <v>151</v>
      </c>
      <c r="EB232" s="21" t="s">
        <v>151</v>
      </c>
      <c r="EC232" s="20" t="s">
        <v>151</v>
      </c>
      <c r="ED232" s="19" t="s">
        <v>151</v>
      </c>
      <c r="EE232" s="21" t="s">
        <v>151</v>
      </c>
      <c r="EF232" s="20" t="s">
        <v>151</v>
      </c>
      <c r="EG232" s="19" t="s">
        <v>151</v>
      </c>
      <c r="EH232" s="16" t="s">
        <v>198</v>
      </c>
      <c r="EI232" s="17" t="s">
        <v>151</v>
      </c>
      <c r="EJ232" s="17" t="s">
        <v>151</v>
      </c>
      <c r="EK232" s="18" t="s">
        <v>151</v>
      </c>
      <c r="EL232" s="18" t="s">
        <v>151</v>
      </c>
      <c r="EM232" s="18" t="s">
        <v>151</v>
      </c>
      <c r="EN232" s="18" t="s">
        <v>151</v>
      </c>
      <c r="EO232" s="18" t="s">
        <v>151</v>
      </c>
      <c r="EP232" s="17" t="s">
        <v>151</v>
      </c>
      <c r="EQ232" s="16" t="s">
        <v>151</v>
      </c>
      <c r="ER232" s="16" t="s">
        <v>151</v>
      </c>
      <c r="ES232" s="3">
        <f>HYPERLINK("https://my.pitchbook.com?c=507100-24","View Company Online")</f>
      </c>
    </row>
    <row r="233">
      <c r="A233" s="30" t="s">
        <v>5238</v>
      </c>
      <c r="B233" s="30" t="s">
        <v>5239</v>
      </c>
      <c r="C233" s="31" t="s">
        <v>151</v>
      </c>
      <c r="D233" s="30" t="s">
        <v>151</v>
      </c>
      <c r="E233" s="30" t="s">
        <v>151</v>
      </c>
      <c r="F233" s="30" t="s">
        <v>5240</v>
      </c>
      <c r="G233" s="30" t="s">
        <v>151</v>
      </c>
      <c r="H233" s="30" t="s">
        <v>151</v>
      </c>
      <c r="I233" s="30" t="s">
        <v>5241</v>
      </c>
      <c r="J233" s="30" t="s">
        <v>5238</v>
      </c>
      <c r="K233" s="30" t="s">
        <v>5242</v>
      </c>
      <c r="L233" s="30" t="s">
        <v>205</v>
      </c>
      <c r="M233" s="30" t="s">
        <v>206</v>
      </c>
      <c r="N233" s="30" t="s">
        <v>269</v>
      </c>
      <c r="O233" s="30" t="s">
        <v>5243</v>
      </c>
      <c r="P233" s="30" t="s">
        <v>5244</v>
      </c>
      <c r="Q233" s="30" t="s">
        <v>5245</v>
      </c>
      <c r="R233" s="30" t="s">
        <v>151</v>
      </c>
      <c r="S233" s="30" t="s">
        <v>162</v>
      </c>
      <c r="T233" s="37">
        <v>8.49</v>
      </c>
      <c r="U233" s="30" t="s">
        <v>163</v>
      </c>
      <c r="V233" s="30" t="s">
        <v>164</v>
      </c>
      <c r="W233" s="30" t="s">
        <v>165</v>
      </c>
      <c r="X233" s="28" t="s">
        <v>5246</v>
      </c>
      <c r="Y233" s="28" t="s">
        <v>5247</v>
      </c>
      <c r="Z233" s="40">
        <v>32</v>
      </c>
      <c r="AA233" s="30" t="s">
        <v>5248</v>
      </c>
      <c r="AB233" s="30" t="s">
        <v>151</v>
      </c>
      <c r="AC233" s="30" t="s">
        <v>151</v>
      </c>
      <c r="AD233" s="39">
        <v>2021</v>
      </c>
      <c r="AE233" s="30" t="s">
        <v>151</v>
      </c>
      <c r="AF233" s="35">
        <v>45573</v>
      </c>
      <c r="AG233" s="30" t="s">
        <v>151</v>
      </c>
      <c r="AH233" s="30" t="s">
        <v>151</v>
      </c>
      <c r="AI233" s="38">
        <v>4.01</v>
      </c>
      <c r="AJ233" s="32">
        <v>79.15</v>
      </c>
      <c r="AK233" s="38" t="s">
        <v>151</v>
      </c>
      <c r="AL233" s="38" t="s">
        <v>151</v>
      </c>
      <c r="AM233" s="38" t="s">
        <v>151</v>
      </c>
      <c r="AN233" s="38" t="s">
        <v>151</v>
      </c>
      <c r="AO233" s="38" t="s">
        <v>151</v>
      </c>
      <c r="AP233" s="38" t="s">
        <v>151</v>
      </c>
      <c r="AQ233" s="38" t="s">
        <v>151</v>
      </c>
      <c r="AR233" s="29" t="s">
        <v>170</v>
      </c>
      <c r="AS233" s="30" t="s">
        <v>5249</v>
      </c>
      <c r="AT233" s="30" t="s">
        <v>5250</v>
      </c>
      <c r="AU233" s="31">
        <v>15</v>
      </c>
      <c r="AV233" s="30" t="s">
        <v>151</v>
      </c>
      <c r="AW233" s="30" t="s">
        <v>151</v>
      </c>
      <c r="AX233" s="30" t="s">
        <v>151</v>
      </c>
      <c r="AY233" s="30" t="s">
        <v>5251</v>
      </c>
      <c r="AZ233" s="30" t="s">
        <v>151</v>
      </c>
      <c r="BA233" s="30" t="s">
        <v>151</v>
      </c>
      <c r="BB233" s="30" t="s">
        <v>5252</v>
      </c>
      <c r="BC233" s="30" t="s">
        <v>5253</v>
      </c>
      <c r="BD233" s="30" t="s">
        <v>5254</v>
      </c>
      <c r="BE233" s="30" t="s">
        <v>5255</v>
      </c>
      <c r="BF233" s="30" t="s">
        <v>5256</v>
      </c>
      <c r="BG233" s="30" t="s">
        <v>151</v>
      </c>
      <c r="BH233" s="30" t="s">
        <v>5257</v>
      </c>
      <c r="BI233" s="30" t="s">
        <v>5258</v>
      </c>
      <c r="BJ233" s="30" t="s">
        <v>5259</v>
      </c>
      <c r="BK233" s="30" t="s">
        <v>5260</v>
      </c>
      <c r="BL233" s="30" t="s">
        <v>5261</v>
      </c>
      <c r="BM233" s="30" t="s">
        <v>3093</v>
      </c>
      <c r="BN233" s="29" t="s">
        <v>5262</v>
      </c>
      <c r="BO233" s="30" t="s">
        <v>186</v>
      </c>
      <c r="BP233" s="29" t="s">
        <v>5257</v>
      </c>
      <c r="BQ233" s="29" t="s">
        <v>151</v>
      </c>
      <c r="BR233" s="30" t="s">
        <v>5263</v>
      </c>
      <c r="BS233" s="30" t="s">
        <v>187</v>
      </c>
      <c r="BT233" s="30" t="s">
        <v>188</v>
      </c>
      <c r="BU233" s="35">
        <v>44291</v>
      </c>
      <c r="BV233" s="37">
        <v>3</v>
      </c>
      <c r="BW233" s="30" t="s">
        <v>192</v>
      </c>
      <c r="BX233" s="37">
        <v>13</v>
      </c>
      <c r="BY233" s="30" t="s">
        <v>192</v>
      </c>
      <c r="BZ233" s="30" t="s">
        <v>293</v>
      </c>
      <c r="CA233" s="30" t="s">
        <v>293</v>
      </c>
      <c r="CB233" s="30" t="s">
        <v>151</v>
      </c>
      <c r="CC233" s="30" t="s">
        <v>165</v>
      </c>
      <c r="CD233" s="30" t="s">
        <v>151</v>
      </c>
      <c r="CE233" s="30" t="s">
        <v>191</v>
      </c>
      <c r="CF233" s="35">
        <v>45513</v>
      </c>
      <c r="CG233" s="37">
        <v>2.99</v>
      </c>
      <c r="CH233" s="30" t="s">
        <v>192</v>
      </c>
      <c r="CI233" s="37" t="s">
        <v>151</v>
      </c>
      <c r="CJ233" s="30" t="s">
        <v>151</v>
      </c>
      <c r="CK233" s="29" t="s">
        <v>151</v>
      </c>
      <c r="CL233" s="30" t="s">
        <v>293</v>
      </c>
      <c r="CM233" s="30" t="s">
        <v>661</v>
      </c>
      <c r="CN233" s="30" t="s">
        <v>151</v>
      </c>
      <c r="CO233" s="30" t="s">
        <v>165</v>
      </c>
      <c r="CP233" s="35">
        <v>45513</v>
      </c>
      <c r="CQ233" s="37" t="s">
        <v>151</v>
      </c>
      <c r="CR233" s="30" t="s">
        <v>151</v>
      </c>
      <c r="CS233" s="30" t="s">
        <v>191</v>
      </c>
      <c r="CT233" s="29">
        <v>92</v>
      </c>
      <c r="CU233" s="30" t="s">
        <v>196</v>
      </c>
      <c r="CV233" s="32">
        <v>85</v>
      </c>
      <c r="CW233" s="32">
        <v>15</v>
      </c>
      <c r="CX233" s="30" t="s">
        <v>294</v>
      </c>
      <c r="CY233" s="32">
        <v>1</v>
      </c>
      <c r="CZ233" s="32">
        <v>84</v>
      </c>
      <c r="DA233" s="37">
        <v>8.5</v>
      </c>
      <c r="DB233" s="35">
        <v>44943</v>
      </c>
      <c r="DC233" s="30" t="s">
        <v>293</v>
      </c>
      <c r="DD233" s="29">
        <v>0.46</v>
      </c>
      <c r="DE233" s="32">
        <v>3.64</v>
      </c>
      <c r="DF233" s="34">
        <v>100</v>
      </c>
      <c r="DG233" s="32">
        <v>0</v>
      </c>
      <c r="DH233" s="32">
        <v>0</v>
      </c>
      <c r="DI233" s="32">
        <v>0</v>
      </c>
      <c r="DJ233" s="34">
        <v>10</v>
      </c>
      <c r="DK233" s="32" t="s">
        <v>151</v>
      </c>
      <c r="DL233" s="34" t="s">
        <v>151</v>
      </c>
      <c r="DM233" s="32">
        <v>0</v>
      </c>
      <c r="DN233" s="34">
        <v>10</v>
      </c>
      <c r="DO233" s="36">
        <v>2.73</v>
      </c>
      <c r="DP233" s="34">
        <v>73</v>
      </c>
      <c r="DQ233" s="36">
        <v>0</v>
      </c>
      <c r="DR233" s="32">
        <v>0</v>
      </c>
      <c r="DS233" s="36">
        <v>3</v>
      </c>
      <c r="DT233" s="34">
        <v>74</v>
      </c>
      <c r="DU233" s="36" t="s">
        <v>151</v>
      </c>
      <c r="DV233" s="34" t="s">
        <v>151</v>
      </c>
      <c r="DW233" s="36">
        <v>3</v>
      </c>
      <c r="DX233" s="34">
        <v>74</v>
      </c>
      <c r="DY233" s="31" t="s">
        <v>151</v>
      </c>
      <c r="DZ233" s="35" t="s">
        <v>151</v>
      </c>
      <c r="EA233" s="35" t="s">
        <v>151</v>
      </c>
      <c r="EB233" s="34" t="s">
        <v>151</v>
      </c>
      <c r="EC233" s="33" t="s">
        <v>151</v>
      </c>
      <c r="ED233" s="32" t="s">
        <v>151</v>
      </c>
      <c r="EE233" s="34">
        <v>57</v>
      </c>
      <c r="EF233" s="33">
        <v>1</v>
      </c>
      <c r="EG233" s="32">
        <v>1.79</v>
      </c>
      <c r="EH233" s="29" t="s">
        <v>198</v>
      </c>
      <c r="EI233" s="30" t="s">
        <v>151</v>
      </c>
      <c r="EJ233" s="30" t="s">
        <v>151</v>
      </c>
      <c r="EK233" s="31" t="s">
        <v>151</v>
      </c>
      <c r="EL233" s="31" t="s">
        <v>151</v>
      </c>
      <c r="EM233" s="31" t="s">
        <v>151</v>
      </c>
      <c r="EN233" s="31" t="s">
        <v>151</v>
      </c>
      <c r="EO233" s="31" t="s">
        <v>151</v>
      </c>
      <c r="EP233" s="30" t="s">
        <v>151</v>
      </c>
      <c r="EQ233" s="29" t="s">
        <v>151</v>
      </c>
      <c r="ER233" s="29" t="s">
        <v>151</v>
      </c>
      <c r="ES233" s="4">
        <f>HYPERLINK("https://my.pitchbook.com?c=106938-19","View Company Online")</f>
      </c>
    </row>
    <row r="234">
      <c r="A234" s="17" t="s">
        <v>5264</v>
      </c>
      <c r="B234" s="17" t="s">
        <v>5265</v>
      </c>
      <c r="C234" s="18" t="s">
        <v>151</v>
      </c>
      <c r="D234" s="17" t="s">
        <v>151</v>
      </c>
      <c r="E234" s="17" t="s">
        <v>151</v>
      </c>
      <c r="F234" s="17" t="s">
        <v>5266</v>
      </c>
      <c r="G234" s="17" t="s">
        <v>151</v>
      </c>
      <c r="H234" s="17" t="s">
        <v>151</v>
      </c>
      <c r="I234" s="17" t="s">
        <v>5267</v>
      </c>
      <c r="J234" s="17" t="s">
        <v>5264</v>
      </c>
      <c r="K234" s="17" t="s">
        <v>5268</v>
      </c>
      <c r="L234" s="17" t="s">
        <v>205</v>
      </c>
      <c r="M234" s="17" t="s">
        <v>206</v>
      </c>
      <c r="N234" s="17" t="s">
        <v>1268</v>
      </c>
      <c r="O234" s="17" t="s">
        <v>2129</v>
      </c>
      <c r="P234" s="17" t="s">
        <v>5269</v>
      </c>
      <c r="Q234" s="17" t="s">
        <v>5270</v>
      </c>
      <c r="R234" s="17" t="s">
        <v>151</v>
      </c>
      <c r="S234" s="17" t="s">
        <v>162</v>
      </c>
      <c r="T234" s="24">
        <v>34.71</v>
      </c>
      <c r="U234" s="17" t="s">
        <v>163</v>
      </c>
      <c r="V234" s="17" t="s">
        <v>164</v>
      </c>
      <c r="W234" s="17" t="s">
        <v>165</v>
      </c>
      <c r="X234" s="15" t="s">
        <v>5271</v>
      </c>
      <c r="Y234" s="15" t="s">
        <v>5272</v>
      </c>
      <c r="Z234" s="27">
        <v>45</v>
      </c>
      <c r="AA234" s="17" t="s">
        <v>5273</v>
      </c>
      <c r="AB234" s="17" t="s">
        <v>151</v>
      </c>
      <c r="AC234" s="17" t="s">
        <v>151</v>
      </c>
      <c r="AD234" s="26">
        <v>2019</v>
      </c>
      <c r="AE234" s="17" t="s">
        <v>151</v>
      </c>
      <c r="AF234" s="22">
        <v>45595</v>
      </c>
      <c r="AG234" s="17" t="s">
        <v>151</v>
      </c>
      <c r="AH234" s="17" t="s">
        <v>151</v>
      </c>
      <c r="AI234" s="25" t="s">
        <v>151</v>
      </c>
      <c r="AJ234" s="19" t="s">
        <v>151</v>
      </c>
      <c r="AK234" s="25" t="s">
        <v>151</v>
      </c>
      <c r="AL234" s="25" t="s">
        <v>151</v>
      </c>
      <c r="AM234" s="25" t="s">
        <v>151</v>
      </c>
      <c r="AN234" s="25" t="s">
        <v>151</v>
      </c>
      <c r="AO234" s="25" t="s">
        <v>151</v>
      </c>
      <c r="AP234" s="25" t="s">
        <v>151</v>
      </c>
      <c r="AQ234" s="25" t="s">
        <v>151</v>
      </c>
      <c r="AR234" s="16" t="s">
        <v>151</v>
      </c>
      <c r="AS234" s="17" t="s">
        <v>5274</v>
      </c>
      <c r="AT234" s="17" t="s">
        <v>5275</v>
      </c>
      <c r="AU234" s="18">
        <v>20</v>
      </c>
      <c r="AV234" s="17" t="s">
        <v>151</v>
      </c>
      <c r="AW234" s="17" t="s">
        <v>151</v>
      </c>
      <c r="AX234" s="17" t="s">
        <v>151</v>
      </c>
      <c r="AY234" s="17" t="s">
        <v>5276</v>
      </c>
      <c r="AZ234" s="17" t="s">
        <v>151</v>
      </c>
      <c r="BA234" s="17" t="s">
        <v>151</v>
      </c>
      <c r="BB234" s="17" t="s">
        <v>151</v>
      </c>
      <c r="BC234" s="17" t="s">
        <v>601</v>
      </c>
      <c r="BD234" s="17" t="s">
        <v>5277</v>
      </c>
      <c r="BE234" s="17" t="s">
        <v>5278</v>
      </c>
      <c r="BF234" s="17" t="s">
        <v>546</v>
      </c>
      <c r="BG234" s="17" t="s">
        <v>5279</v>
      </c>
      <c r="BH234" s="17" t="s">
        <v>5280</v>
      </c>
      <c r="BI234" s="17" t="s">
        <v>906</v>
      </c>
      <c r="BJ234" s="17" t="s">
        <v>5281</v>
      </c>
      <c r="BK234" s="17" t="s">
        <v>5282</v>
      </c>
      <c r="BL234" s="17" t="s">
        <v>259</v>
      </c>
      <c r="BM234" s="17" t="s">
        <v>259</v>
      </c>
      <c r="BN234" s="16" t="s">
        <v>5051</v>
      </c>
      <c r="BO234" s="17" t="s">
        <v>186</v>
      </c>
      <c r="BP234" s="16" t="s">
        <v>5280</v>
      </c>
      <c r="BQ234" s="16" t="s">
        <v>151</v>
      </c>
      <c r="BR234" s="17" t="s">
        <v>5283</v>
      </c>
      <c r="BS234" s="17" t="s">
        <v>187</v>
      </c>
      <c r="BT234" s="17" t="s">
        <v>188</v>
      </c>
      <c r="BU234" s="22">
        <v>43908</v>
      </c>
      <c r="BV234" s="24">
        <v>0.13</v>
      </c>
      <c r="BW234" s="17" t="s">
        <v>192</v>
      </c>
      <c r="BX234" s="24">
        <v>1.79</v>
      </c>
      <c r="BY234" s="17" t="s">
        <v>192</v>
      </c>
      <c r="BZ234" s="17" t="s">
        <v>189</v>
      </c>
      <c r="CA234" s="17" t="s">
        <v>151</v>
      </c>
      <c r="CB234" s="17" t="s">
        <v>151</v>
      </c>
      <c r="CC234" s="17" t="s">
        <v>190</v>
      </c>
      <c r="CD234" s="17" t="s">
        <v>151</v>
      </c>
      <c r="CE234" s="17" t="s">
        <v>191</v>
      </c>
      <c r="CF234" s="22">
        <v>45322</v>
      </c>
      <c r="CG234" s="24">
        <v>20</v>
      </c>
      <c r="CH234" s="17" t="s">
        <v>192</v>
      </c>
      <c r="CI234" s="24">
        <v>89.25</v>
      </c>
      <c r="CJ234" s="17" t="s">
        <v>192</v>
      </c>
      <c r="CK234" s="16">
        <v>1.15</v>
      </c>
      <c r="CL234" s="17" t="s">
        <v>194</v>
      </c>
      <c r="CM234" s="17" t="s">
        <v>5284</v>
      </c>
      <c r="CN234" s="17" t="s">
        <v>151</v>
      </c>
      <c r="CO234" s="17" t="s">
        <v>165</v>
      </c>
      <c r="CP234" s="22">
        <v>45322</v>
      </c>
      <c r="CQ234" s="24" t="s">
        <v>151</v>
      </c>
      <c r="CR234" s="17" t="s">
        <v>151</v>
      </c>
      <c r="CS234" s="17" t="s">
        <v>191</v>
      </c>
      <c r="CT234" s="16">
        <v>95</v>
      </c>
      <c r="CU234" s="17" t="s">
        <v>196</v>
      </c>
      <c r="CV234" s="19">
        <v>89</v>
      </c>
      <c r="CW234" s="19">
        <v>11</v>
      </c>
      <c r="CX234" s="17" t="s">
        <v>294</v>
      </c>
      <c r="CY234" s="19">
        <v>1</v>
      </c>
      <c r="CZ234" s="19">
        <v>88</v>
      </c>
      <c r="DA234" s="24">
        <v>89.25</v>
      </c>
      <c r="DB234" s="22">
        <v>45322</v>
      </c>
      <c r="DC234" s="17" t="s">
        <v>194</v>
      </c>
      <c r="DD234" s="16">
        <v>1.15</v>
      </c>
      <c r="DE234" s="19">
        <v>0.28</v>
      </c>
      <c r="DF234" s="21">
        <v>92</v>
      </c>
      <c r="DG234" s="19">
        <v>0</v>
      </c>
      <c r="DH234" s="19">
        <v>0</v>
      </c>
      <c r="DI234" s="19" t="s">
        <v>151</v>
      </c>
      <c r="DJ234" s="21" t="s">
        <v>151</v>
      </c>
      <c r="DK234" s="19" t="s">
        <v>151</v>
      </c>
      <c r="DL234" s="21" t="s">
        <v>151</v>
      </c>
      <c r="DM234" s="19" t="s">
        <v>151</v>
      </c>
      <c r="DN234" s="21" t="s">
        <v>151</v>
      </c>
      <c r="DO234" s="23">
        <v>3.46</v>
      </c>
      <c r="DP234" s="21">
        <v>77</v>
      </c>
      <c r="DQ234" s="23">
        <v>0</v>
      </c>
      <c r="DR234" s="19">
        <v>0</v>
      </c>
      <c r="DS234" s="23" t="s">
        <v>151</v>
      </c>
      <c r="DT234" s="21" t="s">
        <v>151</v>
      </c>
      <c r="DU234" s="23" t="s">
        <v>151</v>
      </c>
      <c r="DV234" s="21" t="s">
        <v>151</v>
      </c>
      <c r="DW234" s="23" t="s">
        <v>151</v>
      </c>
      <c r="DX234" s="21" t="s">
        <v>151</v>
      </c>
      <c r="DY234" s="18">
        <v>1</v>
      </c>
      <c r="DZ234" s="22">
        <v>44670</v>
      </c>
      <c r="EA234" s="22" t="s">
        <v>151</v>
      </c>
      <c r="EB234" s="21">
        <v>5879</v>
      </c>
      <c r="EC234" s="20">
        <v>-678</v>
      </c>
      <c r="ED234" s="19">
        <v>-10.34</v>
      </c>
      <c r="EE234" s="21" t="s">
        <v>151</v>
      </c>
      <c r="EF234" s="20" t="s">
        <v>151</v>
      </c>
      <c r="EG234" s="19" t="s">
        <v>151</v>
      </c>
      <c r="EH234" s="16" t="s">
        <v>198</v>
      </c>
      <c r="EI234" s="17" t="s">
        <v>151</v>
      </c>
      <c r="EJ234" s="17" t="s">
        <v>151</v>
      </c>
      <c r="EK234" s="18" t="s">
        <v>151</v>
      </c>
      <c r="EL234" s="18" t="s">
        <v>151</v>
      </c>
      <c r="EM234" s="18" t="s">
        <v>151</v>
      </c>
      <c r="EN234" s="18" t="s">
        <v>151</v>
      </c>
      <c r="EO234" s="18" t="s">
        <v>151</v>
      </c>
      <c r="EP234" s="17" t="s">
        <v>151</v>
      </c>
      <c r="EQ234" s="16" t="s">
        <v>151</v>
      </c>
      <c r="ER234" s="16" t="s">
        <v>151</v>
      </c>
      <c r="ES234" s="3">
        <f>HYPERLINK("https://my.pitchbook.com?c=432866-80","View Company Online")</f>
      </c>
    </row>
    <row r="235">
      <c r="A235" s="30" t="s">
        <v>5285</v>
      </c>
      <c r="B235" s="30" t="s">
        <v>5286</v>
      </c>
      <c r="C235" s="31" t="s">
        <v>151</v>
      </c>
      <c r="D235" s="30" t="s">
        <v>151</v>
      </c>
      <c r="E235" s="30" t="s">
        <v>151</v>
      </c>
      <c r="F235" s="30" t="s">
        <v>5287</v>
      </c>
      <c r="G235" s="30" t="s">
        <v>151</v>
      </c>
      <c r="H235" s="30" t="s">
        <v>151</v>
      </c>
      <c r="I235" s="30" t="s">
        <v>5288</v>
      </c>
      <c r="J235" s="30" t="s">
        <v>5285</v>
      </c>
      <c r="K235" s="30" t="s">
        <v>5289</v>
      </c>
      <c r="L235" s="30" t="s">
        <v>155</v>
      </c>
      <c r="M235" s="30" t="s">
        <v>2320</v>
      </c>
      <c r="N235" s="30" t="s">
        <v>2321</v>
      </c>
      <c r="O235" s="30" t="s">
        <v>2322</v>
      </c>
      <c r="P235" s="30" t="s">
        <v>2640</v>
      </c>
      <c r="Q235" s="30" t="s">
        <v>5290</v>
      </c>
      <c r="R235" s="30" t="s">
        <v>151</v>
      </c>
      <c r="S235" s="30" t="s">
        <v>162</v>
      </c>
      <c r="T235" s="37">
        <v>5.04</v>
      </c>
      <c r="U235" s="30" t="s">
        <v>163</v>
      </c>
      <c r="V235" s="30" t="s">
        <v>164</v>
      </c>
      <c r="W235" s="30" t="s">
        <v>165</v>
      </c>
      <c r="X235" s="28" t="s">
        <v>5291</v>
      </c>
      <c r="Y235" s="28" t="s">
        <v>5292</v>
      </c>
      <c r="Z235" s="40">
        <v>6</v>
      </c>
      <c r="AA235" s="30" t="s">
        <v>5293</v>
      </c>
      <c r="AB235" s="30" t="s">
        <v>151</v>
      </c>
      <c r="AC235" s="30" t="s">
        <v>151</v>
      </c>
      <c r="AD235" s="39">
        <v>2021</v>
      </c>
      <c r="AE235" s="30" t="s">
        <v>151</v>
      </c>
      <c r="AF235" s="35">
        <v>45464</v>
      </c>
      <c r="AG235" s="30" t="s">
        <v>151</v>
      </c>
      <c r="AH235" s="30" t="s">
        <v>151</v>
      </c>
      <c r="AI235" s="38" t="s">
        <v>151</v>
      </c>
      <c r="AJ235" s="32" t="s">
        <v>151</v>
      </c>
      <c r="AK235" s="38" t="s">
        <v>151</v>
      </c>
      <c r="AL235" s="38" t="s">
        <v>151</v>
      </c>
      <c r="AM235" s="38" t="s">
        <v>151</v>
      </c>
      <c r="AN235" s="38" t="s">
        <v>151</v>
      </c>
      <c r="AO235" s="38" t="s">
        <v>151</v>
      </c>
      <c r="AP235" s="38" t="s">
        <v>151</v>
      </c>
      <c r="AQ235" s="38" t="s">
        <v>151</v>
      </c>
      <c r="AR235" s="29" t="s">
        <v>151</v>
      </c>
      <c r="AS235" s="30" t="s">
        <v>5294</v>
      </c>
      <c r="AT235" s="30" t="s">
        <v>5295</v>
      </c>
      <c r="AU235" s="31">
        <v>7</v>
      </c>
      <c r="AV235" s="30" t="s">
        <v>151</v>
      </c>
      <c r="AW235" s="30" t="s">
        <v>151</v>
      </c>
      <c r="AX235" s="30" t="s">
        <v>151</v>
      </c>
      <c r="AY235" s="30" t="s">
        <v>5296</v>
      </c>
      <c r="AZ235" s="30" t="s">
        <v>151</v>
      </c>
      <c r="BA235" s="30" t="s">
        <v>151</v>
      </c>
      <c r="BB235" s="30" t="s">
        <v>151</v>
      </c>
      <c r="BC235" s="30" t="s">
        <v>151</v>
      </c>
      <c r="BD235" s="30" t="s">
        <v>5297</v>
      </c>
      <c r="BE235" s="30" t="s">
        <v>5298</v>
      </c>
      <c r="BF235" s="30" t="s">
        <v>5299</v>
      </c>
      <c r="BG235" s="30" t="s">
        <v>5300</v>
      </c>
      <c r="BH235" s="30" t="s">
        <v>5301</v>
      </c>
      <c r="BI235" s="30" t="s">
        <v>5302</v>
      </c>
      <c r="BJ235" s="30" t="s">
        <v>5303</v>
      </c>
      <c r="BK235" s="30" t="s">
        <v>151</v>
      </c>
      <c r="BL235" s="30" t="s">
        <v>5304</v>
      </c>
      <c r="BM235" s="30" t="s">
        <v>184</v>
      </c>
      <c r="BN235" s="29" t="s">
        <v>5305</v>
      </c>
      <c r="BO235" s="30" t="s">
        <v>186</v>
      </c>
      <c r="BP235" s="29" t="s">
        <v>5301</v>
      </c>
      <c r="BQ235" s="29" t="s">
        <v>151</v>
      </c>
      <c r="BR235" s="30" t="s">
        <v>5306</v>
      </c>
      <c r="BS235" s="30" t="s">
        <v>187</v>
      </c>
      <c r="BT235" s="30" t="s">
        <v>188</v>
      </c>
      <c r="BU235" s="35">
        <v>44562</v>
      </c>
      <c r="BV235" s="37" t="s">
        <v>151</v>
      </c>
      <c r="BW235" s="30" t="s">
        <v>151</v>
      </c>
      <c r="BX235" s="37" t="s">
        <v>151</v>
      </c>
      <c r="BY235" s="30" t="s">
        <v>151</v>
      </c>
      <c r="BZ235" s="30" t="s">
        <v>189</v>
      </c>
      <c r="CA235" s="30" t="s">
        <v>151</v>
      </c>
      <c r="CB235" s="30" t="s">
        <v>151</v>
      </c>
      <c r="CC235" s="30" t="s">
        <v>190</v>
      </c>
      <c r="CD235" s="30" t="s">
        <v>151</v>
      </c>
      <c r="CE235" s="30" t="s">
        <v>191</v>
      </c>
      <c r="CF235" s="35" t="s">
        <v>151</v>
      </c>
      <c r="CG235" s="37" t="s">
        <v>151</v>
      </c>
      <c r="CH235" s="30" t="s">
        <v>151</v>
      </c>
      <c r="CI235" s="37" t="s">
        <v>151</v>
      </c>
      <c r="CJ235" s="30" t="s">
        <v>151</v>
      </c>
      <c r="CK235" s="29" t="s">
        <v>151</v>
      </c>
      <c r="CL235" s="30" t="s">
        <v>293</v>
      </c>
      <c r="CM235" s="30" t="s">
        <v>293</v>
      </c>
      <c r="CN235" s="30" t="s">
        <v>151</v>
      </c>
      <c r="CO235" s="30" t="s">
        <v>165</v>
      </c>
      <c r="CP235" s="35" t="s">
        <v>151</v>
      </c>
      <c r="CQ235" s="37" t="s">
        <v>151</v>
      </c>
      <c r="CR235" s="30" t="s">
        <v>151</v>
      </c>
      <c r="CS235" s="30" t="s">
        <v>1125</v>
      </c>
      <c r="CT235" s="29" t="s">
        <v>151</v>
      </c>
      <c r="CU235" s="30" t="s">
        <v>151</v>
      </c>
      <c r="CV235" s="32" t="s">
        <v>151</v>
      </c>
      <c r="CW235" s="32" t="s">
        <v>151</v>
      </c>
      <c r="CX235" s="30" t="s">
        <v>151</v>
      </c>
      <c r="CY235" s="32" t="s">
        <v>151</v>
      </c>
      <c r="CZ235" s="32" t="s">
        <v>151</v>
      </c>
      <c r="DA235" s="37">
        <v>12.5</v>
      </c>
      <c r="DB235" s="35">
        <v>44907</v>
      </c>
      <c r="DC235" s="30" t="s">
        <v>293</v>
      </c>
      <c r="DD235" s="29" t="s">
        <v>151</v>
      </c>
      <c r="DE235" s="32">
        <v>-0.4</v>
      </c>
      <c r="DF235" s="34">
        <v>8</v>
      </c>
      <c r="DG235" s="32">
        <v>0</v>
      </c>
      <c r="DH235" s="32">
        <v>0</v>
      </c>
      <c r="DI235" s="32">
        <v>-0.8</v>
      </c>
      <c r="DJ235" s="34">
        <v>5</v>
      </c>
      <c r="DK235" s="32" t="s">
        <v>151</v>
      </c>
      <c r="DL235" s="34" t="s">
        <v>151</v>
      </c>
      <c r="DM235" s="32">
        <v>-0.8</v>
      </c>
      <c r="DN235" s="34">
        <v>5</v>
      </c>
      <c r="DO235" s="36">
        <v>3.81</v>
      </c>
      <c r="DP235" s="34">
        <v>78</v>
      </c>
      <c r="DQ235" s="36">
        <v>0</v>
      </c>
      <c r="DR235" s="32">
        <v>0</v>
      </c>
      <c r="DS235" s="36">
        <v>7.16</v>
      </c>
      <c r="DT235" s="34">
        <v>86</v>
      </c>
      <c r="DU235" s="36" t="s">
        <v>151</v>
      </c>
      <c r="DV235" s="34" t="s">
        <v>151</v>
      </c>
      <c r="DW235" s="36">
        <v>7.16</v>
      </c>
      <c r="DX235" s="34">
        <v>86</v>
      </c>
      <c r="DY235" s="31" t="s">
        <v>151</v>
      </c>
      <c r="DZ235" s="35" t="s">
        <v>151</v>
      </c>
      <c r="EA235" s="35" t="s">
        <v>151</v>
      </c>
      <c r="EB235" s="34">
        <v>8812</v>
      </c>
      <c r="EC235" s="33">
        <v>-534</v>
      </c>
      <c r="ED235" s="32">
        <v>-5.71</v>
      </c>
      <c r="EE235" s="34">
        <v>136</v>
      </c>
      <c r="EF235" s="33">
        <v>0</v>
      </c>
      <c r="EG235" s="32">
        <v>0</v>
      </c>
      <c r="EH235" s="29" t="s">
        <v>198</v>
      </c>
      <c r="EI235" s="30" t="s">
        <v>151</v>
      </c>
      <c r="EJ235" s="30" t="s">
        <v>151</v>
      </c>
      <c r="EK235" s="31" t="s">
        <v>151</v>
      </c>
      <c r="EL235" s="31" t="s">
        <v>151</v>
      </c>
      <c r="EM235" s="31" t="s">
        <v>151</v>
      </c>
      <c r="EN235" s="31" t="s">
        <v>151</v>
      </c>
      <c r="EO235" s="31" t="s">
        <v>151</v>
      </c>
      <c r="EP235" s="30" t="s">
        <v>151</v>
      </c>
      <c r="EQ235" s="29" t="s">
        <v>151</v>
      </c>
      <c r="ER235" s="29" t="s">
        <v>151</v>
      </c>
      <c r="ES235" s="4">
        <f>HYPERLINK("https://my.pitchbook.com?c=483321-52","View Company Online")</f>
      </c>
    </row>
    <row r="236">
      <c r="A236" s="17" t="s">
        <v>5307</v>
      </c>
      <c r="B236" s="17" t="s">
        <v>5308</v>
      </c>
      <c r="C236" s="18" t="s">
        <v>151</v>
      </c>
      <c r="D236" s="17" t="s">
        <v>151</v>
      </c>
      <c r="E236" s="17" t="s">
        <v>151</v>
      </c>
      <c r="F236" s="17" t="s">
        <v>5309</v>
      </c>
      <c r="G236" s="17" t="s">
        <v>151</v>
      </c>
      <c r="H236" s="17" t="s">
        <v>151</v>
      </c>
      <c r="I236" s="17" t="s">
        <v>151</v>
      </c>
      <c r="J236" s="17" t="s">
        <v>5307</v>
      </c>
      <c r="K236" s="17" t="s">
        <v>5310</v>
      </c>
      <c r="L236" s="17" t="s">
        <v>205</v>
      </c>
      <c r="M236" s="17" t="s">
        <v>206</v>
      </c>
      <c r="N236" s="17" t="s">
        <v>269</v>
      </c>
      <c r="O236" s="17" t="s">
        <v>563</v>
      </c>
      <c r="P236" s="17" t="s">
        <v>5311</v>
      </c>
      <c r="Q236" s="17" t="s">
        <v>5312</v>
      </c>
      <c r="R236" s="17" t="s">
        <v>151</v>
      </c>
      <c r="S236" s="17" t="s">
        <v>162</v>
      </c>
      <c r="T236" s="24">
        <v>5.3</v>
      </c>
      <c r="U236" s="17" t="s">
        <v>163</v>
      </c>
      <c r="V236" s="17" t="s">
        <v>164</v>
      </c>
      <c r="W236" s="17" t="s">
        <v>165</v>
      </c>
      <c r="X236" s="15" t="s">
        <v>5313</v>
      </c>
      <c r="Y236" s="15" t="s">
        <v>5314</v>
      </c>
      <c r="Z236" s="27">
        <v>13</v>
      </c>
      <c r="AA236" s="17" t="s">
        <v>5315</v>
      </c>
      <c r="AB236" s="17" t="s">
        <v>151</v>
      </c>
      <c r="AC236" s="17" t="s">
        <v>151</v>
      </c>
      <c r="AD236" s="26">
        <v>2021</v>
      </c>
      <c r="AE236" s="17" t="s">
        <v>151</v>
      </c>
      <c r="AF236" s="22">
        <v>45583</v>
      </c>
      <c r="AG236" s="17" t="s">
        <v>151</v>
      </c>
      <c r="AH236" s="17" t="s">
        <v>151</v>
      </c>
      <c r="AI236" s="25" t="s">
        <v>151</v>
      </c>
      <c r="AJ236" s="19" t="s">
        <v>151</v>
      </c>
      <c r="AK236" s="25" t="s">
        <v>151</v>
      </c>
      <c r="AL236" s="25" t="s">
        <v>151</v>
      </c>
      <c r="AM236" s="25" t="s">
        <v>151</v>
      </c>
      <c r="AN236" s="25" t="s">
        <v>151</v>
      </c>
      <c r="AO236" s="25" t="s">
        <v>151</v>
      </c>
      <c r="AP236" s="25" t="s">
        <v>151</v>
      </c>
      <c r="AQ236" s="25" t="s">
        <v>151</v>
      </c>
      <c r="AR236" s="16" t="s">
        <v>151</v>
      </c>
      <c r="AS236" s="17" t="s">
        <v>5316</v>
      </c>
      <c r="AT236" s="17" t="s">
        <v>5317</v>
      </c>
      <c r="AU236" s="18">
        <v>5</v>
      </c>
      <c r="AV236" s="17" t="s">
        <v>151</v>
      </c>
      <c r="AW236" s="17" t="s">
        <v>151</v>
      </c>
      <c r="AX236" s="17" t="s">
        <v>151</v>
      </c>
      <c r="AY236" s="17" t="s">
        <v>5318</v>
      </c>
      <c r="AZ236" s="17" t="s">
        <v>151</v>
      </c>
      <c r="BA236" s="17" t="s">
        <v>151</v>
      </c>
      <c r="BB236" s="17" t="s">
        <v>151</v>
      </c>
      <c r="BC236" s="17" t="s">
        <v>151</v>
      </c>
      <c r="BD236" s="17" t="s">
        <v>5319</v>
      </c>
      <c r="BE236" s="17" t="s">
        <v>5320</v>
      </c>
      <c r="BF236" s="17" t="s">
        <v>403</v>
      </c>
      <c r="BG236" s="17" t="s">
        <v>5321</v>
      </c>
      <c r="BH236" s="17" t="s">
        <v>5322</v>
      </c>
      <c r="BI236" s="17" t="s">
        <v>764</v>
      </c>
      <c r="BJ236" s="17" t="s">
        <v>5323</v>
      </c>
      <c r="BK236" s="17" t="s">
        <v>151</v>
      </c>
      <c r="BL236" s="17" t="s">
        <v>767</v>
      </c>
      <c r="BM236" s="17" t="s">
        <v>184</v>
      </c>
      <c r="BN236" s="16" t="s">
        <v>1260</v>
      </c>
      <c r="BO236" s="17" t="s">
        <v>186</v>
      </c>
      <c r="BP236" s="16" t="s">
        <v>5322</v>
      </c>
      <c r="BQ236" s="16" t="s">
        <v>151</v>
      </c>
      <c r="BR236" s="17" t="s">
        <v>151</v>
      </c>
      <c r="BS236" s="17" t="s">
        <v>187</v>
      </c>
      <c r="BT236" s="17" t="s">
        <v>188</v>
      </c>
      <c r="BU236" s="22">
        <v>44263</v>
      </c>
      <c r="BV236" s="24">
        <v>0.3</v>
      </c>
      <c r="BW236" s="17" t="s">
        <v>193</v>
      </c>
      <c r="BX236" s="24">
        <v>6</v>
      </c>
      <c r="BY236" s="17" t="s">
        <v>193</v>
      </c>
      <c r="BZ236" s="17" t="s">
        <v>293</v>
      </c>
      <c r="CA236" s="17" t="s">
        <v>293</v>
      </c>
      <c r="CB236" s="17" t="s">
        <v>151</v>
      </c>
      <c r="CC236" s="17" t="s">
        <v>165</v>
      </c>
      <c r="CD236" s="17" t="s">
        <v>151</v>
      </c>
      <c r="CE236" s="17" t="s">
        <v>191</v>
      </c>
      <c r="CF236" s="22">
        <v>45022</v>
      </c>
      <c r="CG236" s="24">
        <v>5</v>
      </c>
      <c r="CH236" s="17" t="s">
        <v>193</v>
      </c>
      <c r="CI236" s="24">
        <v>17</v>
      </c>
      <c r="CJ236" s="17" t="s">
        <v>193</v>
      </c>
      <c r="CK236" s="16">
        <v>2</v>
      </c>
      <c r="CL236" s="17" t="s">
        <v>293</v>
      </c>
      <c r="CM236" s="17" t="s">
        <v>293</v>
      </c>
      <c r="CN236" s="17" t="s">
        <v>151</v>
      </c>
      <c r="CO236" s="17" t="s">
        <v>165</v>
      </c>
      <c r="CP236" s="22">
        <v>45022</v>
      </c>
      <c r="CQ236" s="24" t="s">
        <v>151</v>
      </c>
      <c r="CR236" s="17" t="s">
        <v>151</v>
      </c>
      <c r="CS236" s="17" t="s">
        <v>191</v>
      </c>
      <c r="CT236" s="16">
        <v>49</v>
      </c>
      <c r="CU236" s="17" t="s">
        <v>263</v>
      </c>
      <c r="CV236" s="19">
        <v>47</v>
      </c>
      <c r="CW236" s="19">
        <v>53</v>
      </c>
      <c r="CX236" s="17" t="s">
        <v>263</v>
      </c>
      <c r="CY236" s="19">
        <v>1</v>
      </c>
      <c r="CZ236" s="19">
        <v>46</v>
      </c>
      <c r="DA236" s="24">
        <v>17</v>
      </c>
      <c r="DB236" s="22">
        <v>45022</v>
      </c>
      <c r="DC236" s="17" t="s">
        <v>293</v>
      </c>
      <c r="DD236" s="16">
        <v>2</v>
      </c>
      <c r="DE236" s="19">
        <v>0</v>
      </c>
      <c r="DF236" s="21">
        <v>11</v>
      </c>
      <c r="DG236" s="19">
        <v>0</v>
      </c>
      <c r="DH236" s="19">
        <v>0</v>
      </c>
      <c r="DI236" s="19">
        <v>0</v>
      </c>
      <c r="DJ236" s="21">
        <v>10</v>
      </c>
      <c r="DK236" s="19" t="s">
        <v>151</v>
      </c>
      <c r="DL236" s="21" t="s">
        <v>151</v>
      </c>
      <c r="DM236" s="19">
        <v>0</v>
      </c>
      <c r="DN236" s="21">
        <v>10</v>
      </c>
      <c r="DO236" s="23">
        <v>2.66</v>
      </c>
      <c r="DP236" s="21">
        <v>72</v>
      </c>
      <c r="DQ236" s="23">
        <v>0</v>
      </c>
      <c r="DR236" s="19">
        <v>0</v>
      </c>
      <c r="DS236" s="23">
        <v>4.32</v>
      </c>
      <c r="DT236" s="21">
        <v>80</v>
      </c>
      <c r="DU236" s="23" t="s">
        <v>151</v>
      </c>
      <c r="DV236" s="21" t="s">
        <v>151</v>
      </c>
      <c r="DW236" s="23">
        <v>4.32</v>
      </c>
      <c r="DX236" s="21">
        <v>80</v>
      </c>
      <c r="DY236" s="18" t="s">
        <v>151</v>
      </c>
      <c r="DZ236" s="22" t="s">
        <v>151</v>
      </c>
      <c r="EA236" s="22" t="s">
        <v>151</v>
      </c>
      <c r="EB236" s="21">
        <v>4215</v>
      </c>
      <c r="EC236" s="20">
        <v>612</v>
      </c>
      <c r="ED236" s="19">
        <v>16.99</v>
      </c>
      <c r="EE236" s="21">
        <v>82</v>
      </c>
      <c r="EF236" s="20">
        <v>1</v>
      </c>
      <c r="EG236" s="19">
        <v>1.23</v>
      </c>
      <c r="EH236" s="16" t="s">
        <v>198</v>
      </c>
      <c r="EI236" s="17" t="s">
        <v>151</v>
      </c>
      <c r="EJ236" s="17" t="s">
        <v>151</v>
      </c>
      <c r="EK236" s="18" t="s">
        <v>151</v>
      </c>
      <c r="EL236" s="18" t="s">
        <v>151</v>
      </c>
      <c r="EM236" s="18" t="s">
        <v>151</v>
      </c>
      <c r="EN236" s="18" t="s">
        <v>151</v>
      </c>
      <c r="EO236" s="18" t="s">
        <v>151</v>
      </c>
      <c r="EP236" s="17" t="s">
        <v>151</v>
      </c>
      <c r="EQ236" s="16" t="s">
        <v>151</v>
      </c>
      <c r="ER236" s="16" t="s">
        <v>151</v>
      </c>
      <c r="ES236" s="3">
        <f>HYPERLINK("https://my.pitchbook.com?c=501275-35","View Company Online")</f>
      </c>
    </row>
    <row r="237">
      <c r="A237" s="30" t="s">
        <v>5324</v>
      </c>
      <c r="B237" s="30" t="s">
        <v>5325</v>
      </c>
      <c r="C237" s="31" t="s">
        <v>151</v>
      </c>
      <c r="D237" s="30" t="s">
        <v>151</v>
      </c>
      <c r="E237" s="30" t="s">
        <v>5326</v>
      </c>
      <c r="F237" s="30" t="s">
        <v>5327</v>
      </c>
      <c r="G237" s="30" t="s">
        <v>151</v>
      </c>
      <c r="H237" s="30" t="s">
        <v>151</v>
      </c>
      <c r="I237" s="30" t="s">
        <v>151</v>
      </c>
      <c r="J237" s="30" t="s">
        <v>5324</v>
      </c>
      <c r="K237" s="30" t="s">
        <v>5328</v>
      </c>
      <c r="L237" s="30" t="s">
        <v>1792</v>
      </c>
      <c r="M237" s="30" t="s">
        <v>5329</v>
      </c>
      <c r="N237" s="30" t="s">
        <v>5330</v>
      </c>
      <c r="O237" s="30" t="s">
        <v>5331</v>
      </c>
      <c r="P237" s="30" t="s">
        <v>5332</v>
      </c>
      <c r="Q237" s="30" t="s">
        <v>5333</v>
      </c>
      <c r="R237" s="30" t="s">
        <v>151</v>
      </c>
      <c r="S237" s="30" t="s">
        <v>162</v>
      </c>
      <c r="T237" s="37">
        <v>0.53</v>
      </c>
      <c r="U237" s="30" t="s">
        <v>163</v>
      </c>
      <c r="V237" s="30" t="s">
        <v>164</v>
      </c>
      <c r="W237" s="30" t="s">
        <v>165</v>
      </c>
      <c r="X237" s="28" t="s">
        <v>5334</v>
      </c>
      <c r="Y237" s="28" t="s">
        <v>5335</v>
      </c>
      <c r="Z237" s="40">
        <v>12</v>
      </c>
      <c r="AA237" s="30" t="s">
        <v>5336</v>
      </c>
      <c r="AB237" s="30" t="s">
        <v>151</v>
      </c>
      <c r="AC237" s="30" t="s">
        <v>151</v>
      </c>
      <c r="AD237" s="39">
        <v>2020</v>
      </c>
      <c r="AE237" s="30" t="s">
        <v>151</v>
      </c>
      <c r="AF237" s="35">
        <v>45607</v>
      </c>
      <c r="AG237" s="30" t="s">
        <v>151</v>
      </c>
      <c r="AH237" s="30" t="s">
        <v>151</v>
      </c>
      <c r="AI237" s="38" t="s">
        <v>151</v>
      </c>
      <c r="AJ237" s="32" t="s">
        <v>151</v>
      </c>
      <c r="AK237" s="38" t="s">
        <v>151</v>
      </c>
      <c r="AL237" s="38" t="s">
        <v>151</v>
      </c>
      <c r="AM237" s="38" t="s">
        <v>151</v>
      </c>
      <c r="AN237" s="38" t="s">
        <v>151</v>
      </c>
      <c r="AO237" s="38" t="s">
        <v>151</v>
      </c>
      <c r="AP237" s="38" t="s">
        <v>151</v>
      </c>
      <c r="AQ237" s="38" t="s">
        <v>151</v>
      </c>
      <c r="AR237" s="29" t="s">
        <v>151</v>
      </c>
      <c r="AS237" s="30" t="s">
        <v>5337</v>
      </c>
      <c r="AT237" s="30" t="s">
        <v>5338</v>
      </c>
      <c r="AU237" s="31">
        <v>6</v>
      </c>
      <c r="AV237" s="30" t="s">
        <v>151</v>
      </c>
      <c r="AW237" s="30" t="s">
        <v>151</v>
      </c>
      <c r="AX237" s="30" t="s">
        <v>151</v>
      </c>
      <c r="AY237" s="30" t="s">
        <v>5339</v>
      </c>
      <c r="AZ237" s="30" t="s">
        <v>151</v>
      </c>
      <c r="BA237" s="30" t="s">
        <v>151</v>
      </c>
      <c r="BB237" s="30" t="s">
        <v>151</v>
      </c>
      <c r="BC237" s="30" t="s">
        <v>151</v>
      </c>
      <c r="BD237" s="30" t="s">
        <v>5340</v>
      </c>
      <c r="BE237" s="30" t="s">
        <v>5341</v>
      </c>
      <c r="BF237" s="30" t="s">
        <v>403</v>
      </c>
      <c r="BG237" s="30" t="s">
        <v>5342</v>
      </c>
      <c r="BH237" s="30" t="s">
        <v>5343</v>
      </c>
      <c r="BI237" s="30" t="s">
        <v>5344</v>
      </c>
      <c r="BJ237" s="30" t="s">
        <v>5345</v>
      </c>
      <c r="BK237" s="30" t="s">
        <v>3570</v>
      </c>
      <c r="BL237" s="30" t="s">
        <v>5346</v>
      </c>
      <c r="BM237" s="30" t="s">
        <v>1043</v>
      </c>
      <c r="BN237" s="29" t="s">
        <v>5347</v>
      </c>
      <c r="BO237" s="30" t="s">
        <v>186</v>
      </c>
      <c r="BP237" s="29" t="s">
        <v>5343</v>
      </c>
      <c r="BQ237" s="29" t="s">
        <v>151</v>
      </c>
      <c r="BR237" s="30" t="s">
        <v>5348</v>
      </c>
      <c r="BS237" s="30" t="s">
        <v>187</v>
      </c>
      <c r="BT237" s="30" t="s">
        <v>188</v>
      </c>
      <c r="BU237" s="35">
        <v>44418</v>
      </c>
      <c r="BV237" s="37">
        <v>0.03</v>
      </c>
      <c r="BW237" s="30" t="s">
        <v>192</v>
      </c>
      <c r="BX237" s="37" t="s">
        <v>151</v>
      </c>
      <c r="BY237" s="30" t="s">
        <v>151</v>
      </c>
      <c r="BZ237" s="30" t="s">
        <v>501</v>
      </c>
      <c r="CA237" s="30" t="s">
        <v>151</v>
      </c>
      <c r="CB237" s="30" t="s">
        <v>151</v>
      </c>
      <c r="CC237" s="30" t="s">
        <v>190</v>
      </c>
      <c r="CD237" s="30" t="s">
        <v>151</v>
      </c>
      <c r="CE237" s="30" t="s">
        <v>191</v>
      </c>
      <c r="CF237" s="35">
        <v>45323</v>
      </c>
      <c r="CG237" s="37">
        <v>0.5</v>
      </c>
      <c r="CH237" s="30" t="s">
        <v>192</v>
      </c>
      <c r="CI237" s="37" t="s">
        <v>151</v>
      </c>
      <c r="CJ237" s="30" t="s">
        <v>151</v>
      </c>
      <c r="CK237" s="29" t="s">
        <v>151</v>
      </c>
      <c r="CL237" s="30" t="s">
        <v>231</v>
      </c>
      <c r="CM237" s="30" t="s">
        <v>151</v>
      </c>
      <c r="CN237" s="30" t="s">
        <v>151</v>
      </c>
      <c r="CO237" s="30" t="s">
        <v>165</v>
      </c>
      <c r="CP237" s="35">
        <v>45323</v>
      </c>
      <c r="CQ237" s="37" t="s">
        <v>151</v>
      </c>
      <c r="CR237" s="30" t="s">
        <v>151</v>
      </c>
      <c r="CS237" s="30" t="s">
        <v>191</v>
      </c>
      <c r="CT237" s="29">
        <v>29</v>
      </c>
      <c r="CU237" s="30" t="s">
        <v>263</v>
      </c>
      <c r="CV237" s="32">
        <v>30</v>
      </c>
      <c r="CW237" s="32">
        <v>70</v>
      </c>
      <c r="CX237" s="30" t="s">
        <v>263</v>
      </c>
      <c r="CY237" s="32">
        <v>1</v>
      </c>
      <c r="CZ237" s="32">
        <v>29</v>
      </c>
      <c r="DA237" s="37" t="s">
        <v>151</v>
      </c>
      <c r="DB237" s="35" t="s">
        <v>151</v>
      </c>
      <c r="DC237" s="30" t="s">
        <v>151</v>
      </c>
      <c r="DD237" s="29" t="s">
        <v>151</v>
      </c>
      <c r="DE237" s="32" t="s">
        <v>151</v>
      </c>
      <c r="DF237" s="34" t="s">
        <v>151</v>
      </c>
      <c r="DG237" s="32" t="s">
        <v>151</v>
      </c>
      <c r="DH237" s="32" t="s">
        <v>151</v>
      </c>
      <c r="DI237" s="32" t="s">
        <v>151</v>
      </c>
      <c r="DJ237" s="34" t="s">
        <v>151</v>
      </c>
      <c r="DK237" s="32" t="s">
        <v>151</v>
      </c>
      <c r="DL237" s="34" t="s">
        <v>151</v>
      </c>
      <c r="DM237" s="32" t="s">
        <v>151</v>
      </c>
      <c r="DN237" s="34" t="s">
        <v>151</v>
      </c>
      <c r="DO237" s="36" t="s">
        <v>151</v>
      </c>
      <c r="DP237" s="34" t="s">
        <v>151</v>
      </c>
      <c r="DQ237" s="36" t="s">
        <v>151</v>
      </c>
      <c r="DR237" s="32" t="s">
        <v>151</v>
      </c>
      <c r="DS237" s="36" t="s">
        <v>151</v>
      </c>
      <c r="DT237" s="34" t="s">
        <v>151</v>
      </c>
      <c r="DU237" s="36" t="s">
        <v>151</v>
      </c>
      <c r="DV237" s="34" t="s">
        <v>151</v>
      </c>
      <c r="DW237" s="36" t="s">
        <v>151</v>
      </c>
      <c r="DX237" s="34" t="s">
        <v>151</v>
      </c>
      <c r="DY237" s="31">
        <v>1</v>
      </c>
      <c r="DZ237" s="35">
        <v>44365</v>
      </c>
      <c r="EA237" s="35" t="s">
        <v>5349</v>
      </c>
      <c r="EB237" s="34" t="s">
        <v>151</v>
      </c>
      <c r="EC237" s="33" t="s">
        <v>151</v>
      </c>
      <c r="ED237" s="32" t="s">
        <v>151</v>
      </c>
      <c r="EE237" s="34" t="s">
        <v>151</v>
      </c>
      <c r="EF237" s="33" t="s">
        <v>151</v>
      </c>
      <c r="EG237" s="32" t="s">
        <v>151</v>
      </c>
      <c r="EH237" s="29" t="s">
        <v>198</v>
      </c>
      <c r="EI237" s="30" t="s">
        <v>151</v>
      </c>
      <c r="EJ237" s="30" t="s">
        <v>151</v>
      </c>
      <c r="EK237" s="31" t="s">
        <v>151</v>
      </c>
      <c r="EL237" s="31" t="s">
        <v>151</v>
      </c>
      <c r="EM237" s="31" t="s">
        <v>151</v>
      </c>
      <c r="EN237" s="31" t="s">
        <v>151</v>
      </c>
      <c r="EO237" s="31" t="s">
        <v>151</v>
      </c>
      <c r="EP237" s="30" t="s">
        <v>151</v>
      </c>
      <c r="EQ237" s="29" t="s">
        <v>151</v>
      </c>
      <c r="ER237" s="29" t="s">
        <v>151</v>
      </c>
      <c r="ES237" s="4">
        <f>HYPERLINK("https://my.pitchbook.com?c=509478-40","View Company Online")</f>
      </c>
    </row>
    <row r="238">
      <c r="A238" s="17" t="s">
        <v>5350</v>
      </c>
      <c r="B238" s="17" t="s">
        <v>5351</v>
      </c>
      <c r="C238" s="18" t="s">
        <v>151</v>
      </c>
      <c r="D238" s="17" t="s">
        <v>151</v>
      </c>
      <c r="E238" s="17" t="s">
        <v>151</v>
      </c>
      <c r="F238" s="17" t="s">
        <v>5352</v>
      </c>
      <c r="G238" s="17" t="s">
        <v>151</v>
      </c>
      <c r="H238" s="17" t="s">
        <v>151</v>
      </c>
      <c r="I238" s="17" t="s">
        <v>151</v>
      </c>
      <c r="J238" s="17" t="s">
        <v>5350</v>
      </c>
      <c r="K238" s="17" t="s">
        <v>5353</v>
      </c>
      <c r="L238" s="17" t="s">
        <v>1792</v>
      </c>
      <c r="M238" s="17" t="s">
        <v>5329</v>
      </c>
      <c r="N238" s="17" t="s">
        <v>5330</v>
      </c>
      <c r="O238" s="17" t="s">
        <v>5354</v>
      </c>
      <c r="P238" s="17" t="s">
        <v>5355</v>
      </c>
      <c r="Q238" s="17" t="s">
        <v>5356</v>
      </c>
      <c r="R238" s="17" t="s">
        <v>151</v>
      </c>
      <c r="S238" s="17" t="s">
        <v>162</v>
      </c>
      <c r="T238" s="24">
        <v>0.43</v>
      </c>
      <c r="U238" s="17" t="s">
        <v>163</v>
      </c>
      <c r="V238" s="17" t="s">
        <v>164</v>
      </c>
      <c r="W238" s="17" t="s">
        <v>165</v>
      </c>
      <c r="X238" s="15" t="s">
        <v>5357</v>
      </c>
      <c r="Y238" s="15" t="s">
        <v>5358</v>
      </c>
      <c r="Z238" s="27">
        <v>7</v>
      </c>
      <c r="AA238" s="17" t="s">
        <v>5359</v>
      </c>
      <c r="AB238" s="17" t="s">
        <v>151</v>
      </c>
      <c r="AC238" s="17" t="s">
        <v>151</v>
      </c>
      <c r="AD238" s="26" t="s">
        <v>151</v>
      </c>
      <c r="AE238" s="17" t="s">
        <v>151</v>
      </c>
      <c r="AF238" s="22">
        <v>45579</v>
      </c>
      <c r="AG238" s="17" t="s">
        <v>151</v>
      </c>
      <c r="AH238" s="17" t="s">
        <v>151</v>
      </c>
      <c r="AI238" s="25" t="s">
        <v>151</v>
      </c>
      <c r="AJ238" s="19" t="s">
        <v>151</v>
      </c>
      <c r="AK238" s="25" t="s">
        <v>151</v>
      </c>
      <c r="AL238" s="25" t="s">
        <v>151</v>
      </c>
      <c r="AM238" s="25" t="s">
        <v>151</v>
      </c>
      <c r="AN238" s="25" t="s">
        <v>151</v>
      </c>
      <c r="AO238" s="25" t="s">
        <v>151</v>
      </c>
      <c r="AP238" s="25" t="s">
        <v>151</v>
      </c>
      <c r="AQ238" s="25" t="s">
        <v>151</v>
      </c>
      <c r="AR238" s="16" t="s">
        <v>151</v>
      </c>
      <c r="AS238" s="17" t="s">
        <v>5360</v>
      </c>
      <c r="AT238" s="17" t="s">
        <v>5361</v>
      </c>
      <c r="AU238" s="18">
        <v>3</v>
      </c>
      <c r="AV238" s="17" t="s">
        <v>151</v>
      </c>
      <c r="AW238" s="17" t="s">
        <v>151</v>
      </c>
      <c r="AX238" s="17" t="s">
        <v>151</v>
      </c>
      <c r="AY238" s="17" t="s">
        <v>5362</v>
      </c>
      <c r="AZ238" s="17" t="s">
        <v>151</v>
      </c>
      <c r="BA238" s="17" t="s">
        <v>151</v>
      </c>
      <c r="BB238" s="17" t="s">
        <v>151</v>
      </c>
      <c r="BC238" s="17" t="s">
        <v>151</v>
      </c>
      <c r="BD238" s="17" t="s">
        <v>5363</v>
      </c>
      <c r="BE238" s="17" t="s">
        <v>5364</v>
      </c>
      <c r="BF238" s="17" t="s">
        <v>221</v>
      </c>
      <c r="BG238" s="17" t="s">
        <v>5365</v>
      </c>
      <c r="BH238" s="17" t="s">
        <v>5366</v>
      </c>
      <c r="BI238" s="17" t="s">
        <v>1068</v>
      </c>
      <c r="BJ238" s="17" t="s">
        <v>5367</v>
      </c>
      <c r="BK238" s="17" t="s">
        <v>2678</v>
      </c>
      <c r="BL238" s="17" t="s">
        <v>1071</v>
      </c>
      <c r="BM238" s="17" t="s">
        <v>1072</v>
      </c>
      <c r="BN238" s="16" t="s">
        <v>151</v>
      </c>
      <c r="BO238" s="17" t="s">
        <v>186</v>
      </c>
      <c r="BP238" s="16" t="s">
        <v>5366</v>
      </c>
      <c r="BQ238" s="16" t="s">
        <v>151</v>
      </c>
      <c r="BR238" s="17" t="s">
        <v>5368</v>
      </c>
      <c r="BS238" s="17" t="s">
        <v>187</v>
      </c>
      <c r="BT238" s="17" t="s">
        <v>188</v>
      </c>
      <c r="BU238" s="22">
        <v>45020</v>
      </c>
      <c r="BV238" s="24">
        <v>0.01</v>
      </c>
      <c r="BW238" s="17" t="s">
        <v>192</v>
      </c>
      <c r="BX238" s="24" t="s">
        <v>151</v>
      </c>
      <c r="BY238" s="17" t="s">
        <v>151</v>
      </c>
      <c r="BZ238" s="17" t="s">
        <v>189</v>
      </c>
      <c r="CA238" s="17" t="s">
        <v>151</v>
      </c>
      <c r="CB238" s="17" t="s">
        <v>151</v>
      </c>
      <c r="CC238" s="17" t="s">
        <v>190</v>
      </c>
      <c r="CD238" s="17" t="s">
        <v>151</v>
      </c>
      <c r="CE238" s="17" t="s">
        <v>191</v>
      </c>
      <c r="CF238" s="22">
        <v>45398</v>
      </c>
      <c r="CG238" s="24">
        <v>0.35</v>
      </c>
      <c r="CH238" s="17" t="s">
        <v>192</v>
      </c>
      <c r="CI238" s="24" t="s">
        <v>151</v>
      </c>
      <c r="CJ238" s="17" t="s">
        <v>151</v>
      </c>
      <c r="CK238" s="16" t="s">
        <v>151</v>
      </c>
      <c r="CL238" s="17" t="s">
        <v>231</v>
      </c>
      <c r="CM238" s="17" t="s">
        <v>151</v>
      </c>
      <c r="CN238" s="17" t="s">
        <v>151</v>
      </c>
      <c r="CO238" s="17" t="s">
        <v>165</v>
      </c>
      <c r="CP238" s="22">
        <v>45398</v>
      </c>
      <c r="CQ238" s="24" t="s">
        <v>151</v>
      </c>
      <c r="CR238" s="17" t="s">
        <v>151</v>
      </c>
      <c r="CS238" s="17" t="s">
        <v>191</v>
      </c>
      <c r="CT238" s="16" t="s">
        <v>151</v>
      </c>
      <c r="CU238" s="17" t="s">
        <v>151</v>
      </c>
      <c r="CV238" s="19" t="s">
        <v>151</v>
      </c>
      <c r="CW238" s="19" t="s">
        <v>151</v>
      </c>
      <c r="CX238" s="17" t="s">
        <v>151</v>
      </c>
      <c r="CY238" s="19" t="s">
        <v>151</v>
      </c>
      <c r="CZ238" s="19" t="s">
        <v>151</v>
      </c>
      <c r="DA238" s="24" t="s">
        <v>151</v>
      </c>
      <c r="DB238" s="22" t="s">
        <v>151</v>
      </c>
      <c r="DC238" s="17" t="s">
        <v>151</v>
      </c>
      <c r="DD238" s="16" t="s">
        <v>151</v>
      </c>
      <c r="DE238" s="19">
        <v>2.08</v>
      </c>
      <c r="DF238" s="21">
        <v>98</v>
      </c>
      <c r="DG238" s="19">
        <v>0</v>
      </c>
      <c r="DH238" s="19">
        <v>0</v>
      </c>
      <c r="DI238" s="19" t="s">
        <v>151</v>
      </c>
      <c r="DJ238" s="21" t="s">
        <v>151</v>
      </c>
      <c r="DK238" s="19" t="s">
        <v>151</v>
      </c>
      <c r="DL238" s="21" t="s">
        <v>151</v>
      </c>
      <c r="DM238" s="19" t="s">
        <v>151</v>
      </c>
      <c r="DN238" s="21" t="s">
        <v>151</v>
      </c>
      <c r="DO238" s="23">
        <v>0.54</v>
      </c>
      <c r="DP238" s="21">
        <v>35</v>
      </c>
      <c r="DQ238" s="23">
        <v>0</v>
      </c>
      <c r="DR238" s="19">
        <v>0</v>
      </c>
      <c r="DS238" s="23" t="s">
        <v>151</v>
      </c>
      <c r="DT238" s="21" t="s">
        <v>151</v>
      </c>
      <c r="DU238" s="23" t="s">
        <v>151</v>
      </c>
      <c r="DV238" s="21" t="s">
        <v>151</v>
      </c>
      <c r="DW238" s="23" t="s">
        <v>151</v>
      </c>
      <c r="DX238" s="21" t="s">
        <v>151</v>
      </c>
      <c r="DY238" s="18" t="s">
        <v>151</v>
      </c>
      <c r="DZ238" s="22" t="s">
        <v>151</v>
      </c>
      <c r="EA238" s="22" t="s">
        <v>151</v>
      </c>
      <c r="EB238" s="21" t="s">
        <v>151</v>
      </c>
      <c r="EC238" s="20" t="s">
        <v>151</v>
      </c>
      <c r="ED238" s="19" t="s">
        <v>151</v>
      </c>
      <c r="EE238" s="21" t="s">
        <v>151</v>
      </c>
      <c r="EF238" s="20" t="s">
        <v>151</v>
      </c>
      <c r="EG238" s="19" t="s">
        <v>151</v>
      </c>
      <c r="EH238" s="16" t="s">
        <v>198</v>
      </c>
      <c r="EI238" s="17" t="s">
        <v>151</v>
      </c>
      <c r="EJ238" s="17" t="s">
        <v>151</v>
      </c>
      <c r="EK238" s="18" t="s">
        <v>151</v>
      </c>
      <c r="EL238" s="18" t="s">
        <v>151</v>
      </c>
      <c r="EM238" s="18" t="s">
        <v>151</v>
      </c>
      <c r="EN238" s="18" t="s">
        <v>151</v>
      </c>
      <c r="EO238" s="18" t="s">
        <v>151</v>
      </c>
      <c r="EP238" s="17" t="s">
        <v>151</v>
      </c>
      <c r="EQ238" s="16" t="s">
        <v>151</v>
      </c>
      <c r="ER238" s="16" t="s">
        <v>151</v>
      </c>
      <c r="ES238" s="3">
        <f>HYPERLINK("https://my.pitchbook.com?c=528262-30","View Company Online")</f>
      </c>
    </row>
    <row r="239">
      <c r="A239" s="30" t="s">
        <v>5369</v>
      </c>
      <c r="B239" s="30" t="s">
        <v>5370</v>
      </c>
      <c r="C239" s="31" t="s">
        <v>151</v>
      </c>
      <c r="D239" s="30" t="s">
        <v>151</v>
      </c>
      <c r="E239" s="30" t="s">
        <v>5371</v>
      </c>
      <c r="F239" s="30" t="s">
        <v>5372</v>
      </c>
      <c r="G239" s="30" t="s">
        <v>151</v>
      </c>
      <c r="H239" s="30" t="s">
        <v>151</v>
      </c>
      <c r="I239" s="30" t="s">
        <v>5373</v>
      </c>
      <c r="J239" s="30" t="s">
        <v>5369</v>
      </c>
      <c r="K239" s="30" t="s">
        <v>5374</v>
      </c>
      <c r="L239" s="30" t="s">
        <v>205</v>
      </c>
      <c r="M239" s="30" t="s">
        <v>206</v>
      </c>
      <c r="N239" s="30" t="s">
        <v>269</v>
      </c>
      <c r="O239" s="30" t="s">
        <v>5375</v>
      </c>
      <c r="P239" s="30" t="s">
        <v>1107</v>
      </c>
      <c r="Q239" s="30" t="s">
        <v>5376</v>
      </c>
      <c r="R239" s="30" t="s">
        <v>780</v>
      </c>
      <c r="S239" s="30" t="s">
        <v>162</v>
      </c>
      <c r="T239" s="37">
        <v>6.5</v>
      </c>
      <c r="U239" s="30" t="s">
        <v>163</v>
      </c>
      <c r="V239" s="30" t="s">
        <v>164</v>
      </c>
      <c r="W239" s="30" t="s">
        <v>165</v>
      </c>
      <c r="X239" s="28" t="s">
        <v>5377</v>
      </c>
      <c r="Y239" s="28" t="s">
        <v>5378</v>
      </c>
      <c r="Z239" s="40">
        <v>27</v>
      </c>
      <c r="AA239" s="30" t="s">
        <v>5379</v>
      </c>
      <c r="AB239" s="30" t="s">
        <v>151</v>
      </c>
      <c r="AC239" s="30" t="s">
        <v>151</v>
      </c>
      <c r="AD239" s="39">
        <v>2017</v>
      </c>
      <c r="AE239" s="30" t="s">
        <v>151</v>
      </c>
      <c r="AF239" s="35">
        <v>45604</v>
      </c>
      <c r="AG239" s="30" t="s">
        <v>151</v>
      </c>
      <c r="AH239" s="30" t="s">
        <v>151</v>
      </c>
      <c r="AI239" s="38" t="s">
        <v>151</v>
      </c>
      <c r="AJ239" s="32" t="s">
        <v>151</v>
      </c>
      <c r="AK239" s="38" t="s">
        <v>151</v>
      </c>
      <c r="AL239" s="38" t="s">
        <v>151</v>
      </c>
      <c r="AM239" s="38" t="s">
        <v>151</v>
      </c>
      <c r="AN239" s="38" t="s">
        <v>151</v>
      </c>
      <c r="AO239" s="38" t="s">
        <v>151</v>
      </c>
      <c r="AP239" s="38" t="s">
        <v>151</v>
      </c>
      <c r="AQ239" s="38" t="s">
        <v>151</v>
      </c>
      <c r="AR239" s="29" t="s">
        <v>151</v>
      </c>
      <c r="AS239" s="30" t="s">
        <v>5380</v>
      </c>
      <c r="AT239" s="30" t="s">
        <v>5381</v>
      </c>
      <c r="AU239" s="31">
        <v>9</v>
      </c>
      <c r="AV239" s="30" t="s">
        <v>151</v>
      </c>
      <c r="AW239" s="30" t="s">
        <v>5382</v>
      </c>
      <c r="AX239" s="30" t="s">
        <v>151</v>
      </c>
      <c r="AY239" s="30" t="s">
        <v>5383</v>
      </c>
      <c r="AZ239" s="30" t="s">
        <v>5384</v>
      </c>
      <c r="BA239" s="30" t="s">
        <v>151</v>
      </c>
      <c r="BB239" s="30" t="s">
        <v>151</v>
      </c>
      <c r="BC239" s="30" t="s">
        <v>151</v>
      </c>
      <c r="BD239" s="30" t="s">
        <v>5385</v>
      </c>
      <c r="BE239" s="30" t="s">
        <v>5386</v>
      </c>
      <c r="BF239" s="30" t="s">
        <v>221</v>
      </c>
      <c r="BG239" s="30" t="s">
        <v>5387</v>
      </c>
      <c r="BH239" s="30" t="s">
        <v>151</v>
      </c>
      <c r="BI239" s="30" t="s">
        <v>764</v>
      </c>
      <c r="BJ239" s="30" t="s">
        <v>5388</v>
      </c>
      <c r="BK239" s="30" t="s">
        <v>151</v>
      </c>
      <c r="BL239" s="30" t="s">
        <v>767</v>
      </c>
      <c r="BM239" s="30" t="s">
        <v>184</v>
      </c>
      <c r="BN239" s="29" t="s">
        <v>4698</v>
      </c>
      <c r="BO239" s="30" t="s">
        <v>186</v>
      </c>
      <c r="BP239" s="29" t="s">
        <v>151</v>
      </c>
      <c r="BQ239" s="29" t="s">
        <v>151</v>
      </c>
      <c r="BR239" s="30" t="s">
        <v>5389</v>
      </c>
      <c r="BS239" s="30" t="s">
        <v>187</v>
      </c>
      <c r="BT239" s="30" t="s">
        <v>188</v>
      </c>
      <c r="BU239" s="35">
        <v>44682</v>
      </c>
      <c r="BV239" s="37">
        <v>6.5</v>
      </c>
      <c r="BW239" s="30" t="s">
        <v>192</v>
      </c>
      <c r="BX239" s="37" t="s">
        <v>151</v>
      </c>
      <c r="BY239" s="30" t="s">
        <v>151</v>
      </c>
      <c r="BZ239" s="30" t="s">
        <v>194</v>
      </c>
      <c r="CA239" s="30" t="s">
        <v>151</v>
      </c>
      <c r="CB239" s="30" t="s">
        <v>151</v>
      </c>
      <c r="CC239" s="30" t="s">
        <v>165</v>
      </c>
      <c r="CD239" s="30" t="s">
        <v>151</v>
      </c>
      <c r="CE239" s="30" t="s">
        <v>191</v>
      </c>
      <c r="CF239" s="35" t="s">
        <v>151</v>
      </c>
      <c r="CG239" s="37" t="s">
        <v>151</v>
      </c>
      <c r="CH239" s="30" t="s">
        <v>151</v>
      </c>
      <c r="CI239" s="37" t="s">
        <v>151</v>
      </c>
      <c r="CJ239" s="30" t="s">
        <v>151</v>
      </c>
      <c r="CK239" s="29" t="s">
        <v>151</v>
      </c>
      <c r="CL239" s="30" t="s">
        <v>911</v>
      </c>
      <c r="CM239" s="30" t="s">
        <v>151</v>
      </c>
      <c r="CN239" s="30" t="s">
        <v>151</v>
      </c>
      <c r="CO239" s="30" t="s">
        <v>165</v>
      </c>
      <c r="CP239" s="35" t="s">
        <v>151</v>
      </c>
      <c r="CQ239" s="37" t="s">
        <v>151</v>
      </c>
      <c r="CR239" s="30" t="s">
        <v>151</v>
      </c>
      <c r="CS239" s="30" t="s">
        <v>191</v>
      </c>
      <c r="CT239" s="29" t="s">
        <v>151</v>
      </c>
      <c r="CU239" s="30" t="s">
        <v>151</v>
      </c>
      <c r="CV239" s="32" t="s">
        <v>151</v>
      </c>
      <c r="CW239" s="32" t="s">
        <v>151</v>
      </c>
      <c r="CX239" s="30" t="s">
        <v>151</v>
      </c>
      <c r="CY239" s="32" t="s">
        <v>151</v>
      </c>
      <c r="CZ239" s="32" t="s">
        <v>151</v>
      </c>
      <c r="DA239" s="37" t="s">
        <v>151</v>
      </c>
      <c r="DB239" s="35" t="s">
        <v>151</v>
      </c>
      <c r="DC239" s="30" t="s">
        <v>151</v>
      </c>
      <c r="DD239" s="29" t="s">
        <v>151</v>
      </c>
      <c r="DE239" s="32">
        <v>-0.22</v>
      </c>
      <c r="DF239" s="34">
        <v>9</v>
      </c>
      <c r="DG239" s="32">
        <v>0</v>
      </c>
      <c r="DH239" s="32">
        <v>0</v>
      </c>
      <c r="DI239" s="32">
        <v>0</v>
      </c>
      <c r="DJ239" s="34">
        <v>10</v>
      </c>
      <c r="DK239" s="32" t="s">
        <v>151</v>
      </c>
      <c r="DL239" s="34" t="s">
        <v>151</v>
      </c>
      <c r="DM239" s="32">
        <v>0</v>
      </c>
      <c r="DN239" s="34">
        <v>10</v>
      </c>
      <c r="DO239" s="36">
        <v>3.41</v>
      </c>
      <c r="DP239" s="34">
        <v>77</v>
      </c>
      <c r="DQ239" s="36">
        <v>0</v>
      </c>
      <c r="DR239" s="32">
        <v>0</v>
      </c>
      <c r="DS239" s="36">
        <v>4.74</v>
      </c>
      <c r="DT239" s="34">
        <v>81</v>
      </c>
      <c r="DU239" s="36" t="s">
        <v>151</v>
      </c>
      <c r="DV239" s="34" t="s">
        <v>151</v>
      </c>
      <c r="DW239" s="36">
        <v>4.74</v>
      </c>
      <c r="DX239" s="34">
        <v>81</v>
      </c>
      <c r="DY239" s="31" t="s">
        <v>151</v>
      </c>
      <c r="DZ239" s="35" t="s">
        <v>151</v>
      </c>
      <c r="EA239" s="35" t="s">
        <v>151</v>
      </c>
      <c r="EB239" s="34">
        <v>834</v>
      </c>
      <c r="EC239" s="33">
        <v>-1</v>
      </c>
      <c r="ED239" s="32">
        <v>-0.12</v>
      </c>
      <c r="EE239" s="34">
        <v>90</v>
      </c>
      <c r="EF239" s="33">
        <v>2</v>
      </c>
      <c r="EG239" s="32">
        <v>2.27</v>
      </c>
      <c r="EH239" s="29" t="s">
        <v>198</v>
      </c>
      <c r="EI239" s="30" t="s">
        <v>151</v>
      </c>
      <c r="EJ239" s="30" t="s">
        <v>151</v>
      </c>
      <c r="EK239" s="31" t="s">
        <v>151</v>
      </c>
      <c r="EL239" s="31" t="s">
        <v>151</v>
      </c>
      <c r="EM239" s="31" t="s">
        <v>151</v>
      </c>
      <c r="EN239" s="31" t="s">
        <v>151</v>
      </c>
      <c r="EO239" s="31" t="s">
        <v>151</v>
      </c>
      <c r="EP239" s="30" t="s">
        <v>151</v>
      </c>
      <c r="EQ239" s="29" t="s">
        <v>151</v>
      </c>
      <c r="ER239" s="29" t="s">
        <v>151</v>
      </c>
      <c r="ES239" s="4">
        <f>HYPERLINK("https://my.pitchbook.com?c=461801-44","View Company Online")</f>
      </c>
    </row>
    <row r="240">
      <c r="A240" s="17" t="s">
        <v>5390</v>
      </c>
      <c r="B240" s="17" t="s">
        <v>5391</v>
      </c>
      <c r="C240" s="18" t="s">
        <v>151</v>
      </c>
      <c r="D240" s="17" t="s">
        <v>5392</v>
      </c>
      <c r="E240" s="17" t="s">
        <v>5393</v>
      </c>
      <c r="F240" s="17" t="s">
        <v>5394</v>
      </c>
      <c r="G240" s="17" t="s">
        <v>151</v>
      </c>
      <c r="H240" s="17" t="s">
        <v>151</v>
      </c>
      <c r="I240" s="17" t="s">
        <v>151</v>
      </c>
      <c r="J240" s="17" t="s">
        <v>5390</v>
      </c>
      <c r="K240" s="17" t="s">
        <v>5395</v>
      </c>
      <c r="L240" s="17" t="s">
        <v>205</v>
      </c>
      <c r="M240" s="17" t="s">
        <v>206</v>
      </c>
      <c r="N240" s="17" t="s">
        <v>1940</v>
      </c>
      <c r="O240" s="17" t="s">
        <v>5396</v>
      </c>
      <c r="P240" s="17" t="s">
        <v>1942</v>
      </c>
      <c r="Q240" s="17" t="s">
        <v>5397</v>
      </c>
      <c r="R240" s="17" t="s">
        <v>151</v>
      </c>
      <c r="S240" s="17" t="s">
        <v>162</v>
      </c>
      <c r="T240" s="24">
        <v>0.06</v>
      </c>
      <c r="U240" s="17" t="s">
        <v>163</v>
      </c>
      <c r="V240" s="17" t="s">
        <v>164</v>
      </c>
      <c r="W240" s="17" t="s">
        <v>165</v>
      </c>
      <c r="X240" s="15" t="s">
        <v>5398</v>
      </c>
      <c r="Y240" s="15" t="s">
        <v>5399</v>
      </c>
      <c r="Z240" s="27">
        <v>19</v>
      </c>
      <c r="AA240" s="17" t="s">
        <v>5400</v>
      </c>
      <c r="AB240" s="17" t="s">
        <v>151</v>
      </c>
      <c r="AC240" s="17" t="s">
        <v>151</v>
      </c>
      <c r="AD240" s="26">
        <v>2018</v>
      </c>
      <c r="AE240" s="17" t="s">
        <v>151</v>
      </c>
      <c r="AF240" s="22">
        <v>45475</v>
      </c>
      <c r="AG240" s="17" t="s">
        <v>151</v>
      </c>
      <c r="AH240" s="17" t="s">
        <v>151</v>
      </c>
      <c r="AI240" s="25" t="s">
        <v>151</v>
      </c>
      <c r="AJ240" s="19" t="s">
        <v>151</v>
      </c>
      <c r="AK240" s="25" t="s">
        <v>151</v>
      </c>
      <c r="AL240" s="25" t="s">
        <v>151</v>
      </c>
      <c r="AM240" s="25" t="s">
        <v>151</v>
      </c>
      <c r="AN240" s="25" t="s">
        <v>151</v>
      </c>
      <c r="AO240" s="25" t="s">
        <v>151</v>
      </c>
      <c r="AP240" s="25" t="s">
        <v>151</v>
      </c>
      <c r="AQ240" s="25" t="s">
        <v>151</v>
      </c>
      <c r="AR240" s="16" t="s">
        <v>151</v>
      </c>
      <c r="AS240" s="17" t="s">
        <v>5401</v>
      </c>
      <c r="AT240" s="17" t="s">
        <v>5402</v>
      </c>
      <c r="AU240" s="18">
        <v>3</v>
      </c>
      <c r="AV240" s="17" t="s">
        <v>151</v>
      </c>
      <c r="AW240" s="17" t="s">
        <v>151</v>
      </c>
      <c r="AX240" s="17" t="s">
        <v>151</v>
      </c>
      <c r="AY240" s="17" t="s">
        <v>5403</v>
      </c>
      <c r="AZ240" s="17" t="s">
        <v>151</v>
      </c>
      <c r="BA240" s="17" t="s">
        <v>151</v>
      </c>
      <c r="BB240" s="17" t="s">
        <v>151</v>
      </c>
      <c r="BC240" s="17" t="s">
        <v>5404</v>
      </c>
      <c r="BD240" s="17" t="s">
        <v>5405</v>
      </c>
      <c r="BE240" s="17" t="s">
        <v>5406</v>
      </c>
      <c r="BF240" s="17" t="s">
        <v>221</v>
      </c>
      <c r="BG240" s="17" t="s">
        <v>151</v>
      </c>
      <c r="BH240" s="17" t="s">
        <v>5407</v>
      </c>
      <c r="BI240" s="17" t="s">
        <v>578</v>
      </c>
      <c r="BJ240" s="17" t="s">
        <v>5408</v>
      </c>
      <c r="BK240" s="17" t="s">
        <v>5409</v>
      </c>
      <c r="BL240" s="17" t="s">
        <v>581</v>
      </c>
      <c r="BM240" s="17" t="s">
        <v>582</v>
      </c>
      <c r="BN240" s="16" t="s">
        <v>2743</v>
      </c>
      <c r="BO240" s="17" t="s">
        <v>186</v>
      </c>
      <c r="BP240" s="16" t="s">
        <v>5407</v>
      </c>
      <c r="BQ240" s="16" t="s">
        <v>151</v>
      </c>
      <c r="BR240" s="17" t="s">
        <v>151</v>
      </c>
      <c r="BS240" s="17" t="s">
        <v>187</v>
      </c>
      <c r="BT240" s="17" t="s">
        <v>188</v>
      </c>
      <c r="BU240" s="22" t="s">
        <v>151</v>
      </c>
      <c r="BV240" s="24">
        <v>0.01</v>
      </c>
      <c r="BW240" s="17" t="s">
        <v>192</v>
      </c>
      <c r="BX240" s="24" t="s">
        <v>151</v>
      </c>
      <c r="BY240" s="17" t="s">
        <v>151</v>
      </c>
      <c r="BZ240" s="17" t="s">
        <v>1363</v>
      </c>
      <c r="CA240" s="17" t="s">
        <v>151</v>
      </c>
      <c r="CB240" s="17" t="s">
        <v>151</v>
      </c>
      <c r="CC240" s="17" t="s">
        <v>585</v>
      </c>
      <c r="CD240" s="17" t="s">
        <v>151</v>
      </c>
      <c r="CE240" s="17" t="s">
        <v>191</v>
      </c>
      <c r="CF240" s="22">
        <v>45399</v>
      </c>
      <c r="CG240" s="24" t="s">
        <v>151</v>
      </c>
      <c r="CH240" s="17" t="s">
        <v>151</v>
      </c>
      <c r="CI240" s="24" t="s">
        <v>151</v>
      </c>
      <c r="CJ240" s="17" t="s">
        <v>151</v>
      </c>
      <c r="CK240" s="16" t="s">
        <v>151</v>
      </c>
      <c r="CL240" s="17" t="s">
        <v>189</v>
      </c>
      <c r="CM240" s="17" t="s">
        <v>151</v>
      </c>
      <c r="CN240" s="17" t="s">
        <v>151</v>
      </c>
      <c r="CO240" s="17" t="s">
        <v>190</v>
      </c>
      <c r="CP240" s="22">
        <v>45399</v>
      </c>
      <c r="CQ240" s="24" t="s">
        <v>151</v>
      </c>
      <c r="CR240" s="17" t="s">
        <v>151</v>
      </c>
      <c r="CS240" s="17" t="s">
        <v>191</v>
      </c>
      <c r="CT240" s="16" t="s">
        <v>151</v>
      </c>
      <c r="CU240" s="17" t="s">
        <v>151</v>
      </c>
      <c r="CV240" s="19" t="s">
        <v>151</v>
      </c>
      <c r="CW240" s="19" t="s">
        <v>151</v>
      </c>
      <c r="CX240" s="17" t="s">
        <v>151</v>
      </c>
      <c r="CY240" s="19" t="s">
        <v>151</v>
      </c>
      <c r="CZ240" s="19" t="s">
        <v>151</v>
      </c>
      <c r="DA240" s="24" t="s">
        <v>151</v>
      </c>
      <c r="DB240" s="22" t="s">
        <v>151</v>
      </c>
      <c r="DC240" s="17" t="s">
        <v>151</v>
      </c>
      <c r="DD240" s="16" t="s">
        <v>151</v>
      </c>
      <c r="DE240" s="19">
        <v>0.35</v>
      </c>
      <c r="DF240" s="21">
        <v>93</v>
      </c>
      <c r="DG240" s="19">
        <v>0</v>
      </c>
      <c r="DH240" s="19">
        <v>0</v>
      </c>
      <c r="DI240" s="19">
        <v>0</v>
      </c>
      <c r="DJ240" s="21">
        <v>10</v>
      </c>
      <c r="DK240" s="19" t="s">
        <v>151</v>
      </c>
      <c r="DL240" s="21" t="s">
        <v>151</v>
      </c>
      <c r="DM240" s="19">
        <v>0</v>
      </c>
      <c r="DN240" s="21">
        <v>10</v>
      </c>
      <c r="DO240" s="23">
        <v>1.15</v>
      </c>
      <c r="DP240" s="21">
        <v>53</v>
      </c>
      <c r="DQ240" s="23">
        <v>0</v>
      </c>
      <c r="DR240" s="19">
        <v>0</v>
      </c>
      <c r="DS240" s="23">
        <v>0.84</v>
      </c>
      <c r="DT240" s="21">
        <v>46</v>
      </c>
      <c r="DU240" s="23" t="s">
        <v>151</v>
      </c>
      <c r="DV240" s="21" t="s">
        <v>151</v>
      </c>
      <c r="DW240" s="23">
        <v>0.84</v>
      </c>
      <c r="DX240" s="21">
        <v>45</v>
      </c>
      <c r="DY240" s="18" t="s">
        <v>151</v>
      </c>
      <c r="DZ240" s="22" t="s">
        <v>151</v>
      </c>
      <c r="EA240" s="22" t="s">
        <v>151</v>
      </c>
      <c r="EB240" s="21">
        <v>425</v>
      </c>
      <c r="EC240" s="20">
        <v>73</v>
      </c>
      <c r="ED240" s="19">
        <v>20.74</v>
      </c>
      <c r="EE240" s="21">
        <v>16</v>
      </c>
      <c r="EF240" s="20">
        <v>0</v>
      </c>
      <c r="EG240" s="19">
        <v>0</v>
      </c>
      <c r="EH240" s="16" t="s">
        <v>198</v>
      </c>
      <c r="EI240" s="17" t="s">
        <v>151</v>
      </c>
      <c r="EJ240" s="17" t="s">
        <v>151</v>
      </c>
      <c r="EK240" s="18" t="s">
        <v>151</v>
      </c>
      <c r="EL240" s="18" t="s">
        <v>151</v>
      </c>
      <c r="EM240" s="18" t="s">
        <v>151</v>
      </c>
      <c r="EN240" s="18" t="s">
        <v>151</v>
      </c>
      <c r="EO240" s="18" t="s">
        <v>151</v>
      </c>
      <c r="EP240" s="17" t="s">
        <v>151</v>
      </c>
      <c r="EQ240" s="16" t="s">
        <v>151</v>
      </c>
      <c r="ER240" s="16" t="s">
        <v>151</v>
      </c>
      <c r="ES240" s="3">
        <f>HYPERLINK("https://my.pitchbook.com?c=483546-97","View Company Online")</f>
      </c>
    </row>
    <row r="241">
      <c r="A241" s="30" t="s">
        <v>5410</v>
      </c>
      <c r="B241" s="30" t="s">
        <v>5411</v>
      </c>
      <c r="C241" s="31" t="s">
        <v>151</v>
      </c>
      <c r="D241" s="30" t="s">
        <v>151</v>
      </c>
      <c r="E241" s="30" t="s">
        <v>151</v>
      </c>
      <c r="F241" s="30" t="s">
        <v>5412</v>
      </c>
      <c r="G241" s="30" t="s">
        <v>151</v>
      </c>
      <c r="H241" s="30" t="s">
        <v>151</v>
      </c>
      <c r="I241" s="30" t="s">
        <v>151</v>
      </c>
      <c r="J241" s="30" t="s">
        <v>5410</v>
      </c>
      <c r="K241" s="30" t="s">
        <v>5413</v>
      </c>
      <c r="L241" s="30" t="s">
        <v>1178</v>
      </c>
      <c r="M241" s="30" t="s">
        <v>1179</v>
      </c>
      <c r="N241" s="30" t="s">
        <v>1179</v>
      </c>
      <c r="O241" s="30" t="s">
        <v>1180</v>
      </c>
      <c r="P241" s="30" t="s">
        <v>2130</v>
      </c>
      <c r="Q241" s="30" t="s">
        <v>5414</v>
      </c>
      <c r="R241" s="30" t="s">
        <v>151</v>
      </c>
      <c r="S241" s="30" t="s">
        <v>162</v>
      </c>
      <c r="T241" s="37">
        <v>4.57</v>
      </c>
      <c r="U241" s="30" t="s">
        <v>163</v>
      </c>
      <c r="V241" s="30" t="s">
        <v>164</v>
      </c>
      <c r="W241" s="30" t="s">
        <v>165</v>
      </c>
      <c r="X241" s="28" t="s">
        <v>5415</v>
      </c>
      <c r="Y241" s="28" t="s">
        <v>5416</v>
      </c>
      <c r="Z241" s="40">
        <v>10</v>
      </c>
      <c r="AA241" s="30" t="s">
        <v>5417</v>
      </c>
      <c r="AB241" s="30" t="s">
        <v>151</v>
      </c>
      <c r="AC241" s="30" t="s">
        <v>151</v>
      </c>
      <c r="AD241" s="39">
        <v>2022</v>
      </c>
      <c r="AE241" s="30" t="s">
        <v>151</v>
      </c>
      <c r="AF241" s="35">
        <v>45475</v>
      </c>
      <c r="AG241" s="30" t="s">
        <v>151</v>
      </c>
      <c r="AH241" s="30" t="s">
        <v>151</v>
      </c>
      <c r="AI241" s="38" t="s">
        <v>151</v>
      </c>
      <c r="AJ241" s="32" t="s">
        <v>151</v>
      </c>
      <c r="AK241" s="38" t="s">
        <v>151</v>
      </c>
      <c r="AL241" s="38" t="s">
        <v>151</v>
      </c>
      <c r="AM241" s="38" t="s">
        <v>151</v>
      </c>
      <c r="AN241" s="38" t="s">
        <v>151</v>
      </c>
      <c r="AO241" s="38" t="s">
        <v>151</v>
      </c>
      <c r="AP241" s="38" t="s">
        <v>151</v>
      </c>
      <c r="AQ241" s="38" t="s">
        <v>151</v>
      </c>
      <c r="AR241" s="29" t="s">
        <v>151</v>
      </c>
      <c r="AS241" s="30" t="s">
        <v>5418</v>
      </c>
      <c r="AT241" s="30" t="s">
        <v>5419</v>
      </c>
      <c r="AU241" s="31">
        <v>6</v>
      </c>
      <c r="AV241" s="30" t="s">
        <v>151</v>
      </c>
      <c r="AW241" s="30" t="s">
        <v>151</v>
      </c>
      <c r="AX241" s="30" t="s">
        <v>151</v>
      </c>
      <c r="AY241" s="30" t="s">
        <v>5420</v>
      </c>
      <c r="AZ241" s="30" t="s">
        <v>151</v>
      </c>
      <c r="BA241" s="30" t="s">
        <v>151</v>
      </c>
      <c r="BB241" s="30" t="s">
        <v>151</v>
      </c>
      <c r="BC241" s="30" t="s">
        <v>490</v>
      </c>
      <c r="BD241" s="30" t="s">
        <v>5421</v>
      </c>
      <c r="BE241" s="30" t="s">
        <v>5422</v>
      </c>
      <c r="BF241" s="30" t="s">
        <v>403</v>
      </c>
      <c r="BG241" s="30" t="s">
        <v>151</v>
      </c>
      <c r="BH241" s="30" t="s">
        <v>151</v>
      </c>
      <c r="BI241" s="30" t="s">
        <v>2162</v>
      </c>
      <c r="BJ241" s="30" t="s">
        <v>151</v>
      </c>
      <c r="BK241" s="30" t="s">
        <v>151</v>
      </c>
      <c r="BL241" s="30" t="s">
        <v>289</v>
      </c>
      <c r="BM241" s="30" t="s">
        <v>2165</v>
      </c>
      <c r="BN241" s="29" t="s">
        <v>151</v>
      </c>
      <c r="BO241" s="30" t="s">
        <v>186</v>
      </c>
      <c r="BP241" s="29" t="s">
        <v>151</v>
      </c>
      <c r="BQ241" s="29" t="s">
        <v>151</v>
      </c>
      <c r="BR241" s="30" t="s">
        <v>5423</v>
      </c>
      <c r="BS241" s="30" t="s">
        <v>187</v>
      </c>
      <c r="BT241" s="30" t="s">
        <v>188</v>
      </c>
      <c r="BU241" s="35">
        <v>44846</v>
      </c>
      <c r="BV241" s="37">
        <v>0.57</v>
      </c>
      <c r="BW241" s="30" t="s">
        <v>193</v>
      </c>
      <c r="BX241" s="37">
        <v>6.05</v>
      </c>
      <c r="BY241" s="30" t="s">
        <v>192</v>
      </c>
      <c r="BZ241" s="30" t="s">
        <v>293</v>
      </c>
      <c r="CA241" s="30" t="s">
        <v>293</v>
      </c>
      <c r="CB241" s="30" t="s">
        <v>151</v>
      </c>
      <c r="CC241" s="30" t="s">
        <v>165</v>
      </c>
      <c r="CD241" s="30" t="s">
        <v>151</v>
      </c>
      <c r="CE241" s="30" t="s">
        <v>191</v>
      </c>
      <c r="CF241" s="35">
        <v>45274</v>
      </c>
      <c r="CG241" s="37">
        <v>4</v>
      </c>
      <c r="CH241" s="30" t="s">
        <v>192</v>
      </c>
      <c r="CI241" s="37">
        <v>17</v>
      </c>
      <c r="CJ241" s="30" t="s">
        <v>192</v>
      </c>
      <c r="CK241" s="29">
        <v>2.15</v>
      </c>
      <c r="CL241" s="30" t="s">
        <v>293</v>
      </c>
      <c r="CM241" s="30" t="s">
        <v>472</v>
      </c>
      <c r="CN241" s="30" t="s">
        <v>151</v>
      </c>
      <c r="CO241" s="30" t="s">
        <v>165</v>
      </c>
      <c r="CP241" s="35">
        <v>45274</v>
      </c>
      <c r="CQ241" s="37" t="s">
        <v>151</v>
      </c>
      <c r="CR241" s="30" t="s">
        <v>151</v>
      </c>
      <c r="CS241" s="30" t="s">
        <v>191</v>
      </c>
      <c r="CT241" s="29">
        <v>69</v>
      </c>
      <c r="CU241" s="30" t="s">
        <v>196</v>
      </c>
      <c r="CV241" s="32">
        <v>65</v>
      </c>
      <c r="CW241" s="32">
        <v>35</v>
      </c>
      <c r="CX241" s="30" t="s">
        <v>294</v>
      </c>
      <c r="CY241" s="32">
        <v>1</v>
      </c>
      <c r="CZ241" s="32">
        <v>64</v>
      </c>
      <c r="DA241" s="37">
        <v>17</v>
      </c>
      <c r="DB241" s="35">
        <v>45274</v>
      </c>
      <c r="DC241" s="30" t="s">
        <v>293</v>
      </c>
      <c r="DD241" s="29">
        <v>2.15</v>
      </c>
      <c r="DE241" s="32">
        <v>0</v>
      </c>
      <c r="DF241" s="34">
        <v>11</v>
      </c>
      <c r="DG241" s="32">
        <v>0</v>
      </c>
      <c r="DH241" s="32">
        <v>0</v>
      </c>
      <c r="DI241" s="32">
        <v>0</v>
      </c>
      <c r="DJ241" s="34">
        <v>10</v>
      </c>
      <c r="DK241" s="32" t="s">
        <v>151</v>
      </c>
      <c r="DL241" s="34" t="s">
        <v>151</v>
      </c>
      <c r="DM241" s="32">
        <v>0</v>
      </c>
      <c r="DN241" s="34">
        <v>10</v>
      </c>
      <c r="DO241" s="36">
        <v>5.11</v>
      </c>
      <c r="DP241" s="34">
        <v>83</v>
      </c>
      <c r="DQ241" s="36">
        <v>0</v>
      </c>
      <c r="DR241" s="32">
        <v>0</v>
      </c>
      <c r="DS241" s="36">
        <v>5.11</v>
      </c>
      <c r="DT241" s="34">
        <v>82</v>
      </c>
      <c r="DU241" s="36" t="s">
        <v>151</v>
      </c>
      <c r="DV241" s="34" t="s">
        <v>151</v>
      </c>
      <c r="DW241" s="36">
        <v>5.11</v>
      </c>
      <c r="DX241" s="34">
        <v>82</v>
      </c>
      <c r="DY241" s="31" t="s">
        <v>151</v>
      </c>
      <c r="DZ241" s="35" t="s">
        <v>151</v>
      </c>
      <c r="EA241" s="35" t="s">
        <v>151</v>
      </c>
      <c r="EB241" s="34">
        <v>398</v>
      </c>
      <c r="EC241" s="33">
        <v>7</v>
      </c>
      <c r="ED241" s="32">
        <v>1.79</v>
      </c>
      <c r="EE241" s="34">
        <v>97</v>
      </c>
      <c r="EF241" s="33">
        <v>0</v>
      </c>
      <c r="EG241" s="32">
        <v>0</v>
      </c>
      <c r="EH241" s="29" t="s">
        <v>198</v>
      </c>
      <c r="EI241" s="30" t="s">
        <v>151</v>
      </c>
      <c r="EJ241" s="30" t="s">
        <v>151</v>
      </c>
      <c r="EK241" s="31" t="s">
        <v>151</v>
      </c>
      <c r="EL241" s="31" t="s">
        <v>151</v>
      </c>
      <c r="EM241" s="31" t="s">
        <v>151</v>
      </c>
      <c r="EN241" s="31" t="s">
        <v>151</v>
      </c>
      <c r="EO241" s="31" t="s">
        <v>151</v>
      </c>
      <c r="EP241" s="30" t="s">
        <v>151</v>
      </c>
      <c r="EQ241" s="29" t="s">
        <v>151</v>
      </c>
      <c r="ER241" s="29" t="s">
        <v>151</v>
      </c>
      <c r="ES241" s="4">
        <f>HYPERLINK("https://my.pitchbook.com?c=529198-57","View Company Online")</f>
      </c>
    </row>
    <row r="242">
      <c r="A242" s="17" t="s">
        <v>5424</v>
      </c>
      <c r="B242" s="17" t="s">
        <v>5425</v>
      </c>
      <c r="C242" s="18" t="s">
        <v>151</v>
      </c>
      <c r="D242" s="17" t="s">
        <v>151</v>
      </c>
      <c r="E242" s="17" t="s">
        <v>151</v>
      </c>
      <c r="F242" s="17" t="s">
        <v>5426</v>
      </c>
      <c r="G242" s="17" t="s">
        <v>151</v>
      </c>
      <c r="H242" s="17" t="s">
        <v>151</v>
      </c>
      <c r="I242" s="17" t="s">
        <v>5427</v>
      </c>
      <c r="J242" s="17" t="s">
        <v>5424</v>
      </c>
      <c r="K242" s="17" t="s">
        <v>5428</v>
      </c>
      <c r="L242" s="17" t="s">
        <v>616</v>
      </c>
      <c r="M242" s="17" t="s">
        <v>834</v>
      </c>
      <c r="N242" s="17" t="s">
        <v>1723</v>
      </c>
      <c r="O242" s="17" t="s">
        <v>5429</v>
      </c>
      <c r="P242" s="17" t="s">
        <v>5430</v>
      </c>
      <c r="Q242" s="17" t="s">
        <v>5431</v>
      </c>
      <c r="R242" s="17" t="s">
        <v>151</v>
      </c>
      <c r="S242" s="17" t="s">
        <v>162</v>
      </c>
      <c r="T242" s="24">
        <v>5.89</v>
      </c>
      <c r="U242" s="17" t="s">
        <v>163</v>
      </c>
      <c r="V242" s="17" t="s">
        <v>164</v>
      </c>
      <c r="W242" s="17" t="s">
        <v>165</v>
      </c>
      <c r="X242" s="15" t="s">
        <v>5432</v>
      </c>
      <c r="Y242" s="15" t="s">
        <v>5433</v>
      </c>
      <c r="Z242" s="27">
        <v>36</v>
      </c>
      <c r="AA242" s="17" t="s">
        <v>5434</v>
      </c>
      <c r="AB242" s="17" t="s">
        <v>151</v>
      </c>
      <c r="AC242" s="17" t="s">
        <v>151</v>
      </c>
      <c r="AD242" s="26">
        <v>2020</v>
      </c>
      <c r="AE242" s="17" t="s">
        <v>151</v>
      </c>
      <c r="AF242" s="22">
        <v>45616</v>
      </c>
      <c r="AG242" s="17" t="s">
        <v>151</v>
      </c>
      <c r="AH242" s="17" t="s">
        <v>169</v>
      </c>
      <c r="AI242" s="25" t="s">
        <v>151</v>
      </c>
      <c r="AJ242" s="19" t="s">
        <v>151</v>
      </c>
      <c r="AK242" s="25" t="s">
        <v>151</v>
      </c>
      <c r="AL242" s="25" t="s">
        <v>151</v>
      </c>
      <c r="AM242" s="25" t="s">
        <v>151</v>
      </c>
      <c r="AN242" s="25" t="s">
        <v>151</v>
      </c>
      <c r="AO242" s="25" t="s">
        <v>151</v>
      </c>
      <c r="AP242" s="25" t="s">
        <v>151</v>
      </c>
      <c r="AQ242" s="25" t="s">
        <v>151</v>
      </c>
      <c r="AR242" s="16" t="s">
        <v>151</v>
      </c>
      <c r="AS242" s="17" t="s">
        <v>5435</v>
      </c>
      <c r="AT242" s="17" t="s">
        <v>5436</v>
      </c>
      <c r="AU242" s="18">
        <v>18</v>
      </c>
      <c r="AV242" s="17" t="s">
        <v>151</v>
      </c>
      <c r="AW242" s="17" t="s">
        <v>151</v>
      </c>
      <c r="AX242" s="17" t="s">
        <v>151</v>
      </c>
      <c r="AY242" s="17" t="s">
        <v>5437</v>
      </c>
      <c r="AZ242" s="17" t="s">
        <v>151</v>
      </c>
      <c r="BA242" s="17" t="s">
        <v>151</v>
      </c>
      <c r="BB242" s="17" t="s">
        <v>151</v>
      </c>
      <c r="BC242" s="17" t="s">
        <v>3327</v>
      </c>
      <c r="BD242" s="17" t="s">
        <v>5438</v>
      </c>
      <c r="BE242" s="17" t="s">
        <v>5439</v>
      </c>
      <c r="BF242" s="17" t="s">
        <v>5440</v>
      </c>
      <c r="BG242" s="17" t="s">
        <v>5441</v>
      </c>
      <c r="BH242" s="17" t="s">
        <v>5442</v>
      </c>
      <c r="BI242" s="17" t="s">
        <v>2265</v>
      </c>
      <c r="BJ242" s="17" t="s">
        <v>5443</v>
      </c>
      <c r="BK242" s="17" t="s">
        <v>523</v>
      </c>
      <c r="BL242" s="17" t="s">
        <v>2267</v>
      </c>
      <c r="BM242" s="17" t="s">
        <v>855</v>
      </c>
      <c r="BN242" s="16" t="s">
        <v>3532</v>
      </c>
      <c r="BO242" s="17" t="s">
        <v>186</v>
      </c>
      <c r="BP242" s="16" t="s">
        <v>5442</v>
      </c>
      <c r="BQ242" s="16" t="s">
        <v>151</v>
      </c>
      <c r="BR242" s="17" t="s">
        <v>5444</v>
      </c>
      <c r="BS242" s="17" t="s">
        <v>187</v>
      </c>
      <c r="BT242" s="17" t="s">
        <v>188</v>
      </c>
      <c r="BU242" s="22">
        <v>44501</v>
      </c>
      <c r="BV242" s="24">
        <v>0.21</v>
      </c>
      <c r="BW242" s="17" t="s">
        <v>192</v>
      </c>
      <c r="BX242" s="24">
        <v>6.5</v>
      </c>
      <c r="BY242" s="17" t="s">
        <v>192</v>
      </c>
      <c r="BZ242" s="17" t="s">
        <v>293</v>
      </c>
      <c r="CA242" s="17" t="s">
        <v>293</v>
      </c>
      <c r="CB242" s="17" t="s">
        <v>151</v>
      </c>
      <c r="CC242" s="17" t="s">
        <v>165</v>
      </c>
      <c r="CD242" s="17" t="s">
        <v>151</v>
      </c>
      <c r="CE242" s="17" t="s">
        <v>191</v>
      </c>
      <c r="CF242" s="22">
        <v>45355</v>
      </c>
      <c r="CG242" s="24">
        <v>1.68</v>
      </c>
      <c r="CH242" s="17" t="s">
        <v>192</v>
      </c>
      <c r="CI242" s="24" t="s">
        <v>151</v>
      </c>
      <c r="CJ242" s="17" t="s">
        <v>151</v>
      </c>
      <c r="CK242" s="16" t="s">
        <v>151</v>
      </c>
      <c r="CL242" s="17" t="s">
        <v>231</v>
      </c>
      <c r="CM242" s="17" t="s">
        <v>151</v>
      </c>
      <c r="CN242" s="17" t="s">
        <v>151</v>
      </c>
      <c r="CO242" s="17" t="s">
        <v>165</v>
      </c>
      <c r="CP242" s="22">
        <v>45355</v>
      </c>
      <c r="CQ242" s="24">
        <v>1.68</v>
      </c>
      <c r="CR242" s="17" t="s">
        <v>5445</v>
      </c>
      <c r="CS242" s="17" t="s">
        <v>191</v>
      </c>
      <c r="CT242" s="16">
        <v>85</v>
      </c>
      <c r="CU242" s="17" t="s">
        <v>196</v>
      </c>
      <c r="CV242" s="19">
        <v>77</v>
      </c>
      <c r="CW242" s="19">
        <v>23</v>
      </c>
      <c r="CX242" s="17" t="s">
        <v>294</v>
      </c>
      <c r="CY242" s="19">
        <v>2</v>
      </c>
      <c r="CZ242" s="19">
        <v>75</v>
      </c>
      <c r="DA242" s="24">
        <v>15</v>
      </c>
      <c r="DB242" s="22">
        <v>45099</v>
      </c>
      <c r="DC242" s="17" t="s">
        <v>293</v>
      </c>
      <c r="DD242" s="16">
        <v>1.69</v>
      </c>
      <c r="DE242" s="19">
        <v>-0.02</v>
      </c>
      <c r="DF242" s="21">
        <v>11</v>
      </c>
      <c r="DG242" s="19">
        <v>0</v>
      </c>
      <c r="DH242" s="19">
        <v>0</v>
      </c>
      <c r="DI242" s="19">
        <v>-0.42</v>
      </c>
      <c r="DJ242" s="21">
        <v>7</v>
      </c>
      <c r="DK242" s="19">
        <v>0</v>
      </c>
      <c r="DL242" s="21">
        <v>11</v>
      </c>
      <c r="DM242" s="19">
        <v>-0.84</v>
      </c>
      <c r="DN242" s="21">
        <v>5</v>
      </c>
      <c r="DO242" s="23">
        <v>4</v>
      </c>
      <c r="DP242" s="21">
        <v>79</v>
      </c>
      <c r="DQ242" s="23">
        <v>0</v>
      </c>
      <c r="DR242" s="19">
        <v>0</v>
      </c>
      <c r="DS242" s="23">
        <v>5.39</v>
      </c>
      <c r="DT242" s="21">
        <v>83</v>
      </c>
      <c r="DU242" s="23">
        <v>2.52</v>
      </c>
      <c r="DV242" s="21">
        <v>74</v>
      </c>
      <c r="DW242" s="23">
        <v>8.26</v>
      </c>
      <c r="DX242" s="21">
        <v>88</v>
      </c>
      <c r="DY242" s="18" t="s">
        <v>151</v>
      </c>
      <c r="DZ242" s="22" t="s">
        <v>151</v>
      </c>
      <c r="EA242" s="22" t="s">
        <v>151</v>
      </c>
      <c r="EB242" s="21">
        <v>522</v>
      </c>
      <c r="EC242" s="20">
        <v>-20</v>
      </c>
      <c r="ED242" s="19">
        <v>-3.69</v>
      </c>
      <c r="EE242" s="21">
        <v>157</v>
      </c>
      <c r="EF242" s="20">
        <v>-1</v>
      </c>
      <c r="EG242" s="19">
        <v>-0.63</v>
      </c>
      <c r="EH242" s="16" t="s">
        <v>198</v>
      </c>
      <c r="EI242" s="17" t="s">
        <v>151</v>
      </c>
      <c r="EJ242" s="17" t="s">
        <v>151</v>
      </c>
      <c r="EK242" s="18" t="s">
        <v>151</v>
      </c>
      <c r="EL242" s="18" t="s">
        <v>151</v>
      </c>
      <c r="EM242" s="18" t="s">
        <v>151</v>
      </c>
      <c r="EN242" s="18" t="s">
        <v>151</v>
      </c>
      <c r="EO242" s="18" t="s">
        <v>151</v>
      </c>
      <c r="EP242" s="17" t="s">
        <v>151</v>
      </c>
      <c r="EQ242" s="16" t="s">
        <v>151</v>
      </c>
      <c r="ER242" s="16" t="s">
        <v>151</v>
      </c>
      <c r="ES242" s="3">
        <f>HYPERLINK("https://my.pitchbook.com?c=471509-29","View Company Online")</f>
      </c>
    </row>
    <row r="243">
      <c r="A243" s="30" t="s">
        <v>5446</v>
      </c>
      <c r="B243" s="30" t="s">
        <v>5447</v>
      </c>
      <c r="C243" s="31" t="s">
        <v>151</v>
      </c>
      <c r="D243" s="30" t="s">
        <v>151</v>
      </c>
      <c r="E243" s="30" t="s">
        <v>151</v>
      </c>
      <c r="F243" s="30" t="s">
        <v>5448</v>
      </c>
      <c r="G243" s="30" t="s">
        <v>151</v>
      </c>
      <c r="H243" s="30" t="s">
        <v>151</v>
      </c>
      <c r="I243" s="30" t="s">
        <v>5449</v>
      </c>
      <c r="J243" s="30" t="s">
        <v>5446</v>
      </c>
      <c r="K243" s="30" t="s">
        <v>5450</v>
      </c>
      <c r="L243" s="30" t="s">
        <v>205</v>
      </c>
      <c r="M243" s="30" t="s">
        <v>206</v>
      </c>
      <c r="N243" s="30" t="s">
        <v>1268</v>
      </c>
      <c r="O243" s="30" t="s">
        <v>5451</v>
      </c>
      <c r="P243" s="30" t="s">
        <v>3250</v>
      </c>
      <c r="Q243" s="30" t="s">
        <v>5452</v>
      </c>
      <c r="R243" s="30" t="s">
        <v>151</v>
      </c>
      <c r="S243" s="30" t="s">
        <v>162</v>
      </c>
      <c r="T243" s="37">
        <v>2</v>
      </c>
      <c r="U243" s="30" t="s">
        <v>163</v>
      </c>
      <c r="V243" s="30" t="s">
        <v>164</v>
      </c>
      <c r="W243" s="30" t="s">
        <v>165</v>
      </c>
      <c r="X243" s="28" t="s">
        <v>5453</v>
      </c>
      <c r="Y243" s="28" t="s">
        <v>5454</v>
      </c>
      <c r="Z243" s="40">
        <v>25</v>
      </c>
      <c r="AA243" s="30" t="s">
        <v>5455</v>
      </c>
      <c r="AB243" s="30" t="s">
        <v>151</v>
      </c>
      <c r="AC243" s="30" t="s">
        <v>151</v>
      </c>
      <c r="AD243" s="39">
        <v>2017</v>
      </c>
      <c r="AE243" s="30" t="s">
        <v>151</v>
      </c>
      <c r="AF243" s="35">
        <v>45586</v>
      </c>
      <c r="AG243" s="30" t="s">
        <v>151</v>
      </c>
      <c r="AH243" s="30" t="s">
        <v>151</v>
      </c>
      <c r="AI243" s="38" t="s">
        <v>151</v>
      </c>
      <c r="AJ243" s="32" t="s">
        <v>151</v>
      </c>
      <c r="AK243" s="38" t="s">
        <v>151</v>
      </c>
      <c r="AL243" s="38" t="s">
        <v>151</v>
      </c>
      <c r="AM243" s="38" t="s">
        <v>151</v>
      </c>
      <c r="AN243" s="38" t="s">
        <v>151</v>
      </c>
      <c r="AO243" s="38" t="s">
        <v>151</v>
      </c>
      <c r="AP243" s="38" t="s">
        <v>151</v>
      </c>
      <c r="AQ243" s="38" t="s">
        <v>151</v>
      </c>
      <c r="AR243" s="29" t="s">
        <v>151</v>
      </c>
      <c r="AS243" s="30" t="s">
        <v>5456</v>
      </c>
      <c r="AT243" s="30" t="s">
        <v>5457</v>
      </c>
      <c r="AU243" s="31">
        <v>18</v>
      </c>
      <c r="AV243" s="30" t="s">
        <v>151</v>
      </c>
      <c r="AW243" s="30" t="s">
        <v>151</v>
      </c>
      <c r="AX243" s="30" t="s">
        <v>151</v>
      </c>
      <c r="AY243" s="30" t="s">
        <v>5458</v>
      </c>
      <c r="AZ243" s="30" t="s">
        <v>151</v>
      </c>
      <c r="BA243" s="30" t="s">
        <v>151</v>
      </c>
      <c r="BB243" s="30" t="s">
        <v>151</v>
      </c>
      <c r="BC243" s="30" t="s">
        <v>151</v>
      </c>
      <c r="BD243" s="30" t="s">
        <v>5459</v>
      </c>
      <c r="BE243" s="30" t="s">
        <v>5460</v>
      </c>
      <c r="BF243" s="30" t="s">
        <v>403</v>
      </c>
      <c r="BG243" s="30" t="s">
        <v>5461</v>
      </c>
      <c r="BH243" s="30" t="s">
        <v>151</v>
      </c>
      <c r="BI243" s="30" t="s">
        <v>5462</v>
      </c>
      <c r="BJ243" s="30" t="s">
        <v>5463</v>
      </c>
      <c r="BK243" s="30" t="s">
        <v>5464</v>
      </c>
      <c r="BL243" s="30" t="s">
        <v>5465</v>
      </c>
      <c r="BM243" s="30" t="s">
        <v>1388</v>
      </c>
      <c r="BN243" s="29" t="s">
        <v>5466</v>
      </c>
      <c r="BO243" s="30" t="s">
        <v>186</v>
      </c>
      <c r="BP243" s="29" t="s">
        <v>151</v>
      </c>
      <c r="BQ243" s="29" t="s">
        <v>151</v>
      </c>
      <c r="BR243" s="30" t="s">
        <v>151</v>
      </c>
      <c r="BS243" s="30" t="s">
        <v>187</v>
      </c>
      <c r="BT243" s="30" t="s">
        <v>188</v>
      </c>
      <c r="BU243" s="35" t="s">
        <v>151</v>
      </c>
      <c r="BV243" s="37" t="s">
        <v>151</v>
      </c>
      <c r="BW243" s="30" t="s">
        <v>151</v>
      </c>
      <c r="BX243" s="37" t="s">
        <v>151</v>
      </c>
      <c r="BY243" s="30" t="s">
        <v>151</v>
      </c>
      <c r="BZ243" s="30" t="s">
        <v>189</v>
      </c>
      <c r="CA243" s="30" t="s">
        <v>151</v>
      </c>
      <c r="CB243" s="30" t="s">
        <v>151</v>
      </c>
      <c r="CC243" s="30" t="s">
        <v>190</v>
      </c>
      <c r="CD243" s="30" t="s">
        <v>151</v>
      </c>
      <c r="CE243" s="30" t="s">
        <v>191</v>
      </c>
      <c r="CF243" s="35">
        <v>44815</v>
      </c>
      <c r="CG243" s="37">
        <v>1.65</v>
      </c>
      <c r="CH243" s="30" t="s">
        <v>192</v>
      </c>
      <c r="CI243" s="37" t="s">
        <v>151</v>
      </c>
      <c r="CJ243" s="30" t="s">
        <v>151</v>
      </c>
      <c r="CK243" s="29" t="s">
        <v>151</v>
      </c>
      <c r="CL243" s="30" t="s">
        <v>293</v>
      </c>
      <c r="CM243" s="30" t="s">
        <v>293</v>
      </c>
      <c r="CN243" s="30" t="s">
        <v>151</v>
      </c>
      <c r="CO243" s="30" t="s">
        <v>165</v>
      </c>
      <c r="CP243" s="35">
        <v>44815</v>
      </c>
      <c r="CQ243" s="37" t="s">
        <v>151</v>
      </c>
      <c r="CR243" s="30" t="s">
        <v>151</v>
      </c>
      <c r="CS243" s="30" t="s">
        <v>191</v>
      </c>
      <c r="CT243" s="29">
        <v>79</v>
      </c>
      <c r="CU243" s="30" t="s">
        <v>196</v>
      </c>
      <c r="CV243" s="32">
        <v>72</v>
      </c>
      <c r="CW243" s="32">
        <v>28</v>
      </c>
      <c r="CX243" s="30" t="s">
        <v>294</v>
      </c>
      <c r="CY243" s="32">
        <v>1</v>
      </c>
      <c r="CZ243" s="32">
        <v>71</v>
      </c>
      <c r="DA243" s="37" t="s">
        <v>151</v>
      </c>
      <c r="DB243" s="35" t="s">
        <v>151</v>
      </c>
      <c r="DC243" s="30" t="s">
        <v>151</v>
      </c>
      <c r="DD243" s="29" t="s">
        <v>151</v>
      </c>
      <c r="DE243" s="32">
        <v>0.68</v>
      </c>
      <c r="DF243" s="34">
        <v>95</v>
      </c>
      <c r="DG243" s="32">
        <v>0</v>
      </c>
      <c r="DH243" s="32">
        <v>0</v>
      </c>
      <c r="DI243" s="32">
        <v>2.31</v>
      </c>
      <c r="DJ243" s="34">
        <v>99</v>
      </c>
      <c r="DK243" s="32" t="s">
        <v>151</v>
      </c>
      <c r="DL243" s="34" t="s">
        <v>151</v>
      </c>
      <c r="DM243" s="32">
        <v>2.31</v>
      </c>
      <c r="DN243" s="34">
        <v>99</v>
      </c>
      <c r="DO243" s="36">
        <v>10.72</v>
      </c>
      <c r="DP243" s="34">
        <v>91</v>
      </c>
      <c r="DQ243" s="36">
        <v>0</v>
      </c>
      <c r="DR243" s="32">
        <v>0</v>
      </c>
      <c r="DS243" s="36">
        <v>19.53</v>
      </c>
      <c r="DT243" s="34">
        <v>95</v>
      </c>
      <c r="DU243" s="36" t="s">
        <v>151</v>
      </c>
      <c r="DV243" s="34" t="s">
        <v>151</v>
      </c>
      <c r="DW243" s="36">
        <v>19.53</v>
      </c>
      <c r="DX243" s="34">
        <v>95</v>
      </c>
      <c r="DY243" s="31" t="s">
        <v>151</v>
      </c>
      <c r="DZ243" s="35" t="s">
        <v>151</v>
      </c>
      <c r="EA243" s="35" t="s">
        <v>151</v>
      </c>
      <c r="EB243" s="34">
        <v>4421</v>
      </c>
      <c r="EC243" s="33">
        <v>59</v>
      </c>
      <c r="ED243" s="32">
        <v>1.35</v>
      </c>
      <c r="EE243" s="34">
        <v>371</v>
      </c>
      <c r="EF243" s="33">
        <v>5</v>
      </c>
      <c r="EG243" s="32">
        <v>1.37</v>
      </c>
      <c r="EH243" s="29" t="s">
        <v>198</v>
      </c>
      <c r="EI243" s="30" t="s">
        <v>151</v>
      </c>
      <c r="EJ243" s="30" t="s">
        <v>151</v>
      </c>
      <c r="EK243" s="31" t="s">
        <v>151</v>
      </c>
      <c r="EL243" s="31" t="s">
        <v>151</v>
      </c>
      <c r="EM243" s="31" t="s">
        <v>151</v>
      </c>
      <c r="EN243" s="31" t="s">
        <v>151</v>
      </c>
      <c r="EO243" s="31" t="s">
        <v>151</v>
      </c>
      <c r="EP243" s="30" t="s">
        <v>151</v>
      </c>
      <c r="EQ243" s="29" t="s">
        <v>151</v>
      </c>
      <c r="ER243" s="29" t="s">
        <v>151</v>
      </c>
      <c r="ES243" s="4">
        <f>HYPERLINK("https://my.pitchbook.com?c=471494-17","View Company Online")</f>
      </c>
    </row>
    <row r="244">
      <c r="A244" s="17" t="s">
        <v>5467</v>
      </c>
      <c r="B244" s="17" t="s">
        <v>5468</v>
      </c>
      <c r="C244" s="18" t="s">
        <v>151</v>
      </c>
      <c r="D244" s="17" t="s">
        <v>151</v>
      </c>
      <c r="E244" s="17" t="s">
        <v>151</v>
      </c>
      <c r="F244" s="17" t="s">
        <v>5469</v>
      </c>
      <c r="G244" s="17" t="s">
        <v>151</v>
      </c>
      <c r="H244" s="17" t="s">
        <v>151</v>
      </c>
      <c r="I244" s="17" t="s">
        <v>151</v>
      </c>
      <c r="J244" s="17" t="s">
        <v>5467</v>
      </c>
      <c r="K244" s="17" t="s">
        <v>5470</v>
      </c>
      <c r="L244" s="17" t="s">
        <v>205</v>
      </c>
      <c r="M244" s="17" t="s">
        <v>206</v>
      </c>
      <c r="N244" s="17" t="s">
        <v>269</v>
      </c>
      <c r="O244" s="17" t="s">
        <v>3056</v>
      </c>
      <c r="P244" s="17" t="s">
        <v>1000</v>
      </c>
      <c r="Q244" s="17" t="s">
        <v>5471</v>
      </c>
      <c r="R244" s="17" t="s">
        <v>151</v>
      </c>
      <c r="S244" s="17" t="s">
        <v>162</v>
      </c>
      <c r="T244" s="24">
        <v>1.9</v>
      </c>
      <c r="U244" s="17" t="s">
        <v>163</v>
      </c>
      <c r="V244" s="17" t="s">
        <v>164</v>
      </c>
      <c r="W244" s="17" t="s">
        <v>165</v>
      </c>
      <c r="X244" s="15" t="s">
        <v>5472</v>
      </c>
      <c r="Y244" s="15" t="s">
        <v>5473</v>
      </c>
      <c r="Z244" s="27">
        <v>9</v>
      </c>
      <c r="AA244" s="17" t="s">
        <v>5474</v>
      </c>
      <c r="AB244" s="17" t="s">
        <v>151</v>
      </c>
      <c r="AC244" s="17" t="s">
        <v>151</v>
      </c>
      <c r="AD244" s="26">
        <v>2021</v>
      </c>
      <c r="AE244" s="17" t="s">
        <v>151</v>
      </c>
      <c r="AF244" s="22">
        <v>45617</v>
      </c>
      <c r="AG244" s="17" t="s">
        <v>151</v>
      </c>
      <c r="AH244" s="17" t="s">
        <v>151</v>
      </c>
      <c r="AI244" s="25" t="s">
        <v>151</v>
      </c>
      <c r="AJ244" s="19" t="s">
        <v>151</v>
      </c>
      <c r="AK244" s="25" t="s">
        <v>151</v>
      </c>
      <c r="AL244" s="25" t="s">
        <v>151</v>
      </c>
      <c r="AM244" s="25" t="s">
        <v>151</v>
      </c>
      <c r="AN244" s="25" t="s">
        <v>151</v>
      </c>
      <c r="AO244" s="25" t="s">
        <v>151</v>
      </c>
      <c r="AP244" s="25" t="s">
        <v>151</v>
      </c>
      <c r="AQ244" s="25" t="s">
        <v>151</v>
      </c>
      <c r="AR244" s="16" t="s">
        <v>151</v>
      </c>
      <c r="AS244" s="17" t="s">
        <v>5475</v>
      </c>
      <c r="AT244" s="17" t="s">
        <v>5476</v>
      </c>
      <c r="AU244" s="18">
        <v>11</v>
      </c>
      <c r="AV244" s="17" t="s">
        <v>151</v>
      </c>
      <c r="AW244" s="17" t="s">
        <v>151</v>
      </c>
      <c r="AX244" s="17" t="s">
        <v>151</v>
      </c>
      <c r="AY244" s="17" t="s">
        <v>5477</v>
      </c>
      <c r="AZ244" s="17" t="s">
        <v>151</v>
      </c>
      <c r="BA244" s="17" t="s">
        <v>151</v>
      </c>
      <c r="BB244" s="17" t="s">
        <v>151</v>
      </c>
      <c r="BC244" s="17" t="s">
        <v>151</v>
      </c>
      <c r="BD244" s="17" t="s">
        <v>5478</v>
      </c>
      <c r="BE244" s="17" t="s">
        <v>5479</v>
      </c>
      <c r="BF244" s="17" t="s">
        <v>2427</v>
      </c>
      <c r="BG244" s="17" t="s">
        <v>5480</v>
      </c>
      <c r="BH244" s="17" t="s">
        <v>151</v>
      </c>
      <c r="BI244" s="17" t="s">
        <v>2048</v>
      </c>
      <c r="BJ244" s="17" t="s">
        <v>2049</v>
      </c>
      <c r="BK244" s="17" t="s">
        <v>5481</v>
      </c>
      <c r="BL244" s="17" t="s">
        <v>2051</v>
      </c>
      <c r="BM244" s="17" t="s">
        <v>184</v>
      </c>
      <c r="BN244" s="16" t="s">
        <v>2052</v>
      </c>
      <c r="BO244" s="17" t="s">
        <v>186</v>
      </c>
      <c r="BP244" s="16" t="s">
        <v>151</v>
      </c>
      <c r="BQ244" s="16" t="s">
        <v>151</v>
      </c>
      <c r="BR244" s="17" t="s">
        <v>151</v>
      </c>
      <c r="BS244" s="17" t="s">
        <v>187</v>
      </c>
      <c r="BT244" s="17" t="s">
        <v>188</v>
      </c>
      <c r="BU244" s="22">
        <v>44621</v>
      </c>
      <c r="BV244" s="24">
        <v>0.5</v>
      </c>
      <c r="BW244" s="17" t="s">
        <v>192</v>
      </c>
      <c r="BX244" s="24" t="s">
        <v>151</v>
      </c>
      <c r="BY244" s="17" t="s">
        <v>151</v>
      </c>
      <c r="BZ244" s="17" t="s">
        <v>189</v>
      </c>
      <c r="CA244" s="17" t="s">
        <v>151</v>
      </c>
      <c r="CB244" s="17" t="s">
        <v>151</v>
      </c>
      <c r="CC244" s="17" t="s">
        <v>190</v>
      </c>
      <c r="CD244" s="17" t="s">
        <v>151</v>
      </c>
      <c r="CE244" s="17" t="s">
        <v>191</v>
      </c>
      <c r="CF244" s="22">
        <v>45021</v>
      </c>
      <c r="CG244" s="24" t="s">
        <v>151</v>
      </c>
      <c r="CH244" s="17" t="s">
        <v>151</v>
      </c>
      <c r="CI244" s="24" t="s">
        <v>151</v>
      </c>
      <c r="CJ244" s="17" t="s">
        <v>151</v>
      </c>
      <c r="CK244" s="16" t="s">
        <v>151</v>
      </c>
      <c r="CL244" s="17" t="s">
        <v>231</v>
      </c>
      <c r="CM244" s="17" t="s">
        <v>151</v>
      </c>
      <c r="CN244" s="17" t="s">
        <v>151</v>
      </c>
      <c r="CO244" s="17" t="s">
        <v>165</v>
      </c>
      <c r="CP244" s="22">
        <v>45021</v>
      </c>
      <c r="CQ244" s="24" t="s">
        <v>151</v>
      </c>
      <c r="CR244" s="17" t="s">
        <v>151</v>
      </c>
      <c r="CS244" s="17" t="s">
        <v>191</v>
      </c>
      <c r="CT244" s="16">
        <v>46</v>
      </c>
      <c r="CU244" s="17" t="s">
        <v>263</v>
      </c>
      <c r="CV244" s="19">
        <v>45</v>
      </c>
      <c r="CW244" s="19">
        <v>55</v>
      </c>
      <c r="CX244" s="17" t="s">
        <v>263</v>
      </c>
      <c r="CY244" s="19">
        <v>1</v>
      </c>
      <c r="CZ244" s="19">
        <v>44</v>
      </c>
      <c r="DA244" s="24" t="s">
        <v>151</v>
      </c>
      <c r="DB244" s="22" t="s">
        <v>151</v>
      </c>
      <c r="DC244" s="17" t="s">
        <v>151</v>
      </c>
      <c r="DD244" s="16" t="s">
        <v>151</v>
      </c>
      <c r="DE244" s="19" t="s">
        <v>151</v>
      </c>
      <c r="DF244" s="21" t="s">
        <v>151</v>
      </c>
      <c r="DG244" s="19" t="s">
        <v>151</v>
      </c>
      <c r="DH244" s="19" t="s">
        <v>151</v>
      </c>
      <c r="DI244" s="19" t="s">
        <v>151</v>
      </c>
      <c r="DJ244" s="21" t="s">
        <v>151</v>
      </c>
      <c r="DK244" s="19" t="s">
        <v>151</v>
      </c>
      <c r="DL244" s="21" t="s">
        <v>151</v>
      </c>
      <c r="DM244" s="19" t="s">
        <v>151</v>
      </c>
      <c r="DN244" s="21" t="s">
        <v>151</v>
      </c>
      <c r="DO244" s="23" t="s">
        <v>151</v>
      </c>
      <c r="DP244" s="21" t="s">
        <v>151</v>
      </c>
      <c r="DQ244" s="23" t="s">
        <v>151</v>
      </c>
      <c r="DR244" s="19" t="s">
        <v>151</v>
      </c>
      <c r="DS244" s="23" t="s">
        <v>151</v>
      </c>
      <c r="DT244" s="21" t="s">
        <v>151</v>
      </c>
      <c r="DU244" s="23" t="s">
        <v>151</v>
      </c>
      <c r="DV244" s="21" t="s">
        <v>151</v>
      </c>
      <c r="DW244" s="23" t="s">
        <v>151</v>
      </c>
      <c r="DX244" s="21" t="s">
        <v>151</v>
      </c>
      <c r="DY244" s="18" t="s">
        <v>151</v>
      </c>
      <c r="DZ244" s="22" t="s">
        <v>151</v>
      </c>
      <c r="EA244" s="22" t="s">
        <v>151</v>
      </c>
      <c r="EB244" s="21" t="s">
        <v>151</v>
      </c>
      <c r="EC244" s="20" t="s">
        <v>151</v>
      </c>
      <c r="ED244" s="19" t="s">
        <v>151</v>
      </c>
      <c r="EE244" s="21" t="s">
        <v>151</v>
      </c>
      <c r="EF244" s="20" t="s">
        <v>151</v>
      </c>
      <c r="EG244" s="19" t="s">
        <v>151</v>
      </c>
      <c r="EH244" s="16" t="s">
        <v>198</v>
      </c>
      <c r="EI244" s="17" t="s">
        <v>151</v>
      </c>
      <c r="EJ244" s="17" t="s">
        <v>151</v>
      </c>
      <c r="EK244" s="18" t="s">
        <v>151</v>
      </c>
      <c r="EL244" s="18" t="s">
        <v>151</v>
      </c>
      <c r="EM244" s="18" t="s">
        <v>151</v>
      </c>
      <c r="EN244" s="18" t="s">
        <v>151</v>
      </c>
      <c r="EO244" s="18" t="s">
        <v>151</v>
      </c>
      <c r="EP244" s="17" t="s">
        <v>151</v>
      </c>
      <c r="EQ244" s="16" t="s">
        <v>151</v>
      </c>
      <c r="ER244" s="16" t="s">
        <v>151</v>
      </c>
      <c r="ES244" s="3">
        <f>HYPERLINK("https://my.pitchbook.com?c=493367-68","View Company Online")</f>
      </c>
    </row>
    <row r="245">
      <c r="A245" s="30" t="s">
        <v>5482</v>
      </c>
      <c r="B245" s="30" t="s">
        <v>5483</v>
      </c>
      <c r="C245" s="31" t="s">
        <v>151</v>
      </c>
      <c r="D245" s="30" t="s">
        <v>151</v>
      </c>
      <c r="E245" s="30" t="s">
        <v>5468</v>
      </c>
      <c r="F245" s="30" t="s">
        <v>5484</v>
      </c>
      <c r="G245" s="30" t="s">
        <v>151</v>
      </c>
      <c r="H245" s="30" t="s">
        <v>151</v>
      </c>
      <c r="I245" s="30" t="s">
        <v>151</v>
      </c>
      <c r="J245" s="30" t="s">
        <v>5482</v>
      </c>
      <c r="K245" s="30" t="s">
        <v>5485</v>
      </c>
      <c r="L245" s="30" t="s">
        <v>205</v>
      </c>
      <c r="M245" s="30" t="s">
        <v>206</v>
      </c>
      <c r="N245" s="30" t="s">
        <v>269</v>
      </c>
      <c r="O245" s="30" t="s">
        <v>1819</v>
      </c>
      <c r="P245" s="30" t="s">
        <v>919</v>
      </c>
      <c r="Q245" s="30" t="s">
        <v>5486</v>
      </c>
      <c r="R245" s="30" t="s">
        <v>151</v>
      </c>
      <c r="S245" s="30" t="s">
        <v>162</v>
      </c>
      <c r="T245" s="37">
        <v>5</v>
      </c>
      <c r="U245" s="30" t="s">
        <v>163</v>
      </c>
      <c r="V245" s="30" t="s">
        <v>164</v>
      </c>
      <c r="W245" s="30" t="s">
        <v>165</v>
      </c>
      <c r="X245" s="28" t="s">
        <v>5487</v>
      </c>
      <c r="Y245" s="28" t="s">
        <v>5488</v>
      </c>
      <c r="Z245" s="40">
        <v>18</v>
      </c>
      <c r="AA245" s="30" t="s">
        <v>5489</v>
      </c>
      <c r="AB245" s="30" t="s">
        <v>151</v>
      </c>
      <c r="AC245" s="30" t="s">
        <v>151</v>
      </c>
      <c r="AD245" s="39">
        <v>2022</v>
      </c>
      <c r="AE245" s="30" t="s">
        <v>151</v>
      </c>
      <c r="AF245" s="35">
        <v>45589</v>
      </c>
      <c r="AG245" s="30" t="s">
        <v>151</v>
      </c>
      <c r="AH245" s="30" t="s">
        <v>151</v>
      </c>
      <c r="AI245" s="38">
        <v>1.2</v>
      </c>
      <c r="AJ245" s="32">
        <v>3900</v>
      </c>
      <c r="AK245" s="38" t="s">
        <v>151</v>
      </c>
      <c r="AL245" s="38" t="s">
        <v>151</v>
      </c>
      <c r="AM245" s="38" t="s">
        <v>151</v>
      </c>
      <c r="AN245" s="38" t="s">
        <v>151</v>
      </c>
      <c r="AO245" s="38" t="s">
        <v>151</v>
      </c>
      <c r="AP245" s="38" t="s">
        <v>151</v>
      </c>
      <c r="AQ245" s="38" t="s">
        <v>151</v>
      </c>
      <c r="AR245" s="29" t="s">
        <v>841</v>
      </c>
      <c r="AS245" s="30" t="s">
        <v>5490</v>
      </c>
      <c r="AT245" s="30" t="s">
        <v>5491</v>
      </c>
      <c r="AU245" s="31">
        <v>12</v>
      </c>
      <c r="AV245" s="30" t="s">
        <v>151</v>
      </c>
      <c r="AW245" s="30" t="s">
        <v>151</v>
      </c>
      <c r="AX245" s="30" t="s">
        <v>151</v>
      </c>
      <c r="AY245" s="30" t="s">
        <v>5492</v>
      </c>
      <c r="AZ245" s="30" t="s">
        <v>151</v>
      </c>
      <c r="BA245" s="30" t="s">
        <v>151</v>
      </c>
      <c r="BB245" s="30" t="s">
        <v>5493</v>
      </c>
      <c r="BC245" s="30" t="s">
        <v>151</v>
      </c>
      <c r="BD245" s="30" t="s">
        <v>5494</v>
      </c>
      <c r="BE245" s="30" t="s">
        <v>5495</v>
      </c>
      <c r="BF245" s="30" t="s">
        <v>931</v>
      </c>
      <c r="BG245" s="30" t="s">
        <v>5496</v>
      </c>
      <c r="BH245" s="30" t="s">
        <v>5497</v>
      </c>
      <c r="BI245" s="30" t="s">
        <v>934</v>
      </c>
      <c r="BJ245" s="30" t="s">
        <v>5498</v>
      </c>
      <c r="BK245" s="30" t="s">
        <v>5499</v>
      </c>
      <c r="BL245" s="30" t="s">
        <v>937</v>
      </c>
      <c r="BM245" s="30" t="s">
        <v>184</v>
      </c>
      <c r="BN245" s="29" t="s">
        <v>5500</v>
      </c>
      <c r="BO245" s="30" t="s">
        <v>186</v>
      </c>
      <c r="BP245" s="29" t="s">
        <v>5501</v>
      </c>
      <c r="BQ245" s="29" t="s">
        <v>151</v>
      </c>
      <c r="BR245" s="30" t="s">
        <v>5502</v>
      </c>
      <c r="BS245" s="30" t="s">
        <v>187</v>
      </c>
      <c r="BT245" s="30" t="s">
        <v>188</v>
      </c>
      <c r="BU245" s="35">
        <v>45216</v>
      </c>
      <c r="BV245" s="37">
        <v>5</v>
      </c>
      <c r="BW245" s="30" t="s">
        <v>192</v>
      </c>
      <c r="BX245" s="37">
        <v>35</v>
      </c>
      <c r="BY245" s="30" t="s">
        <v>192</v>
      </c>
      <c r="BZ245" s="30" t="s">
        <v>293</v>
      </c>
      <c r="CA245" s="30" t="s">
        <v>293</v>
      </c>
      <c r="CB245" s="30" t="s">
        <v>151</v>
      </c>
      <c r="CC245" s="30" t="s">
        <v>165</v>
      </c>
      <c r="CD245" s="30" t="s">
        <v>151</v>
      </c>
      <c r="CE245" s="30" t="s">
        <v>191</v>
      </c>
      <c r="CF245" s="35" t="s">
        <v>151</v>
      </c>
      <c r="CG245" s="37" t="s">
        <v>151</v>
      </c>
      <c r="CH245" s="30" t="s">
        <v>151</v>
      </c>
      <c r="CI245" s="37">
        <v>45</v>
      </c>
      <c r="CJ245" s="30" t="s">
        <v>192</v>
      </c>
      <c r="CK245" s="29" t="s">
        <v>151</v>
      </c>
      <c r="CL245" s="30" t="s">
        <v>231</v>
      </c>
      <c r="CM245" s="30" t="s">
        <v>151</v>
      </c>
      <c r="CN245" s="30" t="s">
        <v>151</v>
      </c>
      <c r="CO245" s="30" t="s">
        <v>165</v>
      </c>
      <c r="CP245" s="35" t="s">
        <v>151</v>
      </c>
      <c r="CQ245" s="37" t="s">
        <v>151</v>
      </c>
      <c r="CR245" s="30" t="s">
        <v>151</v>
      </c>
      <c r="CS245" s="30" t="s">
        <v>1887</v>
      </c>
      <c r="CT245" s="29" t="s">
        <v>151</v>
      </c>
      <c r="CU245" s="30" t="s">
        <v>151</v>
      </c>
      <c r="CV245" s="32" t="s">
        <v>151</v>
      </c>
      <c r="CW245" s="32" t="s">
        <v>151</v>
      </c>
      <c r="CX245" s="30" t="s">
        <v>151</v>
      </c>
      <c r="CY245" s="32" t="s">
        <v>151</v>
      </c>
      <c r="CZ245" s="32" t="s">
        <v>151</v>
      </c>
      <c r="DA245" s="37">
        <v>45</v>
      </c>
      <c r="DB245" s="35" t="s">
        <v>151</v>
      </c>
      <c r="DC245" s="30" t="s">
        <v>231</v>
      </c>
      <c r="DD245" s="29" t="s">
        <v>151</v>
      </c>
      <c r="DE245" s="32">
        <v>0.81</v>
      </c>
      <c r="DF245" s="34">
        <v>95</v>
      </c>
      <c r="DG245" s="32">
        <v>0</v>
      </c>
      <c r="DH245" s="32">
        <v>0</v>
      </c>
      <c r="DI245" s="32">
        <v>0.88</v>
      </c>
      <c r="DJ245" s="34">
        <v>96</v>
      </c>
      <c r="DK245" s="32" t="s">
        <v>151</v>
      </c>
      <c r="DL245" s="34" t="s">
        <v>151</v>
      </c>
      <c r="DM245" s="32">
        <v>0.88</v>
      </c>
      <c r="DN245" s="34">
        <v>96</v>
      </c>
      <c r="DO245" s="36">
        <v>11.22</v>
      </c>
      <c r="DP245" s="34">
        <v>91</v>
      </c>
      <c r="DQ245" s="36">
        <v>0</v>
      </c>
      <c r="DR245" s="32">
        <v>0</v>
      </c>
      <c r="DS245" s="36">
        <v>21.05</v>
      </c>
      <c r="DT245" s="34">
        <v>95</v>
      </c>
      <c r="DU245" s="36" t="s">
        <v>151</v>
      </c>
      <c r="DV245" s="34" t="s">
        <v>151</v>
      </c>
      <c r="DW245" s="36">
        <v>21.05</v>
      </c>
      <c r="DX245" s="34">
        <v>95</v>
      </c>
      <c r="DY245" s="31" t="s">
        <v>151</v>
      </c>
      <c r="DZ245" s="35" t="s">
        <v>151</v>
      </c>
      <c r="EA245" s="35" t="s">
        <v>151</v>
      </c>
      <c r="EB245" s="34">
        <v>5424</v>
      </c>
      <c r="EC245" s="33">
        <v>-71</v>
      </c>
      <c r="ED245" s="32">
        <v>-1.29</v>
      </c>
      <c r="EE245" s="34">
        <v>400</v>
      </c>
      <c r="EF245" s="33">
        <v>2</v>
      </c>
      <c r="EG245" s="32">
        <v>0.5</v>
      </c>
      <c r="EH245" s="29" t="s">
        <v>198</v>
      </c>
      <c r="EI245" s="30" t="s">
        <v>151</v>
      </c>
      <c r="EJ245" s="30" t="s">
        <v>151</v>
      </c>
      <c r="EK245" s="31" t="s">
        <v>151</v>
      </c>
      <c r="EL245" s="31" t="s">
        <v>151</v>
      </c>
      <c r="EM245" s="31" t="s">
        <v>151</v>
      </c>
      <c r="EN245" s="31" t="s">
        <v>151</v>
      </c>
      <c r="EO245" s="31" t="s">
        <v>151</v>
      </c>
      <c r="EP245" s="30" t="s">
        <v>151</v>
      </c>
      <c r="EQ245" s="29" t="s">
        <v>151</v>
      </c>
      <c r="ER245" s="29" t="s">
        <v>151</v>
      </c>
      <c r="ES245" s="4">
        <f>HYPERLINK("https://my.pitchbook.com?c=491536-54","View Company Online")</f>
      </c>
    </row>
    <row r="246">
      <c r="A246" s="17" t="s">
        <v>5503</v>
      </c>
      <c r="B246" s="17" t="s">
        <v>5504</v>
      </c>
      <c r="C246" s="18" t="s">
        <v>151</v>
      </c>
      <c r="D246" s="17" t="s">
        <v>151</v>
      </c>
      <c r="E246" s="17" t="s">
        <v>151</v>
      </c>
      <c r="F246" s="17" t="s">
        <v>5505</v>
      </c>
      <c r="G246" s="17" t="s">
        <v>151</v>
      </c>
      <c r="H246" s="17" t="s">
        <v>151</v>
      </c>
      <c r="I246" s="17" t="s">
        <v>151</v>
      </c>
      <c r="J246" s="17" t="s">
        <v>5503</v>
      </c>
      <c r="K246" s="17" t="s">
        <v>5506</v>
      </c>
      <c r="L246" s="17" t="s">
        <v>205</v>
      </c>
      <c r="M246" s="17" t="s">
        <v>206</v>
      </c>
      <c r="N246" s="17" t="s">
        <v>776</v>
      </c>
      <c r="O246" s="17" t="s">
        <v>5507</v>
      </c>
      <c r="P246" s="17" t="s">
        <v>304</v>
      </c>
      <c r="Q246" s="17" t="s">
        <v>5508</v>
      </c>
      <c r="R246" s="17" t="s">
        <v>151</v>
      </c>
      <c r="S246" s="17" t="s">
        <v>162</v>
      </c>
      <c r="T246" s="24">
        <v>2.1</v>
      </c>
      <c r="U246" s="17" t="s">
        <v>163</v>
      </c>
      <c r="V246" s="17" t="s">
        <v>164</v>
      </c>
      <c r="W246" s="17" t="s">
        <v>165</v>
      </c>
      <c r="X246" s="15" t="s">
        <v>5509</v>
      </c>
      <c r="Y246" s="15" t="s">
        <v>5510</v>
      </c>
      <c r="Z246" s="27">
        <v>11</v>
      </c>
      <c r="AA246" s="17" t="s">
        <v>5511</v>
      </c>
      <c r="AB246" s="17" t="s">
        <v>151</v>
      </c>
      <c r="AC246" s="17" t="s">
        <v>151</v>
      </c>
      <c r="AD246" s="26">
        <v>2021</v>
      </c>
      <c r="AE246" s="17" t="s">
        <v>151</v>
      </c>
      <c r="AF246" s="22">
        <v>45522</v>
      </c>
      <c r="AG246" s="17" t="s">
        <v>151</v>
      </c>
      <c r="AH246" s="17" t="s">
        <v>151</v>
      </c>
      <c r="AI246" s="25">
        <v>0.21</v>
      </c>
      <c r="AJ246" s="19">
        <v>736.14</v>
      </c>
      <c r="AK246" s="25" t="s">
        <v>151</v>
      </c>
      <c r="AL246" s="25" t="s">
        <v>151</v>
      </c>
      <c r="AM246" s="25" t="s">
        <v>151</v>
      </c>
      <c r="AN246" s="25" t="s">
        <v>151</v>
      </c>
      <c r="AO246" s="25" t="s">
        <v>151</v>
      </c>
      <c r="AP246" s="25" t="s">
        <v>151</v>
      </c>
      <c r="AQ246" s="25" t="s">
        <v>151</v>
      </c>
      <c r="AR246" s="16" t="s">
        <v>170</v>
      </c>
      <c r="AS246" s="17" t="s">
        <v>5512</v>
      </c>
      <c r="AT246" s="17" t="s">
        <v>5513</v>
      </c>
      <c r="AU246" s="18">
        <v>2</v>
      </c>
      <c r="AV246" s="17" t="s">
        <v>151</v>
      </c>
      <c r="AW246" s="17" t="s">
        <v>151</v>
      </c>
      <c r="AX246" s="17" t="s">
        <v>151</v>
      </c>
      <c r="AY246" s="17" t="s">
        <v>5514</v>
      </c>
      <c r="AZ246" s="17" t="s">
        <v>151</v>
      </c>
      <c r="BA246" s="17" t="s">
        <v>151</v>
      </c>
      <c r="BB246" s="17" t="s">
        <v>151</v>
      </c>
      <c r="BC246" s="17" t="s">
        <v>151</v>
      </c>
      <c r="BD246" s="17" t="s">
        <v>5515</v>
      </c>
      <c r="BE246" s="17" t="s">
        <v>5516</v>
      </c>
      <c r="BF246" s="17" t="s">
        <v>221</v>
      </c>
      <c r="BG246" s="17" t="s">
        <v>5517</v>
      </c>
      <c r="BH246" s="17" t="s">
        <v>151</v>
      </c>
      <c r="BI246" s="17" t="s">
        <v>934</v>
      </c>
      <c r="BJ246" s="17" t="s">
        <v>5518</v>
      </c>
      <c r="BK246" s="17" t="s">
        <v>5519</v>
      </c>
      <c r="BL246" s="17" t="s">
        <v>937</v>
      </c>
      <c r="BM246" s="17" t="s">
        <v>184</v>
      </c>
      <c r="BN246" s="16" t="s">
        <v>5520</v>
      </c>
      <c r="BO246" s="17" t="s">
        <v>186</v>
      </c>
      <c r="BP246" s="16" t="s">
        <v>151</v>
      </c>
      <c r="BQ246" s="16" t="s">
        <v>151</v>
      </c>
      <c r="BR246" s="17" t="s">
        <v>5521</v>
      </c>
      <c r="BS246" s="17" t="s">
        <v>187</v>
      </c>
      <c r="BT246" s="17" t="s">
        <v>188</v>
      </c>
      <c r="BU246" s="22">
        <v>45299</v>
      </c>
      <c r="BV246" s="24">
        <v>0.1</v>
      </c>
      <c r="BW246" s="17" t="s">
        <v>192</v>
      </c>
      <c r="BX246" s="24" t="s">
        <v>151</v>
      </c>
      <c r="BY246" s="17" t="s">
        <v>151</v>
      </c>
      <c r="BZ246" s="17" t="s">
        <v>231</v>
      </c>
      <c r="CA246" s="17" t="s">
        <v>151</v>
      </c>
      <c r="CB246" s="17" t="s">
        <v>151</v>
      </c>
      <c r="CC246" s="17" t="s">
        <v>165</v>
      </c>
      <c r="CD246" s="17" t="s">
        <v>151</v>
      </c>
      <c r="CE246" s="17" t="s">
        <v>191</v>
      </c>
      <c r="CF246" s="22" t="s">
        <v>151</v>
      </c>
      <c r="CG246" s="24" t="s">
        <v>151</v>
      </c>
      <c r="CH246" s="17" t="s">
        <v>151</v>
      </c>
      <c r="CI246" s="24" t="s">
        <v>151</v>
      </c>
      <c r="CJ246" s="17" t="s">
        <v>151</v>
      </c>
      <c r="CK246" s="16" t="s">
        <v>151</v>
      </c>
      <c r="CL246" s="17" t="s">
        <v>293</v>
      </c>
      <c r="CM246" s="17" t="s">
        <v>293</v>
      </c>
      <c r="CN246" s="17" t="s">
        <v>151</v>
      </c>
      <c r="CO246" s="17" t="s">
        <v>165</v>
      </c>
      <c r="CP246" s="22" t="s">
        <v>151</v>
      </c>
      <c r="CQ246" s="24" t="s">
        <v>151</v>
      </c>
      <c r="CR246" s="17" t="s">
        <v>151</v>
      </c>
      <c r="CS246" s="17" t="s">
        <v>859</v>
      </c>
      <c r="CT246" s="16" t="s">
        <v>151</v>
      </c>
      <c r="CU246" s="17" t="s">
        <v>151</v>
      </c>
      <c r="CV246" s="19" t="s">
        <v>151</v>
      </c>
      <c r="CW246" s="19" t="s">
        <v>151</v>
      </c>
      <c r="CX246" s="17" t="s">
        <v>151</v>
      </c>
      <c r="CY246" s="19" t="s">
        <v>151</v>
      </c>
      <c r="CZ246" s="19" t="s">
        <v>151</v>
      </c>
      <c r="DA246" s="24">
        <v>15</v>
      </c>
      <c r="DB246" s="22">
        <v>45435</v>
      </c>
      <c r="DC246" s="17" t="s">
        <v>189</v>
      </c>
      <c r="DD246" s="16" t="s">
        <v>151</v>
      </c>
      <c r="DE246" s="19">
        <v>0</v>
      </c>
      <c r="DF246" s="21">
        <v>11</v>
      </c>
      <c r="DG246" s="19">
        <v>0</v>
      </c>
      <c r="DH246" s="19">
        <v>0</v>
      </c>
      <c r="DI246" s="19">
        <v>0</v>
      </c>
      <c r="DJ246" s="21">
        <v>10</v>
      </c>
      <c r="DK246" s="19" t="s">
        <v>151</v>
      </c>
      <c r="DL246" s="21" t="s">
        <v>151</v>
      </c>
      <c r="DM246" s="19">
        <v>0</v>
      </c>
      <c r="DN246" s="21">
        <v>10</v>
      </c>
      <c r="DO246" s="23">
        <v>1.74</v>
      </c>
      <c r="DP246" s="21">
        <v>63</v>
      </c>
      <c r="DQ246" s="23">
        <v>0</v>
      </c>
      <c r="DR246" s="19">
        <v>0</v>
      </c>
      <c r="DS246" s="23">
        <v>2.63</v>
      </c>
      <c r="DT246" s="21">
        <v>72</v>
      </c>
      <c r="DU246" s="23" t="s">
        <v>151</v>
      </c>
      <c r="DV246" s="21" t="s">
        <v>151</v>
      </c>
      <c r="DW246" s="23">
        <v>2.63</v>
      </c>
      <c r="DX246" s="21">
        <v>71</v>
      </c>
      <c r="DY246" s="18">
        <v>1</v>
      </c>
      <c r="DZ246" s="22">
        <v>45145</v>
      </c>
      <c r="EA246" s="22" t="s">
        <v>151</v>
      </c>
      <c r="EB246" s="21">
        <v>913</v>
      </c>
      <c r="EC246" s="20">
        <v>76</v>
      </c>
      <c r="ED246" s="19">
        <v>9.08</v>
      </c>
      <c r="EE246" s="21">
        <v>50</v>
      </c>
      <c r="EF246" s="20">
        <v>0</v>
      </c>
      <c r="EG246" s="19">
        <v>0</v>
      </c>
      <c r="EH246" s="16" t="s">
        <v>198</v>
      </c>
      <c r="EI246" s="17" t="s">
        <v>151</v>
      </c>
      <c r="EJ246" s="17" t="s">
        <v>151</v>
      </c>
      <c r="EK246" s="18" t="s">
        <v>151</v>
      </c>
      <c r="EL246" s="18" t="s">
        <v>151</v>
      </c>
      <c r="EM246" s="18" t="s">
        <v>151</v>
      </c>
      <c r="EN246" s="18" t="s">
        <v>151</v>
      </c>
      <c r="EO246" s="18" t="s">
        <v>151</v>
      </c>
      <c r="EP246" s="17" t="s">
        <v>151</v>
      </c>
      <c r="EQ246" s="16" t="s">
        <v>151</v>
      </c>
      <c r="ER246" s="16" t="s">
        <v>151</v>
      </c>
      <c r="ES246" s="3">
        <f>HYPERLINK("https://my.pitchbook.com?c=556953-04","View Company Online")</f>
      </c>
    </row>
    <row r="247">
      <c r="A247" s="30" t="s">
        <v>5522</v>
      </c>
      <c r="B247" s="30" t="s">
        <v>5523</v>
      </c>
      <c r="C247" s="31" t="s">
        <v>151</v>
      </c>
      <c r="D247" s="30" t="s">
        <v>151</v>
      </c>
      <c r="E247" s="30" t="s">
        <v>151</v>
      </c>
      <c r="F247" s="30" t="s">
        <v>5524</v>
      </c>
      <c r="G247" s="30" t="s">
        <v>151</v>
      </c>
      <c r="H247" s="30" t="s">
        <v>151</v>
      </c>
      <c r="I247" s="30" t="s">
        <v>5525</v>
      </c>
      <c r="J247" s="30" t="s">
        <v>5522</v>
      </c>
      <c r="K247" s="30" t="s">
        <v>5526</v>
      </c>
      <c r="L247" s="30" t="s">
        <v>205</v>
      </c>
      <c r="M247" s="30" t="s">
        <v>206</v>
      </c>
      <c r="N247" s="30" t="s">
        <v>269</v>
      </c>
      <c r="O247" s="30" t="s">
        <v>5527</v>
      </c>
      <c r="P247" s="30" t="s">
        <v>5528</v>
      </c>
      <c r="Q247" s="30" t="s">
        <v>5529</v>
      </c>
      <c r="R247" s="30" t="s">
        <v>151</v>
      </c>
      <c r="S247" s="30" t="s">
        <v>162</v>
      </c>
      <c r="T247" s="37">
        <v>7.44</v>
      </c>
      <c r="U247" s="30" t="s">
        <v>163</v>
      </c>
      <c r="V247" s="30" t="s">
        <v>164</v>
      </c>
      <c r="W247" s="30" t="s">
        <v>165</v>
      </c>
      <c r="X247" s="28" t="s">
        <v>5530</v>
      </c>
      <c r="Y247" s="28" t="s">
        <v>5531</v>
      </c>
      <c r="Z247" s="40">
        <v>14</v>
      </c>
      <c r="AA247" s="30" t="s">
        <v>5532</v>
      </c>
      <c r="AB247" s="30" t="s">
        <v>151</v>
      </c>
      <c r="AC247" s="30" t="s">
        <v>151</v>
      </c>
      <c r="AD247" s="39">
        <v>2017</v>
      </c>
      <c r="AE247" s="30" t="s">
        <v>151</v>
      </c>
      <c r="AF247" s="35">
        <v>45595</v>
      </c>
      <c r="AG247" s="30" t="s">
        <v>151</v>
      </c>
      <c r="AH247" s="30" t="s">
        <v>151</v>
      </c>
      <c r="AI247" s="38" t="s">
        <v>151</v>
      </c>
      <c r="AJ247" s="32" t="s">
        <v>151</v>
      </c>
      <c r="AK247" s="38" t="s">
        <v>151</v>
      </c>
      <c r="AL247" s="38" t="s">
        <v>151</v>
      </c>
      <c r="AM247" s="38" t="s">
        <v>151</v>
      </c>
      <c r="AN247" s="38" t="s">
        <v>151</v>
      </c>
      <c r="AO247" s="38" t="s">
        <v>151</v>
      </c>
      <c r="AP247" s="38" t="s">
        <v>151</v>
      </c>
      <c r="AQ247" s="38" t="s">
        <v>151</v>
      </c>
      <c r="AR247" s="29" t="s">
        <v>151</v>
      </c>
      <c r="AS247" s="30" t="s">
        <v>5533</v>
      </c>
      <c r="AT247" s="30" t="s">
        <v>5534</v>
      </c>
      <c r="AU247" s="31">
        <v>16</v>
      </c>
      <c r="AV247" s="30" t="s">
        <v>151</v>
      </c>
      <c r="AW247" s="30" t="s">
        <v>151</v>
      </c>
      <c r="AX247" s="30" t="s">
        <v>151</v>
      </c>
      <c r="AY247" s="30" t="s">
        <v>5535</v>
      </c>
      <c r="AZ247" s="30" t="s">
        <v>151</v>
      </c>
      <c r="BA247" s="30" t="s">
        <v>151</v>
      </c>
      <c r="BB247" s="30" t="s">
        <v>5536</v>
      </c>
      <c r="BC247" s="30" t="s">
        <v>151</v>
      </c>
      <c r="BD247" s="30" t="s">
        <v>5537</v>
      </c>
      <c r="BE247" s="30" t="s">
        <v>5538</v>
      </c>
      <c r="BF247" s="30" t="s">
        <v>493</v>
      </c>
      <c r="BG247" s="30" t="s">
        <v>5539</v>
      </c>
      <c r="BH247" s="30" t="s">
        <v>5540</v>
      </c>
      <c r="BI247" s="30" t="s">
        <v>5541</v>
      </c>
      <c r="BJ247" s="30" t="s">
        <v>5542</v>
      </c>
      <c r="BK247" s="30" t="s">
        <v>5543</v>
      </c>
      <c r="BL247" s="30" t="s">
        <v>5544</v>
      </c>
      <c r="BM247" s="30" t="s">
        <v>823</v>
      </c>
      <c r="BN247" s="29" t="s">
        <v>5545</v>
      </c>
      <c r="BO247" s="30" t="s">
        <v>186</v>
      </c>
      <c r="BP247" s="29" t="s">
        <v>5540</v>
      </c>
      <c r="BQ247" s="29" t="s">
        <v>151</v>
      </c>
      <c r="BR247" s="30" t="s">
        <v>5546</v>
      </c>
      <c r="BS247" s="30" t="s">
        <v>187</v>
      </c>
      <c r="BT247" s="30" t="s">
        <v>188</v>
      </c>
      <c r="BU247" s="35">
        <v>43162</v>
      </c>
      <c r="BV247" s="37">
        <v>0.15</v>
      </c>
      <c r="BW247" s="30" t="s">
        <v>192</v>
      </c>
      <c r="BX247" s="37" t="s">
        <v>151</v>
      </c>
      <c r="BY247" s="30" t="s">
        <v>151</v>
      </c>
      <c r="BZ247" s="30" t="s">
        <v>1075</v>
      </c>
      <c r="CA247" s="30" t="s">
        <v>1075</v>
      </c>
      <c r="CB247" s="30" t="s">
        <v>151</v>
      </c>
      <c r="CC247" s="30" t="s">
        <v>585</v>
      </c>
      <c r="CD247" s="30" t="s">
        <v>151</v>
      </c>
      <c r="CE247" s="30" t="s">
        <v>191</v>
      </c>
      <c r="CF247" s="35">
        <v>44564</v>
      </c>
      <c r="CG247" s="37" t="s">
        <v>151</v>
      </c>
      <c r="CH247" s="30" t="s">
        <v>151</v>
      </c>
      <c r="CI247" s="37" t="s">
        <v>151</v>
      </c>
      <c r="CJ247" s="30" t="s">
        <v>151</v>
      </c>
      <c r="CK247" s="29">
        <v>11.25</v>
      </c>
      <c r="CL247" s="30" t="s">
        <v>194</v>
      </c>
      <c r="CM247" s="30" t="s">
        <v>232</v>
      </c>
      <c r="CN247" s="30" t="s">
        <v>151</v>
      </c>
      <c r="CO247" s="30" t="s">
        <v>165</v>
      </c>
      <c r="CP247" s="35">
        <v>44564</v>
      </c>
      <c r="CQ247" s="37" t="s">
        <v>151</v>
      </c>
      <c r="CR247" s="30" t="s">
        <v>151</v>
      </c>
      <c r="CS247" s="30" t="s">
        <v>1887</v>
      </c>
      <c r="CT247" s="29">
        <v>80</v>
      </c>
      <c r="CU247" s="30" t="s">
        <v>196</v>
      </c>
      <c r="CV247" s="32">
        <v>73</v>
      </c>
      <c r="CW247" s="32">
        <v>27</v>
      </c>
      <c r="CX247" s="30" t="s">
        <v>294</v>
      </c>
      <c r="CY247" s="32">
        <v>1</v>
      </c>
      <c r="CZ247" s="32">
        <v>72</v>
      </c>
      <c r="DA247" s="37">
        <v>65.75</v>
      </c>
      <c r="DB247" s="35">
        <v>44638</v>
      </c>
      <c r="DC247" s="30" t="s">
        <v>293</v>
      </c>
      <c r="DD247" s="29">
        <v>11.25</v>
      </c>
      <c r="DE247" s="32">
        <v>0.62</v>
      </c>
      <c r="DF247" s="34">
        <v>95</v>
      </c>
      <c r="DG247" s="32">
        <v>0</v>
      </c>
      <c r="DH247" s="32">
        <v>0</v>
      </c>
      <c r="DI247" s="32">
        <v>0.62</v>
      </c>
      <c r="DJ247" s="34">
        <v>95</v>
      </c>
      <c r="DK247" s="32" t="s">
        <v>151</v>
      </c>
      <c r="DL247" s="34" t="s">
        <v>151</v>
      </c>
      <c r="DM247" s="32">
        <v>0.62</v>
      </c>
      <c r="DN247" s="34">
        <v>95</v>
      </c>
      <c r="DO247" s="36">
        <v>6.47</v>
      </c>
      <c r="DP247" s="34">
        <v>86</v>
      </c>
      <c r="DQ247" s="36">
        <v>0</v>
      </c>
      <c r="DR247" s="32">
        <v>0</v>
      </c>
      <c r="DS247" s="36">
        <v>6.47</v>
      </c>
      <c r="DT247" s="34">
        <v>85</v>
      </c>
      <c r="DU247" s="36" t="s">
        <v>151</v>
      </c>
      <c r="DV247" s="34" t="s">
        <v>151</v>
      </c>
      <c r="DW247" s="36">
        <v>6.47</v>
      </c>
      <c r="DX247" s="34">
        <v>85</v>
      </c>
      <c r="DY247" s="31" t="s">
        <v>151</v>
      </c>
      <c r="DZ247" s="35" t="s">
        <v>151</v>
      </c>
      <c r="EA247" s="35" t="s">
        <v>151</v>
      </c>
      <c r="EB247" s="34">
        <v>607</v>
      </c>
      <c r="EC247" s="33">
        <v>152</v>
      </c>
      <c r="ED247" s="32">
        <v>33.41</v>
      </c>
      <c r="EE247" s="34">
        <v>123</v>
      </c>
      <c r="EF247" s="33">
        <v>-11</v>
      </c>
      <c r="EG247" s="32">
        <v>-8.21</v>
      </c>
      <c r="EH247" s="29" t="s">
        <v>198</v>
      </c>
      <c r="EI247" s="30" t="s">
        <v>151</v>
      </c>
      <c r="EJ247" s="30" t="s">
        <v>151</v>
      </c>
      <c r="EK247" s="31" t="s">
        <v>151</v>
      </c>
      <c r="EL247" s="31" t="s">
        <v>151</v>
      </c>
      <c r="EM247" s="31" t="s">
        <v>151</v>
      </c>
      <c r="EN247" s="31" t="s">
        <v>151</v>
      </c>
      <c r="EO247" s="31" t="s">
        <v>151</v>
      </c>
      <c r="EP247" s="30" t="s">
        <v>151</v>
      </c>
      <c r="EQ247" s="29" t="s">
        <v>151</v>
      </c>
      <c r="ER247" s="29" t="s">
        <v>151</v>
      </c>
      <c r="ES247" s="4">
        <f>HYPERLINK("https://my.pitchbook.com?c=231859-90","View Company Online")</f>
      </c>
    </row>
    <row r="248">
      <c r="A248" s="17" t="s">
        <v>5547</v>
      </c>
      <c r="B248" s="17" t="s">
        <v>5548</v>
      </c>
      <c r="C248" s="18" t="s">
        <v>151</v>
      </c>
      <c r="D248" s="17" t="s">
        <v>151</v>
      </c>
      <c r="E248" s="17" t="s">
        <v>151</v>
      </c>
      <c r="F248" s="17" t="s">
        <v>5549</v>
      </c>
      <c r="G248" s="17" t="s">
        <v>151</v>
      </c>
      <c r="H248" s="17" t="s">
        <v>151</v>
      </c>
      <c r="I248" s="17" t="s">
        <v>5550</v>
      </c>
      <c r="J248" s="17" t="s">
        <v>5547</v>
      </c>
      <c r="K248" s="17" t="s">
        <v>5551</v>
      </c>
      <c r="L248" s="17" t="s">
        <v>1178</v>
      </c>
      <c r="M248" s="17" t="s">
        <v>1179</v>
      </c>
      <c r="N248" s="17" t="s">
        <v>1179</v>
      </c>
      <c r="O248" s="17" t="s">
        <v>5552</v>
      </c>
      <c r="P248" s="17" t="s">
        <v>5553</v>
      </c>
      <c r="Q248" s="17" t="s">
        <v>5554</v>
      </c>
      <c r="R248" s="17" t="s">
        <v>211</v>
      </c>
      <c r="S248" s="17" t="s">
        <v>162</v>
      </c>
      <c r="T248" s="24">
        <v>4.5</v>
      </c>
      <c r="U248" s="17" t="s">
        <v>163</v>
      </c>
      <c r="V248" s="17" t="s">
        <v>164</v>
      </c>
      <c r="W248" s="17" t="s">
        <v>165</v>
      </c>
      <c r="X248" s="15" t="s">
        <v>5555</v>
      </c>
      <c r="Y248" s="15" t="s">
        <v>5556</v>
      </c>
      <c r="Z248" s="27">
        <v>10</v>
      </c>
      <c r="AA248" s="17" t="s">
        <v>5557</v>
      </c>
      <c r="AB248" s="17" t="s">
        <v>151</v>
      </c>
      <c r="AC248" s="17" t="s">
        <v>151</v>
      </c>
      <c r="AD248" s="26">
        <v>2022</v>
      </c>
      <c r="AE248" s="17" t="s">
        <v>151</v>
      </c>
      <c r="AF248" s="22">
        <v>45407</v>
      </c>
      <c r="AG248" s="17" t="s">
        <v>151</v>
      </c>
      <c r="AH248" s="17" t="s">
        <v>151</v>
      </c>
      <c r="AI248" s="25" t="s">
        <v>151</v>
      </c>
      <c r="AJ248" s="19" t="s">
        <v>151</v>
      </c>
      <c r="AK248" s="25" t="s">
        <v>151</v>
      </c>
      <c r="AL248" s="25" t="s">
        <v>151</v>
      </c>
      <c r="AM248" s="25" t="s">
        <v>151</v>
      </c>
      <c r="AN248" s="25" t="s">
        <v>151</v>
      </c>
      <c r="AO248" s="25" t="s">
        <v>151</v>
      </c>
      <c r="AP248" s="25" t="s">
        <v>151</v>
      </c>
      <c r="AQ248" s="25" t="s">
        <v>151</v>
      </c>
      <c r="AR248" s="16" t="s">
        <v>151</v>
      </c>
      <c r="AS248" s="17" t="s">
        <v>5558</v>
      </c>
      <c r="AT248" s="17" t="s">
        <v>5559</v>
      </c>
      <c r="AU248" s="18">
        <v>17</v>
      </c>
      <c r="AV248" s="17" t="s">
        <v>151</v>
      </c>
      <c r="AW248" s="17" t="s">
        <v>151</v>
      </c>
      <c r="AX248" s="17" t="s">
        <v>151</v>
      </c>
      <c r="AY248" s="17" t="s">
        <v>5560</v>
      </c>
      <c r="AZ248" s="17" t="s">
        <v>151</v>
      </c>
      <c r="BA248" s="17" t="s">
        <v>151</v>
      </c>
      <c r="BB248" s="17" t="s">
        <v>151</v>
      </c>
      <c r="BC248" s="17" t="s">
        <v>151</v>
      </c>
      <c r="BD248" s="17" t="s">
        <v>5561</v>
      </c>
      <c r="BE248" s="17" t="s">
        <v>5562</v>
      </c>
      <c r="BF248" s="17" t="s">
        <v>5563</v>
      </c>
      <c r="BG248" s="17" t="s">
        <v>151</v>
      </c>
      <c r="BH248" s="17" t="s">
        <v>5564</v>
      </c>
      <c r="BI248" s="17" t="s">
        <v>1409</v>
      </c>
      <c r="BJ248" s="17" t="s">
        <v>5565</v>
      </c>
      <c r="BK248" s="17" t="s">
        <v>151</v>
      </c>
      <c r="BL248" s="17" t="s">
        <v>1412</v>
      </c>
      <c r="BM248" s="17" t="s">
        <v>823</v>
      </c>
      <c r="BN248" s="16" t="s">
        <v>5566</v>
      </c>
      <c r="BO248" s="17" t="s">
        <v>186</v>
      </c>
      <c r="BP248" s="16" t="s">
        <v>5564</v>
      </c>
      <c r="BQ248" s="16" t="s">
        <v>151</v>
      </c>
      <c r="BR248" s="17" t="s">
        <v>5567</v>
      </c>
      <c r="BS248" s="17" t="s">
        <v>187</v>
      </c>
      <c r="BT248" s="17" t="s">
        <v>188</v>
      </c>
      <c r="BU248" s="22">
        <v>44972</v>
      </c>
      <c r="BV248" s="24">
        <v>0.5</v>
      </c>
      <c r="BW248" s="17" t="s">
        <v>192</v>
      </c>
      <c r="BX248" s="24">
        <v>7.14</v>
      </c>
      <c r="BY248" s="17" t="s">
        <v>192</v>
      </c>
      <c r="BZ248" s="17" t="s">
        <v>189</v>
      </c>
      <c r="CA248" s="17" t="s">
        <v>151</v>
      </c>
      <c r="CB248" s="17" t="s">
        <v>151</v>
      </c>
      <c r="CC248" s="17" t="s">
        <v>190</v>
      </c>
      <c r="CD248" s="17" t="s">
        <v>151</v>
      </c>
      <c r="CE248" s="17" t="s">
        <v>191</v>
      </c>
      <c r="CF248" s="22">
        <v>45362</v>
      </c>
      <c r="CG248" s="24">
        <v>4</v>
      </c>
      <c r="CH248" s="17" t="s">
        <v>192</v>
      </c>
      <c r="CI248" s="24" t="s">
        <v>151</v>
      </c>
      <c r="CJ248" s="17" t="s">
        <v>151</v>
      </c>
      <c r="CK248" s="16" t="s">
        <v>151</v>
      </c>
      <c r="CL248" s="17" t="s">
        <v>293</v>
      </c>
      <c r="CM248" s="17" t="s">
        <v>293</v>
      </c>
      <c r="CN248" s="17" t="s">
        <v>151</v>
      </c>
      <c r="CO248" s="17" t="s">
        <v>165</v>
      </c>
      <c r="CP248" s="22">
        <v>45362</v>
      </c>
      <c r="CQ248" s="24" t="s">
        <v>151</v>
      </c>
      <c r="CR248" s="17" t="s">
        <v>151</v>
      </c>
      <c r="CS248" s="17" t="s">
        <v>191</v>
      </c>
      <c r="CT248" s="16" t="s">
        <v>151</v>
      </c>
      <c r="CU248" s="17" t="s">
        <v>151</v>
      </c>
      <c r="CV248" s="19" t="s">
        <v>151</v>
      </c>
      <c r="CW248" s="19" t="s">
        <v>151</v>
      </c>
      <c r="CX248" s="17" t="s">
        <v>151</v>
      </c>
      <c r="CY248" s="19" t="s">
        <v>151</v>
      </c>
      <c r="CZ248" s="19" t="s">
        <v>151</v>
      </c>
      <c r="DA248" s="24">
        <v>7.14</v>
      </c>
      <c r="DB248" s="22">
        <v>44972</v>
      </c>
      <c r="DC248" s="17" t="s">
        <v>189</v>
      </c>
      <c r="DD248" s="16" t="s">
        <v>151</v>
      </c>
      <c r="DE248" s="19">
        <v>0.51</v>
      </c>
      <c r="DF248" s="21">
        <v>94</v>
      </c>
      <c r="DG248" s="19">
        <v>0</v>
      </c>
      <c r="DH248" s="19">
        <v>0</v>
      </c>
      <c r="DI248" s="19">
        <v>0.51</v>
      </c>
      <c r="DJ248" s="21">
        <v>95</v>
      </c>
      <c r="DK248" s="19" t="s">
        <v>151</v>
      </c>
      <c r="DL248" s="21" t="s">
        <v>151</v>
      </c>
      <c r="DM248" s="19">
        <v>0.51</v>
      </c>
      <c r="DN248" s="21">
        <v>95</v>
      </c>
      <c r="DO248" s="23">
        <v>7.89</v>
      </c>
      <c r="DP248" s="21">
        <v>88</v>
      </c>
      <c r="DQ248" s="23">
        <v>0</v>
      </c>
      <c r="DR248" s="19">
        <v>0</v>
      </c>
      <c r="DS248" s="23">
        <v>7.89</v>
      </c>
      <c r="DT248" s="21">
        <v>88</v>
      </c>
      <c r="DU248" s="23" t="s">
        <v>151</v>
      </c>
      <c r="DV248" s="21" t="s">
        <v>151</v>
      </c>
      <c r="DW248" s="23">
        <v>7.89</v>
      </c>
      <c r="DX248" s="21">
        <v>87</v>
      </c>
      <c r="DY248" s="18" t="s">
        <v>151</v>
      </c>
      <c r="DZ248" s="22" t="s">
        <v>151</v>
      </c>
      <c r="EA248" s="22" t="s">
        <v>151</v>
      </c>
      <c r="EB248" s="21">
        <v>2709</v>
      </c>
      <c r="EC248" s="20">
        <v>200</v>
      </c>
      <c r="ED248" s="19">
        <v>7.97</v>
      </c>
      <c r="EE248" s="21">
        <v>150</v>
      </c>
      <c r="EF248" s="20">
        <v>0</v>
      </c>
      <c r="EG248" s="19">
        <v>0</v>
      </c>
      <c r="EH248" s="16" t="s">
        <v>198</v>
      </c>
      <c r="EI248" s="17" t="s">
        <v>151</v>
      </c>
      <c r="EJ248" s="17" t="s">
        <v>151</v>
      </c>
      <c r="EK248" s="18" t="s">
        <v>151</v>
      </c>
      <c r="EL248" s="18" t="s">
        <v>151</v>
      </c>
      <c r="EM248" s="18" t="s">
        <v>151</v>
      </c>
      <c r="EN248" s="18" t="s">
        <v>151</v>
      </c>
      <c r="EO248" s="18" t="s">
        <v>151</v>
      </c>
      <c r="EP248" s="17" t="s">
        <v>151</v>
      </c>
      <c r="EQ248" s="16" t="s">
        <v>151</v>
      </c>
      <c r="ER248" s="16" t="s">
        <v>151</v>
      </c>
      <c r="ES248" s="3">
        <f>HYPERLINK("https://my.pitchbook.com?c=521575-21","View Company Online")</f>
      </c>
    </row>
    <row r="249">
      <c r="A249" s="30" t="s">
        <v>5568</v>
      </c>
      <c r="B249" s="30" t="s">
        <v>5569</v>
      </c>
      <c r="C249" s="31" t="s">
        <v>151</v>
      </c>
      <c r="D249" s="30" t="s">
        <v>151</v>
      </c>
      <c r="E249" s="30" t="s">
        <v>151</v>
      </c>
      <c r="F249" s="30" t="s">
        <v>5570</v>
      </c>
      <c r="G249" s="30" t="s">
        <v>151</v>
      </c>
      <c r="H249" s="30" t="s">
        <v>151</v>
      </c>
      <c r="I249" s="30" t="s">
        <v>151</v>
      </c>
      <c r="J249" s="30" t="s">
        <v>5568</v>
      </c>
      <c r="K249" s="30" t="s">
        <v>5571</v>
      </c>
      <c r="L249" s="30" t="s">
        <v>205</v>
      </c>
      <c r="M249" s="30" t="s">
        <v>206</v>
      </c>
      <c r="N249" s="30" t="s">
        <v>1268</v>
      </c>
      <c r="O249" s="30" t="s">
        <v>1534</v>
      </c>
      <c r="P249" s="30" t="s">
        <v>5528</v>
      </c>
      <c r="Q249" s="30" t="s">
        <v>5572</v>
      </c>
      <c r="R249" s="30" t="s">
        <v>151</v>
      </c>
      <c r="S249" s="30" t="s">
        <v>162</v>
      </c>
      <c r="T249" s="37">
        <v>1.67</v>
      </c>
      <c r="U249" s="30" t="s">
        <v>163</v>
      </c>
      <c r="V249" s="30" t="s">
        <v>164</v>
      </c>
      <c r="W249" s="30" t="s">
        <v>165</v>
      </c>
      <c r="X249" s="28" t="s">
        <v>5573</v>
      </c>
      <c r="Y249" s="28" t="s">
        <v>5574</v>
      </c>
      <c r="Z249" s="40">
        <v>15</v>
      </c>
      <c r="AA249" s="30" t="s">
        <v>5575</v>
      </c>
      <c r="AB249" s="30" t="s">
        <v>151</v>
      </c>
      <c r="AC249" s="30" t="s">
        <v>151</v>
      </c>
      <c r="AD249" s="39">
        <v>2019</v>
      </c>
      <c r="AE249" s="30" t="s">
        <v>151</v>
      </c>
      <c r="AF249" s="35">
        <v>45569</v>
      </c>
      <c r="AG249" s="30" t="s">
        <v>151</v>
      </c>
      <c r="AH249" s="30" t="s">
        <v>151</v>
      </c>
      <c r="AI249" s="38" t="s">
        <v>151</v>
      </c>
      <c r="AJ249" s="32" t="s">
        <v>151</v>
      </c>
      <c r="AK249" s="38" t="s">
        <v>151</v>
      </c>
      <c r="AL249" s="38" t="s">
        <v>151</v>
      </c>
      <c r="AM249" s="38" t="s">
        <v>151</v>
      </c>
      <c r="AN249" s="38" t="s">
        <v>151</v>
      </c>
      <c r="AO249" s="38" t="s">
        <v>151</v>
      </c>
      <c r="AP249" s="38" t="s">
        <v>151</v>
      </c>
      <c r="AQ249" s="38" t="s">
        <v>151</v>
      </c>
      <c r="AR249" s="29" t="s">
        <v>151</v>
      </c>
      <c r="AS249" s="30" t="s">
        <v>5576</v>
      </c>
      <c r="AT249" s="30" t="s">
        <v>5577</v>
      </c>
      <c r="AU249" s="31">
        <v>10</v>
      </c>
      <c r="AV249" s="30" t="s">
        <v>151</v>
      </c>
      <c r="AW249" s="30" t="s">
        <v>5578</v>
      </c>
      <c r="AX249" s="30" t="s">
        <v>151</v>
      </c>
      <c r="AY249" s="30" t="s">
        <v>5579</v>
      </c>
      <c r="AZ249" s="30" t="s">
        <v>5580</v>
      </c>
      <c r="BA249" s="30" t="s">
        <v>151</v>
      </c>
      <c r="BB249" s="30" t="s">
        <v>151</v>
      </c>
      <c r="BC249" s="30" t="s">
        <v>151</v>
      </c>
      <c r="BD249" s="30" t="s">
        <v>5581</v>
      </c>
      <c r="BE249" s="30" t="s">
        <v>5582</v>
      </c>
      <c r="BF249" s="30" t="s">
        <v>221</v>
      </c>
      <c r="BG249" s="30" t="s">
        <v>5583</v>
      </c>
      <c r="BH249" s="30" t="s">
        <v>5584</v>
      </c>
      <c r="BI249" s="30" t="s">
        <v>906</v>
      </c>
      <c r="BJ249" s="30" t="s">
        <v>5585</v>
      </c>
      <c r="BK249" s="30" t="s">
        <v>5586</v>
      </c>
      <c r="BL249" s="30" t="s">
        <v>259</v>
      </c>
      <c r="BM249" s="30" t="s">
        <v>259</v>
      </c>
      <c r="BN249" s="29" t="s">
        <v>5587</v>
      </c>
      <c r="BO249" s="30" t="s">
        <v>186</v>
      </c>
      <c r="BP249" s="29" t="s">
        <v>5584</v>
      </c>
      <c r="BQ249" s="29" t="s">
        <v>151</v>
      </c>
      <c r="BR249" s="30" t="s">
        <v>151</v>
      </c>
      <c r="BS249" s="30" t="s">
        <v>187</v>
      </c>
      <c r="BT249" s="30" t="s">
        <v>188</v>
      </c>
      <c r="BU249" s="35">
        <v>43699</v>
      </c>
      <c r="BV249" s="37">
        <v>0.15</v>
      </c>
      <c r="BW249" s="30" t="s">
        <v>192</v>
      </c>
      <c r="BX249" s="37">
        <v>2.5</v>
      </c>
      <c r="BY249" s="30" t="s">
        <v>192</v>
      </c>
      <c r="BZ249" s="30" t="s">
        <v>189</v>
      </c>
      <c r="CA249" s="30" t="s">
        <v>151</v>
      </c>
      <c r="CB249" s="30" t="s">
        <v>151</v>
      </c>
      <c r="CC249" s="30" t="s">
        <v>190</v>
      </c>
      <c r="CD249" s="30" t="s">
        <v>151</v>
      </c>
      <c r="CE249" s="30" t="s">
        <v>191</v>
      </c>
      <c r="CF249" s="35">
        <v>45008</v>
      </c>
      <c r="CG249" s="37" t="s">
        <v>151</v>
      </c>
      <c r="CH249" s="30" t="s">
        <v>151</v>
      </c>
      <c r="CI249" s="37" t="s">
        <v>151</v>
      </c>
      <c r="CJ249" s="30" t="s">
        <v>151</v>
      </c>
      <c r="CK249" s="29" t="s">
        <v>151</v>
      </c>
      <c r="CL249" s="30" t="s">
        <v>231</v>
      </c>
      <c r="CM249" s="30" t="s">
        <v>151</v>
      </c>
      <c r="CN249" s="30" t="s">
        <v>151</v>
      </c>
      <c r="CO249" s="30" t="s">
        <v>165</v>
      </c>
      <c r="CP249" s="35">
        <v>45008</v>
      </c>
      <c r="CQ249" s="37" t="s">
        <v>151</v>
      </c>
      <c r="CR249" s="30" t="s">
        <v>151</v>
      </c>
      <c r="CS249" s="30" t="s">
        <v>191</v>
      </c>
      <c r="CT249" s="29">
        <v>32</v>
      </c>
      <c r="CU249" s="30" t="s">
        <v>263</v>
      </c>
      <c r="CV249" s="32">
        <v>32</v>
      </c>
      <c r="CW249" s="32">
        <v>68</v>
      </c>
      <c r="CX249" s="30" t="s">
        <v>263</v>
      </c>
      <c r="CY249" s="32">
        <v>1</v>
      </c>
      <c r="CZ249" s="32">
        <v>31</v>
      </c>
      <c r="DA249" s="37">
        <v>10.5</v>
      </c>
      <c r="DB249" s="35">
        <v>44126</v>
      </c>
      <c r="DC249" s="30" t="s">
        <v>293</v>
      </c>
      <c r="DD249" s="29" t="s">
        <v>151</v>
      </c>
      <c r="DE249" s="32">
        <v>-0.92</v>
      </c>
      <c r="DF249" s="34">
        <v>5</v>
      </c>
      <c r="DG249" s="32">
        <v>0</v>
      </c>
      <c r="DH249" s="32">
        <v>0</v>
      </c>
      <c r="DI249" s="32">
        <v>-1.06</v>
      </c>
      <c r="DJ249" s="34">
        <v>4</v>
      </c>
      <c r="DK249" s="32" t="s">
        <v>151</v>
      </c>
      <c r="DL249" s="34" t="s">
        <v>151</v>
      </c>
      <c r="DM249" s="32">
        <v>-1.06</v>
      </c>
      <c r="DN249" s="34">
        <v>4</v>
      </c>
      <c r="DO249" s="36">
        <v>4.13</v>
      </c>
      <c r="DP249" s="34">
        <v>80</v>
      </c>
      <c r="DQ249" s="36">
        <v>0</v>
      </c>
      <c r="DR249" s="32">
        <v>0</v>
      </c>
      <c r="DS249" s="36">
        <v>7.11</v>
      </c>
      <c r="DT249" s="34">
        <v>86</v>
      </c>
      <c r="DU249" s="36" t="s">
        <v>151</v>
      </c>
      <c r="DV249" s="34" t="s">
        <v>151</v>
      </c>
      <c r="DW249" s="36">
        <v>7.11</v>
      </c>
      <c r="DX249" s="34">
        <v>86</v>
      </c>
      <c r="DY249" s="31" t="s">
        <v>151</v>
      </c>
      <c r="DZ249" s="35" t="s">
        <v>151</v>
      </c>
      <c r="EA249" s="35" t="s">
        <v>151</v>
      </c>
      <c r="EB249" s="34">
        <v>416</v>
      </c>
      <c r="EC249" s="33">
        <v>12</v>
      </c>
      <c r="ED249" s="32">
        <v>2.97</v>
      </c>
      <c r="EE249" s="34">
        <v>135</v>
      </c>
      <c r="EF249" s="33">
        <v>-1</v>
      </c>
      <c r="EG249" s="32">
        <v>-0.74</v>
      </c>
      <c r="EH249" s="29" t="s">
        <v>198</v>
      </c>
      <c r="EI249" s="30" t="s">
        <v>151</v>
      </c>
      <c r="EJ249" s="30" t="s">
        <v>151</v>
      </c>
      <c r="EK249" s="31" t="s">
        <v>151</v>
      </c>
      <c r="EL249" s="31" t="s">
        <v>151</v>
      </c>
      <c r="EM249" s="31" t="s">
        <v>151</v>
      </c>
      <c r="EN249" s="31" t="s">
        <v>151</v>
      </c>
      <c r="EO249" s="31" t="s">
        <v>151</v>
      </c>
      <c r="EP249" s="30" t="s">
        <v>151</v>
      </c>
      <c r="EQ249" s="29" t="s">
        <v>151</v>
      </c>
      <c r="ER249" s="29" t="s">
        <v>151</v>
      </c>
      <c r="ES249" s="4">
        <f>HYPERLINK("https://my.pitchbook.com?c=268293-97","View Company Online")</f>
      </c>
    </row>
    <row r="250">
      <c r="A250" s="17" t="s">
        <v>5588</v>
      </c>
      <c r="B250" s="17" t="s">
        <v>5589</v>
      </c>
      <c r="C250" s="18" t="s">
        <v>151</v>
      </c>
      <c r="D250" s="17" t="s">
        <v>151</v>
      </c>
      <c r="E250" s="17" t="s">
        <v>151</v>
      </c>
      <c r="F250" s="17" t="s">
        <v>5590</v>
      </c>
      <c r="G250" s="17" t="s">
        <v>151</v>
      </c>
      <c r="H250" s="17" t="s">
        <v>151</v>
      </c>
      <c r="I250" s="17" t="s">
        <v>151</v>
      </c>
      <c r="J250" s="17" t="s">
        <v>5588</v>
      </c>
      <c r="K250" s="17" t="s">
        <v>5591</v>
      </c>
      <c r="L250" s="17" t="s">
        <v>205</v>
      </c>
      <c r="M250" s="17" t="s">
        <v>206</v>
      </c>
      <c r="N250" s="17" t="s">
        <v>776</v>
      </c>
      <c r="O250" s="17" t="s">
        <v>4204</v>
      </c>
      <c r="P250" s="17" t="s">
        <v>1153</v>
      </c>
      <c r="Q250" s="17" t="s">
        <v>5592</v>
      </c>
      <c r="R250" s="17" t="s">
        <v>151</v>
      </c>
      <c r="S250" s="17" t="s">
        <v>162</v>
      </c>
      <c r="T250" s="24">
        <v>5.6</v>
      </c>
      <c r="U250" s="17" t="s">
        <v>163</v>
      </c>
      <c r="V250" s="17" t="s">
        <v>164</v>
      </c>
      <c r="W250" s="17" t="s">
        <v>165</v>
      </c>
      <c r="X250" s="15" t="s">
        <v>5593</v>
      </c>
      <c r="Y250" s="15" t="s">
        <v>5594</v>
      </c>
      <c r="Z250" s="27">
        <v>10</v>
      </c>
      <c r="AA250" s="17" t="s">
        <v>5595</v>
      </c>
      <c r="AB250" s="17" t="s">
        <v>151</v>
      </c>
      <c r="AC250" s="17" t="s">
        <v>151</v>
      </c>
      <c r="AD250" s="26">
        <v>2020</v>
      </c>
      <c r="AE250" s="17" t="s">
        <v>151</v>
      </c>
      <c r="AF250" s="22">
        <v>45610</v>
      </c>
      <c r="AG250" s="17" t="s">
        <v>151</v>
      </c>
      <c r="AH250" s="17" t="s">
        <v>151</v>
      </c>
      <c r="AI250" s="25" t="s">
        <v>151</v>
      </c>
      <c r="AJ250" s="19" t="s">
        <v>151</v>
      </c>
      <c r="AK250" s="25" t="s">
        <v>151</v>
      </c>
      <c r="AL250" s="25" t="s">
        <v>151</v>
      </c>
      <c r="AM250" s="25" t="s">
        <v>151</v>
      </c>
      <c r="AN250" s="25" t="s">
        <v>151</v>
      </c>
      <c r="AO250" s="25" t="s">
        <v>151</v>
      </c>
      <c r="AP250" s="25" t="s">
        <v>151</v>
      </c>
      <c r="AQ250" s="25" t="s">
        <v>151</v>
      </c>
      <c r="AR250" s="16" t="s">
        <v>151</v>
      </c>
      <c r="AS250" s="17" t="s">
        <v>5596</v>
      </c>
      <c r="AT250" s="17" t="s">
        <v>5597</v>
      </c>
      <c r="AU250" s="18">
        <v>11</v>
      </c>
      <c r="AV250" s="17" t="s">
        <v>151</v>
      </c>
      <c r="AW250" s="17" t="s">
        <v>151</v>
      </c>
      <c r="AX250" s="17" t="s">
        <v>151</v>
      </c>
      <c r="AY250" s="17" t="s">
        <v>5598</v>
      </c>
      <c r="AZ250" s="17" t="s">
        <v>151</v>
      </c>
      <c r="BA250" s="17" t="s">
        <v>151</v>
      </c>
      <c r="BB250" s="17" t="s">
        <v>151</v>
      </c>
      <c r="BC250" s="17" t="s">
        <v>2424</v>
      </c>
      <c r="BD250" s="17" t="s">
        <v>5599</v>
      </c>
      <c r="BE250" s="17" t="s">
        <v>5600</v>
      </c>
      <c r="BF250" s="17" t="s">
        <v>221</v>
      </c>
      <c r="BG250" s="17" t="s">
        <v>5601</v>
      </c>
      <c r="BH250" s="17" t="s">
        <v>151</v>
      </c>
      <c r="BI250" s="17" t="s">
        <v>934</v>
      </c>
      <c r="BJ250" s="17" t="s">
        <v>5602</v>
      </c>
      <c r="BK250" s="17" t="s">
        <v>5603</v>
      </c>
      <c r="BL250" s="17" t="s">
        <v>937</v>
      </c>
      <c r="BM250" s="17" t="s">
        <v>184</v>
      </c>
      <c r="BN250" s="16" t="s">
        <v>2547</v>
      </c>
      <c r="BO250" s="17" t="s">
        <v>186</v>
      </c>
      <c r="BP250" s="16" t="s">
        <v>151</v>
      </c>
      <c r="BQ250" s="16" t="s">
        <v>151</v>
      </c>
      <c r="BR250" s="17" t="s">
        <v>5604</v>
      </c>
      <c r="BS250" s="17" t="s">
        <v>187</v>
      </c>
      <c r="BT250" s="17" t="s">
        <v>188</v>
      </c>
      <c r="BU250" s="22">
        <v>44588</v>
      </c>
      <c r="BV250" s="24">
        <v>5.6</v>
      </c>
      <c r="BW250" s="17" t="s">
        <v>192</v>
      </c>
      <c r="BX250" s="24" t="s">
        <v>151</v>
      </c>
      <c r="BY250" s="17" t="s">
        <v>151</v>
      </c>
      <c r="BZ250" s="17" t="s">
        <v>293</v>
      </c>
      <c r="CA250" s="17" t="s">
        <v>293</v>
      </c>
      <c r="CB250" s="17" t="s">
        <v>151</v>
      </c>
      <c r="CC250" s="17" t="s">
        <v>165</v>
      </c>
      <c r="CD250" s="17" t="s">
        <v>151</v>
      </c>
      <c r="CE250" s="17" t="s">
        <v>191</v>
      </c>
      <c r="CF250" s="22">
        <v>45358</v>
      </c>
      <c r="CG250" s="24" t="s">
        <v>151</v>
      </c>
      <c r="CH250" s="17" t="s">
        <v>151</v>
      </c>
      <c r="CI250" s="24" t="s">
        <v>151</v>
      </c>
      <c r="CJ250" s="17" t="s">
        <v>151</v>
      </c>
      <c r="CK250" s="16" t="s">
        <v>151</v>
      </c>
      <c r="CL250" s="17" t="s">
        <v>189</v>
      </c>
      <c r="CM250" s="17" t="s">
        <v>151</v>
      </c>
      <c r="CN250" s="17" t="s">
        <v>151</v>
      </c>
      <c r="CO250" s="17" t="s">
        <v>190</v>
      </c>
      <c r="CP250" s="22">
        <v>45358</v>
      </c>
      <c r="CQ250" s="24" t="s">
        <v>151</v>
      </c>
      <c r="CR250" s="17" t="s">
        <v>151</v>
      </c>
      <c r="CS250" s="17" t="s">
        <v>191</v>
      </c>
      <c r="CT250" s="16" t="s">
        <v>151</v>
      </c>
      <c r="CU250" s="17" t="s">
        <v>151</v>
      </c>
      <c r="CV250" s="19" t="s">
        <v>151</v>
      </c>
      <c r="CW250" s="19" t="s">
        <v>151</v>
      </c>
      <c r="CX250" s="17" t="s">
        <v>151</v>
      </c>
      <c r="CY250" s="19" t="s">
        <v>151</v>
      </c>
      <c r="CZ250" s="19" t="s">
        <v>151</v>
      </c>
      <c r="DA250" s="24" t="s">
        <v>151</v>
      </c>
      <c r="DB250" s="22" t="s">
        <v>151</v>
      </c>
      <c r="DC250" s="17" t="s">
        <v>151</v>
      </c>
      <c r="DD250" s="16" t="s">
        <v>151</v>
      </c>
      <c r="DE250" s="19">
        <v>3.99</v>
      </c>
      <c r="DF250" s="21">
        <v>100</v>
      </c>
      <c r="DG250" s="19">
        <v>-0.71</v>
      </c>
      <c r="DH250" s="19">
        <v>-15.15</v>
      </c>
      <c r="DI250" s="19">
        <v>3.99</v>
      </c>
      <c r="DJ250" s="21">
        <v>100</v>
      </c>
      <c r="DK250" s="19" t="s">
        <v>151</v>
      </c>
      <c r="DL250" s="21" t="s">
        <v>151</v>
      </c>
      <c r="DM250" s="19">
        <v>3.99</v>
      </c>
      <c r="DN250" s="21">
        <v>100</v>
      </c>
      <c r="DO250" s="23">
        <v>8.05</v>
      </c>
      <c r="DP250" s="21">
        <v>88</v>
      </c>
      <c r="DQ250" s="23">
        <v>0.05</v>
      </c>
      <c r="DR250" s="19">
        <v>0.66</v>
      </c>
      <c r="DS250" s="23">
        <v>8.05</v>
      </c>
      <c r="DT250" s="21">
        <v>88</v>
      </c>
      <c r="DU250" s="23" t="s">
        <v>151</v>
      </c>
      <c r="DV250" s="21" t="s">
        <v>151</v>
      </c>
      <c r="DW250" s="23">
        <v>8.05</v>
      </c>
      <c r="DX250" s="21">
        <v>88</v>
      </c>
      <c r="DY250" s="18" t="s">
        <v>151</v>
      </c>
      <c r="DZ250" s="22" t="s">
        <v>151</v>
      </c>
      <c r="EA250" s="22" t="s">
        <v>151</v>
      </c>
      <c r="EB250" s="21">
        <v>534</v>
      </c>
      <c r="EC250" s="20">
        <v>-137</v>
      </c>
      <c r="ED250" s="19">
        <v>-20.42</v>
      </c>
      <c r="EE250" s="21">
        <v>153</v>
      </c>
      <c r="EF250" s="20">
        <v>3</v>
      </c>
      <c r="EG250" s="19">
        <v>2</v>
      </c>
      <c r="EH250" s="16" t="s">
        <v>198</v>
      </c>
      <c r="EI250" s="17" t="s">
        <v>151</v>
      </c>
      <c r="EJ250" s="17" t="s">
        <v>151</v>
      </c>
      <c r="EK250" s="18" t="s">
        <v>151</v>
      </c>
      <c r="EL250" s="18" t="s">
        <v>151</v>
      </c>
      <c r="EM250" s="18" t="s">
        <v>151</v>
      </c>
      <c r="EN250" s="18" t="s">
        <v>151</v>
      </c>
      <c r="EO250" s="18" t="s">
        <v>151</v>
      </c>
      <c r="EP250" s="17" t="s">
        <v>151</v>
      </c>
      <c r="EQ250" s="16" t="s">
        <v>151</v>
      </c>
      <c r="ER250" s="16" t="s">
        <v>151</v>
      </c>
      <c r="ES250" s="3">
        <f>HYPERLINK("https://my.pitchbook.com?c=494248-60","View Company Online")</f>
      </c>
    </row>
    <row r="251">
      <c r="A251" s="30" t="s">
        <v>5605</v>
      </c>
      <c r="B251" s="30" t="s">
        <v>5606</v>
      </c>
      <c r="C251" s="31" t="s">
        <v>151</v>
      </c>
      <c r="D251" s="30" t="s">
        <v>151</v>
      </c>
      <c r="E251" s="30" t="s">
        <v>5607</v>
      </c>
      <c r="F251" s="30" t="s">
        <v>5608</v>
      </c>
      <c r="G251" s="30" t="s">
        <v>151</v>
      </c>
      <c r="H251" s="30" t="s">
        <v>151</v>
      </c>
      <c r="I251" s="30" t="s">
        <v>5609</v>
      </c>
      <c r="J251" s="30" t="s">
        <v>5605</v>
      </c>
      <c r="K251" s="30" t="s">
        <v>5610</v>
      </c>
      <c r="L251" s="30" t="s">
        <v>155</v>
      </c>
      <c r="M251" s="30" t="s">
        <v>361</v>
      </c>
      <c r="N251" s="30" t="s">
        <v>362</v>
      </c>
      <c r="O251" s="30" t="s">
        <v>363</v>
      </c>
      <c r="P251" s="30" t="s">
        <v>5611</v>
      </c>
      <c r="Q251" s="30" t="s">
        <v>5612</v>
      </c>
      <c r="R251" s="30" t="s">
        <v>151</v>
      </c>
      <c r="S251" s="30" t="s">
        <v>162</v>
      </c>
      <c r="T251" s="37">
        <v>25.85</v>
      </c>
      <c r="U251" s="30" t="s">
        <v>163</v>
      </c>
      <c r="V251" s="30" t="s">
        <v>164</v>
      </c>
      <c r="W251" s="30" t="s">
        <v>165</v>
      </c>
      <c r="X251" s="28" t="s">
        <v>5613</v>
      </c>
      <c r="Y251" s="28" t="s">
        <v>5614</v>
      </c>
      <c r="Z251" s="40">
        <v>38</v>
      </c>
      <c r="AA251" s="30" t="s">
        <v>5615</v>
      </c>
      <c r="AB251" s="30" t="s">
        <v>151</v>
      </c>
      <c r="AC251" s="30" t="s">
        <v>151</v>
      </c>
      <c r="AD251" s="39">
        <v>2019</v>
      </c>
      <c r="AE251" s="30" t="s">
        <v>151</v>
      </c>
      <c r="AF251" s="35">
        <v>45524</v>
      </c>
      <c r="AG251" s="30" t="s">
        <v>151</v>
      </c>
      <c r="AH251" s="30" t="s">
        <v>151</v>
      </c>
      <c r="AI251" s="38" t="s">
        <v>151</v>
      </c>
      <c r="AJ251" s="32" t="s">
        <v>151</v>
      </c>
      <c r="AK251" s="38" t="s">
        <v>151</v>
      </c>
      <c r="AL251" s="38" t="s">
        <v>151</v>
      </c>
      <c r="AM251" s="38" t="s">
        <v>151</v>
      </c>
      <c r="AN251" s="38" t="s">
        <v>151</v>
      </c>
      <c r="AO251" s="38" t="s">
        <v>151</v>
      </c>
      <c r="AP251" s="38" t="s">
        <v>151</v>
      </c>
      <c r="AQ251" s="38" t="s">
        <v>151</v>
      </c>
      <c r="AR251" s="29" t="s">
        <v>151</v>
      </c>
      <c r="AS251" s="30" t="s">
        <v>5616</v>
      </c>
      <c r="AT251" s="30" t="s">
        <v>5617</v>
      </c>
      <c r="AU251" s="31">
        <v>8</v>
      </c>
      <c r="AV251" s="30" t="s">
        <v>151</v>
      </c>
      <c r="AW251" s="30" t="s">
        <v>151</v>
      </c>
      <c r="AX251" s="30" t="s">
        <v>151</v>
      </c>
      <c r="AY251" s="30" t="s">
        <v>5618</v>
      </c>
      <c r="AZ251" s="30" t="s">
        <v>151</v>
      </c>
      <c r="BA251" s="30" t="s">
        <v>151</v>
      </c>
      <c r="BB251" s="30" t="s">
        <v>151</v>
      </c>
      <c r="BC251" s="30" t="s">
        <v>151</v>
      </c>
      <c r="BD251" s="30" t="s">
        <v>5619</v>
      </c>
      <c r="BE251" s="30" t="s">
        <v>5620</v>
      </c>
      <c r="BF251" s="30" t="s">
        <v>761</v>
      </c>
      <c r="BG251" s="30" t="s">
        <v>5621</v>
      </c>
      <c r="BH251" s="30" t="s">
        <v>5622</v>
      </c>
      <c r="BI251" s="30" t="s">
        <v>5623</v>
      </c>
      <c r="BJ251" s="30" t="s">
        <v>5624</v>
      </c>
      <c r="BK251" s="30" t="s">
        <v>5625</v>
      </c>
      <c r="BL251" s="30" t="s">
        <v>5626</v>
      </c>
      <c r="BM251" s="30" t="s">
        <v>184</v>
      </c>
      <c r="BN251" s="29" t="s">
        <v>5627</v>
      </c>
      <c r="BO251" s="30" t="s">
        <v>186</v>
      </c>
      <c r="BP251" s="29" t="s">
        <v>5622</v>
      </c>
      <c r="BQ251" s="29" t="s">
        <v>151</v>
      </c>
      <c r="BR251" s="30" t="s">
        <v>5628</v>
      </c>
      <c r="BS251" s="30" t="s">
        <v>187</v>
      </c>
      <c r="BT251" s="30" t="s">
        <v>188</v>
      </c>
      <c r="BU251" s="35">
        <v>43831</v>
      </c>
      <c r="BV251" s="37">
        <v>1.85</v>
      </c>
      <c r="BW251" s="30" t="s">
        <v>193</v>
      </c>
      <c r="BX251" s="37">
        <v>5.85</v>
      </c>
      <c r="BY251" s="30" t="s">
        <v>192</v>
      </c>
      <c r="BZ251" s="30" t="s">
        <v>293</v>
      </c>
      <c r="CA251" s="30" t="s">
        <v>293</v>
      </c>
      <c r="CB251" s="30" t="s">
        <v>151</v>
      </c>
      <c r="CC251" s="30" t="s">
        <v>165</v>
      </c>
      <c r="CD251" s="30" t="s">
        <v>151</v>
      </c>
      <c r="CE251" s="30" t="s">
        <v>191</v>
      </c>
      <c r="CF251" s="35">
        <v>45135</v>
      </c>
      <c r="CG251" s="37">
        <v>17</v>
      </c>
      <c r="CH251" s="30" t="s">
        <v>192</v>
      </c>
      <c r="CI251" s="37">
        <v>80</v>
      </c>
      <c r="CJ251" s="30" t="s">
        <v>192</v>
      </c>
      <c r="CK251" s="29">
        <v>3.71</v>
      </c>
      <c r="CL251" s="30" t="s">
        <v>231</v>
      </c>
      <c r="CM251" s="30" t="s">
        <v>232</v>
      </c>
      <c r="CN251" s="30" t="s">
        <v>151</v>
      </c>
      <c r="CO251" s="30" t="s">
        <v>165</v>
      </c>
      <c r="CP251" s="35">
        <v>45135</v>
      </c>
      <c r="CQ251" s="37" t="s">
        <v>151</v>
      </c>
      <c r="CR251" s="30" t="s">
        <v>151</v>
      </c>
      <c r="CS251" s="30" t="s">
        <v>191</v>
      </c>
      <c r="CT251" s="29">
        <v>88</v>
      </c>
      <c r="CU251" s="30" t="s">
        <v>196</v>
      </c>
      <c r="CV251" s="32">
        <v>78</v>
      </c>
      <c r="CW251" s="32">
        <v>22</v>
      </c>
      <c r="CX251" s="30" t="s">
        <v>294</v>
      </c>
      <c r="CY251" s="32">
        <v>6</v>
      </c>
      <c r="CZ251" s="32">
        <v>72</v>
      </c>
      <c r="DA251" s="37">
        <v>80</v>
      </c>
      <c r="DB251" s="35">
        <v>45135</v>
      </c>
      <c r="DC251" s="30" t="s">
        <v>231</v>
      </c>
      <c r="DD251" s="29">
        <v>3.71</v>
      </c>
      <c r="DE251" s="32">
        <v>0.22</v>
      </c>
      <c r="DF251" s="34">
        <v>92</v>
      </c>
      <c r="DG251" s="32">
        <v>0</v>
      </c>
      <c r="DH251" s="32">
        <v>0</v>
      </c>
      <c r="DI251" s="32">
        <v>-1.35</v>
      </c>
      <c r="DJ251" s="34">
        <v>3</v>
      </c>
      <c r="DK251" s="32" t="s">
        <v>151</v>
      </c>
      <c r="DL251" s="34" t="s">
        <v>151</v>
      </c>
      <c r="DM251" s="32">
        <v>-1.35</v>
      </c>
      <c r="DN251" s="34">
        <v>3</v>
      </c>
      <c r="DO251" s="36">
        <v>7.65</v>
      </c>
      <c r="DP251" s="34">
        <v>87</v>
      </c>
      <c r="DQ251" s="36">
        <v>0</v>
      </c>
      <c r="DR251" s="32">
        <v>0</v>
      </c>
      <c r="DS251" s="36">
        <v>12.37</v>
      </c>
      <c r="DT251" s="34">
        <v>92</v>
      </c>
      <c r="DU251" s="36" t="s">
        <v>151</v>
      </c>
      <c r="DV251" s="34" t="s">
        <v>151</v>
      </c>
      <c r="DW251" s="36">
        <v>12.37</v>
      </c>
      <c r="DX251" s="34">
        <v>92</v>
      </c>
      <c r="DY251" s="31" t="s">
        <v>151</v>
      </c>
      <c r="DZ251" s="35" t="s">
        <v>151</v>
      </c>
      <c r="EA251" s="35" t="s">
        <v>151</v>
      </c>
      <c r="EB251" s="34" t="s">
        <v>151</v>
      </c>
      <c r="EC251" s="33" t="s">
        <v>151</v>
      </c>
      <c r="ED251" s="32" t="s">
        <v>151</v>
      </c>
      <c r="EE251" s="34">
        <v>235</v>
      </c>
      <c r="EF251" s="33">
        <v>0</v>
      </c>
      <c r="EG251" s="32">
        <v>0</v>
      </c>
      <c r="EH251" s="29" t="s">
        <v>198</v>
      </c>
      <c r="EI251" s="30" t="s">
        <v>151</v>
      </c>
      <c r="EJ251" s="30" t="s">
        <v>151</v>
      </c>
      <c r="EK251" s="31" t="s">
        <v>151</v>
      </c>
      <c r="EL251" s="31" t="s">
        <v>151</v>
      </c>
      <c r="EM251" s="31" t="s">
        <v>151</v>
      </c>
      <c r="EN251" s="31" t="s">
        <v>151</v>
      </c>
      <c r="EO251" s="31" t="s">
        <v>151</v>
      </c>
      <c r="EP251" s="30" t="s">
        <v>151</v>
      </c>
      <c r="EQ251" s="29" t="s">
        <v>151</v>
      </c>
      <c r="ER251" s="29" t="s">
        <v>151</v>
      </c>
      <c r="ES251" s="4">
        <f>HYPERLINK("https://my.pitchbook.com?c=438354-19","View Company Online")</f>
      </c>
    </row>
    <row r="252">
      <c r="A252" s="17" t="s">
        <v>5629</v>
      </c>
      <c r="B252" s="17" t="s">
        <v>5630</v>
      </c>
      <c r="C252" s="18" t="s">
        <v>151</v>
      </c>
      <c r="D252" s="17" t="s">
        <v>151</v>
      </c>
      <c r="E252" s="17" t="s">
        <v>151</v>
      </c>
      <c r="F252" s="17" t="s">
        <v>5631</v>
      </c>
      <c r="G252" s="17" t="s">
        <v>151</v>
      </c>
      <c r="H252" s="17" t="s">
        <v>151</v>
      </c>
      <c r="I252" s="17" t="s">
        <v>151</v>
      </c>
      <c r="J252" s="17" t="s">
        <v>5629</v>
      </c>
      <c r="K252" s="17" t="s">
        <v>5632</v>
      </c>
      <c r="L252" s="17" t="s">
        <v>205</v>
      </c>
      <c r="M252" s="17" t="s">
        <v>206</v>
      </c>
      <c r="N252" s="17" t="s">
        <v>1940</v>
      </c>
      <c r="O252" s="17" t="s">
        <v>5396</v>
      </c>
      <c r="P252" s="17" t="s">
        <v>5633</v>
      </c>
      <c r="Q252" s="17" t="s">
        <v>5634</v>
      </c>
      <c r="R252" s="17" t="s">
        <v>151</v>
      </c>
      <c r="S252" s="17" t="s">
        <v>162</v>
      </c>
      <c r="T252" s="24">
        <v>5.26</v>
      </c>
      <c r="U252" s="17" t="s">
        <v>163</v>
      </c>
      <c r="V252" s="17" t="s">
        <v>164</v>
      </c>
      <c r="W252" s="17" t="s">
        <v>165</v>
      </c>
      <c r="X252" s="15" t="s">
        <v>5635</v>
      </c>
      <c r="Y252" s="15" t="s">
        <v>5636</v>
      </c>
      <c r="Z252" s="27">
        <v>9</v>
      </c>
      <c r="AA252" s="17" t="s">
        <v>5637</v>
      </c>
      <c r="AB252" s="17" t="s">
        <v>151</v>
      </c>
      <c r="AC252" s="17" t="s">
        <v>151</v>
      </c>
      <c r="AD252" s="26">
        <v>2021</v>
      </c>
      <c r="AE252" s="17" t="s">
        <v>151</v>
      </c>
      <c r="AF252" s="22">
        <v>45554</v>
      </c>
      <c r="AG252" s="17" t="s">
        <v>151</v>
      </c>
      <c r="AH252" s="17" t="s">
        <v>151</v>
      </c>
      <c r="AI252" s="25" t="s">
        <v>151</v>
      </c>
      <c r="AJ252" s="19" t="s">
        <v>151</v>
      </c>
      <c r="AK252" s="25" t="s">
        <v>151</v>
      </c>
      <c r="AL252" s="25" t="s">
        <v>151</v>
      </c>
      <c r="AM252" s="25" t="s">
        <v>151</v>
      </c>
      <c r="AN252" s="25" t="s">
        <v>151</v>
      </c>
      <c r="AO252" s="25" t="s">
        <v>151</v>
      </c>
      <c r="AP252" s="25" t="s">
        <v>151</v>
      </c>
      <c r="AQ252" s="25" t="s">
        <v>151</v>
      </c>
      <c r="AR252" s="16" t="s">
        <v>151</v>
      </c>
      <c r="AS252" s="17" t="s">
        <v>5638</v>
      </c>
      <c r="AT252" s="17" t="s">
        <v>5639</v>
      </c>
      <c r="AU252" s="18">
        <v>10</v>
      </c>
      <c r="AV252" s="17" t="s">
        <v>151</v>
      </c>
      <c r="AW252" s="17" t="s">
        <v>151</v>
      </c>
      <c r="AX252" s="17" t="s">
        <v>151</v>
      </c>
      <c r="AY252" s="17" t="s">
        <v>5640</v>
      </c>
      <c r="AZ252" s="17" t="s">
        <v>151</v>
      </c>
      <c r="BA252" s="17" t="s">
        <v>151</v>
      </c>
      <c r="BB252" s="17" t="s">
        <v>151</v>
      </c>
      <c r="BC252" s="17" t="s">
        <v>151</v>
      </c>
      <c r="BD252" s="17" t="s">
        <v>5641</v>
      </c>
      <c r="BE252" s="17" t="s">
        <v>5642</v>
      </c>
      <c r="BF252" s="17" t="s">
        <v>493</v>
      </c>
      <c r="BG252" s="17" t="s">
        <v>5643</v>
      </c>
      <c r="BH252" s="17" t="s">
        <v>5644</v>
      </c>
      <c r="BI252" s="17" t="s">
        <v>906</v>
      </c>
      <c r="BJ252" s="17" t="s">
        <v>4138</v>
      </c>
      <c r="BK252" s="17" t="s">
        <v>5645</v>
      </c>
      <c r="BL252" s="17" t="s">
        <v>259</v>
      </c>
      <c r="BM252" s="17" t="s">
        <v>259</v>
      </c>
      <c r="BN252" s="16" t="s">
        <v>4140</v>
      </c>
      <c r="BO252" s="17" t="s">
        <v>186</v>
      </c>
      <c r="BP252" s="16" t="s">
        <v>5644</v>
      </c>
      <c r="BQ252" s="16" t="s">
        <v>151</v>
      </c>
      <c r="BR252" s="17" t="s">
        <v>5646</v>
      </c>
      <c r="BS252" s="17" t="s">
        <v>187</v>
      </c>
      <c r="BT252" s="17" t="s">
        <v>188</v>
      </c>
      <c r="BU252" s="22">
        <v>44404</v>
      </c>
      <c r="BV252" s="24">
        <v>0.13</v>
      </c>
      <c r="BW252" s="17" t="s">
        <v>192</v>
      </c>
      <c r="BX252" s="24">
        <v>1.79</v>
      </c>
      <c r="BY252" s="17" t="s">
        <v>192</v>
      </c>
      <c r="BZ252" s="17" t="s">
        <v>189</v>
      </c>
      <c r="CA252" s="17" t="s">
        <v>151</v>
      </c>
      <c r="CB252" s="17" t="s">
        <v>151</v>
      </c>
      <c r="CC252" s="17" t="s">
        <v>190</v>
      </c>
      <c r="CD252" s="17" t="s">
        <v>151</v>
      </c>
      <c r="CE252" s="17" t="s">
        <v>191</v>
      </c>
      <c r="CF252" s="22">
        <v>45156</v>
      </c>
      <c r="CG252" s="24">
        <v>2.5</v>
      </c>
      <c r="CH252" s="17" t="s">
        <v>192</v>
      </c>
      <c r="CI252" s="24" t="s">
        <v>151</v>
      </c>
      <c r="CJ252" s="17" t="s">
        <v>151</v>
      </c>
      <c r="CK252" s="16" t="s">
        <v>151</v>
      </c>
      <c r="CL252" s="17" t="s">
        <v>231</v>
      </c>
      <c r="CM252" s="17" t="s">
        <v>151</v>
      </c>
      <c r="CN252" s="17" t="s">
        <v>151</v>
      </c>
      <c r="CO252" s="17" t="s">
        <v>165</v>
      </c>
      <c r="CP252" s="22">
        <v>45156</v>
      </c>
      <c r="CQ252" s="24" t="s">
        <v>151</v>
      </c>
      <c r="CR252" s="17" t="s">
        <v>151</v>
      </c>
      <c r="CS252" s="17" t="s">
        <v>191</v>
      </c>
      <c r="CT252" s="16">
        <v>42</v>
      </c>
      <c r="CU252" s="17" t="s">
        <v>263</v>
      </c>
      <c r="CV252" s="19">
        <v>41</v>
      </c>
      <c r="CW252" s="19">
        <v>59</v>
      </c>
      <c r="CX252" s="17" t="s">
        <v>263</v>
      </c>
      <c r="CY252" s="19">
        <v>1</v>
      </c>
      <c r="CZ252" s="19">
        <v>40</v>
      </c>
      <c r="DA252" s="24">
        <v>1.79</v>
      </c>
      <c r="DB252" s="22">
        <v>44404</v>
      </c>
      <c r="DC252" s="17" t="s">
        <v>189</v>
      </c>
      <c r="DD252" s="16" t="s">
        <v>151</v>
      </c>
      <c r="DE252" s="19">
        <v>2.56</v>
      </c>
      <c r="DF252" s="21">
        <v>99</v>
      </c>
      <c r="DG252" s="19">
        <v>0</v>
      </c>
      <c r="DH252" s="19">
        <v>0</v>
      </c>
      <c r="DI252" s="19">
        <v>2.56</v>
      </c>
      <c r="DJ252" s="21">
        <v>99</v>
      </c>
      <c r="DK252" s="19" t="s">
        <v>151</v>
      </c>
      <c r="DL252" s="21" t="s">
        <v>151</v>
      </c>
      <c r="DM252" s="19">
        <v>2.56</v>
      </c>
      <c r="DN252" s="21">
        <v>99</v>
      </c>
      <c r="DO252" s="23">
        <v>19.58</v>
      </c>
      <c r="DP252" s="21">
        <v>95</v>
      </c>
      <c r="DQ252" s="23">
        <v>0</v>
      </c>
      <c r="DR252" s="19">
        <v>0</v>
      </c>
      <c r="DS252" s="23">
        <v>19.58</v>
      </c>
      <c r="DT252" s="21">
        <v>95</v>
      </c>
      <c r="DU252" s="23" t="s">
        <v>151</v>
      </c>
      <c r="DV252" s="21" t="s">
        <v>151</v>
      </c>
      <c r="DW252" s="23">
        <v>19.58</v>
      </c>
      <c r="DX252" s="21">
        <v>95</v>
      </c>
      <c r="DY252" s="18" t="s">
        <v>151</v>
      </c>
      <c r="DZ252" s="22" t="s">
        <v>151</v>
      </c>
      <c r="EA252" s="22" t="s">
        <v>151</v>
      </c>
      <c r="EB252" s="21">
        <v>7543</v>
      </c>
      <c r="EC252" s="20">
        <v>-277</v>
      </c>
      <c r="ED252" s="19">
        <v>-3.54</v>
      </c>
      <c r="EE252" s="21">
        <v>372</v>
      </c>
      <c r="EF252" s="20">
        <v>4</v>
      </c>
      <c r="EG252" s="19">
        <v>1.09</v>
      </c>
      <c r="EH252" s="16" t="s">
        <v>198</v>
      </c>
      <c r="EI252" s="17" t="s">
        <v>151</v>
      </c>
      <c r="EJ252" s="17" t="s">
        <v>151</v>
      </c>
      <c r="EK252" s="18" t="s">
        <v>151</v>
      </c>
      <c r="EL252" s="18" t="s">
        <v>151</v>
      </c>
      <c r="EM252" s="18" t="s">
        <v>151</v>
      </c>
      <c r="EN252" s="18" t="s">
        <v>151</v>
      </c>
      <c r="EO252" s="18" t="s">
        <v>151</v>
      </c>
      <c r="EP252" s="17" t="s">
        <v>151</v>
      </c>
      <c r="EQ252" s="16" t="s">
        <v>151</v>
      </c>
      <c r="ER252" s="16" t="s">
        <v>151</v>
      </c>
      <c r="ES252" s="3">
        <f>HYPERLINK("https://my.pitchbook.com?c=466166-26","View Company Online")</f>
      </c>
    </row>
    <row r="253">
      <c r="A253" s="30" t="s">
        <v>5647</v>
      </c>
      <c r="B253" s="30" t="s">
        <v>5648</v>
      </c>
      <c r="C253" s="31" t="s">
        <v>151</v>
      </c>
      <c r="D253" s="30" t="s">
        <v>151</v>
      </c>
      <c r="E253" s="30" t="s">
        <v>151</v>
      </c>
      <c r="F253" s="30" t="s">
        <v>5649</v>
      </c>
      <c r="G253" s="30" t="s">
        <v>151</v>
      </c>
      <c r="H253" s="30" t="s">
        <v>151</v>
      </c>
      <c r="I253" s="30" t="s">
        <v>151</v>
      </c>
      <c r="J253" s="30" t="s">
        <v>5647</v>
      </c>
      <c r="K253" s="30" t="s">
        <v>5650</v>
      </c>
      <c r="L253" s="30" t="s">
        <v>616</v>
      </c>
      <c r="M253" s="30" t="s">
        <v>834</v>
      </c>
      <c r="N253" s="30" t="s">
        <v>3076</v>
      </c>
      <c r="O253" s="30" t="s">
        <v>5651</v>
      </c>
      <c r="P253" s="30" t="s">
        <v>5652</v>
      </c>
      <c r="Q253" s="30" t="s">
        <v>5653</v>
      </c>
      <c r="R253" s="30" t="s">
        <v>151</v>
      </c>
      <c r="S253" s="30" t="s">
        <v>162</v>
      </c>
      <c r="T253" s="37">
        <v>25.15</v>
      </c>
      <c r="U253" s="30" t="s">
        <v>163</v>
      </c>
      <c r="V253" s="30" t="s">
        <v>164</v>
      </c>
      <c r="W253" s="30" t="s">
        <v>165</v>
      </c>
      <c r="X253" s="28" t="s">
        <v>5654</v>
      </c>
      <c r="Y253" s="28" t="s">
        <v>5655</v>
      </c>
      <c r="Z253" s="40">
        <v>50</v>
      </c>
      <c r="AA253" s="30" t="s">
        <v>5656</v>
      </c>
      <c r="AB253" s="30" t="s">
        <v>151</v>
      </c>
      <c r="AC253" s="30" t="s">
        <v>151</v>
      </c>
      <c r="AD253" s="39">
        <v>2020</v>
      </c>
      <c r="AE253" s="30" t="s">
        <v>151</v>
      </c>
      <c r="AF253" s="35">
        <v>45595</v>
      </c>
      <c r="AG253" s="30" t="s">
        <v>151</v>
      </c>
      <c r="AH253" s="30" t="s">
        <v>151</v>
      </c>
      <c r="AI253" s="38" t="s">
        <v>151</v>
      </c>
      <c r="AJ253" s="32" t="s">
        <v>151</v>
      </c>
      <c r="AK253" s="38" t="s">
        <v>151</v>
      </c>
      <c r="AL253" s="38" t="s">
        <v>151</v>
      </c>
      <c r="AM253" s="38" t="s">
        <v>151</v>
      </c>
      <c r="AN253" s="38" t="s">
        <v>151</v>
      </c>
      <c r="AO253" s="38" t="s">
        <v>151</v>
      </c>
      <c r="AP253" s="38" t="s">
        <v>151</v>
      </c>
      <c r="AQ253" s="38" t="s">
        <v>151</v>
      </c>
      <c r="AR253" s="29" t="s">
        <v>151</v>
      </c>
      <c r="AS253" s="30" t="s">
        <v>5657</v>
      </c>
      <c r="AT253" s="30" t="s">
        <v>5658</v>
      </c>
      <c r="AU253" s="31">
        <v>9</v>
      </c>
      <c r="AV253" s="30" t="s">
        <v>151</v>
      </c>
      <c r="AW253" s="30" t="s">
        <v>151</v>
      </c>
      <c r="AX253" s="30" t="s">
        <v>151</v>
      </c>
      <c r="AY253" s="30" t="s">
        <v>5659</v>
      </c>
      <c r="AZ253" s="30" t="s">
        <v>151</v>
      </c>
      <c r="BA253" s="30" t="s">
        <v>151</v>
      </c>
      <c r="BB253" s="30" t="s">
        <v>151</v>
      </c>
      <c r="BC253" s="30" t="s">
        <v>151</v>
      </c>
      <c r="BD253" s="30" t="s">
        <v>5660</v>
      </c>
      <c r="BE253" s="30" t="s">
        <v>5661</v>
      </c>
      <c r="BF253" s="30" t="s">
        <v>1780</v>
      </c>
      <c r="BG253" s="30" t="s">
        <v>151</v>
      </c>
      <c r="BH253" s="30" t="s">
        <v>5662</v>
      </c>
      <c r="BI253" s="30" t="s">
        <v>906</v>
      </c>
      <c r="BJ253" s="30" t="s">
        <v>3869</v>
      </c>
      <c r="BK253" s="30" t="s">
        <v>5663</v>
      </c>
      <c r="BL253" s="30" t="s">
        <v>259</v>
      </c>
      <c r="BM253" s="30" t="s">
        <v>259</v>
      </c>
      <c r="BN253" s="29" t="s">
        <v>3871</v>
      </c>
      <c r="BO253" s="30" t="s">
        <v>186</v>
      </c>
      <c r="BP253" s="29" t="s">
        <v>5662</v>
      </c>
      <c r="BQ253" s="29" t="s">
        <v>151</v>
      </c>
      <c r="BR253" s="30" t="s">
        <v>151</v>
      </c>
      <c r="BS253" s="30" t="s">
        <v>187</v>
      </c>
      <c r="BT253" s="30" t="s">
        <v>188</v>
      </c>
      <c r="BU253" s="35">
        <v>44060</v>
      </c>
      <c r="BV253" s="37">
        <v>6</v>
      </c>
      <c r="BW253" s="30" t="s">
        <v>192</v>
      </c>
      <c r="BX253" s="37">
        <v>19</v>
      </c>
      <c r="BY253" s="30" t="s">
        <v>192</v>
      </c>
      <c r="BZ253" s="30" t="s">
        <v>231</v>
      </c>
      <c r="CA253" s="30" t="s">
        <v>232</v>
      </c>
      <c r="CB253" s="30" t="s">
        <v>151</v>
      </c>
      <c r="CC253" s="30" t="s">
        <v>165</v>
      </c>
      <c r="CD253" s="30" t="s">
        <v>151</v>
      </c>
      <c r="CE253" s="30" t="s">
        <v>191</v>
      </c>
      <c r="CF253" s="35">
        <v>45503</v>
      </c>
      <c r="CG253" s="37">
        <v>8.15</v>
      </c>
      <c r="CH253" s="30" t="s">
        <v>192</v>
      </c>
      <c r="CI253" s="37">
        <v>21.65</v>
      </c>
      <c r="CJ253" s="30" t="s">
        <v>192</v>
      </c>
      <c r="CK253" s="29">
        <v>0.22</v>
      </c>
      <c r="CL253" s="30" t="s">
        <v>231</v>
      </c>
      <c r="CM253" s="30" t="s">
        <v>1526</v>
      </c>
      <c r="CN253" s="30" t="s">
        <v>151</v>
      </c>
      <c r="CO253" s="30" t="s">
        <v>165</v>
      </c>
      <c r="CP253" s="35">
        <v>45503</v>
      </c>
      <c r="CQ253" s="37" t="s">
        <v>151</v>
      </c>
      <c r="CR253" s="30" t="s">
        <v>151</v>
      </c>
      <c r="CS253" s="30" t="s">
        <v>191</v>
      </c>
      <c r="CT253" s="29">
        <v>77</v>
      </c>
      <c r="CU253" s="30" t="s">
        <v>196</v>
      </c>
      <c r="CV253" s="32">
        <v>86</v>
      </c>
      <c r="CW253" s="32">
        <v>14</v>
      </c>
      <c r="CX253" s="30" t="s">
        <v>294</v>
      </c>
      <c r="CY253" s="32">
        <v>1</v>
      </c>
      <c r="CZ253" s="32">
        <v>85</v>
      </c>
      <c r="DA253" s="37">
        <v>21.65</v>
      </c>
      <c r="DB253" s="35">
        <v>45503</v>
      </c>
      <c r="DC253" s="30" t="s">
        <v>231</v>
      </c>
      <c r="DD253" s="29">
        <v>0.22</v>
      </c>
      <c r="DE253" s="32">
        <v>0</v>
      </c>
      <c r="DF253" s="34">
        <v>11</v>
      </c>
      <c r="DG253" s="32">
        <v>0</v>
      </c>
      <c r="DH253" s="32">
        <v>0</v>
      </c>
      <c r="DI253" s="32">
        <v>0</v>
      </c>
      <c r="DJ253" s="34">
        <v>10</v>
      </c>
      <c r="DK253" s="32" t="s">
        <v>151</v>
      </c>
      <c r="DL253" s="34" t="s">
        <v>151</v>
      </c>
      <c r="DM253" s="32">
        <v>0</v>
      </c>
      <c r="DN253" s="34">
        <v>10</v>
      </c>
      <c r="DO253" s="36">
        <v>11.42</v>
      </c>
      <c r="DP253" s="34">
        <v>91</v>
      </c>
      <c r="DQ253" s="36">
        <v>0</v>
      </c>
      <c r="DR253" s="32">
        <v>0</v>
      </c>
      <c r="DS253" s="36">
        <v>11.42</v>
      </c>
      <c r="DT253" s="34">
        <v>91</v>
      </c>
      <c r="DU253" s="36" t="s">
        <v>151</v>
      </c>
      <c r="DV253" s="34" t="s">
        <v>151</v>
      </c>
      <c r="DW253" s="36">
        <v>11.42</v>
      </c>
      <c r="DX253" s="34">
        <v>91</v>
      </c>
      <c r="DY253" s="31" t="s">
        <v>151</v>
      </c>
      <c r="DZ253" s="35" t="s">
        <v>151</v>
      </c>
      <c r="EA253" s="35" t="s">
        <v>151</v>
      </c>
      <c r="EB253" s="34">
        <v>3629</v>
      </c>
      <c r="EC253" s="33">
        <v>491</v>
      </c>
      <c r="ED253" s="32">
        <v>15.65</v>
      </c>
      <c r="EE253" s="34">
        <v>217</v>
      </c>
      <c r="EF253" s="33">
        <v>0</v>
      </c>
      <c r="EG253" s="32">
        <v>0</v>
      </c>
      <c r="EH253" s="29" t="s">
        <v>198</v>
      </c>
      <c r="EI253" s="30" t="s">
        <v>151</v>
      </c>
      <c r="EJ253" s="30" t="s">
        <v>151</v>
      </c>
      <c r="EK253" s="31" t="s">
        <v>151</v>
      </c>
      <c r="EL253" s="31" t="s">
        <v>151</v>
      </c>
      <c r="EM253" s="31" t="s">
        <v>151</v>
      </c>
      <c r="EN253" s="31" t="s">
        <v>151</v>
      </c>
      <c r="EO253" s="31" t="s">
        <v>151</v>
      </c>
      <c r="EP253" s="30" t="s">
        <v>151</v>
      </c>
      <c r="EQ253" s="29" t="s">
        <v>151</v>
      </c>
      <c r="ER253" s="29" t="s">
        <v>151</v>
      </c>
      <c r="ES253" s="4">
        <f>HYPERLINK("https://my.pitchbook.com?c=439025-23","View Company Online")</f>
      </c>
    </row>
    <row r="254">
      <c r="A254" s="17" t="s">
        <v>5664</v>
      </c>
      <c r="B254" s="17" t="s">
        <v>5665</v>
      </c>
      <c r="C254" s="18" t="s">
        <v>151</v>
      </c>
      <c r="D254" s="17" t="s">
        <v>151</v>
      </c>
      <c r="E254" s="17" t="s">
        <v>151</v>
      </c>
      <c r="F254" s="17" t="s">
        <v>5666</v>
      </c>
      <c r="G254" s="17" t="s">
        <v>151</v>
      </c>
      <c r="H254" s="17" t="s">
        <v>151</v>
      </c>
      <c r="I254" s="17" t="s">
        <v>151</v>
      </c>
      <c r="J254" s="17" t="s">
        <v>5664</v>
      </c>
      <c r="K254" s="17" t="s">
        <v>5667</v>
      </c>
      <c r="L254" s="17" t="s">
        <v>205</v>
      </c>
      <c r="M254" s="17" t="s">
        <v>206</v>
      </c>
      <c r="N254" s="17" t="s">
        <v>917</v>
      </c>
      <c r="O254" s="17" t="s">
        <v>918</v>
      </c>
      <c r="P254" s="17" t="s">
        <v>151</v>
      </c>
      <c r="Q254" s="17" t="s">
        <v>5668</v>
      </c>
      <c r="R254" s="17" t="s">
        <v>151</v>
      </c>
      <c r="S254" s="17" t="s">
        <v>162</v>
      </c>
      <c r="T254" s="24">
        <v>4.69</v>
      </c>
      <c r="U254" s="17" t="s">
        <v>163</v>
      </c>
      <c r="V254" s="17" t="s">
        <v>164</v>
      </c>
      <c r="W254" s="17" t="s">
        <v>165</v>
      </c>
      <c r="X254" s="15" t="s">
        <v>5669</v>
      </c>
      <c r="Y254" s="15" t="s">
        <v>5670</v>
      </c>
      <c r="Z254" s="27">
        <v>10</v>
      </c>
      <c r="AA254" s="17" t="s">
        <v>5671</v>
      </c>
      <c r="AB254" s="17" t="s">
        <v>151</v>
      </c>
      <c r="AC254" s="17" t="s">
        <v>151</v>
      </c>
      <c r="AD254" s="26">
        <v>2019</v>
      </c>
      <c r="AE254" s="17" t="s">
        <v>151</v>
      </c>
      <c r="AF254" s="22">
        <v>45357</v>
      </c>
      <c r="AG254" s="17" t="s">
        <v>151</v>
      </c>
      <c r="AH254" s="17" t="s">
        <v>151</v>
      </c>
      <c r="AI254" s="25" t="s">
        <v>151</v>
      </c>
      <c r="AJ254" s="19" t="s">
        <v>151</v>
      </c>
      <c r="AK254" s="25" t="s">
        <v>151</v>
      </c>
      <c r="AL254" s="25" t="s">
        <v>151</v>
      </c>
      <c r="AM254" s="25" t="s">
        <v>151</v>
      </c>
      <c r="AN254" s="25" t="s">
        <v>151</v>
      </c>
      <c r="AO254" s="25" t="s">
        <v>151</v>
      </c>
      <c r="AP254" s="25" t="s">
        <v>151</v>
      </c>
      <c r="AQ254" s="25" t="s">
        <v>151</v>
      </c>
      <c r="AR254" s="16" t="s">
        <v>151</v>
      </c>
      <c r="AS254" s="17" t="s">
        <v>5672</v>
      </c>
      <c r="AT254" s="17" t="s">
        <v>5673</v>
      </c>
      <c r="AU254" s="18">
        <v>6</v>
      </c>
      <c r="AV254" s="17" t="s">
        <v>151</v>
      </c>
      <c r="AW254" s="17" t="s">
        <v>151</v>
      </c>
      <c r="AX254" s="17" t="s">
        <v>151</v>
      </c>
      <c r="AY254" s="17" t="s">
        <v>5674</v>
      </c>
      <c r="AZ254" s="17" t="s">
        <v>151</v>
      </c>
      <c r="BA254" s="17" t="s">
        <v>151</v>
      </c>
      <c r="BB254" s="17" t="s">
        <v>151</v>
      </c>
      <c r="BC254" s="17" t="s">
        <v>5675</v>
      </c>
      <c r="BD254" s="17" t="s">
        <v>5676</v>
      </c>
      <c r="BE254" s="17" t="s">
        <v>5677</v>
      </c>
      <c r="BF254" s="17" t="s">
        <v>546</v>
      </c>
      <c r="BG254" s="17" t="s">
        <v>5678</v>
      </c>
      <c r="BH254" s="17" t="s">
        <v>151</v>
      </c>
      <c r="BI254" s="17" t="s">
        <v>5679</v>
      </c>
      <c r="BJ254" s="17" t="s">
        <v>5680</v>
      </c>
      <c r="BK254" s="17" t="s">
        <v>1712</v>
      </c>
      <c r="BL254" s="17" t="s">
        <v>5681</v>
      </c>
      <c r="BM254" s="17" t="s">
        <v>5682</v>
      </c>
      <c r="BN254" s="16" t="s">
        <v>5683</v>
      </c>
      <c r="BO254" s="17" t="s">
        <v>186</v>
      </c>
      <c r="BP254" s="16" t="s">
        <v>5684</v>
      </c>
      <c r="BQ254" s="16" t="s">
        <v>151</v>
      </c>
      <c r="BR254" s="17" t="s">
        <v>5685</v>
      </c>
      <c r="BS254" s="17" t="s">
        <v>187</v>
      </c>
      <c r="BT254" s="17" t="s">
        <v>188</v>
      </c>
      <c r="BU254" s="22">
        <v>43546</v>
      </c>
      <c r="BV254" s="24">
        <v>0.01</v>
      </c>
      <c r="BW254" s="17" t="s">
        <v>192</v>
      </c>
      <c r="BX254" s="24" t="s">
        <v>151</v>
      </c>
      <c r="BY254" s="17" t="s">
        <v>151</v>
      </c>
      <c r="BZ254" s="17" t="s">
        <v>858</v>
      </c>
      <c r="CA254" s="17" t="s">
        <v>151</v>
      </c>
      <c r="CB254" s="17" t="s">
        <v>151</v>
      </c>
      <c r="CC254" s="17" t="s">
        <v>585</v>
      </c>
      <c r="CD254" s="17" t="s">
        <v>151</v>
      </c>
      <c r="CE254" s="17" t="s">
        <v>191</v>
      </c>
      <c r="CF254" s="22">
        <v>44963</v>
      </c>
      <c r="CG254" s="24">
        <v>2</v>
      </c>
      <c r="CH254" s="17" t="s">
        <v>192</v>
      </c>
      <c r="CI254" s="24" t="s">
        <v>151</v>
      </c>
      <c r="CJ254" s="17" t="s">
        <v>151</v>
      </c>
      <c r="CK254" s="16" t="s">
        <v>151</v>
      </c>
      <c r="CL254" s="17" t="s">
        <v>293</v>
      </c>
      <c r="CM254" s="17" t="s">
        <v>293</v>
      </c>
      <c r="CN254" s="17" t="s">
        <v>151</v>
      </c>
      <c r="CO254" s="17" t="s">
        <v>165</v>
      </c>
      <c r="CP254" s="22">
        <v>44963</v>
      </c>
      <c r="CQ254" s="24" t="s">
        <v>151</v>
      </c>
      <c r="CR254" s="17" t="s">
        <v>151</v>
      </c>
      <c r="CS254" s="17" t="s">
        <v>191</v>
      </c>
      <c r="CT254" s="16">
        <v>33</v>
      </c>
      <c r="CU254" s="17" t="s">
        <v>263</v>
      </c>
      <c r="CV254" s="19">
        <v>33</v>
      </c>
      <c r="CW254" s="19">
        <v>67</v>
      </c>
      <c r="CX254" s="17" t="s">
        <v>263</v>
      </c>
      <c r="CY254" s="19">
        <v>1</v>
      </c>
      <c r="CZ254" s="19">
        <v>32</v>
      </c>
      <c r="DA254" s="24">
        <v>12</v>
      </c>
      <c r="DB254" s="22">
        <v>44756</v>
      </c>
      <c r="DC254" s="17" t="s">
        <v>293</v>
      </c>
      <c r="DD254" s="16">
        <v>2.19</v>
      </c>
      <c r="DE254" s="19">
        <v>0.67</v>
      </c>
      <c r="DF254" s="21">
        <v>95</v>
      </c>
      <c r="DG254" s="19">
        <v>0</v>
      </c>
      <c r="DH254" s="19">
        <v>0</v>
      </c>
      <c r="DI254" s="19">
        <v>1.34</v>
      </c>
      <c r="DJ254" s="21">
        <v>97</v>
      </c>
      <c r="DK254" s="19" t="s">
        <v>151</v>
      </c>
      <c r="DL254" s="21" t="s">
        <v>151</v>
      </c>
      <c r="DM254" s="19">
        <v>1.34</v>
      </c>
      <c r="DN254" s="21">
        <v>97</v>
      </c>
      <c r="DO254" s="23">
        <v>22.57</v>
      </c>
      <c r="DP254" s="21">
        <v>95</v>
      </c>
      <c r="DQ254" s="23">
        <v>0</v>
      </c>
      <c r="DR254" s="19">
        <v>0</v>
      </c>
      <c r="DS254" s="23">
        <v>44.37</v>
      </c>
      <c r="DT254" s="21">
        <v>98</v>
      </c>
      <c r="DU254" s="23" t="s">
        <v>151</v>
      </c>
      <c r="DV254" s="21" t="s">
        <v>151</v>
      </c>
      <c r="DW254" s="23">
        <v>44.37</v>
      </c>
      <c r="DX254" s="21">
        <v>98</v>
      </c>
      <c r="DY254" s="18" t="s">
        <v>151</v>
      </c>
      <c r="DZ254" s="22" t="s">
        <v>151</v>
      </c>
      <c r="EA254" s="22" t="s">
        <v>151</v>
      </c>
      <c r="EB254" s="21">
        <v>75426</v>
      </c>
      <c r="EC254" s="20">
        <v>49</v>
      </c>
      <c r="ED254" s="19">
        <v>0.07</v>
      </c>
      <c r="EE254" s="21">
        <v>843</v>
      </c>
      <c r="EF254" s="20">
        <v>5</v>
      </c>
      <c r="EG254" s="19">
        <v>0.6</v>
      </c>
      <c r="EH254" s="16" t="s">
        <v>198</v>
      </c>
      <c r="EI254" s="17" t="s">
        <v>151</v>
      </c>
      <c r="EJ254" s="17" t="s">
        <v>151</v>
      </c>
      <c r="EK254" s="18" t="s">
        <v>151</v>
      </c>
      <c r="EL254" s="18" t="s">
        <v>151</v>
      </c>
      <c r="EM254" s="18" t="s">
        <v>151</v>
      </c>
      <c r="EN254" s="18" t="s">
        <v>151</v>
      </c>
      <c r="EO254" s="18" t="s">
        <v>151</v>
      </c>
      <c r="EP254" s="17" t="s">
        <v>151</v>
      </c>
      <c r="EQ254" s="16" t="s">
        <v>151</v>
      </c>
      <c r="ER254" s="16" t="s">
        <v>151</v>
      </c>
      <c r="ES254" s="3">
        <f>HYPERLINK("https://my.pitchbook.com?c=399267-73","View Company Online")</f>
      </c>
    </row>
    <row r="255">
      <c r="A255" s="30" t="s">
        <v>5686</v>
      </c>
      <c r="B255" s="30" t="s">
        <v>5687</v>
      </c>
      <c r="C255" s="31" t="s">
        <v>151</v>
      </c>
      <c r="D255" s="30" t="s">
        <v>151</v>
      </c>
      <c r="E255" s="30" t="s">
        <v>151</v>
      </c>
      <c r="F255" s="30" t="s">
        <v>5688</v>
      </c>
      <c r="G255" s="30" t="s">
        <v>151</v>
      </c>
      <c r="H255" s="30" t="s">
        <v>151</v>
      </c>
      <c r="I255" s="30" t="s">
        <v>151</v>
      </c>
      <c r="J255" s="30" t="s">
        <v>5686</v>
      </c>
      <c r="K255" s="30" t="s">
        <v>5689</v>
      </c>
      <c r="L255" s="30" t="s">
        <v>205</v>
      </c>
      <c r="M255" s="30" t="s">
        <v>206</v>
      </c>
      <c r="N255" s="30" t="s">
        <v>1940</v>
      </c>
      <c r="O255" s="30" t="s">
        <v>5690</v>
      </c>
      <c r="P255" s="30" t="s">
        <v>364</v>
      </c>
      <c r="Q255" s="30" t="s">
        <v>5691</v>
      </c>
      <c r="R255" s="30" t="s">
        <v>151</v>
      </c>
      <c r="S255" s="30" t="s">
        <v>162</v>
      </c>
      <c r="T255" s="37">
        <v>1.8</v>
      </c>
      <c r="U255" s="30" t="s">
        <v>163</v>
      </c>
      <c r="V255" s="30" t="s">
        <v>164</v>
      </c>
      <c r="W255" s="30" t="s">
        <v>165</v>
      </c>
      <c r="X255" s="28" t="s">
        <v>5692</v>
      </c>
      <c r="Y255" s="28" t="s">
        <v>5693</v>
      </c>
      <c r="Z255" s="40">
        <v>22</v>
      </c>
      <c r="AA255" s="30" t="s">
        <v>5694</v>
      </c>
      <c r="AB255" s="30" t="s">
        <v>151</v>
      </c>
      <c r="AC255" s="30" t="s">
        <v>151</v>
      </c>
      <c r="AD255" s="39">
        <v>2017</v>
      </c>
      <c r="AE255" s="30" t="s">
        <v>151</v>
      </c>
      <c r="AF255" s="35">
        <v>45427</v>
      </c>
      <c r="AG255" s="30" t="s">
        <v>151</v>
      </c>
      <c r="AH255" s="30" t="s">
        <v>151</v>
      </c>
      <c r="AI255" s="38" t="s">
        <v>151</v>
      </c>
      <c r="AJ255" s="32" t="s">
        <v>151</v>
      </c>
      <c r="AK255" s="38" t="s">
        <v>151</v>
      </c>
      <c r="AL255" s="38" t="s">
        <v>151</v>
      </c>
      <c r="AM255" s="38" t="s">
        <v>151</v>
      </c>
      <c r="AN255" s="38" t="s">
        <v>151</v>
      </c>
      <c r="AO255" s="38" t="s">
        <v>151</v>
      </c>
      <c r="AP255" s="38" t="s">
        <v>151</v>
      </c>
      <c r="AQ255" s="38" t="s">
        <v>151</v>
      </c>
      <c r="AR255" s="29" t="s">
        <v>151</v>
      </c>
      <c r="AS255" s="30" t="s">
        <v>5695</v>
      </c>
      <c r="AT255" s="30" t="s">
        <v>5696</v>
      </c>
      <c r="AU255" s="31">
        <v>7</v>
      </c>
      <c r="AV255" s="30" t="s">
        <v>151</v>
      </c>
      <c r="AW255" s="30" t="s">
        <v>151</v>
      </c>
      <c r="AX255" s="30" t="s">
        <v>151</v>
      </c>
      <c r="AY255" s="30" t="s">
        <v>5697</v>
      </c>
      <c r="AZ255" s="30" t="s">
        <v>151</v>
      </c>
      <c r="BA255" s="30" t="s">
        <v>151</v>
      </c>
      <c r="BB255" s="30" t="s">
        <v>151</v>
      </c>
      <c r="BC255" s="30" t="s">
        <v>151</v>
      </c>
      <c r="BD255" s="30" t="s">
        <v>5698</v>
      </c>
      <c r="BE255" s="30" t="s">
        <v>5699</v>
      </c>
      <c r="BF255" s="30" t="s">
        <v>493</v>
      </c>
      <c r="BG255" s="30" t="s">
        <v>5700</v>
      </c>
      <c r="BH255" s="30" t="s">
        <v>5701</v>
      </c>
      <c r="BI255" s="30" t="s">
        <v>707</v>
      </c>
      <c r="BJ255" s="30" t="s">
        <v>5702</v>
      </c>
      <c r="BK255" s="30" t="s">
        <v>5703</v>
      </c>
      <c r="BL255" s="30" t="s">
        <v>709</v>
      </c>
      <c r="BM255" s="30" t="s">
        <v>184</v>
      </c>
      <c r="BN255" s="29" t="s">
        <v>710</v>
      </c>
      <c r="BO255" s="30" t="s">
        <v>186</v>
      </c>
      <c r="BP255" s="29" t="s">
        <v>5701</v>
      </c>
      <c r="BQ255" s="29" t="s">
        <v>151</v>
      </c>
      <c r="BR255" s="30" t="s">
        <v>5704</v>
      </c>
      <c r="BS255" s="30" t="s">
        <v>187</v>
      </c>
      <c r="BT255" s="30" t="s">
        <v>188</v>
      </c>
      <c r="BU255" s="35" t="s">
        <v>151</v>
      </c>
      <c r="BV255" s="37">
        <v>0.05</v>
      </c>
      <c r="BW255" s="30" t="s">
        <v>192</v>
      </c>
      <c r="BX255" s="37" t="s">
        <v>151</v>
      </c>
      <c r="BY255" s="30" t="s">
        <v>151</v>
      </c>
      <c r="BZ255" s="30" t="s">
        <v>189</v>
      </c>
      <c r="CA255" s="30" t="s">
        <v>151</v>
      </c>
      <c r="CB255" s="30" t="s">
        <v>151</v>
      </c>
      <c r="CC255" s="30" t="s">
        <v>190</v>
      </c>
      <c r="CD255" s="30" t="s">
        <v>151</v>
      </c>
      <c r="CE255" s="30" t="s">
        <v>191</v>
      </c>
      <c r="CF255" s="35">
        <v>45426</v>
      </c>
      <c r="CG255" s="37" t="s">
        <v>151</v>
      </c>
      <c r="CH255" s="30" t="s">
        <v>151</v>
      </c>
      <c r="CI255" s="37" t="s">
        <v>151</v>
      </c>
      <c r="CJ255" s="30" t="s">
        <v>151</v>
      </c>
      <c r="CK255" s="29" t="s">
        <v>151</v>
      </c>
      <c r="CL255" s="30" t="s">
        <v>194</v>
      </c>
      <c r="CM255" s="30" t="s">
        <v>151</v>
      </c>
      <c r="CN255" s="30" t="s">
        <v>151</v>
      </c>
      <c r="CO255" s="30" t="s">
        <v>165</v>
      </c>
      <c r="CP255" s="35">
        <v>45426</v>
      </c>
      <c r="CQ255" s="37" t="s">
        <v>151</v>
      </c>
      <c r="CR255" s="30" t="s">
        <v>151</v>
      </c>
      <c r="CS255" s="30" t="s">
        <v>191</v>
      </c>
      <c r="CT255" s="29">
        <v>77</v>
      </c>
      <c r="CU255" s="30" t="s">
        <v>196</v>
      </c>
      <c r="CV255" s="32">
        <v>71</v>
      </c>
      <c r="CW255" s="32">
        <v>29</v>
      </c>
      <c r="CX255" s="30" t="s">
        <v>294</v>
      </c>
      <c r="CY255" s="32">
        <v>1</v>
      </c>
      <c r="CZ255" s="32">
        <v>70</v>
      </c>
      <c r="DA255" s="37" t="s">
        <v>151</v>
      </c>
      <c r="DB255" s="35" t="s">
        <v>151</v>
      </c>
      <c r="DC255" s="30" t="s">
        <v>151</v>
      </c>
      <c r="DD255" s="29" t="s">
        <v>151</v>
      </c>
      <c r="DE255" s="32">
        <v>-2.1</v>
      </c>
      <c r="DF255" s="34">
        <v>2</v>
      </c>
      <c r="DG255" s="32">
        <v>0</v>
      </c>
      <c r="DH255" s="32">
        <v>0</v>
      </c>
      <c r="DI255" s="32">
        <v>-2.1</v>
      </c>
      <c r="DJ255" s="34">
        <v>2</v>
      </c>
      <c r="DK255" s="32" t="s">
        <v>151</v>
      </c>
      <c r="DL255" s="34" t="s">
        <v>151</v>
      </c>
      <c r="DM255" s="32">
        <v>-2.1</v>
      </c>
      <c r="DN255" s="34">
        <v>2</v>
      </c>
      <c r="DO255" s="36">
        <v>10.53</v>
      </c>
      <c r="DP255" s="34">
        <v>91</v>
      </c>
      <c r="DQ255" s="36">
        <v>0</v>
      </c>
      <c r="DR255" s="32">
        <v>0</v>
      </c>
      <c r="DS255" s="36">
        <v>10.53</v>
      </c>
      <c r="DT255" s="34">
        <v>90</v>
      </c>
      <c r="DU255" s="36" t="s">
        <v>151</v>
      </c>
      <c r="DV255" s="34" t="s">
        <v>151</v>
      </c>
      <c r="DW255" s="36">
        <v>10.53</v>
      </c>
      <c r="DX255" s="34">
        <v>90</v>
      </c>
      <c r="DY255" s="31" t="s">
        <v>151</v>
      </c>
      <c r="DZ255" s="35" t="s">
        <v>151</v>
      </c>
      <c r="EA255" s="35" t="s">
        <v>151</v>
      </c>
      <c r="EB255" s="34">
        <v>8653</v>
      </c>
      <c r="EC255" s="33">
        <v>-499</v>
      </c>
      <c r="ED255" s="32">
        <v>-5.45</v>
      </c>
      <c r="EE255" s="34">
        <v>200</v>
      </c>
      <c r="EF255" s="33">
        <v>-2</v>
      </c>
      <c r="EG255" s="32">
        <v>-0.99</v>
      </c>
      <c r="EH255" s="29" t="s">
        <v>198</v>
      </c>
      <c r="EI255" s="30" t="s">
        <v>151</v>
      </c>
      <c r="EJ255" s="30" t="s">
        <v>151</v>
      </c>
      <c r="EK255" s="31" t="s">
        <v>151</v>
      </c>
      <c r="EL255" s="31" t="s">
        <v>151</v>
      </c>
      <c r="EM255" s="31" t="s">
        <v>151</v>
      </c>
      <c r="EN255" s="31" t="s">
        <v>151</v>
      </c>
      <c r="EO255" s="31" t="s">
        <v>151</v>
      </c>
      <c r="EP255" s="30" t="s">
        <v>151</v>
      </c>
      <c r="EQ255" s="29" t="s">
        <v>151</v>
      </c>
      <c r="ER255" s="29" t="s">
        <v>151</v>
      </c>
      <c r="ES255" s="4">
        <f>HYPERLINK("https://my.pitchbook.com?c=459136-54","View Company Online")</f>
      </c>
    </row>
    <row r="256">
      <c r="A256" s="17" t="s">
        <v>5705</v>
      </c>
      <c r="B256" s="17" t="s">
        <v>5706</v>
      </c>
      <c r="C256" s="18" t="s">
        <v>151</v>
      </c>
      <c r="D256" s="17" t="s">
        <v>151</v>
      </c>
      <c r="E256" s="17" t="s">
        <v>151</v>
      </c>
      <c r="F256" s="17" t="s">
        <v>5707</v>
      </c>
      <c r="G256" s="17" t="s">
        <v>151</v>
      </c>
      <c r="H256" s="17" t="s">
        <v>151</v>
      </c>
      <c r="I256" s="17" t="s">
        <v>151</v>
      </c>
      <c r="J256" s="17" t="s">
        <v>5705</v>
      </c>
      <c r="K256" s="17" t="s">
        <v>5708</v>
      </c>
      <c r="L256" s="17" t="s">
        <v>155</v>
      </c>
      <c r="M256" s="17" t="s">
        <v>2320</v>
      </c>
      <c r="N256" s="17" t="s">
        <v>3427</v>
      </c>
      <c r="O256" s="17" t="s">
        <v>5709</v>
      </c>
      <c r="P256" s="17" t="s">
        <v>1181</v>
      </c>
      <c r="Q256" s="17" t="s">
        <v>5710</v>
      </c>
      <c r="R256" s="17" t="s">
        <v>211</v>
      </c>
      <c r="S256" s="17" t="s">
        <v>162</v>
      </c>
      <c r="T256" s="24">
        <v>4.4</v>
      </c>
      <c r="U256" s="17" t="s">
        <v>163</v>
      </c>
      <c r="V256" s="17" t="s">
        <v>164</v>
      </c>
      <c r="W256" s="17" t="s">
        <v>165</v>
      </c>
      <c r="X256" s="15" t="s">
        <v>5711</v>
      </c>
      <c r="Y256" s="15" t="s">
        <v>5712</v>
      </c>
      <c r="Z256" s="27">
        <v>9</v>
      </c>
      <c r="AA256" s="17" t="s">
        <v>5713</v>
      </c>
      <c r="AB256" s="17" t="s">
        <v>151</v>
      </c>
      <c r="AC256" s="17" t="s">
        <v>151</v>
      </c>
      <c r="AD256" s="26">
        <v>2021</v>
      </c>
      <c r="AE256" s="17" t="s">
        <v>151</v>
      </c>
      <c r="AF256" s="22">
        <v>45356</v>
      </c>
      <c r="AG256" s="17" t="s">
        <v>151</v>
      </c>
      <c r="AH256" s="17" t="s">
        <v>151</v>
      </c>
      <c r="AI256" s="25" t="s">
        <v>151</v>
      </c>
      <c r="AJ256" s="19" t="s">
        <v>151</v>
      </c>
      <c r="AK256" s="25" t="s">
        <v>151</v>
      </c>
      <c r="AL256" s="25" t="s">
        <v>151</v>
      </c>
      <c r="AM256" s="25" t="s">
        <v>151</v>
      </c>
      <c r="AN256" s="25" t="s">
        <v>151</v>
      </c>
      <c r="AO256" s="25" t="s">
        <v>151</v>
      </c>
      <c r="AP256" s="25" t="s">
        <v>151</v>
      </c>
      <c r="AQ256" s="25" t="s">
        <v>151</v>
      </c>
      <c r="AR256" s="16" t="s">
        <v>151</v>
      </c>
      <c r="AS256" s="17" t="s">
        <v>5714</v>
      </c>
      <c r="AT256" s="17" t="s">
        <v>5715</v>
      </c>
      <c r="AU256" s="18">
        <v>6</v>
      </c>
      <c r="AV256" s="17" t="s">
        <v>151</v>
      </c>
      <c r="AW256" s="17" t="s">
        <v>151</v>
      </c>
      <c r="AX256" s="17" t="s">
        <v>151</v>
      </c>
      <c r="AY256" s="17" t="s">
        <v>5716</v>
      </c>
      <c r="AZ256" s="17" t="s">
        <v>151</v>
      </c>
      <c r="BA256" s="17" t="s">
        <v>151</v>
      </c>
      <c r="BB256" s="17" t="s">
        <v>151</v>
      </c>
      <c r="BC256" s="17" t="s">
        <v>151</v>
      </c>
      <c r="BD256" s="17" t="s">
        <v>5717</v>
      </c>
      <c r="BE256" s="17" t="s">
        <v>5718</v>
      </c>
      <c r="BF256" s="17" t="s">
        <v>493</v>
      </c>
      <c r="BG256" s="17" t="s">
        <v>5719</v>
      </c>
      <c r="BH256" s="17" t="s">
        <v>5720</v>
      </c>
      <c r="BI256" s="17" t="s">
        <v>5721</v>
      </c>
      <c r="BJ256" s="17" t="s">
        <v>5722</v>
      </c>
      <c r="BK256" s="17" t="s">
        <v>151</v>
      </c>
      <c r="BL256" s="17" t="s">
        <v>5723</v>
      </c>
      <c r="BM256" s="17" t="s">
        <v>5724</v>
      </c>
      <c r="BN256" s="16" t="s">
        <v>5725</v>
      </c>
      <c r="BO256" s="17" t="s">
        <v>186</v>
      </c>
      <c r="BP256" s="16" t="s">
        <v>5720</v>
      </c>
      <c r="BQ256" s="16" t="s">
        <v>151</v>
      </c>
      <c r="BR256" s="17" t="s">
        <v>5726</v>
      </c>
      <c r="BS256" s="17" t="s">
        <v>187</v>
      </c>
      <c r="BT256" s="17" t="s">
        <v>188</v>
      </c>
      <c r="BU256" s="22">
        <v>44669</v>
      </c>
      <c r="BV256" s="24">
        <v>4.4</v>
      </c>
      <c r="BW256" s="17" t="s">
        <v>192</v>
      </c>
      <c r="BX256" s="24">
        <v>30</v>
      </c>
      <c r="BY256" s="17" t="s">
        <v>192</v>
      </c>
      <c r="BZ256" s="17" t="s">
        <v>293</v>
      </c>
      <c r="CA256" s="17" t="s">
        <v>293</v>
      </c>
      <c r="CB256" s="17" t="s">
        <v>151</v>
      </c>
      <c r="CC256" s="17" t="s">
        <v>165</v>
      </c>
      <c r="CD256" s="17" t="s">
        <v>151</v>
      </c>
      <c r="CE256" s="17" t="s">
        <v>191</v>
      </c>
      <c r="CF256" s="22">
        <v>44669</v>
      </c>
      <c r="CG256" s="24">
        <v>4.4</v>
      </c>
      <c r="CH256" s="17" t="s">
        <v>192</v>
      </c>
      <c r="CI256" s="24">
        <v>30</v>
      </c>
      <c r="CJ256" s="17" t="s">
        <v>192</v>
      </c>
      <c r="CK256" s="16" t="s">
        <v>151</v>
      </c>
      <c r="CL256" s="17" t="s">
        <v>293</v>
      </c>
      <c r="CM256" s="17" t="s">
        <v>293</v>
      </c>
      <c r="CN256" s="17" t="s">
        <v>151</v>
      </c>
      <c r="CO256" s="17" t="s">
        <v>165</v>
      </c>
      <c r="CP256" s="22">
        <v>44669</v>
      </c>
      <c r="CQ256" s="24" t="s">
        <v>151</v>
      </c>
      <c r="CR256" s="17" t="s">
        <v>151</v>
      </c>
      <c r="CS256" s="17" t="s">
        <v>191</v>
      </c>
      <c r="CT256" s="16" t="s">
        <v>151</v>
      </c>
      <c r="CU256" s="17" t="s">
        <v>151</v>
      </c>
      <c r="CV256" s="19" t="s">
        <v>151</v>
      </c>
      <c r="CW256" s="19" t="s">
        <v>151</v>
      </c>
      <c r="CX256" s="17" t="s">
        <v>151</v>
      </c>
      <c r="CY256" s="19" t="s">
        <v>151</v>
      </c>
      <c r="CZ256" s="19" t="s">
        <v>151</v>
      </c>
      <c r="DA256" s="24">
        <v>30</v>
      </c>
      <c r="DB256" s="22">
        <v>44669</v>
      </c>
      <c r="DC256" s="17" t="s">
        <v>293</v>
      </c>
      <c r="DD256" s="16" t="s">
        <v>151</v>
      </c>
      <c r="DE256" s="19">
        <v>-0.73</v>
      </c>
      <c r="DF256" s="21">
        <v>5</v>
      </c>
      <c r="DG256" s="19">
        <v>0.03</v>
      </c>
      <c r="DH256" s="19">
        <v>3.49</v>
      </c>
      <c r="DI256" s="19">
        <v>-0.21</v>
      </c>
      <c r="DJ256" s="21">
        <v>9</v>
      </c>
      <c r="DK256" s="19" t="s">
        <v>151</v>
      </c>
      <c r="DL256" s="21" t="s">
        <v>151</v>
      </c>
      <c r="DM256" s="19">
        <v>-0.21</v>
      </c>
      <c r="DN256" s="21">
        <v>9</v>
      </c>
      <c r="DO256" s="23">
        <v>6.43</v>
      </c>
      <c r="DP256" s="21">
        <v>86</v>
      </c>
      <c r="DQ256" s="23">
        <v>0</v>
      </c>
      <c r="DR256" s="19">
        <v>0</v>
      </c>
      <c r="DS256" s="23">
        <v>12.16</v>
      </c>
      <c r="DT256" s="21">
        <v>92</v>
      </c>
      <c r="DU256" s="23" t="s">
        <v>151</v>
      </c>
      <c r="DV256" s="21" t="s">
        <v>151</v>
      </c>
      <c r="DW256" s="23">
        <v>12.16</v>
      </c>
      <c r="DX256" s="21">
        <v>91</v>
      </c>
      <c r="DY256" s="18" t="s">
        <v>151</v>
      </c>
      <c r="DZ256" s="22" t="s">
        <v>151</v>
      </c>
      <c r="EA256" s="22" t="s">
        <v>151</v>
      </c>
      <c r="EB256" s="21">
        <v>341</v>
      </c>
      <c r="EC256" s="20">
        <v>8</v>
      </c>
      <c r="ED256" s="19">
        <v>2.4</v>
      </c>
      <c r="EE256" s="21">
        <v>231</v>
      </c>
      <c r="EF256" s="20">
        <v>0</v>
      </c>
      <c r="EG256" s="19">
        <v>0</v>
      </c>
      <c r="EH256" s="16" t="s">
        <v>198</v>
      </c>
      <c r="EI256" s="17" t="s">
        <v>151</v>
      </c>
      <c r="EJ256" s="17" t="s">
        <v>151</v>
      </c>
      <c r="EK256" s="18" t="s">
        <v>151</v>
      </c>
      <c r="EL256" s="18" t="s">
        <v>151</v>
      </c>
      <c r="EM256" s="18" t="s">
        <v>151</v>
      </c>
      <c r="EN256" s="18" t="s">
        <v>151</v>
      </c>
      <c r="EO256" s="18" t="s">
        <v>151</v>
      </c>
      <c r="EP256" s="17" t="s">
        <v>151</v>
      </c>
      <c r="EQ256" s="16" t="s">
        <v>151</v>
      </c>
      <c r="ER256" s="16" t="s">
        <v>151</v>
      </c>
      <c r="ES256" s="3">
        <f>HYPERLINK("https://my.pitchbook.com?c=495516-43","View Company Online")</f>
      </c>
    </row>
    <row r="257">
      <c r="A257" s="30" t="s">
        <v>5727</v>
      </c>
      <c r="B257" s="30" t="s">
        <v>5728</v>
      </c>
      <c r="C257" s="31" t="s">
        <v>151</v>
      </c>
      <c r="D257" s="30" t="s">
        <v>151</v>
      </c>
      <c r="E257" s="30" t="s">
        <v>151</v>
      </c>
      <c r="F257" s="30" t="s">
        <v>5729</v>
      </c>
      <c r="G257" s="30" t="s">
        <v>151</v>
      </c>
      <c r="H257" s="30" t="s">
        <v>151</v>
      </c>
      <c r="I257" s="30" t="s">
        <v>151</v>
      </c>
      <c r="J257" s="30" t="s">
        <v>5727</v>
      </c>
      <c r="K257" s="30" t="s">
        <v>5730</v>
      </c>
      <c r="L257" s="30" t="s">
        <v>205</v>
      </c>
      <c r="M257" s="30" t="s">
        <v>206</v>
      </c>
      <c r="N257" s="30" t="s">
        <v>1268</v>
      </c>
      <c r="O257" s="30" t="s">
        <v>2129</v>
      </c>
      <c r="P257" s="30" t="s">
        <v>5731</v>
      </c>
      <c r="Q257" s="30" t="s">
        <v>5732</v>
      </c>
      <c r="R257" s="30" t="s">
        <v>151</v>
      </c>
      <c r="S257" s="30" t="s">
        <v>162</v>
      </c>
      <c r="T257" s="37">
        <v>1.5</v>
      </c>
      <c r="U257" s="30" t="s">
        <v>163</v>
      </c>
      <c r="V257" s="30" t="s">
        <v>164</v>
      </c>
      <c r="W257" s="30" t="s">
        <v>165</v>
      </c>
      <c r="X257" s="28" t="s">
        <v>5733</v>
      </c>
      <c r="Y257" s="28" t="s">
        <v>5734</v>
      </c>
      <c r="Z257" s="40">
        <v>7</v>
      </c>
      <c r="AA257" s="30" t="s">
        <v>5735</v>
      </c>
      <c r="AB257" s="30" t="s">
        <v>151</v>
      </c>
      <c r="AC257" s="30" t="s">
        <v>151</v>
      </c>
      <c r="AD257" s="39">
        <v>2021</v>
      </c>
      <c r="AE257" s="30" t="s">
        <v>151</v>
      </c>
      <c r="AF257" s="35">
        <v>45505</v>
      </c>
      <c r="AG257" s="30" t="s">
        <v>151</v>
      </c>
      <c r="AH257" s="30" t="s">
        <v>151</v>
      </c>
      <c r="AI257" s="38" t="s">
        <v>151</v>
      </c>
      <c r="AJ257" s="32" t="s">
        <v>151</v>
      </c>
      <c r="AK257" s="38" t="s">
        <v>151</v>
      </c>
      <c r="AL257" s="38" t="s">
        <v>151</v>
      </c>
      <c r="AM257" s="38" t="s">
        <v>151</v>
      </c>
      <c r="AN257" s="38" t="s">
        <v>151</v>
      </c>
      <c r="AO257" s="38" t="s">
        <v>151</v>
      </c>
      <c r="AP257" s="38" t="s">
        <v>151</v>
      </c>
      <c r="AQ257" s="38" t="s">
        <v>151</v>
      </c>
      <c r="AR257" s="29" t="s">
        <v>151</v>
      </c>
      <c r="AS257" s="30" t="s">
        <v>5736</v>
      </c>
      <c r="AT257" s="30" t="s">
        <v>5737</v>
      </c>
      <c r="AU257" s="31">
        <v>2</v>
      </c>
      <c r="AV257" s="30" t="s">
        <v>151</v>
      </c>
      <c r="AW257" s="30" t="s">
        <v>151</v>
      </c>
      <c r="AX257" s="30" t="s">
        <v>151</v>
      </c>
      <c r="AY257" s="30" t="s">
        <v>5738</v>
      </c>
      <c r="AZ257" s="30" t="s">
        <v>151</v>
      </c>
      <c r="BA257" s="30" t="s">
        <v>151</v>
      </c>
      <c r="BB257" s="30" t="s">
        <v>151</v>
      </c>
      <c r="BC257" s="30" t="s">
        <v>151</v>
      </c>
      <c r="BD257" s="30" t="s">
        <v>5739</v>
      </c>
      <c r="BE257" s="30" t="s">
        <v>5740</v>
      </c>
      <c r="BF257" s="30" t="s">
        <v>221</v>
      </c>
      <c r="BG257" s="30" t="s">
        <v>5741</v>
      </c>
      <c r="BH257" s="30" t="s">
        <v>5742</v>
      </c>
      <c r="BI257" s="30" t="s">
        <v>5743</v>
      </c>
      <c r="BJ257" s="30" t="s">
        <v>5744</v>
      </c>
      <c r="BK257" s="30" t="s">
        <v>5745</v>
      </c>
      <c r="BL257" s="30" t="s">
        <v>5746</v>
      </c>
      <c r="BM257" s="30" t="s">
        <v>5724</v>
      </c>
      <c r="BN257" s="29" t="s">
        <v>5747</v>
      </c>
      <c r="BO257" s="30" t="s">
        <v>186</v>
      </c>
      <c r="BP257" s="29" t="s">
        <v>5748</v>
      </c>
      <c r="BQ257" s="29" t="s">
        <v>151</v>
      </c>
      <c r="BR257" s="30" t="s">
        <v>151</v>
      </c>
      <c r="BS257" s="30" t="s">
        <v>187</v>
      </c>
      <c r="BT257" s="30" t="s">
        <v>188</v>
      </c>
      <c r="BU257" s="35">
        <v>44684</v>
      </c>
      <c r="BV257" s="37">
        <v>1.5</v>
      </c>
      <c r="BW257" s="30" t="s">
        <v>192</v>
      </c>
      <c r="BX257" s="37" t="s">
        <v>151</v>
      </c>
      <c r="BY257" s="30" t="s">
        <v>151</v>
      </c>
      <c r="BZ257" s="30" t="s">
        <v>293</v>
      </c>
      <c r="CA257" s="30" t="s">
        <v>293</v>
      </c>
      <c r="CB257" s="30" t="s">
        <v>151</v>
      </c>
      <c r="CC257" s="30" t="s">
        <v>165</v>
      </c>
      <c r="CD257" s="30" t="s">
        <v>151</v>
      </c>
      <c r="CE257" s="30" t="s">
        <v>191</v>
      </c>
      <c r="CF257" s="35">
        <v>44684</v>
      </c>
      <c r="CG257" s="37">
        <v>1.5</v>
      </c>
      <c r="CH257" s="30" t="s">
        <v>192</v>
      </c>
      <c r="CI257" s="37" t="s">
        <v>151</v>
      </c>
      <c r="CJ257" s="30" t="s">
        <v>151</v>
      </c>
      <c r="CK257" s="29" t="s">
        <v>151</v>
      </c>
      <c r="CL257" s="30" t="s">
        <v>293</v>
      </c>
      <c r="CM257" s="30" t="s">
        <v>293</v>
      </c>
      <c r="CN257" s="30" t="s">
        <v>151</v>
      </c>
      <c r="CO257" s="30" t="s">
        <v>165</v>
      </c>
      <c r="CP257" s="35">
        <v>44684</v>
      </c>
      <c r="CQ257" s="37" t="s">
        <v>151</v>
      </c>
      <c r="CR257" s="30" t="s">
        <v>151</v>
      </c>
      <c r="CS257" s="30" t="s">
        <v>191</v>
      </c>
      <c r="CT257" s="29" t="s">
        <v>151</v>
      </c>
      <c r="CU257" s="30" t="s">
        <v>151</v>
      </c>
      <c r="CV257" s="32" t="s">
        <v>151</v>
      </c>
      <c r="CW257" s="32" t="s">
        <v>151</v>
      </c>
      <c r="CX257" s="30" t="s">
        <v>151</v>
      </c>
      <c r="CY257" s="32" t="s">
        <v>151</v>
      </c>
      <c r="CZ257" s="32" t="s">
        <v>151</v>
      </c>
      <c r="DA257" s="37" t="s">
        <v>151</v>
      </c>
      <c r="DB257" s="35" t="s">
        <v>151</v>
      </c>
      <c r="DC257" s="30" t="s">
        <v>151</v>
      </c>
      <c r="DD257" s="29" t="s">
        <v>151</v>
      </c>
      <c r="DE257" s="32">
        <v>2.08</v>
      </c>
      <c r="DF257" s="34">
        <v>98</v>
      </c>
      <c r="DG257" s="32">
        <v>0</v>
      </c>
      <c r="DH257" s="32">
        <v>0</v>
      </c>
      <c r="DI257" s="32" t="s">
        <v>151</v>
      </c>
      <c r="DJ257" s="34" t="s">
        <v>151</v>
      </c>
      <c r="DK257" s="32" t="s">
        <v>151</v>
      </c>
      <c r="DL257" s="34" t="s">
        <v>151</v>
      </c>
      <c r="DM257" s="32" t="s">
        <v>151</v>
      </c>
      <c r="DN257" s="34" t="s">
        <v>151</v>
      </c>
      <c r="DO257" s="36">
        <v>0.54</v>
      </c>
      <c r="DP257" s="34">
        <v>35</v>
      </c>
      <c r="DQ257" s="36">
        <v>0</v>
      </c>
      <c r="DR257" s="32">
        <v>0</v>
      </c>
      <c r="DS257" s="36" t="s">
        <v>151</v>
      </c>
      <c r="DT257" s="34" t="s">
        <v>151</v>
      </c>
      <c r="DU257" s="36" t="s">
        <v>151</v>
      </c>
      <c r="DV257" s="34" t="s">
        <v>151</v>
      </c>
      <c r="DW257" s="36" t="s">
        <v>151</v>
      </c>
      <c r="DX257" s="34" t="s">
        <v>151</v>
      </c>
      <c r="DY257" s="31" t="s">
        <v>151</v>
      </c>
      <c r="DZ257" s="35" t="s">
        <v>151</v>
      </c>
      <c r="EA257" s="35" t="s">
        <v>151</v>
      </c>
      <c r="EB257" s="34">
        <v>19</v>
      </c>
      <c r="EC257" s="33">
        <v>-95</v>
      </c>
      <c r="ED257" s="32">
        <v>-83.33</v>
      </c>
      <c r="EE257" s="34" t="s">
        <v>151</v>
      </c>
      <c r="EF257" s="33" t="s">
        <v>151</v>
      </c>
      <c r="EG257" s="32" t="s">
        <v>151</v>
      </c>
      <c r="EH257" s="29" t="s">
        <v>198</v>
      </c>
      <c r="EI257" s="30" t="s">
        <v>151</v>
      </c>
      <c r="EJ257" s="30" t="s">
        <v>151</v>
      </c>
      <c r="EK257" s="31" t="s">
        <v>151</v>
      </c>
      <c r="EL257" s="31" t="s">
        <v>151</v>
      </c>
      <c r="EM257" s="31" t="s">
        <v>151</v>
      </c>
      <c r="EN257" s="31" t="s">
        <v>151</v>
      </c>
      <c r="EO257" s="31" t="s">
        <v>151</v>
      </c>
      <c r="EP257" s="30" t="s">
        <v>151</v>
      </c>
      <c r="EQ257" s="29" t="s">
        <v>151</v>
      </c>
      <c r="ER257" s="29" t="s">
        <v>151</v>
      </c>
      <c r="ES257" s="4">
        <f>HYPERLINK("https://my.pitchbook.com?c=496064-98","View Company Online")</f>
      </c>
    </row>
    <row r="258">
      <c r="A258" s="17" t="s">
        <v>5749</v>
      </c>
      <c r="B258" s="17" t="s">
        <v>5750</v>
      </c>
      <c r="C258" s="18" t="s">
        <v>151</v>
      </c>
      <c r="D258" s="17" t="s">
        <v>151</v>
      </c>
      <c r="E258" s="17" t="s">
        <v>5751</v>
      </c>
      <c r="F258" s="17" t="s">
        <v>5752</v>
      </c>
      <c r="G258" s="17" t="s">
        <v>151</v>
      </c>
      <c r="H258" s="17" t="s">
        <v>151</v>
      </c>
      <c r="I258" s="17" t="s">
        <v>5753</v>
      </c>
      <c r="J258" s="17" t="s">
        <v>5749</v>
      </c>
      <c r="K258" s="17" t="s">
        <v>5754</v>
      </c>
      <c r="L258" s="17" t="s">
        <v>616</v>
      </c>
      <c r="M258" s="17" t="s">
        <v>834</v>
      </c>
      <c r="N258" s="17" t="s">
        <v>835</v>
      </c>
      <c r="O258" s="17" t="s">
        <v>5755</v>
      </c>
      <c r="P258" s="17" t="s">
        <v>5756</v>
      </c>
      <c r="Q258" s="17" t="s">
        <v>5757</v>
      </c>
      <c r="R258" s="17" t="s">
        <v>780</v>
      </c>
      <c r="S258" s="17" t="s">
        <v>162</v>
      </c>
      <c r="T258" s="24">
        <v>5.37</v>
      </c>
      <c r="U258" s="17" t="s">
        <v>163</v>
      </c>
      <c r="V258" s="17" t="s">
        <v>164</v>
      </c>
      <c r="W258" s="17" t="s">
        <v>165</v>
      </c>
      <c r="X258" s="15" t="s">
        <v>5758</v>
      </c>
      <c r="Y258" s="15" t="s">
        <v>5759</v>
      </c>
      <c r="Z258" s="27">
        <v>26</v>
      </c>
      <c r="AA258" s="17" t="s">
        <v>5760</v>
      </c>
      <c r="AB258" s="17" t="s">
        <v>151</v>
      </c>
      <c r="AC258" s="17" t="s">
        <v>151</v>
      </c>
      <c r="AD258" s="26">
        <v>2016</v>
      </c>
      <c r="AE258" s="17" t="s">
        <v>151</v>
      </c>
      <c r="AF258" s="22">
        <v>45587</v>
      </c>
      <c r="AG258" s="17" t="s">
        <v>151</v>
      </c>
      <c r="AH258" s="17" t="s">
        <v>151</v>
      </c>
      <c r="AI258" s="25" t="s">
        <v>151</v>
      </c>
      <c r="AJ258" s="19" t="s">
        <v>151</v>
      </c>
      <c r="AK258" s="25" t="s">
        <v>151</v>
      </c>
      <c r="AL258" s="25" t="s">
        <v>151</v>
      </c>
      <c r="AM258" s="25" t="s">
        <v>151</v>
      </c>
      <c r="AN258" s="25" t="s">
        <v>151</v>
      </c>
      <c r="AO258" s="25" t="s">
        <v>151</v>
      </c>
      <c r="AP258" s="25" t="s">
        <v>151</v>
      </c>
      <c r="AQ258" s="25" t="s">
        <v>151</v>
      </c>
      <c r="AR258" s="16" t="s">
        <v>151</v>
      </c>
      <c r="AS258" s="17" t="s">
        <v>5761</v>
      </c>
      <c r="AT258" s="17" t="s">
        <v>5762</v>
      </c>
      <c r="AU258" s="18">
        <v>19</v>
      </c>
      <c r="AV258" s="17" t="s">
        <v>151</v>
      </c>
      <c r="AW258" s="17" t="s">
        <v>151</v>
      </c>
      <c r="AX258" s="17" t="s">
        <v>151</v>
      </c>
      <c r="AY258" s="17" t="s">
        <v>5763</v>
      </c>
      <c r="AZ258" s="17" t="s">
        <v>151</v>
      </c>
      <c r="BA258" s="17" t="s">
        <v>151</v>
      </c>
      <c r="BB258" s="17" t="s">
        <v>2781</v>
      </c>
      <c r="BC258" s="17" t="s">
        <v>151</v>
      </c>
      <c r="BD258" s="17" t="s">
        <v>5764</v>
      </c>
      <c r="BE258" s="17" t="s">
        <v>5765</v>
      </c>
      <c r="BF258" s="17" t="s">
        <v>221</v>
      </c>
      <c r="BG258" s="17" t="s">
        <v>5766</v>
      </c>
      <c r="BH258" s="17" t="s">
        <v>5767</v>
      </c>
      <c r="BI258" s="17" t="s">
        <v>5768</v>
      </c>
      <c r="BJ258" s="17" t="s">
        <v>5769</v>
      </c>
      <c r="BK258" s="17" t="s">
        <v>5770</v>
      </c>
      <c r="BL258" s="17" t="s">
        <v>5771</v>
      </c>
      <c r="BM258" s="17" t="s">
        <v>2190</v>
      </c>
      <c r="BN258" s="16" t="s">
        <v>5772</v>
      </c>
      <c r="BO258" s="17" t="s">
        <v>186</v>
      </c>
      <c r="BP258" s="16" t="s">
        <v>5767</v>
      </c>
      <c r="BQ258" s="16" t="s">
        <v>151</v>
      </c>
      <c r="BR258" s="17" t="s">
        <v>151</v>
      </c>
      <c r="BS258" s="17" t="s">
        <v>187</v>
      </c>
      <c r="BT258" s="17" t="s">
        <v>188</v>
      </c>
      <c r="BU258" s="22">
        <v>43466</v>
      </c>
      <c r="BV258" s="24">
        <v>0.15</v>
      </c>
      <c r="BW258" s="17" t="s">
        <v>192</v>
      </c>
      <c r="BX258" s="24" t="s">
        <v>151</v>
      </c>
      <c r="BY258" s="17" t="s">
        <v>151</v>
      </c>
      <c r="BZ258" s="17" t="s">
        <v>501</v>
      </c>
      <c r="CA258" s="17" t="s">
        <v>151</v>
      </c>
      <c r="CB258" s="17" t="s">
        <v>151</v>
      </c>
      <c r="CC258" s="17" t="s">
        <v>190</v>
      </c>
      <c r="CD258" s="17" t="s">
        <v>151</v>
      </c>
      <c r="CE258" s="17" t="s">
        <v>191</v>
      </c>
      <c r="CF258" s="22">
        <v>45408</v>
      </c>
      <c r="CG258" s="24">
        <v>0.1</v>
      </c>
      <c r="CH258" s="17" t="s">
        <v>192</v>
      </c>
      <c r="CI258" s="24" t="s">
        <v>151</v>
      </c>
      <c r="CJ258" s="17" t="s">
        <v>151</v>
      </c>
      <c r="CK258" s="16" t="s">
        <v>151</v>
      </c>
      <c r="CL258" s="17" t="s">
        <v>189</v>
      </c>
      <c r="CM258" s="17" t="s">
        <v>151</v>
      </c>
      <c r="CN258" s="17" t="s">
        <v>151</v>
      </c>
      <c r="CO258" s="17" t="s">
        <v>190</v>
      </c>
      <c r="CP258" s="22">
        <v>45408</v>
      </c>
      <c r="CQ258" s="24" t="s">
        <v>151</v>
      </c>
      <c r="CR258" s="17" t="s">
        <v>151</v>
      </c>
      <c r="CS258" s="17" t="s">
        <v>191</v>
      </c>
      <c r="CT258" s="16">
        <v>92</v>
      </c>
      <c r="CU258" s="17" t="s">
        <v>196</v>
      </c>
      <c r="CV258" s="19">
        <v>82</v>
      </c>
      <c r="CW258" s="19">
        <v>18</v>
      </c>
      <c r="CX258" s="17" t="s">
        <v>294</v>
      </c>
      <c r="CY258" s="19">
        <v>7</v>
      </c>
      <c r="CZ258" s="19">
        <v>75</v>
      </c>
      <c r="DA258" s="24">
        <v>21.5</v>
      </c>
      <c r="DB258" s="22">
        <v>44806</v>
      </c>
      <c r="DC258" s="17" t="s">
        <v>293</v>
      </c>
      <c r="DD258" s="16">
        <v>1.47</v>
      </c>
      <c r="DE258" s="19">
        <v>-0.37</v>
      </c>
      <c r="DF258" s="21">
        <v>8</v>
      </c>
      <c r="DG258" s="19">
        <v>-0.03</v>
      </c>
      <c r="DH258" s="19">
        <v>-10.04</v>
      </c>
      <c r="DI258" s="19">
        <v>-0.27</v>
      </c>
      <c r="DJ258" s="21">
        <v>8</v>
      </c>
      <c r="DK258" s="19" t="s">
        <v>151</v>
      </c>
      <c r="DL258" s="21" t="s">
        <v>151</v>
      </c>
      <c r="DM258" s="19">
        <v>-0.27</v>
      </c>
      <c r="DN258" s="21">
        <v>8</v>
      </c>
      <c r="DO258" s="23">
        <v>10.71</v>
      </c>
      <c r="DP258" s="21">
        <v>91</v>
      </c>
      <c r="DQ258" s="23">
        <v>0</v>
      </c>
      <c r="DR258" s="19">
        <v>0</v>
      </c>
      <c r="DS258" s="23">
        <v>19.42</v>
      </c>
      <c r="DT258" s="21">
        <v>95</v>
      </c>
      <c r="DU258" s="23" t="s">
        <v>151</v>
      </c>
      <c r="DV258" s="21" t="s">
        <v>151</v>
      </c>
      <c r="DW258" s="23">
        <v>19.42</v>
      </c>
      <c r="DX258" s="21">
        <v>95</v>
      </c>
      <c r="DY258" s="18" t="s">
        <v>151</v>
      </c>
      <c r="DZ258" s="22" t="s">
        <v>151</v>
      </c>
      <c r="EA258" s="22" t="s">
        <v>151</v>
      </c>
      <c r="EB258" s="21">
        <v>1736</v>
      </c>
      <c r="EC258" s="20">
        <v>108</v>
      </c>
      <c r="ED258" s="19">
        <v>6.63</v>
      </c>
      <c r="EE258" s="21">
        <v>369</v>
      </c>
      <c r="EF258" s="20">
        <v>0</v>
      </c>
      <c r="EG258" s="19">
        <v>0</v>
      </c>
      <c r="EH258" s="16" t="s">
        <v>198</v>
      </c>
      <c r="EI258" s="17" t="s">
        <v>151</v>
      </c>
      <c r="EJ258" s="17" t="s">
        <v>151</v>
      </c>
      <c r="EK258" s="18" t="s">
        <v>151</v>
      </c>
      <c r="EL258" s="18" t="s">
        <v>151</v>
      </c>
      <c r="EM258" s="18" t="s">
        <v>151</v>
      </c>
      <c r="EN258" s="18" t="s">
        <v>151</v>
      </c>
      <c r="EO258" s="18" t="s">
        <v>151</v>
      </c>
      <c r="EP258" s="17" t="s">
        <v>151</v>
      </c>
      <c r="EQ258" s="16" t="s">
        <v>151</v>
      </c>
      <c r="ER258" s="16" t="s">
        <v>151</v>
      </c>
      <c r="ES258" s="3">
        <f>HYPERLINK("https://my.pitchbook.com?c=435845-71","View Company Online")</f>
      </c>
    </row>
    <row r="259">
      <c r="A259" s="30" t="s">
        <v>5773</v>
      </c>
      <c r="B259" s="30" t="s">
        <v>5774</v>
      </c>
      <c r="C259" s="31" t="s">
        <v>151</v>
      </c>
      <c r="D259" s="30" t="s">
        <v>151</v>
      </c>
      <c r="E259" s="30" t="s">
        <v>5775</v>
      </c>
      <c r="F259" s="30" t="s">
        <v>5776</v>
      </c>
      <c r="G259" s="30" t="s">
        <v>151</v>
      </c>
      <c r="H259" s="30" t="s">
        <v>151</v>
      </c>
      <c r="I259" s="30" t="s">
        <v>5777</v>
      </c>
      <c r="J259" s="30" t="s">
        <v>5773</v>
      </c>
      <c r="K259" s="30" t="s">
        <v>5778</v>
      </c>
      <c r="L259" s="30" t="s">
        <v>616</v>
      </c>
      <c r="M259" s="30" t="s">
        <v>834</v>
      </c>
      <c r="N259" s="30" t="s">
        <v>3076</v>
      </c>
      <c r="O259" s="30" t="s">
        <v>5779</v>
      </c>
      <c r="P259" s="30" t="s">
        <v>5780</v>
      </c>
      <c r="Q259" s="30" t="s">
        <v>5781</v>
      </c>
      <c r="R259" s="30" t="s">
        <v>151</v>
      </c>
      <c r="S259" s="30" t="s">
        <v>162</v>
      </c>
      <c r="T259" s="37">
        <v>4.61</v>
      </c>
      <c r="U259" s="30" t="s">
        <v>4993</v>
      </c>
      <c r="V259" s="30" t="s">
        <v>164</v>
      </c>
      <c r="W259" s="30" t="s">
        <v>165</v>
      </c>
      <c r="X259" s="28" t="s">
        <v>5782</v>
      </c>
      <c r="Y259" s="28" t="s">
        <v>5783</v>
      </c>
      <c r="Z259" s="40">
        <v>25</v>
      </c>
      <c r="AA259" s="30" t="s">
        <v>5784</v>
      </c>
      <c r="AB259" s="30" t="s">
        <v>151</v>
      </c>
      <c r="AC259" s="30" t="s">
        <v>151</v>
      </c>
      <c r="AD259" s="39">
        <v>2018</v>
      </c>
      <c r="AE259" s="30" t="s">
        <v>151</v>
      </c>
      <c r="AF259" s="35">
        <v>45412</v>
      </c>
      <c r="AG259" s="30" t="s">
        <v>151</v>
      </c>
      <c r="AH259" s="30" t="s">
        <v>151</v>
      </c>
      <c r="AI259" s="38">
        <v>2.5</v>
      </c>
      <c r="AJ259" s="32">
        <v>78.57</v>
      </c>
      <c r="AK259" s="38" t="s">
        <v>151</v>
      </c>
      <c r="AL259" s="38" t="s">
        <v>151</v>
      </c>
      <c r="AM259" s="38" t="s">
        <v>151</v>
      </c>
      <c r="AN259" s="38" t="s">
        <v>151</v>
      </c>
      <c r="AO259" s="38" t="s">
        <v>151</v>
      </c>
      <c r="AP259" s="38" t="s">
        <v>151</v>
      </c>
      <c r="AQ259" s="38" t="s">
        <v>151</v>
      </c>
      <c r="AR259" s="29" t="s">
        <v>810</v>
      </c>
      <c r="AS259" s="30" t="s">
        <v>5785</v>
      </c>
      <c r="AT259" s="30" t="s">
        <v>5786</v>
      </c>
      <c r="AU259" s="31">
        <v>15</v>
      </c>
      <c r="AV259" s="30" t="s">
        <v>151</v>
      </c>
      <c r="AW259" s="30" t="s">
        <v>151</v>
      </c>
      <c r="AX259" s="30" t="s">
        <v>151</v>
      </c>
      <c r="AY259" s="30" t="s">
        <v>5787</v>
      </c>
      <c r="AZ259" s="30" t="s">
        <v>151</v>
      </c>
      <c r="BA259" s="30" t="s">
        <v>151</v>
      </c>
      <c r="BB259" s="30" t="s">
        <v>5788</v>
      </c>
      <c r="BC259" s="30" t="s">
        <v>5789</v>
      </c>
      <c r="BD259" s="30" t="s">
        <v>5790</v>
      </c>
      <c r="BE259" s="30" t="s">
        <v>5791</v>
      </c>
      <c r="BF259" s="30" t="s">
        <v>493</v>
      </c>
      <c r="BG259" s="30" t="s">
        <v>5792</v>
      </c>
      <c r="BH259" s="30" t="s">
        <v>5793</v>
      </c>
      <c r="BI259" s="30" t="s">
        <v>5794</v>
      </c>
      <c r="BJ259" s="30" t="s">
        <v>5795</v>
      </c>
      <c r="BK259" s="30" t="s">
        <v>5796</v>
      </c>
      <c r="BL259" s="30" t="s">
        <v>5797</v>
      </c>
      <c r="BM259" s="30" t="s">
        <v>5798</v>
      </c>
      <c r="BN259" s="29" t="s">
        <v>5799</v>
      </c>
      <c r="BO259" s="30" t="s">
        <v>186</v>
      </c>
      <c r="BP259" s="29" t="s">
        <v>5800</v>
      </c>
      <c r="BQ259" s="29" t="s">
        <v>151</v>
      </c>
      <c r="BR259" s="30" t="s">
        <v>5801</v>
      </c>
      <c r="BS259" s="30" t="s">
        <v>187</v>
      </c>
      <c r="BT259" s="30" t="s">
        <v>188</v>
      </c>
      <c r="BU259" s="35">
        <v>44221</v>
      </c>
      <c r="BV259" s="37">
        <v>0.5</v>
      </c>
      <c r="BW259" s="30" t="s">
        <v>192</v>
      </c>
      <c r="BX259" s="37" t="s">
        <v>151</v>
      </c>
      <c r="BY259" s="30" t="s">
        <v>151</v>
      </c>
      <c r="BZ259" s="30" t="s">
        <v>293</v>
      </c>
      <c r="CA259" s="30" t="s">
        <v>293</v>
      </c>
      <c r="CB259" s="30" t="s">
        <v>151</v>
      </c>
      <c r="CC259" s="30" t="s">
        <v>165</v>
      </c>
      <c r="CD259" s="30" t="s">
        <v>151</v>
      </c>
      <c r="CE259" s="30" t="s">
        <v>191</v>
      </c>
      <c r="CF259" s="35">
        <v>45086</v>
      </c>
      <c r="CG259" s="37">
        <v>2.11</v>
      </c>
      <c r="CH259" s="30" t="s">
        <v>192</v>
      </c>
      <c r="CI259" s="37" t="s">
        <v>151</v>
      </c>
      <c r="CJ259" s="30" t="s">
        <v>151</v>
      </c>
      <c r="CK259" s="29" t="s">
        <v>151</v>
      </c>
      <c r="CL259" s="30" t="s">
        <v>231</v>
      </c>
      <c r="CM259" s="30" t="s">
        <v>151</v>
      </c>
      <c r="CN259" s="30" t="s">
        <v>151</v>
      </c>
      <c r="CO259" s="30" t="s">
        <v>165</v>
      </c>
      <c r="CP259" s="35">
        <v>45086</v>
      </c>
      <c r="CQ259" s="37" t="s">
        <v>151</v>
      </c>
      <c r="CR259" s="30" t="s">
        <v>151</v>
      </c>
      <c r="CS259" s="30" t="s">
        <v>191</v>
      </c>
      <c r="CT259" s="29">
        <v>45</v>
      </c>
      <c r="CU259" s="30" t="s">
        <v>263</v>
      </c>
      <c r="CV259" s="32">
        <v>44</v>
      </c>
      <c r="CW259" s="32">
        <v>56</v>
      </c>
      <c r="CX259" s="30" t="s">
        <v>263</v>
      </c>
      <c r="CY259" s="32">
        <v>1</v>
      </c>
      <c r="CZ259" s="32">
        <v>43</v>
      </c>
      <c r="DA259" s="37" t="s">
        <v>151</v>
      </c>
      <c r="DB259" s="35" t="s">
        <v>151</v>
      </c>
      <c r="DC259" s="30" t="s">
        <v>151</v>
      </c>
      <c r="DD259" s="29" t="s">
        <v>151</v>
      </c>
      <c r="DE259" s="32">
        <v>1.14</v>
      </c>
      <c r="DF259" s="34">
        <v>96</v>
      </c>
      <c r="DG259" s="32">
        <v>0</v>
      </c>
      <c r="DH259" s="32">
        <v>0</v>
      </c>
      <c r="DI259" s="32">
        <v>1.76</v>
      </c>
      <c r="DJ259" s="34">
        <v>98</v>
      </c>
      <c r="DK259" s="32" t="s">
        <v>151</v>
      </c>
      <c r="DL259" s="34" t="s">
        <v>151</v>
      </c>
      <c r="DM259" s="32">
        <v>1.76</v>
      </c>
      <c r="DN259" s="34">
        <v>98</v>
      </c>
      <c r="DO259" s="36">
        <v>4.59</v>
      </c>
      <c r="DP259" s="34">
        <v>81</v>
      </c>
      <c r="DQ259" s="36">
        <v>0</v>
      </c>
      <c r="DR259" s="32">
        <v>0</v>
      </c>
      <c r="DS259" s="36">
        <v>7.26</v>
      </c>
      <c r="DT259" s="34">
        <v>87</v>
      </c>
      <c r="DU259" s="36" t="s">
        <v>151</v>
      </c>
      <c r="DV259" s="34" t="s">
        <v>151</v>
      </c>
      <c r="DW259" s="36">
        <v>7.26</v>
      </c>
      <c r="DX259" s="34">
        <v>86</v>
      </c>
      <c r="DY259" s="31" t="s">
        <v>151</v>
      </c>
      <c r="DZ259" s="35" t="s">
        <v>151</v>
      </c>
      <c r="EA259" s="35" t="s">
        <v>151</v>
      </c>
      <c r="EB259" s="34">
        <v>1334</v>
      </c>
      <c r="EC259" s="33">
        <v>57</v>
      </c>
      <c r="ED259" s="32">
        <v>4.46</v>
      </c>
      <c r="EE259" s="34">
        <v>138</v>
      </c>
      <c r="EF259" s="33">
        <v>2</v>
      </c>
      <c r="EG259" s="32">
        <v>1.47</v>
      </c>
      <c r="EH259" s="29" t="s">
        <v>198</v>
      </c>
      <c r="EI259" s="30" t="s">
        <v>151</v>
      </c>
      <c r="EJ259" s="30" t="s">
        <v>151</v>
      </c>
      <c r="EK259" s="31" t="s">
        <v>151</v>
      </c>
      <c r="EL259" s="31" t="s">
        <v>151</v>
      </c>
      <c r="EM259" s="31" t="s">
        <v>151</v>
      </c>
      <c r="EN259" s="31" t="s">
        <v>151</v>
      </c>
      <c r="EO259" s="31" t="s">
        <v>151</v>
      </c>
      <c r="EP259" s="30" t="s">
        <v>151</v>
      </c>
      <c r="EQ259" s="29" t="s">
        <v>151</v>
      </c>
      <c r="ER259" s="29" t="s">
        <v>151</v>
      </c>
      <c r="ES259" s="4">
        <f>HYPERLINK("https://my.pitchbook.com?c=454882-69","View Company Online")</f>
      </c>
    </row>
    <row r="260">
      <c r="A260" s="17" t="s">
        <v>5802</v>
      </c>
      <c r="B260" s="17" t="s">
        <v>5803</v>
      </c>
      <c r="C260" s="18" t="s">
        <v>151</v>
      </c>
      <c r="D260" s="17" t="s">
        <v>5804</v>
      </c>
      <c r="E260" s="17" t="s">
        <v>151</v>
      </c>
      <c r="F260" s="17" t="s">
        <v>5805</v>
      </c>
      <c r="G260" s="17" t="s">
        <v>151</v>
      </c>
      <c r="H260" s="17" t="s">
        <v>151</v>
      </c>
      <c r="I260" s="17" t="s">
        <v>151</v>
      </c>
      <c r="J260" s="17" t="s">
        <v>5802</v>
      </c>
      <c r="K260" s="17" t="s">
        <v>5806</v>
      </c>
      <c r="L260" s="17" t="s">
        <v>155</v>
      </c>
      <c r="M260" s="17" t="s">
        <v>361</v>
      </c>
      <c r="N260" s="17" t="s">
        <v>362</v>
      </c>
      <c r="O260" s="17" t="s">
        <v>5807</v>
      </c>
      <c r="P260" s="17" t="s">
        <v>919</v>
      </c>
      <c r="Q260" s="17" t="s">
        <v>5808</v>
      </c>
      <c r="R260" s="17" t="s">
        <v>151</v>
      </c>
      <c r="S260" s="17" t="s">
        <v>162</v>
      </c>
      <c r="T260" s="24">
        <v>0.05</v>
      </c>
      <c r="U260" s="17" t="s">
        <v>163</v>
      </c>
      <c r="V260" s="17" t="s">
        <v>164</v>
      </c>
      <c r="W260" s="17" t="s">
        <v>165</v>
      </c>
      <c r="X260" s="15" t="s">
        <v>5809</v>
      </c>
      <c r="Y260" s="15" t="s">
        <v>151</v>
      </c>
      <c r="Z260" s="27" t="s">
        <v>151</v>
      </c>
      <c r="AA260" s="17" t="s">
        <v>151</v>
      </c>
      <c r="AB260" s="17" t="s">
        <v>151</v>
      </c>
      <c r="AC260" s="17" t="s">
        <v>151</v>
      </c>
      <c r="AD260" s="26">
        <v>2019</v>
      </c>
      <c r="AE260" s="17" t="s">
        <v>151</v>
      </c>
      <c r="AF260" s="22">
        <v>45615</v>
      </c>
      <c r="AG260" s="17" t="s">
        <v>151</v>
      </c>
      <c r="AH260" s="17" t="s">
        <v>5810</v>
      </c>
      <c r="AI260" s="25" t="s">
        <v>151</v>
      </c>
      <c r="AJ260" s="19" t="s">
        <v>151</v>
      </c>
      <c r="AK260" s="25" t="s">
        <v>151</v>
      </c>
      <c r="AL260" s="25" t="s">
        <v>151</v>
      </c>
      <c r="AM260" s="25" t="s">
        <v>151</v>
      </c>
      <c r="AN260" s="25" t="s">
        <v>151</v>
      </c>
      <c r="AO260" s="25" t="s">
        <v>151</v>
      </c>
      <c r="AP260" s="25" t="s">
        <v>151</v>
      </c>
      <c r="AQ260" s="25" t="s">
        <v>151</v>
      </c>
      <c r="AR260" s="16" t="s">
        <v>151</v>
      </c>
      <c r="AS260" s="17" t="s">
        <v>5811</v>
      </c>
      <c r="AT260" s="17" t="s">
        <v>5812</v>
      </c>
      <c r="AU260" s="18">
        <v>1</v>
      </c>
      <c r="AV260" s="17" t="s">
        <v>151</v>
      </c>
      <c r="AW260" s="17" t="s">
        <v>151</v>
      </c>
      <c r="AX260" s="17" t="s">
        <v>151</v>
      </c>
      <c r="AY260" s="17" t="s">
        <v>5813</v>
      </c>
      <c r="AZ260" s="17" t="s">
        <v>151</v>
      </c>
      <c r="BA260" s="17" t="s">
        <v>151</v>
      </c>
      <c r="BB260" s="17" t="s">
        <v>151</v>
      </c>
      <c r="BC260" s="17" t="s">
        <v>151</v>
      </c>
      <c r="BD260" s="17" t="s">
        <v>5814</v>
      </c>
      <c r="BE260" s="17" t="s">
        <v>5815</v>
      </c>
      <c r="BF260" s="17" t="s">
        <v>282</v>
      </c>
      <c r="BG260" s="17" t="s">
        <v>5816</v>
      </c>
      <c r="BH260" s="17" t="s">
        <v>5817</v>
      </c>
      <c r="BI260" s="17" t="s">
        <v>5818</v>
      </c>
      <c r="BJ260" s="17" t="s">
        <v>5819</v>
      </c>
      <c r="BK260" s="17" t="s">
        <v>1597</v>
      </c>
      <c r="BL260" s="17" t="s">
        <v>5820</v>
      </c>
      <c r="BM260" s="17" t="s">
        <v>5821</v>
      </c>
      <c r="BN260" s="16" t="s">
        <v>5822</v>
      </c>
      <c r="BO260" s="17" t="s">
        <v>186</v>
      </c>
      <c r="BP260" s="16" t="s">
        <v>5817</v>
      </c>
      <c r="BQ260" s="16" t="s">
        <v>151</v>
      </c>
      <c r="BR260" s="17" t="s">
        <v>5823</v>
      </c>
      <c r="BS260" s="17" t="s">
        <v>187</v>
      </c>
      <c r="BT260" s="17" t="s">
        <v>188</v>
      </c>
      <c r="BU260" s="22">
        <v>45020</v>
      </c>
      <c r="BV260" s="24">
        <v>0.05</v>
      </c>
      <c r="BW260" s="17" t="s">
        <v>192</v>
      </c>
      <c r="BX260" s="24" t="s">
        <v>151</v>
      </c>
      <c r="BY260" s="17" t="s">
        <v>151</v>
      </c>
      <c r="BZ260" s="17" t="s">
        <v>293</v>
      </c>
      <c r="CA260" s="17" t="s">
        <v>293</v>
      </c>
      <c r="CB260" s="17" t="s">
        <v>151</v>
      </c>
      <c r="CC260" s="17" t="s">
        <v>165</v>
      </c>
      <c r="CD260" s="17" t="s">
        <v>151</v>
      </c>
      <c r="CE260" s="17" t="s">
        <v>191</v>
      </c>
      <c r="CF260" s="22">
        <v>45250</v>
      </c>
      <c r="CG260" s="24" t="s">
        <v>151</v>
      </c>
      <c r="CH260" s="17" t="s">
        <v>151</v>
      </c>
      <c r="CI260" s="24" t="s">
        <v>151</v>
      </c>
      <c r="CJ260" s="17" t="s">
        <v>151</v>
      </c>
      <c r="CK260" s="16" t="s">
        <v>151</v>
      </c>
      <c r="CL260" s="17" t="s">
        <v>5824</v>
      </c>
      <c r="CM260" s="17" t="s">
        <v>151</v>
      </c>
      <c r="CN260" s="17" t="s">
        <v>151</v>
      </c>
      <c r="CO260" s="17" t="s">
        <v>165</v>
      </c>
      <c r="CP260" s="22">
        <v>45250</v>
      </c>
      <c r="CQ260" s="24" t="s">
        <v>151</v>
      </c>
      <c r="CR260" s="17" t="s">
        <v>151</v>
      </c>
      <c r="CS260" s="17" t="s">
        <v>191</v>
      </c>
      <c r="CT260" s="16" t="s">
        <v>151</v>
      </c>
      <c r="CU260" s="17" t="s">
        <v>151</v>
      </c>
      <c r="CV260" s="19" t="s">
        <v>151</v>
      </c>
      <c r="CW260" s="19" t="s">
        <v>151</v>
      </c>
      <c r="CX260" s="17" t="s">
        <v>151</v>
      </c>
      <c r="CY260" s="19" t="s">
        <v>151</v>
      </c>
      <c r="CZ260" s="19" t="s">
        <v>151</v>
      </c>
      <c r="DA260" s="24" t="s">
        <v>151</v>
      </c>
      <c r="DB260" s="22" t="s">
        <v>151</v>
      </c>
      <c r="DC260" s="17" t="s">
        <v>151</v>
      </c>
      <c r="DD260" s="16" t="s">
        <v>151</v>
      </c>
      <c r="DE260" s="19">
        <v>0</v>
      </c>
      <c r="DF260" s="21">
        <v>11</v>
      </c>
      <c r="DG260" s="19">
        <v>0</v>
      </c>
      <c r="DH260" s="19">
        <v>0</v>
      </c>
      <c r="DI260" s="19">
        <v>0</v>
      </c>
      <c r="DJ260" s="21">
        <v>10</v>
      </c>
      <c r="DK260" s="19" t="s">
        <v>151</v>
      </c>
      <c r="DL260" s="21" t="s">
        <v>151</v>
      </c>
      <c r="DM260" s="19">
        <v>0</v>
      </c>
      <c r="DN260" s="21">
        <v>10</v>
      </c>
      <c r="DO260" s="23">
        <v>0.26</v>
      </c>
      <c r="DP260" s="21">
        <v>17</v>
      </c>
      <c r="DQ260" s="23">
        <v>0</v>
      </c>
      <c r="DR260" s="19">
        <v>0</v>
      </c>
      <c r="DS260" s="23">
        <v>0.26</v>
      </c>
      <c r="DT260" s="21">
        <v>18</v>
      </c>
      <c r="DU260" s="23" t="s">
        <v>151</v>
      </c>
      <c r="DV260" s="21" t="s">
        <v>151</v>
      </c>
      <c r="DW260" s="23">
        <v>0.26</v>
      </c>
      <c r="DX260" s="21">
        <v>18</v>
      </c>
      <c r="DY260" s="18" t="s">
        <v>151</v>
      </c>
      <c r="DZ260" s="22" t="s">
        <v>151</v>
      </c>
      <c r="EA260" s="22" t="s">
        <v>151</v>
      </c>
      <c r="EB260" s="21" t="s">
        <v>151</v>
      </c>
      <c r="EC260" s="20" t="s">
        <v>151</v>
      </c>
      <c r="ED260" s="19" t="s">
        <v>151</v>
      </c>
      <c r="EE260" s="21">
        <v>5</v>
      </c>
      <c r="EF260" s="20">
        <v>0</v>
      </c>
      <c r="EG260" s="19">
        <v>0</v>
      </c>
      <c r="EH260" s="16" t="s">
        <v>198</v>
      </c>
      <c r="EI260" s="17" t="s">
        <v>151</v>
      </c>
      <c r="EJ260" s="17" t="s">
        <v>151</v>
      </c>
      <c r="EK260" s="18" t="s">
        <v>151</v>
      </c>
      <c r="EL260" s="18" t="s">
        <v>151</v>
      </c>
      <c r="EM260" s="18" t="s">
        <v>151</v>
      </c>
      <c r="EN260" s="18" t="s">
        <v>151</v>
      </c>
      <c r="EO260" s="18" t="s">
        <v>151</v>
      </c>
      <c r="EP260" s="17" t="s">
        <v>151</v>
      </c>
      <c r="EQ260" s="16" t="s">
        <v>151</v>
      </c>
      <c r="ER260" s="16" t="s">
        <v>151</v>
      </c>
      <c r="ES260" s="3">
        <f>HYPERLINK("https://my.pitchbook.com?c=522757-18","View Company Online")</f>
      </c>
    </row>
    <row r="261">
      <c r="A261" s="30" t="s">
        <v>5825</v>
      </c>
      <c r="B261" s="30" t="s">
        <v>5826</v>
      </c>
      <c r="C261" s="31" t="s">
        <v>151</v>
      </c>
      <c r="D261" s="30" t="s">
        <v>151</v>
      </c>
      <c r="E261" s="30" t="s">
        <v>151</v>
      </c>
      <c r="F261" s="30" t="s">
        <v>5827</v>
      </c>
      <c r="G261" s="30" t="s">
        <v>151</v>
      </c>
      <c r="H261" s="30" t="s">
        <v>151</v>
      </c>
      <c r="I261" s="30" t="s">
        <v>151</v>
      </c>
      <c r="J261" s="30" t="s">
        <v>5825</v>
      </c>
      <c r="K261" s="30" t="s">
        <v>5828</v>
      </c>
      <c r="L261" s="30" t="s">
        <v>205</v>
      </c>
      <c r="M261" s="30" t="s">
        <v>206</v>
      </c>
      <c r="N261" s="30" t="s">
        <v>1940</v>
      </c>
      <c r="O261" s="30" t="s">
        <v>5396</v>
      </c>
      <c r="P261" s="30" t="s">
        <v>1942</v>
      </c>
      <c r="Q261" s="30" t="s">
        <v>5829</v>
      </c>
      <c r="R261" s="30" t="s">
        <v>151</v>
      </c>
      <c r="S261" s="30" t="s">
        <v>162</v>
      </c>
      <c r="T261" s="37">
        <v>2.5</v>
      </c>
      <c r="U261" s="30" t="s">
        <v>163</v>
      </c>
      <c r="V261" s="30" t="s">
        <v>164</v>
      </c>
      <c r="W261" s="30" t="s">
        <v>165</v>
      </c>
      <c r="X261" s="28" t="s">
        <v>5830</v>
      </c>
      <c r="Y261" s="28" t="s">
        <v>5831</v>
      </c>
      <c r="Z261" s="40">
        <v>25</v>
      </c>
      <c r="AA261" s="30" t="s">
        <v>5832</v>
      </c>
      <c r="AB261" s="30" t="s">
        <v>151</v>
      </c>
      <c r="AC261" s="30" t="s">
        <v>151</v>
      </c>
      <c r="AD261" s="39">
        <v>2019</v>
      </c>
      <c r="AE261" s="30" t="s">
        <v>151</v>
      </c>
      <c r="AF261" s="35">
        <v>45404</v>
      </c>
      <c r="AG261" s="30" t="s">
        <v>151</v>
      </c>
      <c r="AH261" s="30" t="s">
        <v>151</v>
      </c>
      <c r="AI261" s="38" t="s">
        <v>151</v>
      </c>
      <c r="AJ261" s="32" t="s">
        <v>151</v>
      </c>
      <c r="AK261" s="38" t="s">
        <v>151</v>
      </c>
      <c r="AL261" s="38" t="s">
        <v>151</v>
      </c>
      <c r="AM261" s="38" t="s">
        <v>151</v>
      </c>
      <c r="AN261" s="38" t="s">
        <v>151</v>
      </c>
      <c r="AO261" s="38" t="s">
        <v>151</v>
      </c>
      <c r="AP261" s="38" t="s">
        <v>151</v>
      </c>
      <c r="AQ261" s="38" t="s">
        <v>151</v>
      </c>
      <c r="AR261" s="29" t="s">
        <v>151</v>
      </c>
      <c r="AS261" s="30" t="s">
        <v>5833</v>
      </c>
      <c r="AT261" s="30" t="s">
        <v>5834</v>
      </c>
      <c r="AU261" s="31">
        <v>4</v>
      </c>
      <c r="AV261" s="30" t="s">
        <v>151</v>
      </c>
      <c r="AW261" s="30" t="s">
        <v>151</v>
      </c>
      <c r="AX261" s="30" t="s">
        <v>151</v>
      </c>
      <c r="AY261" s="30" t="s">
        <v>5835</v>
      </c>
      <c r="AZ261" s="30" t="s">
        <v>151</v>
      </c>
      <c r="BA261" s="30" t="s">
        <v>151</v>
      </c>
      <c r="BB261" s="30" t="s">
        <v>5836</v>
      </c>
      <c r="BC261" s="30" t="s">
        <v>601</v>
      </c>
      <c r="BD261" s="30" t="s">
        <v>5837</v>
      </c>
      <c r="BE261" s="30" t="s">
        <v>5838</v>
      </c>
      <c r="BF261" s="30" t="s">
        <v>5839</v>
      </c>
      <c r="BG261" s="30" t="s">
        <v>5840</v>
      </c>
      <c r="BH261" s="30" t="s">
        <v>5841</v>
      </c>
      <c r="BI261" s="30" t="s">
        <v>906</v>
      </c>
      <c r="BJ261" s="30" t="s">
        <v>5842</v>
      </c>
      <c r="BK261" s="30" t="s">
        <v>5843</v>
      </c>
      <c r="BL261" s="30" t="s">
        <v>259</v>
      </c>
      <c r="BM261" s="30" t="s">
        <v>259</v>
      </c>
      <c r="BN261" s="29" t="s">
        <v>1306</v>
      </c>
      <c r="BO261" s="30" t="s">
        <v>186</v>
      </c>
      <c r="BP261" s="29" t="s">
        <v>5844</v>
      </c>
      <c r="BQ261" s="29" t="s">
        <v>151</v>
      </c>
      <c r="BR261" s="30" t="s">
        <v>5845</v>
      </c>
      <c r="BS261" s="30" t="s">
        <v>187</v>
      </c>
      <c r="BT261" s="30" t="s">
        <v>188</v>
      </c>
      <c r="BU261" s="35">
        <v>44880</v>
      </c>
      <c r="BV261" s="37" t="s">
        <v>151</v>
      </c>
      <c r="BW261" s="30" t="s">
        <v>151</v>
      </c>
      <c r="BX261" s="37" t="s">
        <v>151</v>
      </c>
      <c r="BY261" s="30" t="s">
        <v>151</v>
      </c>
      <c r="BZ261" s="30" t="s">
        <v>1075</v>
      </c>
      <c r="CA261" s="30" t="s">
        <v>1075</v>
      </c>
      <c r="CB261" s="30" t="s">
        <v>151</v>
      </c>
      <c r="CC261" s="30" t="s">
        <v>585</v>
      </c>
      <c r="CD261" s="30" t="s">
        <v>151</v>
      </c>
      <c r="CE261" s="30" t="s">
        <v>191</v>
      </c>
      <c r="CF261" s="35">
        <v>45126</v>
      </c>
      <c r="CG261" s="37">
        <v>2.5</v>
      </c>
      <c r="CH261" s="30" t="s">
        <v>192</v>
      </c>
      <c r="CI261" s="37" t="s">
        <v>151</v>
      </c>
      <c r="CJ261" s="30" t="s">
        <v>151</v>
      </c>
      <c r="CK261" s="29" t="s">
        <v>151</v>
      </c>
      <c r="CL261" s="30" t="s">
        <v>293</v>
      </c>
      <c r="CM261" s="30" t="s">
        <v>293</v>
      </c>
      <c r="CN261" s="30" t="s">
        <v>151</v>
      </c>
      <c r="CO261" s="30" t="s">
        <v>165</v>
      </c>
      <c r="CP261" s="35">
        <v>45126</v>
      </c>
      <c r="CQ261" s="37" t="s">
        <v>151</v>
      </c>
      <c r="CR261" s="30" t="s">
        <v>151</v>
      </c>
      <c r="CS261" s="30" t="s">
        <v>191</v>
      </c>
      <c r="CT261" s="29">
        <v>83</v>
      </c>
      <c r="CU261" s="30" t="s">
        <v>196</v>
      </c>
      <c r="CV261" s="32">
        <v>76</v>
      </c>
      <c r="CW261" s="32">
        <v>24</v>
      </c>
      <c r="CX261" s="30" t="s">
        <v>294</v>
      </c>
      <c r="CY261" s="32">
        <v>1</v>
      </c>
      <c r="CZ261" s="32">
        <v>75</v>
      </c>
      <c r="DA261" s="37" t="s">
        <v>151</v>
      </c>
      <c r="DB261" s="35" t="s">
        <v>151</v>
      </c>
      <c r="DC261" s="30" t="s">
        <v>151</v>
      </c>
      <c r="DD261" s="29" t="s">
        <v>151</v>
      </c>
      <c r="DE261" s="32">
        <v>0.55</v>
      </c>
      <c r="DF261" s="34">
        <v>94</v>
      </c>
      <c r="DG261" s="32">
        <v>0</v>
      </c>
      <c r="DH261" s="32">
        <v>0</v>
      </c>
      <c r="DI261" s="32">
        <v>0.55</v>
      </c>
      <c r="DJ261" s="34">
        <v>95</v>
      </c>
      <c r="DK261" s="32" t="s">
        <v>151</v>
      </c>
      <c r="DL261" s="34" t="s">
        <v>151</v>
      </c>
      <c r="DM261" s="32">
        <v>0.55</v>
      </c>
      <c r="DN261" s="34">
        <v>95</v>
      </c>
      <c r="DO261" s="36">
        <v>7.42</v>
      </c>
      <c r="DP261" s="34">
        <v>87</v>
      </c>
      <c r="DQ261" s="36">
        <v>0</v>
      </c>
      <c r="DR261" s="32">
        <v>0</v>
      </c>
      <c r="DS261" s="36">
        <v>7.42</v>
      </c>
      <c r="DT261" s="34">
        <v>87</v>
      </c>
      <c r="DU261" s="36" t="s">
        <v>151</v>
      </c>
      <c r="DV261" s="34" t="s">
        <v>151</v>
      </c>
      <c r="DW261" s="36">
        <v>7.42</v>
      </c>
      <c r="DX261" s="34">
        <v>87</v>
      </c>
      <c r="DY261" s="31" t="s">
        <v>151</v>
      </c>
      <c r="DZ261" s="35" t="s">
        <v>151</v>
      </c>
      <c r="EA261" s="35" t="s">
        <v>151</v>
      </c>
      <c r="EB261" s="34">
        <v>6192</v>
      </c>
      <c r="EC261" s="33">
        <v>35</v>
      </c>
      <c r="ED261" s="32">
        <v>0.57</v>
      </c>
      <c r="EE261" s="34">
        <v>141</v>
      </c>
      <c r="EF261" s="33">
        <v>1</v>
      </c>
      <c r="EG261" s="32">
        <v>0.71</v>
      </c>
      <c r="EH261" s="29" t="s">
        <v>198</v>
      </c>
      <c r="EI261" s="30" t="s">
        <v>151</v>
      </c>
      <c r="EJ261" s="30" t="s">
        <v>151</v>
      </c>
      <c r="EK261" s="31" t="s">
        <v>151</v>
      </c>
      <c r="EL261" s="31" t="s">
        <v>151</v>
      </c>
      <c r="EM261" s="31" t="s">
        <v>151</v>
      </c>
      <c r="EN261" s="31" t="s">
        <v>151</v>
      </c>
      <c r="EO261" s="31" t="s">
        <v>151</v>
      </c>
      <c r="EP261" s="30" t="s">
        <v>151</v>
      </c>
      <c r="EQ261" s="29" t="s">
        <v>151</v>
      </c>
      <c r="ER261" s="29" t="s">
        <v>151</v>
      </c>
      <c r="ES261" s="4">
        <f>HYPERLINK("https://my.pitchbook.com?c=467150-86","View Company Online")</f>
      </c>
    </row>
    <row r="262">
      <c r="A262" s="17" t="s">
        <v>5846</v>
      </c>
      <c r="B262" s="17" t="s">
        <v>5847</v>
      </c>
      <c r="C262" s="18" t="s">
        <v>151</v>
      </c>
      <c r="D262" s="17" t="s">
        <v>151</v>
      </c>
      <c r="E262" s="17" t="s">
        <v>151</v>
      </c>
      <c r="F262" s="17" t="s">
        <v>5848</v>
      </c>
      <c r="G262" s="17" t="s">
        <v>151</v>
      </c>
      <c r="H262" s="17" t="s">
        <v>151</v>
      </c>
      <c r="I262" s="17" t="s">
        <v>151</v>
      </c>
      <c r="J262" s="17" t="s">
        <v>5846</v>
      </c>
      <c r="K262" s="17" t="s">
        <v>5849</v>
      </c>
      <c r="L262" s="17" t="s">
        <v>616</v>
      </c>
      <c r="M262" s="17" t="s">
        <v>834</v>
      </c>
      <c r="N262" s="17" t="s">
        <v>835</v>
      </c>
      <c r="O262" s="17" t="s">
        <v>1992</v>
      </c>
      <c r="P262" s="17" t="s">
        <v>5850</v>
      </c>
      <c r="Q262" s="17" t="s">
        <v>5851</v>
      </c>
      <c r="R262" s="17" t="s">
        <v>151</v>
      </c>
      <c r="S262" s="17" t="s">
        <v>162</v>
      </c>
      <c r="T262" s="24">
        <v>0.66</v>
      </c>
      <c r="U262" s="17" t="s">
        <v>163</v>
      </c>
      <c r="V262" s="17" t="s">
        <v>164</v>
      </c>
      <c r="W262" s="17" t="s">
        <v>165</v>
      </c>
      <c r="X262" s="15" t="s">
        <v>5852</v>
      </c>
      <c r="Y262" s="15" t="s">
        <v>5853</v>
      </c>
      <c r="Z262" s="27">
        <v>6</v>
      </c>
      <c r="AA262" s="17" t="s">
        <v>5854</v>
      </c>
      <c r="AB262" s="17" t="s">
        <v>151</v>
      </c>
      <c r="AC262" s="17" t="s">
        <v>151</v>
      </c>
      <c r="AD262" s="26">
        <v>2014</v>
      </c>
      <c r="AE262" s="17" t="s">
        <v>151</v>
      </c>
      <c r="AF262" s="22">
        <v>45579</v>
      </c>
      <c r="AG262" s="17" t="s">
        <v>151</v>
      </c>
      <c r="AH262" s="17" t="s">
        <v>151</v>
      </c>
      <c r="AI262" s="25" t="s">
        <v>151</v>
      </c>
      <c r="AJ262" s="19" t="s">
        <v>151</v>
      </c>
      <c r="AK262" s="25" t="s">
        <v>151</v>
      </c>
      <c r="AL262" s="25" t="s">
        <v>151</v>
      </c>
      <c r="AM262" s="25" t="s">
        <v>151</v>
      </c>
      <c r="AN262" s="25" t="s">
        <v>151</v>
      </c>
      <c r="AO262" s="25" t="s">
        <v>151</v>
      </c>
      <c r="AP262" s="25" t="s">
        <v>151</v>
      </c>
      <c r="AQ262" s="25" t="s">
        <v>151</v>
      </c>
      <c r="AR262" s="16" t="s">
        <v>151</v>
      </c>
      <c r="AS262" s="17" t="s">
        <v>5855</v>
      </c>
      <c r="AT262" s="17" t="s">
        <v>5856</v>
      </c>
      <c r="AU262" s="18">
        <v>2</v>
      </c>
      <c r="AV262" s="17" t="s">
        <v>151</v>
      </c>
      <c r="AW262" s="17" t="s">
        <v>151</v>
      </c>
      <c r="AX262" s="17" t="s">
        <v>151</v>
      </c>
      <c r="AY262" s="17" t="s">
        <v>5857</v>
      </c>
      <c r="AZ262" s="17" t="s">
        <v>151</v>
      </c>
      <c r="BA262" s="17" t="s">
        <v>151</v>
      </c>
      <c r="BB262" s="17" t="s">
        <v>5858</v>
      </c>
      <c r="BC262" s="17" t="s">
        <v>5859</v>
      </c>
      <c r="BD262" s="17" t="s">
        <v>5860</v>
      </c>
      <c r="BE262" s="17" t="s">
        <v>5861</v>
      </c>
      <c r="BF262" s="17" t="s">
        <v>546</v>
      </c>
      <c r="BG262" s="17" t="s">
        <v>5862</v>
      </c>
      <c r="BH262" s="17" t="s">
        <v>5863</v>
      </c>
      <c r="BI262" s="17" t="s">
        <v>5864</v>
      </c>
      <c r="BJ262" s="17" t="s">
        <v>5865</v>
      </c>
      <c r="BK262" s="17" t="s">
        <v>5866</v>
      </c>
      <c r="BL262" s="17" t="s">
        <v>5867</v>
      </c>
      <c r="BM262" s="17" t="s">
        <v>184</v>
      </c>
      <c r="BN262" s="16" t="s">
        <v>5868</v>
      </c>
      <c r="BO262" s="17" t="s">
        <v>186</v>
      </c>
      <c r="BP262" s="16" t="s">
        <v>5869</v>
      </c>
      <c r="BQ262" s="16" t="s">
        <v>151</v>
      </c>
      <c r="BR262" s="17" t="s">
        <v>5870</v>
      </c>
      <c r="BS262" s="17" t="s">
        <v>187</v>
      </c>
      <c r="BT262" s="17" t="s">
        <v>188</v>
      </c>
      <c r="BU262" s="22">
        <v>44916</v>
      </c>
      <c r="BV262" s="24">
        <v>0.66</v>
      </c>
      <c r="BW262" s="17" t="s">
        <v>192</v>
      </c>
      <c r="BX262" s="24">
        <v>10</v>
      </c>
      <c r="BY262" s="17" t="s">
        <v>192</v>
      </c>
      <c r="BZ262" s="17" t="s">
        <v>293</v>
      </c>
      <c r="CA262" s="17" t="s">
        <v>293</v>
      </c>
      <c r="CB262" s="17" t="s">
        <v>151</v>
      </c>
      <c r="CC262" s="17" t="s">
        <v>165</v>
      </c>
      <c r="CD262" s="17" t="s">
        <v>355</v>
      </c>
      <c r="CE262" s="17" t="s">
        <v>191</v>
      </c>
      <c r="CF262" s="22">
        <v>44916</v>
      </c>
      <c r="CG262" s="24">
        <v>0.66</v>
      </c>
      <c r="CH262" s="17" t="s">
        <v>192</v>
      </c>
      <c r="CI262" s="24">
        <v>10</v>
      </c>
      <c r="CJ262" s="17" t="s">
        <v>192</v>
      </c>
      <c r="CK262" s="16" t="s">
        <v>151</v>
      </c>
      <c r="CL262" s="17" t="s">
        <v>293</v>
      </c>
      <c r="CM262" s="17" t="s">
        <v>293</v>
      </c>
      <c r="CN262" s="17" t="s">
        <v>151</v>
      </c>
      <c r="CO262" s="17" t="s">
        <v>165</v>
      </c>
      <c r="CP262" s="22">
        <v>44916</v>
      </c>
      <c r="CQ262" s="24">
        <v>0.03</v>
      </c>
      <c r="CR262" s="17" t="s">
        <v>355</v>
      </c>
      <c r="CS262" s="17" t="s">
        <v>191</v>
      </c>
      <c r="CT262" s="16" t="s">
        <v>151</v>
      </c>
      <c r="CU262" s="17" t="s">
        <v>151</v>
      </c>
      <c r="CV262" s="19" t="s">
        <v>151</v>
      </c>
      <c r="CW262" s="19" t="s">
        <v>151</v>
      </c>
      <c r="CX262" s="17" t="s">
        <v>151</v>
      </c>
      <c r="CY262" s="19" t="s">
        <v>151</v>
      </c>
      <c r="CZ262" s="19" t="s">
        <v>151</v>
      </c>
      <c r="DA262" s="24">
        <v>10</v>
      </c>
      <c r="DB262" s="22">
        <v>44916</v>
      </c>
      <c r="DC262" s="17" t="s">
        <v>293</v>
      </c>
      <c r="DD262" s="16" t="s">
        <v>151</v>
      </c>
      <c r="DE262" s="19">
        <v>0</v>
      </c>
      <c r="DF262" s="21">
        <v>11</v>
      </c>
      <c r="DG262" s="19">
        <v>0</v>
      </c>
      <c r="DH262" s="19">
        <v>0</v>
      </c>
      <c r="DI262" s="19">
        <v>0</v>
      </c>
      <c r="DJ262" s="21">
        <v>10</v>
      </c>
      <c r="DK262" s="19" t="s">
        <v>151</v>
      </c>
      <c r="DL262" s="21" t="s">
        <v>151</v>
      </c>
      <c r="DM262" s="19">
        <v>0</v>
      </c>
      <c r="DN262" s="21">
        <v>10</v>
      </c>
      <c r="DO262" s="23">
        <v>0.94</v>
      </c>
      <c r="DP262" s="21">
        <v>48</v>
      </c>
      <c r="DQ262" s="23">
        <v>0</v>
      </c>
      <c r="DR262" s="19">
        <v>0</v>
      </c>
      <c r="DS262" s="23">
        <v>2.26</v>
      </c>
      <c r="DT262" s="21">
        <v>69</v>
      </c>
      <c r="DU262" s="23" t="s">
        <v>151</v>
      </c>
      <c r="DV262" s="21" t="s">
        <v>151</v>
      </c>
      <c r="DW262" s="23">
        <v>2.26</v>
      </c>
      <c r="DX262" s="21">
        <v>68</v>
      </c>
      <c r="DY262" s="18" t="s">
        <v>151</v>
      </c>
      <c r="DZ262" s="22" t="s">
        <v>151</v>
      </c>
      <c r="EA262" s="22" t="s">
        <v>151</v>
      </c>
      <c r="EB262" s="21" t="s">
        <v>151</v>
      </c>
      <c r="EC262" s="20" t="s">
        <v>151</v>
      </c>
      <c r="ED262" s="19" t="s">
        <v>151</v>
      </c>
      <c r="EE262" s="21">
        <v>43</v>
      </c>
      <c r="EF262" s="20">
        <v>0</v>
      </c>
      <c r="EG262" s="19">
        <v>0</v>
      </c>
      <c r="EH262" s="16" t="s">
        <v>198</v>
      </c>
      <c r="EI262" s="17" t="s">
        <v>151</v>
      </c>
      <c r="EJ262" s="17" t="s">
        <v>151</v>
      </c>
      <c r="EK262" s="18" t="s">
        <v>151</v>
      </c>
      <c r="EL262" s="18" t="s">
        <v>151</v>
      </c>
      <c r="EM262" s="18" t="s">
        <v>151</v>
      </c>
      <c r="EN262" s="18" t="s">
        <v>151</v>
      </c>
      <c r="EO262" s="18" t="s">
        <v>151</v>
      </c>
      <c r="EP262" s="17" t="s">
        <v>151</v>
      </c>
      <c r="EQ262" s="16" t="s">
        <v>151</v>
      </c>
      <c r="ER262" s="16" t="s">
        <v>151</v>
      </c>
      <c r="ES262" s="3">
        <f>HYPERLINK("https://my.pitchbook.com?c=113774-41","View Company Online")</f>
      </c>
    </row>
    <row r="263">
      <c r="A263" s="30" t="s">
        <v>5871</v>
      </c>
      <c r="B263" s="30" t="s">
        <v>5872</v>
      </c>
      <c r="C263" s="31" t="s">
        <v>151</v>
      </c>
      <c r="D263" s="30" t="s">
        <v>151</v>
      </c>
      <c r="E263" s="30" t="s">
        <v>151</v>
      </c>
      <c r="F263" s="30" t="s">
        <v>5873</v>
      </c>
      <c r="G263" s="30" t="s">
        <v>151</v>
      </c>
      <c r="H263" s="30" t="s">
        <v>151</v>
      </c>
      <c r="I263" s="30" t="s">
        <v>151</v>
      </c>
      <c r="J263" s="30" t="s">
        <v>5871</v>
      </c>
      <c r="K263" s="30" t="s">
        <v>5874</v>
      </c>
      <c r="L263" s="30" t="s">
        <v>205</v>
      </c>
      <c r="M263" s="30" t="s">
        <v>206</v>
      </c>
      <c r="N263" s="30" t="s">
        <v>917</v>
      </c>
      <c r="O263" s="30" t="s">
        <v>5875</v>
      </c>
      <c r="P263" s="30" t="s">
        <v>2416</v>
      </c>
      <c r="Q263" s="30" t="s">
        <v>5876</v>
      </c>
      <c r="R263" s="30" t="s">
        <v>151</v>
      </c>
      <c r="S263" s="30" t="s">
        <v>162</v>
      </c>
      <c r="T263" s="37">
        <v>0.1</v>
      </c>
      <c r="U263" s="30" t="s">
        <v>163</v>
      </c>
      <c r="V263" s="30" t="s">
        <v>164</v>
      </c>
      <c r="W263" s="30" t="s">
        <v>165</v>
      </c>
      <c r="X263" s="28" t="s">
        <v>5877</v>
      </c>
      <c r="Y263" s="28" t="s">
        <v>5878</v>
      </c>
      <c r="Z263" s="40">
        <v>7</v>
      </c>
      <c r="AA263" s="30" t="s">
        <v>5879</v>
      </c>
      <c r="AB263" s="30" t="s">
        <v>151</v>
      </c>
      <c r="AC263" s="30" t="s">
        <v>151</v>
      </c>
      <c r="AD263" s="39">
        <v>2018</v>
      </c>
      <c r="AE263" s="30" t="s">
        <v>151</v>
      </c>
      <c r="AF263" s="35">
        <v>45421</v>
      </c>
      <c r="AG263" s="30" t="s">
        <v>151</v>
      </c>
      <c r="AH263" s="30" t="s">
        <v>151</v>
      </c>
      <c r="AI263" s="38" t="s">
        <v>151</v>
      </c>
      <c r="AJ263" s="32" t="s">
        <v>151</v>
      </c>
      <c r="AK263" s="38" t="s">
        <v>151</v>
      </c>
      <c r="AL263" s="38" t="s">
        <v>151</v>
      </c>
      <c r="AM263" s="38" t="s">
        <v>151</v>
      </c>
      <c r="AN263" s="38" t="s">
        <v>151</v>
      </c>
      <c r="AO263" s="38" t="s">
        <v>151</v>
      </c>
      <c r="AP263" s="38" t="s">
        <v>151</v>
      </c>
      <c r="AQ263" s="38" t="s">
        <v>151</v>
      </c>
      <c r="AR263" s="29" t="s">
        <v>151</v>
      </c>
      <c r="AS263" s="30" t="s">
        <v>5880</v>
      </c>
      <c r="AT263" s="30" t="s">
        <v>5881</v>
      </c>
      <c r="AU263" s="31">
        <v>1</v>
      </c>
      <c r="AV263" s="30" t="s">
        <v>151</v>
      </c>
      <c r="AW263" s="30" t="s">
        <v>151</v>
      </c>
      <c r="AX263" s="30" t="s">
        <v>151</v>
      </c>
      <c r="AY263" s="30" t="s">
        <v>5882</v>
      </c>
      <c r="AZ263" s="30" t="s">
        <v>151</v>
      </c>
      <c r="BA263" s="30" t="s">
        <v>151</v>
      </c>
      <c r="BB263" s="30" t="s">
        <v>2582</v>
      </c>
      <c r="BC263" s="30" t="s">
        <v>2582</v>
      </c>
      <c r="BD263" s="30" t="s">
        <v>5883</v>
      </c>
      <c r="BE263" s="30" t="s">
        <v>5884</v>
      </c>
      <c r="BF263" s="30" t="s">
        <v>282</v>
      </c>
      <c r="BG263" s="30" t="s">
        <v>151</v>
      </c>
      <c r="BH263" s="30" t="s">
        <v>5885</v>
      </c>
      <c r="BI263" s="30" t="s">
        <v>1068</v>
      </c>
      <c r="BJ263" s="30" t="s">
        <v>5886</v>
      </c>
      <c r="BK263" s="30" t="s">
        <v>5887</v>
      </c>
      <c r="BL263" s="30" t="s">
        <v>1071</v>
      </c>
      <c r="BM263" s="30" t="s">
        <v>1072</v>
      </c>
      <c r="BN263" s="29" t="s">
        <v>5888</v>
      </c>
      <c r="BO263" s="30" t="s">
        <v>186</v>
      </c>
      <c r="BP263" s="29" t="s">
        <v>5889</v>
      </c>
      <c r="BQ263" s="29" t="s">
        <v>151</v>
      </c>
      <c r="BR263" s="30" t="s">
        <v>5890</v>
      </c>
      <c r="BS263" s="30" t="s">
        <v>187</v>
      </c>
      <c r="BT263" s="30" t="s">
        <v>188</v>
      </c>
      <c r="BU263" s="35">
        <v>44264</v>
      </c>
      <c r="BV263" s="37">
        <v>0.1</v>
      </c>
      <c r="BW263" s="30" t="s">
        <v>192</v>
      </c>
      <c r="BX263" s="37" t="s">
        <v>151</v>
      </c>
      <c r="BY263" s="30" t="s">
        <v>151</v>
      </c>
      <c r="BZ263" s="30" t="s">
        <v>293</v>
      </c>
      <c r="CA263" s="30" t="s">
        <v>293</v>
      </c>
      <c r="CB263" s="30" t="s">
        <v>151</v>
      </c>
      <c r="CC263" s="30" t="s">
        <v>165</v>
      </c>
      <c r="CD263" s="30" t="s">
        <v>151</v>
      </c>
      <c r="CE263" s="30" t="s">
        <v>191</v>
      </c>
      <c r="CF263" s="35">
        <v>44264</v>
      </c>
      <c r="CG263" s="37">
        <v>0.1</v>
      </c>
      <c r="CH263" s="30" t="s">
        <v>192</v>
      </c>
      <c r="CI263" s="37" t="s">
        <v>151</v>
      </c>
      <c r="CJ263" s="30" t="s">
        <v>151</v>
      </c>
      <c r="CK263" s="29" t="s">
        <v>151</v>
      </c>
      <c r="CL263" s="30" t="s">
        <v>293</v>
      </c>
      <c r="CM263" s="30" t="s">
        <v>293</v>
      </c>
      <c r="CN263" s="30" t="s">
        <v>151</v>
      </c>
      <c r="CO263" s="30" t="s">
        <v>165</v>
      </c>
      <c r="CP263" s="35">
        <v>44264</v>
      </c>
      <c r="CQ263" s="37" t="s">
        <v>151</v>
      </c>
      <c r="CR263" s="30" t="s">
        <v>151</v>
      </c>
      <c r="CS263" s="30" t="s">
        <v>191</v>
      </c>
      <c r="CT263" s="29" t="s">
        <v>151</v>
      </c>
      <c r="CU263" s="30" t="s">
        <v>151</v>
      </c>
      <c r="CV263" s="32" t="s">
        <v>151</v>
      </c>
      <c r="CW263" s="32" t="s">
        <v>151</v>
      </c>
      <c r="CX263" s="30" t="s">
        <v>151</v>
      </c>
      <c r="CY263" s="32" t="s">
        <v>151</v>
      </c>
      <c r="CZ263" s="32" t="s">
        <v>151</v>
      </c>
      <c r="DA263" s="37" t="s">
        <v>151</v>
      </c>
      <c r="DB263" s="35" t="s">
        <v>151</v>
      </c>
      <c r="DC263" s="30" t="s">
        <v>151</v>
      </c>
      <c r="DD263" s="29" t="s">
        <v>151</v>
      </c>
      <c r="DE263" s="32">
        <v>0</v>
      </c>
      <c r="DF263" s="34">
        <v>11</v>
      </c>
      <c r="DG263" s="32">
        <v>0</v>
      </c>
      <c r="DH263" s="32">
        <v>0</v>
      </c>
      <c r="DI263" s="32">
        <v>0</v>
      </c>
      <c r="DJ263" s="34">
        <v>10</v>
      </c>
      <c r="DK263" s="32" t="s">
        <v>151</v>
      </c>
      <c r="DL263" s="34" t="s">
        <v>151</v>
      </c>
      <c r="DM263" s="32">
        <v>0</v>
      </c>
      <c r="DN263" s="34">
        <v>10</v>
      </c>
      <c r="DO263" s="36">
        <v>0.56</v>
      </c>
      <c r="DP263" s="34">
        <v>36</v>
      </c>
      <c r="DQ263" s="36">
        <v>0</v>
      </c>
      <c r="DR263" s="32">
        <v>0</v>
      </c>
      <c r="DS263" s="36">
        <v>0.58</v>
      </c>
      <c r="DT263" s="34">
        <v>36</v>
      </c>
      <c r="DU263" s="36" t="s">
        <v>151</v>
      </c>
      <c r="DV263" s="34" t="s">
        <v>151</v>
      </c>
      <c r="DW263" s="36">
        <v>0.58</v>
      </c>
      <c r="DX263" s="34">
        <v>36</v>
      </c>
      <c r="DY263" s="31" t="s">
        <v>151</v>
      </c>
      <c r="DZ263" s="35" t="s">
        <v>151</v>
      </c>
      <c r="EA263" s="35" t="s">
        <v>151</v>
      </c>
      <c r="EB263" s="34">
        <v>0</v>
      </c>
      <c r="EC263" s="33">
        <v>0</v>
      </c>
      <c r="ED263" s="32">
        <v>0</v>
      </c>
      <c r="EE263" s="34">
        <v>11</v>
      </c>
      <c r="EF263" s="33">
        <v>1</v>
      </c>
      <c r="EG263" s="32">
        <v>10</v>
      </c>
      <c r="EH263" s="29" t="s">
        <v>198</v>
      </c>
      <c r="EI263" s="30" t="s">
        <v>151</v>
      </c>
      <c r="EJ263" s="30" t="s">
        <v>151</v>
      </c>
      <c r="EK263" s="31" t="s">
        <v>151</v>
      </c>
      <c r="EL263" s="31" t="s">
        <v>151</v>
      </c>
      <c r="EM263" s="31" t="s">
        <v>151</v>
      </c>
      <c r="EN263" s="31" t="s">
        <v>151</v>
      </c>
      <c r="EO263" s="31" t="s">
        <v>151</v>
      </c>
      <c r="EP263" s="30" t="s">
        <v>151</v>
      </c>
      <c r="EQ263" s="29" t="s">
        <v>151</v>
      </c>
      <c r="ER263" s="29" t="s">
        <v>151</v>
      </c>
      <c r="ES263" s="4">
        <f>HYPERLINK("https://my.pitchbook.com?c=462537-91","View Company Online")</f>
      </c>
    </row>
    <row r="264">
      <c r="A264" s="17" t="s">
        <v>5891</v>
      </c>
      <c r="B264" s="17" t="s">
        <v>5892</v>
      </c>
      <c r="C264" s="18" t="s">
        <v>151</v>
      </c>
      <c r="D264" s="17" t="s">
        <v>5893</v>
      </c>
      <c r="E264" s="17" t="s">
        <v>5894</v>
      </c>
      <c r="F264" s="17" t="s">
        <v>5895</v>
      </c>
      <c r="G264" s="17" t="s">
        <v>151</v>
      </c>
      <c r="H264" s="17" t="s">
        <v>151</v>
      </c>
      <c r="I264" s="17" t="s">
        <v>151</v>
      </c>
      <c r="J264" s="17" t="s">
        <v>5891</v>
      </c>
      <c r="K264" s="17" t="s">
        <v>5896</v>
      </c>
      <c r="L264" s="17" t="s">
        <v>205</v>
      </c>
      <c r="M264" s="17" t="s">
        <v>206</v>
      </c>
      <c r="N264" s="17" t="s">
        <v>1268</v>
      </c>
      <c r="O264" s="17" t="s">
        <v>3141</v>
      </c>
      <c r="P264" s="17" t="s">
        <v>209</v>
      </c>
      <c r="Q264" s="17" t="s">
        <v>5897</v>
      </c>
      <c r="R264" s="17" t="s">
        <v>151</v>
      </c>
      <c r="S264" s="17" t="s">
        <v>162</v>
      </c>
      <c r="T264" s="24">
        <v>2.8</v>
      </c>
      <c r="U264" s="17" t="s">
        <v>163</v>
      </c>
      <c r="V264" s="17" t="s">
        <v>164</v>
      </c>
      <c r="W264" s="17" t="s">
        <v>165</v>
      </c>
      <c r="X264" s="15" t="s">
        <v>5898</v>
      </c>
      <c r="Y264" s="15" t="s">
        <v>5899</v>
      </c>
      <c r="Z264" s="27">
        <v>10</v>
      </c>
      <c r="AA264" s="17" t="s">
        <v>5557</v>
      </c>
      <c r="AB264" s="17" t="s">
        <v>151</v>
      </c>
      <c r="AC264" s="17" t="s">
        <v>151</v>
      </c>
      <c r="AD264" s="26">
        <v>2022</v>
      </c>
      <c r="AE264" s="17" t="s">
        <v>151</v>
      </c>
      <c r="AF264" s="22">
        <v>45615</v>
      </c>
      <c r="AG264" s="17" t="s">
        <v>151</v>
      </c>
      <c r="AH264" s="17" t="s">
        <v>151</v>
      </c>
      <c r="AI264" s="25" t="s">
        <v>151</v>
      </c>
      <c r="AJ264" s="19" t="s">
        <v>151</v>
      </c>
      <c r="AK264" s="25" t="s">
        <v>151</v>
      </c>
      <c r="AL264" s="25" t="s">
        <v>151</v>
      </c>
      <c r="AM264" s="25" t="s">
        <v>151</v>
      </c>
      <c r="AN264" s="25" t="s">
        <v>151</v>
      </c>
      <c r="AO264" s="25" t="s">
        <v>151</v>
      </c>
      <c r="AP264" s="25" t="s">
        <v>151</v>
      </c>
      <c r="AQ264" s="25" t="s">
        <v>151</v>
      </c>
      <c r="AR264" s="16" t="s">
        <v>151</v>
      </c>
      <c r="AS264" s="17" t="s">
        <v>5900</v>
      </c>
      <c r="AT264" s="17" t="s">
        <v>5901</v>
      </c>
      <c r="AU264" s="18">
        <v>7</v>
      </c>
      <c r="AV264" s="17" t="s">
        <v>151</v>
      </c>
      <c r="AW264" s="17" t="s">
        <v>151</v>
      </c>
      <c r="AX264" s="17" t="s">
        <v>151</v>
      </c>
      <c r="AY264" s="17" t="s">
        <v>5902</v>
      </c>
      <c r="AZ264" s="17" t="s">
        <v>151</v>
      </c>
      <c r="BA264" s="17" t="s">
        <v>151</v>
      </c>
      <c r="BB264" s="17" t="s">
        <v>151</v>
      </c>
      <c r="BC264" s="17" t="s">
        <v>151</v>
      </c>
      <c r="BD264" s="17" t="s">
        <v>5903</v>
      </c>
      <c r="BE264" s="17" t="s">
        <v>5904</v>
      </c>
      <c r="BF264" s="17" t="s">
        <v>221</v>
      </c>
      <c r="BG264" s="17" t="s">
        <v>151</v>
      </c>
      <c r="BH264" s="17" t="s">
        <v>151</v>
      </c>
      <c r="BI264" s="17" t="s">
        <v>1710</v>
      </c>
      <c r="BJ264" s="17" t="s">
        <v>151</v>
      </c>
      <c r="BK264" s="17" t="s">
        <v>151</v>
      </c>
      <c r="BL264" s="17" t="s">
        <v>1713</v>
      </c>
      <c r="BM264" s="17" t="s">
        <v>184</v>
      </c>
      <c r="BN264" s="16" t="s">
        <v>151</v>
      </c>
      <c r="BO264" s="17" t="s">
        <v>186</v>
      </c>
      <c r="BP264" s="16" t="s">
        <v>151</v>
      </c>
      <c r="BQ264" s="16" t="s">
        <v>151</v>
      </c>
      <c r="BR264" s="17" t="s">
        <v>151</v>
      </c>
      <c r="BS264" s="17" t="s">
        <v>187</v>
      </c>
      <c r="BT264" s="17" t="s">
        <v>188</v>
      </c>
      <c r="BU264" s="22">
        <v>44562</v>
      </c>
      <c r="BV264" s="24" t="s">
        <v>151</v>
      </c>
      <c r="BW264" s="17" t="s">
        <v>151</v>
      </c>
      <c r="BX264" s="24" t="s">
        <v>151</v>
      </c>
      <c r="BY264" s="17" t="s">
        <v>151</v>
      </c>
      <c r="BZ264" s="17" t="s">
        <v>189</v>
      </c>
      <c r="CA264" s="17" t="s">
        <v>151</v>
      </c>
      <c r="CB264" s="17" t="s">
        <v>151</v>
      </c>
      <c r="CC264" s="17" t="s">
        <v>190</v>
      </c>
      <c r="CD264" s="17" t="s">
        <v>151</v>
      </c>
      <c r="CE264" s="17" t="s">
        <v>191</v>
      </c>
      <c r="CF264" s="22">
        <v>44795</v>
      </c>
      <c r="CG264" s="24">
        <v>2.8</v>
      </c>
      <c r="CH264" s="17" t="s">
        <v>193</v>
      </c>
      <c r="CI264" s="24">
        <v>12.5</v>
      </c>
      <c r="CJ264" s="17" t="s">
        <v>192</v>
      </c>
      <c r="CK264" s="16" t="s">
        <v>151</v>
      </c>
      <c r="CL264" s="17" t="s">
        <v>293</v>
      </c>
      <c r="CM264" s="17" t="s">
        <v>293</v>
      </c>
      <c r="CN264" s="17" t="s">
        <v>151</v>
      </c>
      <c r="CO264" s="17" t="s">
        <v>165</v>
      </c>
      <c r="CP264" s="22">
        <v>44795</v>
      </c>
      <c r="CQ264" s="24" t="s">
        <v>151</v>
      </c>
      <c r="CR264" s="17" t="s">
        <v>151</v>
      </c>
      <c r="CS264" s="17" t="s">
        <v>191</v>
      </c>
      <c r="CT264" s="16" t="s">
        <v>151</v>
      </c>
      <c r="CU264" s="17" t="s">
        <v>151</v>
      </c>
      <c r="CV264" s="19" t="s">
        <v>151</v>
      </c>
      <c r="CW264" s="19" t="s">
        <v>151</v>
      </c>
      <c r="CX264" s="17" t="s">
        <v>151</v>
      </c>
      <c r="CY264" s="19" t="s">
        <v>151</v>
      </c>
      <c r="CZ264" s="19" t="s">
        <v>151</v>
      </c>
      <c r="DA264" s="24">
        <v>12.5</v>
      </c>
      <c r="DB264" s="22">
        <v>44795</v>
      </c>
      <c r="DC264" s="17" t="s">
        <v>293</v>
      </c>
      <c r="DD264" s="16" t="s">
        <v>151</v>
      </c>
      <c r="DE264" s="19">
        <v>2.81</v>
      </c>
      <c r="DF264" s="21">
        <v>99</v>
      </c>
      <c r="DG264" s="19">
        <v>0</v>
      </c>
      <c r="DH264" s="19">
        <v>0</v>
      </c>
      <c r="DI264" s="19">
        <v>0</v>
      </c>
      <c r="DJ264" s="21">
        <v>10</v>
      </c>
      <c r="DK264" s="19">
        <v>0</v>
      </c>
      <c r="DL264" s="21">
        <v>11</v>
      </c>
      <c r="DM264" s="19">
        <v>0</v>
      </c>
      <c r="DN264" s="21">
        <v>10</v>
      </c>
      <c r="DO264" s="23">
        <v>0.86</v>
      </c>
      <c r="DP264" s="21">
        <v>47</v>
      </c>
      <c r="DQ264" s="23">
        <v>0</v>
      </c>
      <c r="DR264" s="19">
        <v>0</v>
      </c>
      <c r="DS264" s="23">
        <v>1.25</v>
      </c>
      <c r="DT264" s="21">
        <v>55</v>
      </c>
      <c r="DU264" s="23">
        <v>2.24</v>
      </c>
      <c r="DV264" s="21">
        <v>72</v>
      </c>
      <c r="DW264" s="23">
        <v>0.26</v>
      </c>
      <c r="DX264" s="21">
        <v>18</v>
      </c>
      <c r="DY264" s="18" t="s">
        <v>151</v>
      </c>
      <c r="DZ264" s="22" t="s">
        <v>151</v>
      </c>
      <c r="EA264" s="22" t="s">
        <v>151</v>
      </c>
      <c r="EB264" s="21">
        <v>446</v>
      </c>
      <c r="EC264" s="20">
        <v>44</v>
      </c>
      <c r="ED264" s="19">
        <v>10.95</v>
      </c>
      <c r="EE264" s="21">
        <v>5</v>
      </c>
      <c r="EF264" s="20">
        <v>0</v>
      </c>
      <c r="EG264" s="19">
        <v>0</v>
      </c>
      <c r="EH264" s="16" t="s">
        <v>198</v>
      </c>
      <c r="EI264" s="17" t="s">
        <v>151</v>
      </c>
      <c r="EJ264" s="17" t="s">
        <v>151</v>
      </c>
      <c r="EK264" s="18" t="s">
        <v>151</v>
      </c>
      <c r="EL264" s="18" t="s">
        <v>151</v>
      </c>
      <c r="EM264" s="18" t="s">
        <v>151</v>
      </c>
      <c r="EN264" s="18" t="s">
        <v>151</v>
      </c>
      <c r="EO264" s="18" t="s">
        <v>151</v>
      </c>
      <c r="EP264" s="17" t="s">
        <v>151</v>
      </c>
      <c r="EQ264" s="16" t="s">
        <v>151</v>
      </c>
      <c r="ER264" s="16" t="s">
        <v>151</v>
      </c>
      <c r="ES264" s="3">
        <f>HYPERLINK("https://my.pitchbook.com?c=507436-57","View Company Online")</f>
      </c>
    </row>
    <row r="265">
      <c r="A265" s="30" t="s">
        <v>5905</v>
      </c>
      <c r="B265" s="30" t="s">
        <v>5906</v>
      </c>
      <c r="C265" s="31" t="s">
        <v>151</v>
      </c>
      <c r="D265" s="30" t="s">
        <v>151</v>
      </c>
      <c r="E265" s="30" t="s">
        <v>151</v>
      </c>
      <c r="F265" s="30" t="s">
        <v>5907</v>
      </c>
      <c r="G265" s="30" t="s">
        <v>151</v>
      </c>
      <c r="H265" s="30" t="s">
        <v>151</v>
      </c>
      <c r="I265" s="30" t="s">
        <v>151</v>
      </c>
      <c r="J265" s="30" t="s">
        <v>5905</v>
      </c>
      <c r="K265" s="30" t="s">
        <v>5908</v>
      </c>
      <c r="L265" s="30" t="s">
        <v>205</v>
      </c>
      <c r="M265" s="30" t="s">
        <v>206</v>
      </c>
      <c r="N265" s="30" t="s">
        <v>269</v>
      </c>
      <c r="O265" s="30" t="s">
        <v>1819</v>
      </c>
      <c r="P265" s="30" t="s">
        <v>5909</v>
      </c>
      <c r="Q265" s="30" t="s">
        <v>5910</v>
      </c>
      <c r="R265" s="30" t="s">
        <v>151</v>
      </c>
      <c r="S265" s="30" t="s">
        <v>162</v>
      </c>
      <c r="T265" s="37">
        <v>8.1</v>
      </c>
      <c r="U265" s="30" t="s">
        <v>163</v>
      </c>
      <c r="V265" s="30" t="s">
        <v>164</v>
      </c>
      <c r="W265" s="30" t="s">
        <v>165</v>
      </c>
      <c r="X265" s="28" t="s">
        <v>5911</v>
      </c>
      <c r="Y265" s="28" t="s">
        <v>5912</v>
      </c>
      <c r="Z265" s="40">
        <v>10</v>
      </c>
      <c r="AA265" s="30" t="s">
        <v>3104</v>
      </c>
      <c r="AB265" s="30" t="s">
        <v>151</v>
      </c>
      <c r="AC265" s="30" t="s">
        <v>151</v>
      </c>
      <c r="AD265" s="39">
        <v>2023</v>
      </c>
      <c r="AE265" s="30" t="s">
        <v>151</v>
      </c>
      <c r="AF265" s="35">
        <v>45558</v>
      </c>
      <c r="AG265" s="30" t="s">
        <v>151</v>
      </c>
      <c r="AH265" s="30" t="s">
        <v>151</v>
      </c>
      <c r="AI265" s="38" t="s">
        <v>151</v>
      </c>
      <c r="AJ265" s="32" t="s">
        <v>151</v>
      </c>
      <c r="AK265" s="38" t="s">
        <v>151</v>
      </c>
      <c r="AL265" s="38" t="s">
        <v>151</v>
      </c>
      <c r="AM265" s="38" t="s">
        <v>151</v>
      </c>
      <c r="AN265" s="38" t="s">
        <v>151</v>
      </c>
      <c r="AO265" s="38" t="s">
        <v>151</v>
      </c>
      <c r="AP265" s="38" t="s">
        <v>151</v>
      </c>
      <c r="AQ265" s="38" t="s">
        <v>151</v>
      </c>
      <c r="AR265" s="29" t="s">
        <v>151</v>
      </c>
      <c r="AS265" s="30" t="s">
        <v>5913</v>
      </c>
      <c r="AT265" s="30" t="s">
        <v>5914</v>
      </c>
      <c r="AU265" s="31">
        <v>4</v>
      </c>
      <c r="AV265" s="30" t="s">
        <v>151</v>
      </c>
      <c r="AW265" s="30" t="s">
        <v>151</v>
      </c>
      <c r="AX265" s="30" t="s">
        <v>151</v>
      </c>
      <c r="AY265" s="30" t="s">
        <v>5915</v>
      </c>
      <c r="AZ265" s="30" t="s">
        <v>151</v>
      </c>
      <c r="BA265" s="30" t="s">
        <v>151</v>
      </c>
      <c r="BB265" s="30" t="s">
        <v>151</v>
      </c>
      <c r="BC265" s="30" t="s">
        <v>490</v>
      </c>
      <c r="BD265" s="30" t="s">
        <v>5916</v>
      </c>
      <c r="BE265" s="30" t="s">
        <v>5917</v>
      </c>
      <c r="BF265" s="30" t="s">
        <v>221</v>
      </c>
      <c r="BG265" s="30" t="s">
        <v>5918</v>
      </c>
      <c r="BH265" s="30" t="s">
        <v>151</v>
      </c>
      <c r="BI265" s="30" t="s">
        <v>764</v>
      </c>
      <c r="BJ265" s="30" t="s">
        <v>5919</v>
      </c>
      <c r="BK265" s="30" t="s">
        <v>151</v>
      </c>
      <c r="BL265" s="30" t="s">
        <v>767</v>
      </c>
      <c r="BM265" s="30" t="s">
        <v>184</v>
      </c>
      <c r="BN265" s="29" t="s">
        <v>151</v>
      </c>
      <c r="BO265" s="30" t="s">
        <v>186</v>
      </c>
      <c r="BP265" s="29" t="s">
        <v>151</v>
      </c>
      <c r="BQ265" s="29" t="s">
        <v>151</v>
      </c>
      <c r="BR265" s="30" t="s">
        <v>5920</v>
      </c>
      <c r="BS265" s="30" t="s">
        <v>187</v>
      </c>
      <c r="BT265" s="30" t="s">
        <v>188</v>
      </c>
      <c r="BU265" s="35">
        <v>45546</v>
      </c>
      <c r="BV265" s="37">
        <v>8.1</v>
      </c>
      <c r="BW265" s="30" t="s">
        <v>192</v>
      </c>
      <c r="BX265" s="37" t="s">
        <v>151</v>
      </c>
      <c r="BY265" s="30" t="s">
        <v>151</v>
      </c>
      <c r="BZ265" s="30" t="s">
        <v>293</v>
      </c>
      <c r="CA265" s="30" t="s">
        <v>293</v>
      </c>
      <c r="CB265" s="30" t="s">
        <v>151</v>
      </c>
      <c r="CC265" s="30" t="s">
        <v>165</v>
      </c>
      <c r="CD265" s="30" t="s">
        <v>151</v>
      </c>
      <c r="CE265" s="30" t="s">
        <v>191</v>
      </c>
      <c r="CF265" s="35">
        <v>45546</v>
      </c>
      <c r="CG265" s="37">
        <v>8.1</v>
      </c>
      <c r="CH265" s="30" t="s">
        <v>192</v>
      </c>
      <c r="CI265" s="37" t="s">
        <v>151</v>
      </c>
      <c r="CJ265" s="30" t="s">
        <v>151</v>
      </c>
      <c r="CK265" s="29" t="s">
        <v>151</v>
      </c>
      <c r="CL265" s="30" t="s">
        <v>293</v>
      </c>
      <c r="CM265" s="30" t="s">
        <v>293</v>
      </c>
      <c r="CN265" s="30" t="s">
        <v>151</v>
      </c>
      <c r="CO265" s="30" t="s">
        <v>165</v>
      </c>
      <c r="CP265" s="35">
        <v>45546</v>
      </c>
      <c r="CQ265" s="37" t="s">
        <v>151</v>
      </c>
      <c r="CR265" s="30" t="s">
        <v>151</v>
      </c>
      <c r="CS265" s="30" t="s">
        <v>191</v>
      </c>
      <c r="CT265" s="29" t="s">
        <v>151</v>
      </c>
      <c r="CU265" s="30" t="s">
        <v>151</v>
      </c>
      <c r="CV265" s="32" t="s">
        <v>151</v>
      </c>
      <c r="CW265" s="32" t="s">
        <v>151</v>
      </c>
      <c r="CX265" s="30" t="s">
        <v>151</v>
      </c>
      <c r="CY265" s="32" t="s">
        <v>151</v>
      </c>
      <c r="CZ265" s="32" t="s">
        <v>151</v>
      </c>
      <c r="DA265" s="37" t="s">
        <v>151</v>
      </c>
      <c r="DB265" s="35" t="s">
        <v>151</v>
      </c>
      <c r="DC265" s="30" t="s">
        <v>151</v>
      </c>
      <c r="DD265" s="29" t="s">
        <v>151</v>
      </c>
      <c r="DE265" s="32">
        <v>3.41</v>
      </c>
      <c r="DF265" s="34">
        <v>100</v>
      </c>
      <c r="DG265" s="32">
        <v>0</v>
      </c>
      <c r="DH265" s="32">
        <v>0</v>
      </c>
      <c r="DI265" s="32">
        <v>0</v>
      </c>
      <c r="DJ265" s="34">
        <v>10</v>
      </c>
      <c r="DK265" s="32" t="s">
        <v>151</v>
      </c>
      <c r="DL265" s="34" t="s">
        <v>151</v>
      </c>
      <c r="DM265" s="32">
        <v>0</v>
      </c>
      <c r="DN265" s="34">
        <v>10</v>
      </c>
      <c r="DO265" s="36">
        <v>0.52</v>
      </c>
      <c r="DP265" s="34">
        <v>33</v>
      </c>
      <c r="DQ265" s="36">
        <v>0</v>
      </c>
      <c r="DR265" s="32">
        <v>0</v>
      </c>
      <c r="DS265" s="36">
        <v>0.26</v>
      </c>
      <c r="DT265" s="34">
        <v>18</v>
      </c>
      <c r="DU265" s="36" t="s">
        <v>151</v>
      </c>
      <c r="DV265" s="34" t="s">
        <v>151</v>
      </c>
      <c r="DW265" s="36">
        <v>0.26</v>
      </c>
      <c r="DX265" s="34">
        <v>18</v>
      </c>
      <c r="DY265" s="31" t="s">
        <v>151</v>
      </c>
      <c r="DZ265" s="35" t="s">
        <v>151</v>
      </c>
      <c r="EA265" s="35" t="s">
        <v>151</v>
      </c>
      <c r="EB265" s="34" t="s">
        <v>151</v>
      </c>
      <c r="EC265" s="33" t="s">
        <v>151</v>
      </c>
      <c r="ED265" s="32" t="s">
        <v>151</v>
      </c>
      <c r="EE265" s="34">
        <v>5</v>
      </c>
      <c r="EF265" s="33">
        <v>1</v>
      </c>
      <c r="EG265" s="32">
        <v>25</v>
      </c>
      <c r="EH265" s="29" t="s">
        <v>198</v>
      </c>
      <c r="EI265" s="30" t="s">
        <v>151</v>
      </c>
      <c r="EJ265" s="30" t="s">
        <v>151</v>
      </c>
      <c r="EK265" s="31" t="s">
        <v>151</v>
      </c>
      <c r="EL265" s="31" t="s">
        <v>151</v>
      </c>
      <c r="EM265" s="31" t="s">
        <v>151</v>
      </c>
      <c r="EN265" s="31" t="s">
        <v>151</v>
      </c>
      <c r="EO265" s="31" t="s">
        <v>151</v>
      </c>
      <c r="EP265" s="30" t="s">
        <v>151</v>
      </c>
      <c r="EQ265" s="29" t="s">
        <v>151</v>
      </c>
      <c r="ER265" s="29" t="s">
        <v>151</v>
      </c>
      <c r="ES265" s="4">
        <f>HYPERLINK("https://my.pitchbook.com?c=600127-03","View Company Online")</f>
      </c>
    </row>
    <row r="266">
      <c r="A266" s="17" t="s">
        <v>5921</v>
      </c>
      <c r="B266" s="17" t="s">
        <v>5922</v>
      </c>
      <c r="C266" s="18" t="s">
        <v>151</v>
      </c>
      <c r="D266" s="17" t="s">
        <v>151</v>
      </c>
      <c r="E266" s="17" t="s">
        <v>5923</v>
      </c>
      <c r="F266" s="17" t="s">
        <v>5924</v>
      </c>
      <c r="G266" s="17" t="s">
        <v>151</v>
      </c>
      <c r="H266" s="17" t="s">
        <v>151</v>
      </c>
      <c r="I266" s="17" t="s">
        <v>5925</v>
      </c>
      <c r="J266" s="17" t="s">
        <v>5921</v>
      </c>
      <c r="K266" s="17" t="s">
        <v>5926</v>
      </c>
      <c r="L266" s="17" t="s">
        <v>616</v>
      </c>
      <c r="M266" s="17" t="s">
        <v>834</v>
      </c>
      <c r="N266" s="17" t="s">
        <v>2059</v>
      </c>
      <c r="O266" s="17" t="s">
        <v>5927</v>
      </c>
      <c r="P266" s="17" t="s">
        <v>2174</v>
      </c>
      <c r="Q266" s="17" t="s">
        <v>5928</v>
      </c>
      <c r="R266" s="17" t="s">
        <v>151</v>
      </c>
      <c r="S266" s="17" t="s">
        <v>162</v>
      </c>
      <c r="T266" s="24">
        <v>1.49</v>
      </c>
      <c r="U266" s="17" t="s">
        <v>163</v>
      </c>
      <c r="V266" s="17" t="s">
        <v>164</v>
      </c>
      <c r="W266" s="17" t="s">
        <v>165</v>
      </c>
      <c r="X266" s="15" t="s">
        <v>5929</v>
      </c>
      <c r="Y266" s="15" t="s">
        <v>5930</v>
      </c>
      <c r="Z266" s="27">
        <v>6</v>
      </c>
      <c r="AA266" s="17" t="s">
        <v>5931</v>
      </c>
      <c r="AB266" s="17" t="s">
        <v>151</v>
      </c>
      <c r="AC266" s="17" t="s">
        <v>151</v>
      </c>
      <c r="AD266" s="26">
        <v>2017</v>
      </c>
      <c r="AE266" s="17" t="s">
        <v>151</v>
      </c>
      <c r="AF266" s="22">
        <v>45524</v>
      </c>
      <c r="AG266" s="17" t="s">
        <v>151</v>
      </c>
      <c r="AH266" s="17" t="s">
        <v>151</v>
      </c>
      <c r="AI266" s="25" t="s">
        <v>151</v>
      </c>
      <c r="AJ266" s="19" t="s">
        <v>151</v>
      </c>
      <c r="AK266" s="25" t="s">
        <v>151</v>
      </c>
      <c r="AL266" s="25" t="s">
        <v>151</v>
      </c>
      <c r="AM266" s="25" t="s">
        <v>151</v>
      </c>
      <c r="AN266" s="25" t="s">
        <v>151</v>
      </c>
      <c r="AO266" s="25" t="s">
        <v>151</v>
      </c>
      <c r="AP266" s="25" t="s">
        <v>151</v>
      </c>
      <c r="AQ266" s="25" t="s">
        <v>151</v>
      </c>
      <c r="AR266" s="16" t="s">
        <v>151</v>
      </c>
      <c r="AS266" s="17" t="s">
        <v>5932</v>
      </c>
      <c r="AT266" s="17" t="s">
        <v>5933</v>
      </c>
      <c r="AU266" s="18">
        <v>5</v>
      </c>
      <c r="AV266" s="17" t="s">
        <v>151</v>
      </c>
      <c r="AW266" s="17" t="s">
        <v>151</v>
      </c>
      <c r="AX266" s="17" t="s">
        <v>151</v>
      </c>
      <c r="AY266" s="17" t="s">
        <v>5934</v>
      </c>
      <c r="AZ266" s="17" t="s">
        <v>151</v>
      </c>
      <c r="BA266" s="17" t="s">
        <v>151</v>
      </c>
      <c r="BB266" s="17" t="s">
        <v>5935</v>
      </c>
      <c r="BC266" s="17" t="s">
        <v>5936</v>
      </c>
      <c r="BD266" s="17" t="s">
        <v>5937</v>
      </c>
      <c r="BE266" s="17" t="s">
        <v>5938</v>
      </c>
      <c r="BF266" s="17" t="s">
        <v>403</v>
      </c>
      <c r="BG266" s="17" t="s">
        <v>5939</v>
      </c>
      <c r="BH266" s="17" t="s">
        <v>151</v>
      </c>
      <c r="BI266" s="17" t="s">
        <v>1954</v>
      </c>
      <c r="BJ266" s="17" t="s">
        <v>5940</v>
      </c>
      <c r="BK266" s="17" t="s">
        <v>151</v>
      </c>
      <c r="BL266" s="17" t="s">
        <v>1956</v>
      </c>
      <c r="BM266" s="17" t="s">
        <v>1957</v>
      </c>
      <c r="BN266" s="16" t="s">
        <v>5941</v>
      </c>
      <c r="BO266" s="17" t="s">
        <v>186</v>
      </c>
      <c r="BP266" s="16" t="s">
        <v>151</v>
      </c>
      <c r="BQ266" s="16" t="s">
        <v>151</v>
      </c>
      <c r="BR266" s="17" t="s">
        <v>5942</v>
      </c>
      <c r="BS266" s="17" t="s">
        <v>187</v>
      </c>
      <c r="BT266" s="17" t="s">
        <v>188</v>
      </c>
      <c r="BU266" s="22">
        <v>43617</v>
      </c>
      <c r="BV266" s="24">
        <v>0.26</v>
      </c>
      <c r="BW266" s="17" t="s">
        <v>192</v>
      </c>
      <c r="BX266" s="24" t="s">
        <v>151</v>
      </c>
      <c r="BY266" s="17" t="s">
        <v>151</v>
      </c>
      <c r="BZ266" s="17" t="s">
        <v>1075</v>
      </c>
      <c r="CA266" s="17" t="s">
        <v>1075</v>
      </c>
      <c r="CB266" s="17" t="s">
        <v>151</v>
      </c>
      <c r="CC266" s="17" t="s">
        <v>585</v>
      </c>
      <c r="CD266" s="17" t="s">
        <v>151</v>
      </c>
      <c r="CE266" s="17" t="s">
        <v>191</v>
      </c>
      <c r="CF266" s="22">
        <v>44571</v>
      </c>
      <c r="CG266" s="24">
        <v>1</v>
      </c>
      <c r="CH266" s="17" t="s">
        <v>192</v>
      </c>
      <c r="CI266" s="24" t="s">
        <v>151</v>
      </c>
      <c r="CJ266" s="17" t="s">
        <v>151</v>
      </c>
      <c r="CK266" s="16" t="s">
        <v>151</v>
      </c>
      <c r="CL266" s="17" t="s">
        <v>194</v>
      </c>
      <c r="CM266" s="17" t="s">
        <v>151</v>
      </c>
      <c r="CN266" s="17" t="s">
        <v>151</v>
      </c>
      <c r="CO266" s="17" t="s">
        <v>165</v>
      </c>
      <c r="CP266" s="22">
        <v>44571</v>
      </c>
      <c r="CQ266" s="24" t="s">
        <v>151</v>
      </c>
      <c r="CR266" s="17" t="s">
        <v>151</v>
      </c>
      <c r="CS266" s="17" t="s">
        <v>191</v>
      </c>
      <c r="CT266" s="16">
        <v>39</v>
      </c>
      <c r="CU266" s="17" t="s">
        <v>263</v>
      </c>
      <c r="CV266" s="19">
        <v>39</v>
      </c>
      <c r="CW266" s="19">
        <v>61</v>
      </c>
      <c r="CX266" s="17" t="s">
        <v>263</v>
      </c>
      <c r="CY266" s="19">
        <v>1</v>
      </c>
      <c r="CZ266" s="19">
        <v>38</v>
      </c>
      <c r="DA266" s="24" t="s">
        <v>151</v>
      </c>
      <c r="DB266" s="22" t="s">
        <v>151</v>
      </c>
      <c r="DC266" s="17" t="s">
        <v>151</v>
      </c>
      <c r="DD266" s="16" t="s">
        <v>151</v>
      </c>
      <c r="DE266" s="19">
        <v>0</v>
      </c>
      <c r="DF266" s="21">
        <v>11</v>
      </c>
      <c r="DG266" s="19">
        <v>0</v>
      </c>
      <c r="DH266" s="19">
        <v>0</v>
      </c>
      <c r="DI266" s="19">
        <v>0</v>
      </c>
      <c r="DJ266" s="21">
        <v>10</v>
      </c>
      <c r="DK266" s="19" t="s">
        <v>151</v>
      </c>
      <c r="DL266" s="21" t="s">
        <v>151</v>
      </c>
      <c r="DM266" s="19">
        <v>0</v>
      </c>
      <c r="DN266" s="21">
        <v>10</v>
      </c>
      <c r="DO266" s="23">
        <v>1.13</v>
      </c>
      <c r="DP266" s="21">
        <v>53</v>
      </c>
      <c r="DQ266" s="23">
        <v>0</v>
      </c>
      <c r="DR266" s="19">
        <v>0</v>
      </c>
      <c r="DS266" s="23">
        <v>1.79</v>
      </c>
      <c r="DT266" s="21">
        <v>63</v>
      </c>
      <c r="DU266" s="23" t="s">
        <v>151</v>
      </c>
      <c r="DV266" s="21" t="s">
        <v>151</v>
      </c>
      <c r="DW266" s="23">
        <v>1.79</v>
      </c>
      <c r="DX266" s="21">
        <v>63</v>
      </c>
      <c r="DY266" s="18" t="s">
        <v>151</v>
      </c>
      <c r="DZ266" s="22" t="s">
        <v>151</v>
      </c>
      <c r="EA266" s="22" t="s">
        <v>151</v>
      </c>
      <c r="EB266" s="21">
        <v>0</v>
      </c>
      <c r="EC266" s="20">
        <v>0</v>
      </c>
      <c r="ED266" s="19">
        <v>0</v>
      </c>
      <c r="EE266" s="21">
        <v>34</v>
      </c>
      <c r="EF266" s="20">
        <v>0</v>
      </c>
      <c r="EG266" s="19">
        <v>0</v>
      </c>
      <c r="EH266" s="16" t="s">
        <v>198</v>
      </c>
      <c r="EI266" s="17" t="s">
        <v>151</v>
      </c>
      <c r="EJ266" s="17" t="s">
        <v>151</v>
      </c>
      <c r="EK266" s="18" t="s">
        <v>151</v>
      </c>
      <c r="EL266" s="18" t="s">
        <v>151</v>
      </c>
      <c r="EM266" s="18" t="s">
        <v>151</v>
      </c>
      <c r="EN266" s="18" t="s">
        <v>151</v>
      </c>
      <c r="EO266" s="18" t="s">
        <v>151</v>
      </c>
      <c r="EP266" s="17" t="s">
        <v>151</v>
      </c>
      <c r="EQ266" s="16" t="s">
        <v>151</v>
      </c>
      <c r="ER266" s="16" t="s">
        <v>151</v>
      </c>
      <c r="ES266" s="3">
        <f>HYPERLINK("https://my.pitchbook.com?c=437753-98","View Company Online")</f>
      </c>
    </row>
    <row r="267">
      <c r="A267" s="30" t="s">
        <v>5943</v>
      </c>
      <c r="B267" s="30" t="s">
        <v>5944</v>
      </c>
      <c r="C267" s="31" t="s">
        <v>151</v>
      </c>
      <c r="D267" s="30" t="s">
        <v>151</v>
      </c>
      <c r="E267" s="30" t="s">
        <v>151</v>
      </c>
      <c r="F267" s="30" t="s">
        <v>5945</v>
      </c>
      <c r="G267" s="30" t="s">
        <v>151</v>
      </c>
      <c r="H267" s="30" t="s">
        <v>151</v>
      </c>
      <c r="I267" s="30" t="s">
        <v>151</v>
      </c>
      <c r="J267" s="30" t="s">
        <v>5943</v>
      </c>
      <c r="K267" s="30" t="s">
        <v>5946</v>
      </c>
      <c r="L267" s="30" t="s">
        <v>205</v>
      </c>
      <c r="M267" s="30" t="s">
        <v>206</v>
      </c>
      <c r="N267" s="30" t="s">
        <v>1268</v>
      </c>
      <c r="O267" s="30" t="s">
        <v>5947</v>
      </c>
      <c r="P267" s="30" t="s">
        <v>5948</v>
      </c>
      <c r="Q267" s="30" t="s">
        <v>5949</v>
      </c>
      <c r="R267" s="30" t="s">
        <v>151</v>
      </c>
      <c r="S267" s="30" t="s">
        <v>162</v>
      </c>
      <c r="T267" s="37">
        <v>0.26</v>
      </c>
      <c r="U267" s="30" t="s">
        <v>163</v>
      </c>
      <c r="V267" s="30" t="s">
        <v>164</v>
      </c>
      <c r="W267" s="30" t="s">
        <v>165</v>
      </c>
      <c r="X267" s="28" t="s">
        <v>5950</v>
      </c>
      <c r="Y267" s="28" t="s">
        <v>5951</v>
      </c>
      <c r="Z267" s="40">
        <v>2</v>
      </c>
      <c r="AA267" s="30" t="s">
        <v>5952</v>
      </c>
      <c r="AB267" s="30" t="s">
        <v>151</v>
      </c>
      <c r="AC267" s="30" t="s">
        <v>151</v>
      </c>
      <c r="AD267" s="39">
        <v>2021</v>
      </c>
      <c r="AE267" s="30" t="s">
        <v>151</v>
      </c>
      <c r="AF267" s="35">
        <v>45552</v>
      </c>
      <c r="AG267" s="30" t="s">
        <v>151</v>
      </c>
      <c r="AH267" s="30" t="s">
        <v>151</v>
      </c>
      <c r="AI267" s="38" t="s">
        <v>151</v>
      </c>
      <c r="AJ267" s="32" t="s">
        <v>151</v>
      </c>
      <c r="AK267" s="38" t="s">
        <v>151</v>
      </c>
      <c r="AL267" s="38" t="s">
        <v>151</v>
      </c>
      <c r="AM267" s="38" t="s">
        <v>151</v>
      </c>
      <c r="AN267" s="38" t="s">
        <v>151</v>
      </c>
      <c r="AO267" s="38" t="s">
        <v>151</v>
      </c>
      <c r="AP267" s="38" t="s">
        <v>151</v>
      </c>
      <c r="AQ267" s="38" t="s">
        <v>151</v>
      </c>
      <c r="AR267" s="29" t="s">
        <v>151</v>
      </c>
      <c r="AS267" s="30" t="s">
        <v>5953</v>
      </c>
      <c r="AT267" s="30" t="s">
        <v>5954</v>
      </c>
      <c r="AU267" s="31">
        <v>6</v>
      </c>
      <c r="AV267" s="30" t="s">
        <v>151</v>
      </c>
      <c r="AW267" s="30" t="s">
        <v>151</v>
      </c>
      <c r="AX267" s="30" t="s">
        <v>151</v>
      </c>
      <c r="AY267" s="30" t="s">
        <v>5955</v>
      </c>
      <c r="AZ267" s="30" t="s">
        <v>151</v>
      </c>
      <c r="BA267" s="30" t="s">
        <v>151</v>
      </c>
      <c r="BB267" s="30" t="s">
        <v>151</v>
      </c>
      <c r="BC267" s="30" t="s">
        <v>151</v>
      </c>
      <c r="BD267" s="30" t="s">
        <v>5956</v>
      </c>
      <c r="BE267" s="30" t="s">
        <v>5957</v>
      </c>
      <c r="BF267" s="30" t="s">
        <v>221</v>
      </c>
      <c r="BG267" s="30" t="s">
        <v>5958</v>
      </c>
      <c r="BH267" s="30" t="s">
        <v>5959</v>
      </c>
      <c r="BI267" s="30" t="s">
        <v>1909</v>
      </c>
      <c r="BJ267" s="30" t="s">
        <v>5960</v>
      </c>
      <c r="BK267" s="30" t="s">
        <v>151</v>
      </c>
      <c r="BL267" s="30" t="s">
        <v>1912</v>
      </c>
      <c r="BM267" s="30" t="s">
        <v>1072</v>
      </c>
      <c r="BN267" s="29" t="s">
        <v>5961</v>
      </c>
      <c r="BO267" s="30" t="s">
        <v>186</v>
      </c>
      <c r="BP267" s="29" t="s">
        <v>5962</v>
      </c>
      <c r="BQ267" s="29" t="s">
        <v>151</v>
      </c>
      <c r="BR267" s="30" t="s">
        <v>5963</v>
      </c>
      <c r="BS267" s="30" t="s">
        <v>187</v>
      </c>
      <c r="BT267" s="30" t="s">
        <v>188</v>
      </c>
      <c r="BU267" s="35">
        <v>44524</v>
      </c>
      <c r="BV267" s="37">
        <v>0.1</v>
      </c>
      <c r="BW267" s="30" t="s">
        <v>192</v>
      </c>
      <c r="BX267" s="37">
        <v>3</v>
      </c>
      <c r="BY267" s="30" t="s">
        <v>192</v>
      </c>
      <c r="BZ267" s="30" t="s">
        <v>293</v>
      </c>
      <c r="CA267" s="30" t="s">
        <v>293</v>
      </c>
      <c r="CB267" s="30" t="s">
        <v>151</v>
      </c>
      <c r="CC267" s="30" t="s">
        <v>165</v>
      </c>
      <c r="CD267" s="30" t="s">
        <v>151</v>
      </c>
      <c r="CE267" s="30" t="s">
        <v>191</v>
      </c>
      <c r="CF267" s="35" t="s">
        <v>151</v>
      </c>
      <c r="CG267" s="37">
        <v>0.06</v>
      </c>
      <c r="CH267" s="30" t="s">
        <v>192</v>
      </c>
      <c r="CI267" s="37">
        <v>1</v>
      </c>
      <c r="CJ267" s="30" t="s">
        <v>192</v>
      </c>
      <c r="CK267" s="29" t="s">
        <v>151</v>
      </c>
      <c r="CL267" s="30" t="s">
        <v>189</v>
      </c>
      <c r="CM267" s="30" t="s">
        <v>151</v>
      </c>
      <c r="CN267" s="30" t="s">
        <v>151</v>
      </c>
      <c r="CO267" s="30" t="s">
        <v>190</v>
      </c>
      <c r="CP267" s="35" t="s">
        <v>151</v>
      </c>
      <c r="CQ267" s="37" t="s">
        <v>151</v>
      </c>
      <c r="CR267" s="30" t="s">
        <v>151</v>
      </c>
      <c r="CS267" s="30" t="s">
        <v>191</v>
      </c>
      <c r="CT267" s="29" t="s">
        <v>151</v>
      </c>
      <c r="CU267" s="30" t="s">
        <v>151</v>
      </c>
      <c r="CV267" s="32" t="s">
        <v>151</v>
      </c>
      <c r="CW267" s="32" t="s">
        <v>151</v>
      </c>
      <c r="CX267" s="30" t="s">
        <v>151</v>
      </c>
      <c r="CY267" s="32" t="s">
        <v>151</v>
      </c>
      <c r="CZ267" s="32" t="s">
        <v>151</v>
      </c>
      <c r="DA267" s="37">
        <v>1</v>
      </c>
      <c r="DB267" s="35" t="s">
        <v>151</v>
      </c>
      <c r="DC267" s="30" t="s">
        <v>189</v>
      </c>
      <c r="DD267" s="29" t="s">
        <v>151</v>
      </c>
      <c r="DE267" s="32">
        <v>0</v>
      </c>
      <c r="DF267" s="34">
        <v>11</v>
      </c>
      <c r="DG267" s="32">
        <v>0</v>
      </c>
      <c r="DH267" s="32">
        <v>0</v>
      </c>
      <c r="DI267" s="32" t="s">
        <v>151</v>
      </c>
      <c r="DJ267" s="34" t="s">
        <v>151</v>
      </c>
      <c r="DK267" s="32" t="s">
        <v>151</v>
      </c>
      <c r="DL267" s="34" t="s">
        <v>151</v>
      </c>
      <c r="DM267" s="32" t="s">
        <v>151</v>
      </c>
      <c r="DN267" s="34" t="s">
        <v>151</v>
      </c>
      <c r="DO267" s="36">
        <v>0.15</v>
      </c>
      <c r="DP267" s="34">
        <v>9</v>
      </c>
      <c r="DQ267" s="36">
        <v>0</v>
      </c>
      <c r="DR267" s="32">
        <v>0</v>
      </c>
      <c r="DS267" s="36" t="s">
        <v>151</v>
      </c>
      <c r="DT267" s="34" t="s">
        <v>151</v>
      </c>
      <c r="DU267" s="36" t="s">
        <v>151</v>
      </c>
      <c r="DV267" s="34" t="s">
        <v>151</v>
      </c>
      <c r="DW267" s="36" t="s">
        <v>151</v>
      </c>
      <c r="DX267" s="34" t="s">
        <v>151</v>
      </c>
      <c r="DY267" s="31" t="s">
        <v>151</v>
      </c>
      <c r="DZ267" s="35" t="s">
        <v>151</v>
      </c>
      <c r="EA267" s="35" t="s">
        <v>151</v>
      </c>
      <c r="EB267" s="34">
        <v>262</v>
      </c>
      <c r="EC267" s="33">
        <v>-1</v>
      </c>
      <c r="ED267" s="32">
        <v>-0.38</v>
      </c>
      <c r="EE267" s="34" t="s">
        <v>151</v>
      </c>
      <c r="EF267" s="33" t="s">
        <v>151</v>
      </c>
      <c r="EG267" s="32" t="s">
        <v>151</v>
      </c>
      <c r="EH267" s="29" t="s">
        <v>198</v>
      </c>
      <c r="EI267" s="30" t="s">
        <v>151</v>
      </c>
      <c r="EJ267" s="30" t="s">
        <v>151</v>
      </c>
      <c r="EK267" s="31" t="s">
        <v>151</v>
      </c>
      <c r="EL267" s="31" t="s">
        <v>151</v>
      </c>
      <c r="EM267" s="31" t="s">
        <v>151</v>
      </c>
      <c r="EN267" s="31" t="s">
        <v>151</v>
      </c>
      <c r="EO267" s="31" t="s">
        <v>151</v>
      </c>
      <c r="EP267" s="30" t="s">
        <v>151</v>
      </c>
      <c r="EQ267" s="29" t="s">
        <v>151</v>
      </c>
      <c r="ER267" s="29" t="s">
        <v>151</v>
      </c>
      <c r="ES267" s="4">
        <f>HYPERLINK("https://my.pitchbook.com?c=494215-21","View Company Online")</f>
      </c>
    </row>
    <row r="268">
      <c r="A268" s="17" t="s">
        <v>5964</v>
      </c>
      <c r="B268" s="17" t="s">
        <v>5965</v>
      </c>
      <c r="C268" s="18" t="s">
        <v>151</v>
      </c>
      <c r="D268" s="17" t="s">
        <v>5966</v>
      </c>
      <c r="E268" s="17" t="s">
        <v>151</v>
      </c>
      <c r="F268" s="17" t="s">
        <v>5967</v>
      </c>
      <c r="G268" s="17" t="s">
        <v>151</v>
      </c>
      <c r="H268" s="17" t="s">
        <v>151</v>
      </c>
      <c r="I268" s="17" t="s">
        <v>151</v>
      </c>
      <c r="J268" s="17" t="s">
        <v>5964</v>
      </c>
      <c r="K268" s="17" t="s">
        <v>5968</v>
      </c>
      <c r="L268" s="17" t="s">
        <v>205</v>
      </c>
      <c r="M268" s="17" t="s">
        <v>206</v>
      </c>
      <c r="N268" s="17" t="s">
        <v>269</v>
      </c>
      <c r="O268" s="17" t="s">
        <v>563</v>
      </c>
      <c r="P268" s="17" t="s">
        <v>5969</v>
      </c>
      <c r="Q268" s="17" t="s">
        <v>5970</v>
      </c>
      <c r="R268" s="17" t="s">
        <v>151</v>
      </c>
      <c r="S268" s="17" t="s">
        <v>162</v>
      </c>
      <c r="T268" s="24">
        <v>4.07</v>
      </c>
      <c r="U268" s="17" t="s">
        <v>163</v>
      </c>
      <c r="V268" s="17" t="s">
        <v>164</v>
      </c>
      <c r="W268" s="17" t="s">
        <v>165</v>
      </c>
      <c r="X268" s="15" t="s">
        <v>5971</v>
      </c>
      <c r="Y268" s="15" t="s">
        <v>5972</v>
      </c>
      <c r="Z268" s="27">
        <v>31</v>
      </c>
      <c r="AA268" s="17" t="s">
        <v>5973</v>
      </c>
      <c r="AB268" s="17" t="s">
        <v>151</v>
      </c>
      <c r="AC268" s="17" t="s">
        <v>151</v>
      </c>
      <c r="AD268" s="26">
        <v>2019</v>
      </c>
      <c r="AE268" s="17" t="s">
        <v>151</v>
      </c>
      <c r="AF268" s="22">
        <v>45595</v>
      </c>
      <c r="AG268" s="17" t="s">
        <v>151</v>
      </c>
      <c r="AH268" s="17" t="s">
        <v>151</v>
      </c>
      <c r="AI268" s="25" t="s">
        <v>151</v>
      </c>
      <c r="AJ268" s="19" t="s">
        <v>151</v>
      </c>
      <c r="AK268" s="25" t="s">
        <v>151</v>
      </c>
      <c r="AL268" s="25" t="s">
        <v>151</v>
      </c>
      <c r="AM268" s="25" t="s">
        <v>151</v>
      </c>
      <c r="AN268" s="25" t="s">
        <v>151</v>
      </c>
      <c r="AO268" s="25" t="s">
        <v>151</v>
      </c>
      <c r="AP268" s="25" t="s">
        <v>151</v>
      </c>
      <c r="AQ268" s="25" t="s">
        <v>151</v>
      </c>
      <c r="AR268" s="16" t="s">
        <v>151</v>
      </c>
      <c r="AS268" s="17" t="s">
        <v>5974</v>
      </c>
      <c r="AT268" s="17" t="s">
        <v>5975</v>
      </c>
      <c r="AU268" s="18">
        <v>11</v>
      </c>
      <c r="AV268" s="17" t="s">
        <v>151</v>
      </c>
      <c r="AW268" s="17" t="s">
        <v>151</v>
      </c>
      <c r="AX268" s="17" t="s">
        <v>151</v>
      </c>
      <c r="AY268" s="17" t="s">
        <v>5976</v>
      </c>
      <c r="AZ268" s="17" t="s">
        <v>151</v>
      </c>
      <c r="BA268" s="17" t="s">
        <v>151</v>
      </c>
      <c r="BB268" s="17" t="s">
        <v>2782</v>
      </c>
      <c r="BC268" s="17" t="s">
        <v>151</v>
      </c>
      <c r="BD268" s="17" t="s">
        <v>5977</v>
      </c>
      <c r="BE268" s="17" t="s">
        <v>5978</v>
      </c>
      <c r="BF268" s="17" t="s">
        <v>5979</v>
      </c>
      <c r="BG268" s="17" t="s">
        <v>5980</v>
      </c>
      <c r="BH268" s="17" t="s">
        <v>5981</v>
      </c>
      <c r="BI268" s="17" t="s">
        <v>906</v>
      </c>
      <c r="BJ268" s="17" t="s">
        <v>5982</v>
      </c>
      <c r="BK268" s="17" t="s">
        <v>5983</v>
      </c>
      <c r="BL268" s="17" t="s">
        <v>259</v>
      </c>
      <c r="BM268" s="17" t="s">
        <v>259</v>
      </c>
      <c r="BN268" s="16" t="s">
        <v>5984</v>
      </c>
      <c r="BO268" s="17" t="s">
        <v>186</v>
      </c>
      <c r="BP268" s="16" t="s">
        <v>5981</v>
      </c>
      <c r="BQ268" s="16" t="s">
        <v>151</v>
      </c>
      <c r="BR268" s="17" t="s">
        <v>5985</v>
      </c>
      <c r="BS268" s="17" t="s">
        <v>187</v>
      </c>
      <c r="BT268" s="17" t="s">
        <v>188</v>
      </c>
      <c r="BU268" s="22">
        <v>44257</v>
      </c>
      <c r="BV268" s="24">
        <v>1.25</v>
      </c>
      <c r="BW268" s="17" t="s">
        <v>192</v>
      </c>
      <c r="BX268" s="24" t="s">
        <v>151</v>
      </c>
      <c r="BY268" s="17" t="s">
        <v>151</v>
      </c>
      <c r="BZ268" s="17" t="s">
        <v>231</v>
      </c>
      <c r="CA268" s="17" t="s">
        <v>151</v>
      </c>
      <c r="CB268" s="17" t="s">
        <v>151</v>
      </c>
      <c r="CC268" s="17" t="s">
        <v>165</v>
      </c>
      <c r="CD268" s="17" t="s">
        <v>151</v>
      </c>
      <c r="CE268" s="17" t="s">
        <v>191</v>
      </c>
      <c r="CF268" s="22">
        <v>45282</v>
      </c>
      <c r="CG268" s="24">
        <v>1.35</v>
      </c>
      <c r="CH268" s="17" t="s">
        <v>192</v>
      </c>
      <c r="CI268" s="24" t="s">
        <v>151</v>
      </c>
      <c r="CJ268" s="17" t="s">
        <v>151</v>
      </c>
      <c r="CK268" s="16" t="s">
        <v>151</v>
      </c>
      <c r="CL268" s="17" t="s">
        <v>231</v>
      </c>
      <c r="CM268" s="17" t="s">
        <v>151</v>
      </c>
      <c r="CN268" s="17" t="s">
        <v>151</v>
      </c>
      <c r="CO268" s="17" t="s">
        <v>165</v>
      </c>
      <c r="CP268" s="22">
        <v>45282</v>
      </c>
      <c r="CQ268" s="24" t="s">
        <v>151</v>
      </c>
      <c r="CR268" s="17" t="s">
        <v>151</v>
      </c>
      <c r="CS268" s="17" t="s">
        <v>191</v>
      </c>
      <c r="CT268" s="16">
        <v>74</v>
      </c>
      <c r="CU268" s="17" t="s">
        <v>196</v>
      </c>
      <c r="CV268" s="19">
        <v>69</v>
      </c>
      <c r="CW268" s="19">
        <v>31</v>
      </c>
      <c r="CX268" s="17" t="s">
        <v>294</v>
      </c>
      <c r="CY268" s="19">
        <v>1</v>
      </c>
      <c r="CZ268" s="19">
        <v>68</v>
      </c>
      <c r="DA268" s="24" t="s">
        <v>151</v>
      </c>
      <c r="DB268" s="22" t="s">
        <v>151</v>
      </c>
      <c r="DC268" s="17" t="s">
        <v>151</v>
      </c>
      <c r="DD268" s="16" t="s">
        <v>151</v>
      </c>
      <c r="DE268" s="19">
        <v>1.97</v>
      </c>
      <c r="DF268" s="21">
        <v>98</v>
      </c>
      <c r="DG268" s="19">
        <v>0</v>
      </c>
      <c r="DH268" s="19">
        <v>0</v>
      </c>
      <c r="DI268" s="19">
        <v>3.09</v>
      </c>
      <c r="DJ268" s="21">
        <v>99</v>
      </c>
      <c r="DK268" s="19" t="s">
        <v>151</v>
      </c>
      <c r="DL268" s="21" t="s">
        <v>151</v>
      </c>
      <c r="DM268" s="19">
        <v>3.09</v>
      </c>
      <c r="DN268" s="21">
        <v>99</v>
      </c>
      <c r="DO268" s="23">
        <v>6.69</v>
      </c>
      <c r="DP268" s="21">
        <v>86</v>
      </c>
      <c r="DQ268" s="23">
        <v>0</v>
      </c>
      <c r="DR268" s="19">
        <v>0</v>
      </c>
      <c r="DS268" s="23">
        <v>11</v>
      </c>
      <c r="DT268" s="21">
        <v>91</v>
      </c>
      <c r="DU268" s="23" t="s">
        <v>151</v>
      </c>
      <c r="DV268" s="21" t="s">
        <v>151</v>
      </c>
      <c r="DW268" s="23">
        <v>11</v>
      </c>
      <c r="DX268" s="21">
        <v>91</v>
      </c>
      <c r="DY268" s="18" t="s">
        <v>151</v>
      </c>
      <c r="DZ268" s="22" t="s">
        <v>151</v>
      </c>
      <c r="EA268" s="22" t="s">
        <v>151</v>
      </c>
      <c r="EB268" s="21">
        <v>2172</v>
      </c>
      <c r="EC268" s="20">
        <v>-22</v>
      </c>
      <c r="ED268" s="19">
        <v>-1</v>
      </c>
      <c r="EE268" s="21">
        <v>209</v>
      </c>
      <c r="EF268" s="20">
        <v>3</v>
      </c>
      <c r="EG268" s="19">
        <v>1.46</v>
      </c>
      <c r="EH268" s="16" t="s">
        <v>198</v>
      </c>
      <c r="EI268" s="17" t="s">
        <v>151</v>
      </c>
      <c r="EJ268" s="17" t="s">
        <v>151</v>
      </c>
      <c r="EK268" s="18" t="s">
        <v>151</v>
      </c>
      <c r="EL268" s="18" t="s">
        <v>151</v>
      </c>
      <c r="EM268" s="18" t="s">
        <v>151</v>
      </c>
      <c r="EN268" s="18" t="s">
        <v>151</v>
      </c>
      <c r="EO268" s="18" t="s">
        <v>151</v>
      </c>
      <c r="EP268" s="17" t="s">
        <v>151</v>
      </c>
      <c r="EQ268" s="16" t="s">
        <v>151</v>
      </c>
      <c r="ER268" s="16" t="s">
        <v>151</v>
      </c>
      <c r="ES268" s="3">
        <f>HYPERLINK("https://my.pitchbook.com?c=458746-30","View Company Online")</f>
      </c>
    </row>
    <row r="269">
      <c r="A269" s="30" t="s">
        <v>5986</v>
      </c>
      <c r="B269" s="30" t="s">
        <v>5987</v>
      </c>
      <c r="C269" s="31" t="s">
        <v>151</v>
      </c>
      <c r="D269" s="30" t="s">
        <v>151</v>
      </c>
      <c r="E269" s="30" t="s">
        <v>5988</v>
      </c>
      <c r="F269" s="30" t="s">
        <v>5989</v>
      </c>
      <c r="G269" s="30" t="s">
        <v>151</v>
      </c>
      <c r="H269" s="30" t="s">
        <v>151</v>
      </c>
      <c r="I269" s="30" t="s">
        <v>5990</v>
      </c>
      <c r="J269" s="30" t="s">
        <v>5986</v>
      </c>
      <c r="K269" s="30" t="s">
        <v>5991</v>
      </c>
      <c r="L269" s="30" t="s">
        <v>155</v>
      </c>
      <c r="M269" s="30" t="s">
        <v>361</v>
      </c>
      <c r="N269" s="30" t="s">
        <v>3162</v>
      </c>
      <c r="O269" s="30" t="s">
        <v>3163</v>
      </c>
      <c r="P269" s="30" t="s">
        <v>3922</v>
      </c>
      <c r="Q269" s="30" t="s">
        <v>5992</v>
      </c>
      <c r="R269" s="30" t="s">
        <v>151</v>
      </c>
      <c r="S269" s="30" t="s">
        <v>162</v>
      </c>
      <c r="T269" s="37">
        <v>0.27</v>
      </c>
      <c r="U269" s="30" t="s">
        <v>163</v>
      </c>
      <c r="V269" s="30" t="s">
        <v>164</v>
      </c>
      <c r="W269" s="30" t="s">
        <v>165</v>
      </c>
      <c r="X269" s="28" t="s">
        <v>5993</v>
      </c>
      <c r="Y269" s="28" t="s">
        <v>5994</v>
      </c>
      <c r="Z269" s="40">
        <v>8</v>
      </c>
      <c r="AA269" s="30" t="s">
        <v>5995</v>
      </c>
      <c r="AB269" s="30" t="s">
        <v>151</v>
      </c>
      <c r="AC269" s="30" t="s">
        <v>151</v>
      </c>
      <c r="AD269" s="39">
        <v>2019</v>
      </c>
      <c r="AE269" s="30" t="s">
        <v>151</v>
      </c>
      <c r="AF269" s="35">
        <v>45425</v>
      </c>
      <c r="AG269" s="30" t="s">
        <v>151</v>
      </c>
      <c r="AH269" s="30" t="s">
        <v>151</v>
      </c>
      <c r="AI269" s="38">
        <v>0.06</v>
      </c>
      <c r="AJ269" s="32" t="s">
        <v>151</v>
      </c>
      <c r="AK269" s="38" t="s">
        <v>151</v>
      </c>
      <c r="AL269" s="38" t="s">
        <v>151</v>
      </c>
      <c r="AM269" s="38" t="s">
        <v>151</v>
      </c>
      <c r="AN269" s="38" t="s">
        <v>151</v>
      </c>
      <c r="AO269" s="38" t="s">
        <v>151</v>
      </c>
      <c r="AP269" s="38" t="s">
        <v>151</v>
      </c>
      <c r="AQ269" s="38" t="s">
        <v>151</v>
      </c>
      <c r="AR269" s="29" t="s">
        <v>810</v>
      </c>
      <c r="AS269" s="30" t="s">
        <v>5996</v>
      </c>
      <c r="AT269" s="30" t="s">
        <v>5997</v>
      </c>
      <c r="AU269" s="31">
        <v>5</v>
      </c>
      <c r="AV269" s="30" t="s">
        <v>151</v>
      </c>
      <c r="AW269" s="30" t="s">
        <v>151</v>
      </c>
      <c r="AX269" s="30" t="s">
        <v>151</v>
      </c>
      <c r="AY269" s="30" t="s">
        <v>5998</v>
      </c>
      <c r="AZ269" s="30" t="s">
        <v>151</v>
      </c>
      <c r="BA269" s="30" t="s">
        <v>151</v>
      </c>
      <c r="BB269" s="30" t="s">
        <v>151</v>
      </c>
      <c r="BC269" s="30" t="s">
        <v>5999</v>
      </c>
      <c r="BD269" s="30" t="s">
        <v>6000</v>
      </c>
      <c r="BE269" s="30" t="s">
        <v>6001</v>
      </c>
      <c r="BF269" s="30" t="s">
        <v>221</v>
      </c>
      <c r="BG269" s="30" t="s">
        <v>6002</v>
      </c>
      <c r="BH269" s="30" t="s">
        <v>6003</v>
      </c>
      <c r="BI269" s="30" t="s">
        <v>906</v>
      </c>
      <c r="BJ269" s="30" t="s">
        <v>6004</v>
      </c>
      <c r="BK269" s="30" t="s">
        <v>2957</v>
      </c>
      <c r="BL269" s="30" t="s">
        <v>259</v>
      </c>
      <c r="BM269" s="30" t="s">
        <v>259</v>
      </c>
      <c r="BN269" s="29" t="s">
        <v>6005</v>
      </c>
      <c r="BO269" s="30" t="s">
        <v>186</v>
      </c>
      <c r="BP269" s="29" t="s">
        <v>6003</v>
      </c>
      <c r="BQ269" s="29" t="s">
        <v>151</v>
      </c>
      <c r="BR269" s="30" t="s">
        <v>6006</v>
      </c>
      <c r="BS269" s="30" t="s">
        <v>187</v>
      </c>
      <c r="BT269" s="30" t="s">
        <v>188</v>
      </c>
      <c r="BU269" s="35" t="s">
        <v>151</v>
      </c>
      <c r="BV269" s="37">
        <v>0.08</v>
      </c>
      <c r="BW269" s="30" t="s">
        <v>192</v>
      </c>
      <c r="BX269" s="37" t="s">
        <v>151</v>
      </c>
      <c r="BY269" s="30" t="s">
        <v>151</v>
      </c>
      <c r="BZ269" s="30" t="s">
        <v>1075</v>
      </c>
      <c r="CA269" s="30" t="s">
        <v>1075</v>
      </c>
      <c r="CB269" s="30" t="s">
        <v>151</v>
      </c>
      <c r="CC269" s="30" t="s">
        <v>585</v>
      </c>
      <c r="CD269" s="30" t="s">
        <v>151</v>
      </c>
      <c r="CE269" s="30" t="s">
        <v>1887</v>
      </c>
      <c r="CF269" s="35">
        <v>44651</v>
      </c>
      <c r="CG269" s="37">
        <v>0.21</v>
      </c>
      <c r="CH269" s="30" t="s">
        <v>192</v>
      </c>
      <c r="CI269" s="37" t="s">
        <v>151</v>
      </c>
      <c r="CJ269" s="30" t="s">
        <v>151</v>
      </c>
      <c r="CK269" s="29" t="s">
        <v>151</v>
      </c>
      <c r="CL269" s="30" t="s">
        <v>231</v>
      </c>
      <c r="CM269" s="30" t="s">
        <v>151</v>
      </c>
      <c r="CN269" s="30" t="s">
        <v>151</v>
      </c>
      <c r="CO269" s="30" t="s">
        <v>165</v>
      </c>
      <c r="CP269" s="35">
        <v>44651</v>
      </c>
      <c r="CQ269" s="37" t="s">
        <v>151</v>
      </c>
      <c r="CR269" s="30" t="s">
        <v>151</v>
      </c>
      <c r="CS269" s="30" t="s">
        <v>191</v>
      </c>
      <c r="CT269" s="29" t="s">
        <v>151</v>
      </c>
      <c r="CU269" s="30" t="s">
        <v>151</v>
      </c>
      <c r="CV269" s="32" t="s">
        <v>151</v>
      </c>
      <c r="CW269" s="32" t="s">
        <v>151</v>
      </c>
      <c r="CX269" s="30" t="s">
        <v>151</v>
      </c>
      <c r="CY269" s="32" t="s">
        <v>151</v>
      </c>
      <c r="CZ269" s="32" t="s">
        <v>151</v>
      </c>
      <c r="DA269" s="37" t="s">
        <v>151</v>
      </c>
      <c r="DB269" s="35" t="s">
        <v>151</v>
      </c>
      <c r="DC269" s="30" t="s">
        <v>151</v>
      </c>
      <c r="DD269" s="29" t="s">
        <v>151</v>
      </c>
      <c r="DE269" s="32">
        <v>-0.69</v>
      </c>
      <c r="DF269" s="34">
        <v>6</v>
      </c>
      <c r="DG269" s="32">
        <v>0</v>
      </c>
      <c r="DH269" s="32">
        <v>0</v>
      </c>
      <c r="DI269" s="32">
        <v>0</v>
      </c>
      <c r="DJ269" s="34">
        <v>10</v>
      </c>
      <c r="DK269" s="32" t="s">
        <v>151</v>
      </c>
      <c r="DL269" s="34" t="s">
        <v>151</v>
      </c>
      <c r="DM269" s="32">
        <v>0</v>
      </c>
      <c r="DN269" s="34">
        <v>10</v>
      </c>
      <c r="DO269" s="36">
        <v>0.83</v>
      </c>
      <c r="DP269" s="34">
        <v>45</v>
      </c>
      <c r="DQ269" s="36">
        <v>0</v>
      </c>
      <c r="DR269" s="32">
        <v>0</v>
      </c>
      <c r="DS269" s="36">
        <v>1.05</v>
      </c>
      <c r="DT269" s="34">
        <v>51</v>
      </c>
      <c r="DU269" s="36" t="s">
        <v>151</v>
      </c>
      <c r="DV269" s="34" t="s">
        <v>151</v>
      </c>
      <c r="DW269" s="36">
        <v>1.05</v>
      </c>
      <c r="DX269" s="34">
        <v>51</v>
      </c>
      <c r="DY269" s="31" t="s">
        <v>151</v>
      </c>
      <c r="DZ269" s="35" t="s">
        <v>151</v>
      </c>
      <c r="EA269" s="35" t="s">
        <v>151</v>
      </c>
      <c r="EB269" s="34" t="s">
        <v>151</v>
      </c>
      <c r="EC269" s="33" t="s">
        <v>151</v>
      </c>
      <c r="ED269" s="32" t="s">
        <v>151</v>
      </c>
      <c r="EE269" s="34">
        <v>20</v>
      </c>
      <c r="EF269" s="33">
        <v>1</v>
      </c>
      <c r="EG269" s="32">
        <v>5.26</v>
      </c>
      <c r="EH269" s="29" t="s">
        <v>198</v>
      </c>
      <c r="EI269" s="30" t="s">
        <v>151</v>
      </c>
      <c r="EJ269" s="30" t="s">
        <v>151</v>
      </c>
      <c r="EK269" s="31" t="s">
        <v>151</v>
      </c>
      <c r="EL269" s="31" t="s">
        <v>151</v>
      </c>
      <c r="EM269" s="31" t="s">
        <v>151</v>
      </c>
      <c r="EN269" s="31" t="s">
        <v>151</v>
      </c>
      <c r="EO269" s="31" t="s">
        <v>151</v>
      </c>
      <c r="EP269" s="30" t="s">
        <v>151</v>
      </c>
      <c r="EQ269" s="29" t="s">
        <v>151</v>
      </c>
      <c r="ER269" s="29" t="s">
        <v>151</v>
      </c>
      <c r="ES269" s="4">
        <f>HYPERLINK("https://my.pitchbook.com?c=439515-01","View Company Online")</f>
      </c>
    </row>
    <row r="270">
      <c r="A270" s="17" t="s">
        <v>6007</v>
      </c>
      <c r="B270" s="17" t="s">
        <v>6008</v>
      </c>
      <c r="C270" s="18" t="s">
        <v>151</v>
      </c>
      <c r="D270" s="17" t="s">
        <v>151</v>
      </c>
      <c r="E270" s="17" t="s">
        <v>6009</v>
      </c>
      <c r="F270" s="17" t="s">
        <v>6010</v>
      </c>
      <c r="G270" s="17" t="s">
        <v>151</v>
      </c>
      <c r="H270" s="17" t="s">
        <v>151</v>
      </c>
      <c r="I270" s="17" t="s">
        <v>151</v>
      </c>
      <c r="J270" s="17" t="s">
        <v>6007</v>
      </c>
      <c r="K270" s="17" t="s">
        <v>6011</v>
      </c>
      <c r="L270" s="17" t="s">
        <v>205</v>
      </c>
      <c r="M270" s="17" t="s">
        <v>206</v>
      </c>
      <c r="N270" s="17" t="s">
        <v>1940</v>
      </c>
      <c r="O270" s="17" t="s">
        <v>5396</v>
      </c>
      <c r="P270" s="17" t="s">
        <v>364</v>
      </c>
      <c r="Q270" s="17" t="s">
        <v>6012</v>
      </c>
      <c r="R270" s="17" t="s">
        <v>151</v>
      </c>
      <c r="S270" s="17" t="s">
        <v>162</v>
      </c>
      <c r="T270" s="24">
        <v>12.7</v>
      </c>
      <c r="U270" s="17" t="s">
        <v>163</v>
      </c>
      <c r="V270" s="17" t="s">
        <v>164</v>
      </c>
      <c r="W270" s="17" t="s">
        <v>165</v>
      </c>
      <c r="X270" s="15" t="s">
        <v>6013</v>
      </c>
      <c r="Y270" s="15" t="s">
        <v>6014</v>
      </c>
      <c r="Z270" s="27">
        <v>30</v>
      </c>
      <c r="AA270" s="17" t="s">
        <v>6015</v>
      </c>
      <c r="AB270" s="17" t="s">
        <v>151</v>
      </c>
      <c r="AC270" s="17" t="s">
        <v>151</v>
      </c>
      <c r="AD270" s="26">
        <v>2017</v>
      </c>
      <c r="AE270" s="17" t="s">
        <v>151</v>
      </c>
      <c r="AF270" s="22">
        <v>45596</v>
      </c>
      <c r="AG270" s="17" t="s">
        <v>151</v>
      </c>
      <c r="AH270" s="17" t="s">
        <v>151</v>
      </c>
      <c r="AI270" s="25" t="s">
        <v>151</v>
      </c>
      <c r="AJ270" s="19" t="s">
        <v>151</v>
      </c>
      <c r="AK270" s="25" t="s">
        <v>151</v>
      </c>
      <c r="AL270" s="25" t="s">
        <v>151</v>
      </c>
      <c r="AM270" s="25" t="s">
        <v>151</v>
      </c>
      <c r="AN270" s="25" t="s">
        <v>151</v>
      </c>
      <c r="AO270" s="25" t="s">
        <v>151</v>
      </c>
      <c r="AP270" s="25" t="s">
        <v>151</v>
      </c>
      <c r="AQ270" s="25" t="s">
        <v>151</v>
      </c>
      <c r="AR270" s="16" t="s">
        <v>151</v>
      </c>
      <c r="AS270" s="17" t="s">
        <v>6016</v>
      </c>
      <c r="AT270" s="17" t="s">
        <v>6017</v>
      </c>
      <c r="AU270" s="18">
        <v>18</v>
      </c>
      <c r="AV270" s="17" t="s">
        <v>151</v>
      </c>
      <c r="AW270" s="17" t="s">
        <v>6018</v>
      </c>
      <c r="AX270" s="17" t="s">
        <v>151</v>
      </c>
      <c r="AY270" s="17" t="s">
        <v>6019</v>
      </c>
      <c r="AZ270" s="17" t="s">
        <v>6020</v>
      </c>
      <c r="BA270" s="17" t="s">
        <v>151</v>
      </c>
      <c r="BB270" s="17" t="s">
        <v>151</v>
      </c>
      <c r="BC270" s="17" t="s">
        <v>151</v>
      </c>
      <c r="BD270" s="17" t="s">
        <v>6021</v>
      </c>
      <c r="BE270" s="17" t="s">
        <v>6022</v>
      </c>
      <c r="BF270" s="17" t="s">
        <v>493</v>
      </c>
      <c r="BG270" s="17" t="s">
        <v>6023</v>
      </c>
      <c r="BH270" s="17" t="s">
        <v>6024</v>
      </c>
      <c r="BI270" s="17" t="s">
        <v>6025</v>
      </c>
      <c r="BJ270" s="17" t="s">
        <v>6026</v>
      </c>
      <c r="BK270" s="17" t="s">
        <v>6027</v>
      </c>
      <c r="BL270" s="17" t="s">
        <v>6028</v>
      </c>
      <c r="BM270" s="17" t="s">
        <v>184</v>
      </c>
      <c r="BN270" s="16" t="s">
        <v>2454</v>
      </c>
      <c r="BO270" s="17" t="s">
        <v>186</v>
      </c>
      <c r="BP270" s="16" t="s">
        <v>6024</v>
      </c>
      <c r="BQ270" s="16" t="s">
        <v>151</v>
      </c>
      <c r="BR270" s="17" t="s">
        <v>6029</v>
      </c>
      <c r="BS270" s="17" t="s">
        <v>187</v>
      </c>
      <c r="BT270" s="17" t="s">
        <v>188</v>
      </c>
      <c r="BU270" s="22">
        <v>43882</v>
      </c>
      <c r="BV270" s="24">
        <v>1.7</v>
      </c>
      <c r="BW270" s="17" t="s">
        <v>192</v>
      </c>
      <c r="BX270" s="24">
        <v>6.7</v>
      </c>
      <c r="BY270" s="17" t="s">
        <v>192</v>
      </c>
      <c r="BZ270" s="17" t="s">
        <v>293</v>
      </c>
      <c r="CA270" s="17" t="s">
        <v>293</v>
      </c>
      <c r="CB270" s="17" t="s">
        <v>151</v>
      </c>
      <c r="CC270" s="17" t="s">
        <v>165</v>
      </c>
      <c r="CD270" s="17" t="s">
        <v>151</v>
      </c>
      <c r="CE270" s="17" t="s">
        <v>191</v>
      </c>
      <c r="CF270" s="22">
        <v>45596</v>
      </c>
      <c r="CG270" s="24">
        <v>11</v>
      </c>
      <c r="CH270" s="17" t="s">
        <v>151</v>
      </c>
      <c r="CI270" s="24" t="s">
        <v>151</v>
      </c>
      <c r="CJ270" s="17" t="s">
        <v>151</v>
      </c>
      <c r="CK270" s="16" t="s">
        <v>151</v>
      </c>
      <c r="CL270" s="17" t="s">
        <v>194</v>
      </c>
      <c r="CM270" s="17" t="s">
        <v>151</v>
      </c>
      <c r="CN270" s="17" t="s">
        <v>151</v>
      </c>
      <c r="CO270" s="17" t="s">
        <v>165</v>
      </c>
      <c r="CP270" s="22">
        <v>45596</v>
      </c>
      <c r="CQ270" s="24" t="s">
        <v>151</v>
      </c>
      <c r="CR270" s="17" t="s">
        <v>151</v>
      </c>
      <c r="CS270" s="17" t="s">
        <v>191</v>
      </c>
      <c r="CT270" s="16">
        <v>97</v>
      </c>
      <c r="CU270" s="17" t="s">
        <v>196</v>
      </c>
      <c r="CV270" s="19">
        <v>92</v>
      </c>
      <c r="CW270" s="19">
        <v>8</v>
      </c>
      <c r="CX270" s="17" t="s">
        <v>294</v>
      </c>
      <c r="CY270" s="19">
        <v>2</v>
      </c>
      <c r="CZ270" s="19">
        <v>90</v>
      </c>
      <c r="DA270" s="24">
        <v>6.7</v>
      </c>
      <c r="DB270" s="22">
        <v>43882</v>
      </c>
      <c r="DC270" s="17" t="s">
        <v>293</v>
      </c>
      <c r="DD270" s="16" t="s">
        <v>151</v>
      </c>
      <c r="DE270" s="19">
        <v>0.58</v>
      </c>
      <c r="DF270" s="21">
        <v>94</v>
      </c>
      <c r="DG270" s="19">
        <v>0.01</v>
      </c>
      <c r="DH270" s="19">
        <v>1.54</v>
      </c>
      <c r="DI270" s="19">
        <v>0.12</v>
      </c>
      <c r="DJ270" s="21">
        <v>93</v>
      </c>
      <c r="DK270" s="19" t="s">
        <v>151</v>
      </c>
      <c r="DL270" s="21" t="s">
        <v>151</v>
      </c>
      <c r="DM270" s="19">
        <v>0.12</v>
      </c>
      <c r="DN270" s="21">
        <v>93</v>
      </c>
      <c r="DO270" s="23">
        <v>214.61</v>
      </c>
      <c r="DP270" s="21">
        <v>100</v>
      </c>
      <c r="DQ270" s="23">
        <v>1.97</v>
      </c>
      <c r="DR270" s="19">
        <v>0.92</v>
      </c>
      <c r="DS270" s="23">
        <v>16.74</v>
      </c>
      <c r="DT270" s="21">
        <v>94</v>
      </c>
      <c r="DU270" s="23" t="s">
        <v>151</v>
      </c>
      <c r="DV270" s="21" t="s">
        <v>151</v>
      </c>
      <c r="DW270" s="23">
        <v>16.74</v>
      </c>
      <c r="DX270" s="21">
        <v>94</v>
      </c>
      <c r="DY270" s="18" t="s">
        <v>151</v>
      </c>
      <c r="DZ270" s="22" t="s">
        <v>151</v>
      </c>
      <c r="EA270" s="22" t="s">
        <v>151</v>
      </c>
      <c r="EB270" s="21">
        <v>5511</v>
      </c>
      <c r="EC270" s="20">
        <v>344</v>
      </c>
      <c r="ED270" s="19">
        <v>6.66</v>
      </c>
      <c r="EE270" s="21">
        <v>318</v>
      </c>
      <c r="EF270" s="20">
        <v>1</v>
      </c>
      <c r="EG270" s="19">
        <v>0.32</v>
      </c>
      <c r="EH270" s="16" t="s">
        <v>198</v>
      </c>
      <c r="EI270" s="17" t="s">
        <v>151</v>
      </c>
      <c r="EJ270" s="17" t="s">
        <v>151</v>
      </c>
      <c r="EK270" s="18" t="s">
        <v>151</v>
      </c>
      <c r="EL270" s="18" t="s">
        <v>151</v>
      </c>
      <c r="EM270" s="18" t="s">
        <v>151</v>
      </c>
      <c r="EN270" s="18" t="s">
        <v>151</v>
      </c>
      <c r="EO270" s="18" t="s">
        <v>151</v>
      </c>
      <c r="EP270" s="17" t="s">
        <v>151</v>
      </c>
      <c r="EQ270" s="16" t="s">
        <v>151</v>
      </c>
      <c r="ER270" s="16" t="s">
        <v>151</v>
      </c>
      <c r="ES270" s="3">
        <f>HYPERLINK("https://my.pitchbook.com?c=432832-87","View Company Online")</f>
      </c>
    </row>
    <row r="271">
      <c r="A271" s="30" t="s">
        <v>6030</v>
      </c>
      <c r="B271" s="30" t="s">
        <v>6031</v>
      </c>
      <c r="C271" s="31" t="s">
        <v>151</v>
      </c>
      <c r="D271" s="30" t="s">
        <v>151</v>
      </c>
      <c r="E271" s="30" t="s">
        <v>151</v>
      </c>
      <c r="F271" s="30" t="s">
        <v>6032</v>
      </c>
      <c r="G271" s="30" t="s">
        <v>151</v>
      </c>
      <c r="H271" s="30" t="s">
        <v>151</v>
      </c>
      <c r="I271" s="30" t="s">
        <v>151</v>
      </c>
      <c r="J271" s="30" t="s">
        <v>6030</v>
      </c>
      <c r="K271" s="30" t="s">
        <v>6033</v>
      </c>
      <c r="L271" s="30" t="s">
        <v>205</v>
      </c>
      <c r="M271" s="30" t="s">
        <v>206</v>
      </c>
      <c r="N271" s="30" t="s">
        <v>269</v>
      </c>
      <c r="O271" s="30" t="s">
        <v>891</v>
      </c>
      <c r="P271" s="30" t="s">
        <v>6034</v>
      </c>
      <c r="Q271" s="30" t="s">
        <v>6035</v>
      </c>
      <c r="R271" s="30" t="s">
        <v>151</v>
      </c>
      <c r="S271" s="30" t="s">
        <v>162</v>
      </c>
      <c r="T271" s="37">
        <v>5.8</v>
      </c>
      <c r="U271" s="30" t="s">
        <v>163</v>
      </c>
      <c r="V271" s="30" t="s">
        <v>164</v>
      </c>
      <c r="W271" s="30" t="s">
        <v>165</v>
      </c>
      <c r="X271" s="28" t="s">
        <v>6036</v>
      </c>
      <c r="Y271" s="28" t="s">
        <v>6037</v>
      </c>
      <c r="Z271" s="40">
        <v>19</v>
      </c>
      <c r="AA271" s="30" t="s">
        <v>6038</v>
      </c>
      <c r="AB271" s="30" t="s">
        <v>151</v>
      </c>
      <c r="AC271" s="30" t="s">
        <v>151</v>
      </c>
      <c r="AD271" s="39">
        <v>2017</v>
      </c>
      <c r="AE271" s="30" t="s">
        <v>151</v>
      </c>
      <c r="AF271" s="35">
        <v>45492</v>
      </c>
      <c r="AG271" s="30" t="s">
        <v>151</v>
      </c>
      <c r="AH271" s="30" t="s">
        <v>151</v>
      </c>
      <c r="AI271" s="38" t="s">
        <v>151</v>
      </c>
      <c r="AJ271" s="32" t="s">
        <v>151</v>
      </c>
      <c r="AK271" s="38" t="s">
        <v>151</v>
      </c>
      <c r="AL271" s="38" t="s">
        <v>151</v>
      </c>
      <c r="AM271" s="38" t="s">
        <v>151</v>
      </c>
      <c r="AN271" s="38" t="s">
        <v>151</v>
      </c>
      <c r="AO271" s="38" t="s">
        <v>151</v>
      </c>
      <c r="AP271" s="38" t="s">
        <v>151</v>
      </c>
      <c r="AQ271" s="38" t="s">
        <v>151</v>
      </c>
      <c r="AR271" s="29" t="s">
        <v>151</v>
      </c>
      <c r="AS271" s="30" t="s">
        <v>6039</v>
      </c>
      <c r="AT271" s="30" t="s">
        <v>6040</v>
      </c>
      <c r="AU271" s="31">
        <v>7</v>
      </c>
      <c r="AV271" s="30" t="s">
        <v>151</v>
      </c>
      <c r="AW271" s="30" t="s">
        <v>151</v>
      </c>
      <c r="AX271" s="30" t="s">
        <v>151</v>
      </c>
      <c r="AY271" s="30" t="s">
        <v>6041</v>
      </c>
      <c r="AZ271" s="30" t="s">
        <v>151</v>
      </c>
      <c r="BA271" s="30" t="s">
        <v>151</v>
      </c>
      <c r="BB271" s="30" t="s">
        <v>151</v>
      </c>
      <c r="BC271" s="30" t="s">
        <v>6042</v>
      </c>
      <c r="BD271" s="30" t="s">
        <v>6043</v>
      </c>
      <c r="BE271" s="30" t="s">
        <v>6044</v>
      </c>
      <c r="BF271" s="30" t="s">
        <v>221</v>
      </c>
      <c r="BG271" s="30" t="s">
        <v>6045</v>
      </c>
      <c r="BH271" s="30" t="s">
        <v>6046</v>
      </c>
      <c r="BI271" s="30" t="s">
        <v>5127</v>
      </c>
      <c r="BJ271" s="30" t="s">
        <v>6047</v>
      </c>
      <c r="BK271" s="30" t="s">
        <v>151</v>
      </c>
      <c r="BL271" s="30" t="s">
        <v>5129</v>
      </c>
      <c r="BM271" s="30" t="s">
        <v>259</v>
      </c>
      <c r="BN271" s="29" t="s">
        <v>5130</v>
      </c>
      <c r="BO271" s="30" t="s">
        <v>186</v>
      </c>
      <c r="BP271" s="29" t="s">
        <v>6046</v>
      </c>
      <c r="BQ271" s="29" t="s">
        <v>151</v>
      </c>
      <c r="BR271" s="30" t="s">
        <v>151</v>
      </c>
      <c r="BS271" s="30" t="s">
        <v>187</v>
      </c>
      <c r="BT271" s="30" t="s">
        <v>188</v>
      </c>
      <c r="BU271" s="35">
        <v>44224</v>
      </c>
      <c r="BV271" s="37" t="s">
        <v>151</v>
      </c>
      <c r="BW271" s="30" t="s">
        <v>151</v>
      </c>
      <c r="BX271" s="37" t="s">
        <v>151</v>
      </c>
      <c r="BY271" s="30" t="s">
        <v>151</v>
      </c>
      <c r="BZ271" s="30" t="s">
        <v>189</v>
      </c>
      <c r="CA271" s="30" t="s">
        <v>151</v>
      </c>
      <c r="CB271" s="30" t="s">
        <v>151</v>
      </c>
      <c r="CC271" s="30" t="s">
        <v>190</v>
      </c>
      <c r="CD271" s="30" t="s">
        <v>151</v>
      </c>
      <c r="CE271" s="30" t="s">
        <v>191</v>
      </c>
      <c r="CF271" s="35">
        <v>45313</v>
      </c>
      <c r="CG271" s="37">
        <v>3.5</v>
      </c>
      <c r="CH271" s="30" t="s">
        <v>193</v>
      </c>
      <c r="CI271" s="37">
        <v>13.5</v>
      </c>
      <c r="CJ271" s="30" t="s">
        <v>193</v>
      </c>
      <c r="CK271" s="29">
        <v>1.2</v>
      </c>
      <c r="CL271" s="30" t="s">
        <v>293</v>
      </c>
      <c r="CM271" s="30" t="s">
        <v>293</v>
      </c>
      <c r="CN271" s="30" t="s">
        <v>151</v>
      </c>
      <c r="CO271" s="30" t="s">
        <v>165</v>
      </c>
      <c r="CP271" s="35">
        <v>45313</v>
      </c>
      <c r="CQ271" s="37" t="s">
        <v>151</v>
      </c>
      <c r="CR271" s="30" t="s">
        <v>151</v>
      </c>
      <c r="CS271" s="30" t="s">
        <v>191</v>
      </c>
      <c r="CT271" s="29">
        <v>75</v>
      </c>
      <c r="CU271" s="30" t="s">
        <v>196</v>
      </c>
      <c r="CV271" s="32">
        <v>70</v>
      </c>
      <c r="CW271" s="32">
        <v>30</v>
      </c>
      <c r="CX271" s="30" t="s">
        <v>294</v>
      </c>
      <c r="CY271" s="32">
        <v>1</v>
      </c>
      <c r="CZ271" s="32">
        <v>69</v>
      </c>
      <c r="DA271" s="37">
        <v>13.5</v>
      </c>
      <c r="DB271" s="35">
        <v>45313</v>
      </c>
      <c r="DC271" s="30" t="s">
        <v>293</v>
      </c>
      <c r="DD271" s="29">
        <v>1.2</v>
      </c>
      <c r="DE271" s="32">
        <v>0.71</v>
      </c>
      <c r="DF271" s="34">
        <v>95</v>
      </c>
      <c r="DG271" s="32">
        <v>0</v>
      </c>
      <c r="DH271" s="32">
        <v>0</v>
      </c>
      <c r="DI271" s="32">
        <v>0</v>
      </c>
      <c r="DJ271" s="34">
        <v>10</v>
      </c>
      <c r="DK271" s="32" t="s">
        <v>151</v>
      </c>
      <c r="DL271" s="34" t="s">
        <v>151</v>
      </c>
      <c r="DM271" s="32">
        <v>0</v>
      </c>
      <c r="DN271" s="34">
        <v>10</v>
      </c>
      <c r="DO271" s="36">
        <v>1.73</v>
      </c>
      <c r="DP271" s="34">
        <v>63</v>
      </c>
      <c r="DQ271" s="36">
        <v>0</v>
      </c>
      <c r="DR271" s="32">
        <v>0</v>
      </c>
      <c r="DS271" s="36">
        <v>2</v>
      </c>
      <c r="DT271" s="34">
        <v>66</v>
      </c>
      <c r="DU271" s="36" t="s">
        <v>151</v>
      </c>
      <c r="DV271" s="34" t="s">
        <v>151</v>
      </c>
      <c r="DW271" s="36">
        <v>2</v>
      </c>
      <c r="DX271" s="34">
        <v>65</v>
      </c>
      <c r="DY271" s="31" t="s">
        <v>151</v>
      </c>
      <c r="DZ271" s="35" t="s">
        <v>151</v>
      </c>
      <c r="EA271" s="35" t="s">
        <v>151</v>
      </c>
      <c r="EB271" s="34">
        <v>682</v>
      </c>
      <c r="EC271" s="33">
        <v>-31</v>
      </c>
      <c r="ED271" s="32">
        <v>-4.35</v>
      </c>
      <c r="EE271" s="34">
        <v>38</v>
      </c>
      <c r="EF271" s="33">
        <v>0</v>
      </c>
      <c r="EG271" s="32">
        <v>0</v>
      </c>
      <c r="EH271" s="29" t="s">
        <v>198</v>
      </c>
      <c r="EI271" s="30" t="s">
        <v>151</v>
      </c>
      <c r="EJ271" s="30" t="s">
        <v>151</v>
      </c>
      <c r="EK271" s="31" t="s">
        <v>151</v>
      </c>
      <c r="EL271" s="31" t="s">
        <v>151</v>
      </c>
      <c r="EM271" s="31" t="s">
        <v>151</v>
      </c>
      <c r="EN271" s="31" t="s">
        <v>151</v>
      </c>
      <c r="EO271" s="31" t="s">
        <v>151</v>
      </c>
      <c r="EP271" s="30" t="s">
        <v>151</v>
      </c>
      <c r="EQ271" s="29" t="s">
        <v>151</v>
      </c>
      <c r="ER271" s="29" t="s">
        <v>151</v>
      </c>
      <c r="ES271" s="4">
        <f>HYPERLINK("https://my.pitchbook.com?c=459733-51","View Company Online")</f>
      </c>
    </row>
    <row r="272">
      <c r="A272" s="17" t="s">
        <v>6048</v>
      </c>
      <c r="B272" s="17" t="s">
        <v>6049</v>
      </c>
      <c r="C272" s="18" t="s">
        <v>151</v>
      </c>
      <c r="D272" s="17" t="s">
        <v>151</v>
      </c>
      <c r="E272" s="17" t="s">
        <v>151</v>
      </c>
      <c r="F272" s="17" t="s">
        <v>6050</v>
      </c>
      <c r="G272" s="17" t="s">
        <v>151</v>
      </c>
      <c r="H272" s="17" t="s">
        <v>151</v>
      </c>
      <c r="I272" s="17" t="s">
        <v>6051</v>
      </c>
      <c r="J272" s="17" t="s">
        <v>6048</v>
      </c>
      <c r="K272" s="17" t="s">
        <v>6052</v>
      </c>
      <c r="L272" s="17" t="s">
        <v>616</v>
      </c>
      <c r="M272" s="17" t="s">
        <v>834</v>
      </c>
      <c r="N272" s="17" t="s">
        <v>2059</v>
      </c>
      <c r="O272" s="17" t="s">
        <v>6053</v>
      </c>
      <c r="P272" s="17" t="s">
        <v>6054</v>
      </c>
      <c r="Q272" s="17" t="s">
        <v>6055</v>
      </c>
      <c r="R272" s="17" t="s">
        <v>151</v>
      </c>
      <c r="S272" s="17" t="s">
        <v>162</v>
      </c>
      <c r="T272" s="24">
        <v>2.4</v>
      </c>
      <c r="U272" s="17" t="s">
        <v>163</v>
      </c>
      <c r="V272" s="17" t="s">
        <v>164</v>
      </c>
      <c r="W272" s="17" t="s">
        <v>165</v>
      </c>
      <c r="X272" s="15" t="s">
        <v>6056</v>
      </c>
      <c r="Y272" s="15" t="s">
        <v>6057</v>
      </c>
      <c r="Z272" s="27">
        <v>53</v>
      </c>
      <c r="AA272" s="17" t="s">
        <v>6058</v>
      </c>
      <c r="AB272" s="17" t="s">
        <v>151</v>
      </c>
      <c r="AC272" s="17" t="s">
        <v>151</v>
      </c>
      <c r="AD272" s="26">
        <v>2021</v>
      </c>
      <c r="AE272" s="17" t="s">
        <v>151</v>
      </c>
      <c r="AF272" s="22">
        <v>45573</v>
      </c>
      <c r="AG272" s="17" t="s">
        <v>151</v>
      </c>
      <c r="AH272" s="17" t="s">
        <v>151</v>
      </c>
      <c r="AI272" s="25" t="s">
        <v>151</v>
      </c>
      <c r="AJ272" s="19" t="s">
        <v>151</v>
      </c>
      <c r="AK272" s="25" t="s">
        <v>151</v>
      </c>
      <c r="AL272" s="25" t="s">
        <v>151</v>
      </c>
      <c r="AM272" s="25" t="s">
        <v>151</v>
      </c>
      <c r="AN272" s="25" t="s">
        <v>151</v>
      </c>
      <c r="AO272" s="25" t="s">
        <v>151</v>
      </c>
      <c r="AP272" s="25" t="s">
        <v>151</v>
      </c>
      <c r="AQ272" s="25" t="s">
        <v>151</v>
      </c>
      <c r="AR272" s="16" t="s">
        <v>151</v>
      </c>
      <c r="AS272" s="17" t="s">
        <v>6059</v>
      </c>
      <c r="AT272" s="17" t="s">
        <v>6060</v>
      </c>
      <c r="AU272" s="18">
        <v>5</v>
      </c>
      <c r="AV272" s="17" t="s">
        <v>151</v>
      </c>
      <c r="AW272" s="17" t="s">
        <v>151</v>
      </c>
      <c r="AX272" s="17" t="s">
        <v>151</v>
      </c>
      <c r="AY272" s="17" t="s">
        <v>6061</v>
      </c>
      <c r="AZ272" s="17" t="s">
        <v>151</v>
      </c>
      <c r="BA272" s="17" t="s">
        <v>151</v>
      </c>
      <c r="BB272" s="17" t="s">
        <v>151</v>
      </c>
      <c r="BC272" s="17" t="s">
        <v>151</v>
      </c>
      <c r="BD272" s="17" t="s">
        <v>6062</v>
      </c>
      <c r="BE272" s="17" t="s">
        <v>6063</v>
      </c>
      <c r="BF272" s="17" t="s">
        <v>221</v>
      </c>
      <c r="BG272" s="17" t="s">
        <v>151</v>
      </c>
      <c r="BH272" s="17" t="s">
        <v>6064</v>
      </c>
      <c r="BI272" s="17" t="s">
        <v>2162</v>
      </c>
      <c r="BJ272" s="17" t="s">
        <v>6065</v>
      </c>
      <c r="BK272" s="17" t="s">
        <v>151</v>
      </c>
      <c r="BL272" s="17" t="s">
        <v>289</v>
      </c>
      <c r="BM272" s="17" t="s">
        <v>2165</v>
      </c>
      <c r="BN272" s="16" t="s">
        <v>6066</v>
      </c>
      <c r="BO272" s="17" t="s">
        <v>186</v>
      </c>
      <c r="BP272" s="16" t="s">
        <v>6064</v>
      </c>
      <c r="BQ272" s="16" t="s">
        <v>151</v>
      </c>
      <c r="BR272" s="17" t="s">
        <v>6067</v>
      </c>
      <c r="BS272" s="17" t="s">
        <v>187</v>
      </c>
      <c r="BT272" s="17" t="s">
        <v>188</v>
      </c>
      <c r="BU272" s="22" t="s">
        <v>151</v>
      </c>
      <c r="BV272" s="24">
        <v>8</v>
      </c>
      <c r="BW272" s="17" t="s">
        <v>192</v>
      </c>
      <c r="BX272" s="24" t="s">
        <v>151</v>
      </c>
      <c r="BY272" s="17" t="s">
        <v>151</v>
      </c>
      <c r="BZ272" s="17" t="s">
        <v>501</v>
      </c>
      <c r="CA272" s="17" t="s">
        <v>151</v>
      </c>
      <c r="CB272" s="17" t="s">
        <v>151</v>
      </c>
      <c r="CC272" s="17" t="s">
        <v>190</v>
      </c>
      <c r="CD272" s="17" t="s">
        <v>151</v>
      </c>
      <c r="CE272" s="17" t="s">
        <v>191</v>
      </c>
      <c r="CF272" s="22">
        <v>45231</v>
      </c>
      <c r="CG272" s="24" t="s">
        <v>151</v>
      </c>
      <c r="CH272" s="17" t="s">
        <v>151</v>
      </c>
      <c r="CI272" s="24" t="s">
        <v>151</v>
      </c>
      <c r="CJ272" s="17" t="s">
        <v>151</v>
      </c>
      <c r="CK272" s="16" t="s">
        <v>151</v>
      </c>
      <c r="CL272" s="17" t="s">
        <v>231</v>
      </c>
      <c r="CM272" s="17" t="s">
        <v>151</v>
      </c>
      <c r="CN272" s="17" t="s">
        <v>151</v>
      </c>
      <c r="CO272" s="17" t="s">
        <v>165</v>
      </c>
      <c r="CP272" s="22">
        <v>45231</v>
      </c>
      <c r="CQ272" s="24" t="s">
        <v>151</v>
      </c>
      <c r="CR272" s="17" t="s">
        <v>151</v>
      </c>
      <c r="CS272" s="17" t="s">
        <v>191</v>
      </c>
      <c r="CT272" s="16">
        <v>42</v>
      </c>
      <c r="CU272" s="17" t="s">
        <v>263</v>
      </c>
      <c r="CV272" s="19">
        <v>42</v>
      </c>
      <c r="CW272" s="19">
        <v>58</v>
      </c>
      <c r="CX272" s="17" t="s">
        <v>263</v>
      </c>
      <c r="CY272" s="19">
        <v>1</v>
      </c>
      <c r="CZ272" s="19">
        <v>41</v>
      </c>
      <c r="DA272" s="24">
        <v>16.2</v>
      </c>
      <c r="DB272" s="22">
        <v>44867</v>
      </c>
      <c r="DC272" s="17" t="s">
        <v>293</v>
      </c>
      <c r="DD272" s="16" t="s">
        <v>151</v>
      </c>
      <c r="DE272" s="19">
        <v>0</v>
      </c>
      <c r="DF272" s="21">
        <v>11</v>
      </c>
      <c r="DG272" s="19">
        <v>0</v>
      </c>
      <c r="DH272" s="19">
        <v>0</v>
      </c>
      <c r="DI272" s="19">
        <v>0</v>
      </c>
      <c r="DJ272" s="21">
        <v>10</v>
      </c>
      <c r="DK272" s="19" t="s">
        <v>151</v>
      </c>
      <c r="DL272" s="21" t="s">
        <v>151</v>
      </c>
      <c r="DM272" s="19">
        <v>0</v>
      </c>
      <c r="DN272" s="21">
        <v>10</v>
      </c>
      <c r="DO272" s="23">
        <v>4.21</v>
      </c>
      <c r="DP272" s="21">
        <v>80</v>
      </c>
      <c r="DQ272" s="23">
        <v>0</v>
      </c>
      <c r="DR272" s="19">
        <v>0</v>
      </c>
      <c r="DS272" s="23">
        <v>4.21</v>
      </c>
      <c r="DT272" s="21">
        <v>80</v>
      </c>
      <c r="DU272" s="23" t="s">
        <v>151</v>
      </c>
      <c r="DV272" s="21" t="s">
        <v>151</v>
      </c>
      <c r="DW272" s="23">
        <v>4.21</v>
      </c>
      <c r="DX272" s="21">
        <v>79</v>
      </c>
      <c r="DY272" s="18" t="s">
        <v>151</v>
      </c>
      <c r="DZ272" s="22" t="s">
        <v>151</v>
      </c>
      <c r="EA272" s="22" t="s">
        <v>151</v>
      </c>
      <c r="EB272" s="21">
        <v>1092</v>
      </c>
      <c r="EC272" s="20">
        <v>-2</v>
      </c>
      <c r="ED272" s="19">
        <v>-0.18</v>
      </c>
      <c r="EE272" s="21">
        <v>80</v>
      </c>
      <c r="EF272" s="20">
        <v>0</v>
      </c>
      <c r="EG272" s="19">
        <v>0</v>
      </c>
      <c r="EH272" s="16" t="s">
        <v>198</v>
      </c>
      <c r="EI272" s="17" t="s">
        <v>151</v>
      </c>
      <c r="EJ272" s="17" t="s">
        <v>151</v>
      </c>
      <c r="EK272" s="18" t="s">
        <v>151</v>
      </c>
      <c r="EL272" s="18" t="s">
        <v>151</v>
      </c>
      <c r="EM272" s="18" t="s">
        <v>151</v>
      </c>
      <c r="EN272" s="18" t="s">
        <v>151</v>
      </c>
      <c r="EO272" s="18" t="s">
        <v>151</v>
      </c>
      <c r="EP272" s="17" t="s">
        <v>151</v>
      </c>
      <c r="EQ272" s="16" t="s">
        <v>151</v>
      </c>
      <c r="ER272" s="16" t="s">
        <v>151</v>
      </c>
      <c r="ES272" s="3">
        <f>HYPERLINK("https://my.pitchbook.com?c=490317-40","View Company Online")</f>
      </c>
    </row>
    <row r="273">
      <c r="A273" s="30" t="s">
        <v>6068</v>
      </c>
      <c r="B273" s="30" t="s">
        <v>6069</v>
      </c>
      <c r="C273" s="31" t="s">
        <v>151</v>
      </c>
      <c r="D273" s="30" t="s">
        <v>151</v>
      </c>
      <c r="E273" s="30" t="s">
        <v>151</v>
      </c>
      <c r="F273" s="30" t="s">
        <v>151</v>
      </c>
      <c r="G273" s="30" t="s">
        <v>151</v>
      </c>
      <c r="H273" s="30" t="s">
        <v>151</v>
      </c>
      <c r="I273" s="30" t="s">
        <v>151</v>
      </c>
      <c r="J273" s="30" t="s">
        <v>6068</v>
      </c>
      <c r="K273" s="30" t="s">
        <v>6070</v>
      </c>
      <c r="L273" s="30" t="s">
        <v>205</v>
      </c>
      <c r="M273" s="30" t="s">
        <v>301</v>
      </c>
      <c r="N273" s="30" t="s">
        <v>6071</v>
      </c>
      <c r="O273" s="30" t="s">
        <v>6072</v>
      </c>
      <c r="P273" s="30" t="s">
        <v>6073</v>
      </c>
      <c r="Q273" s="30" t="s">
        <v>6074</v>
      </c>
      <c r="R273" s="30" t="s">
        <v>151</v>
      </c>
      <c r="S273" s="30" t="s">
        <v>162</v>
      </c>
      <c r="T273" s="37">
        <v>3.43</v>
      </c>
      <c r="U273" s="30" t="s">
        <v>163</v>
      </c>
      <c r="V273" s="30" t="s">
        <v>164</v>
      </c>
      <c r="W273" s="30" t="s">
        <v>165</v>
      </c>
      <c r="X273" s="28" t="s">
        <v>6075</v>
      </c>
      <c r="Y273" s="28" t="s">
        <v>6076</v>
      </c>
      <c r="Z273" s="40">
        <v>2</v>
      </c>
      <c r="AA273" s="30" t="s">
        <v>6077</v>
      </c>
      <c r="AB273" s="30" t="s">
        <v>151</v>
      </c>
      <c r="AC273" s="30" t="s">
        <v>151</v>
      </c>
      <c r="AD273" s="39">
        <v>2023</v>
      </c>
      <c r="AE273" s="30" t="s">
        <v>151</v>
      </c>
      <c r="AF273" s="35">
        <v>45457</v>
      </c>
      <c r="AG273" s="30" t="s">
        <v>151</v>
      </c>
      <c r="AH273" s="30" t="s">
        <v>151</v>
      </c>
      <c r="AI273" s="38" t="s">
        <v>151</v>
      </c>
      <c r="AJ273" s="32" t="s">
        <v>151</v>
      </c>
      <c r="AK273" s="38" t="s">
        <v>151</v>
      </c>
      <c r="AL273" s="38" t="s">
        <v>151</v>
      </c>
      <c r="AM273" s="38" t="s">
        <v>151</v>
      </c>
      <c r="AN273" s="38" t="s">
        <v>151</v>
      </c>
      <c r="AO273" s="38" t="s">
        <v>151</v>
      </c>
      <c r="AP273" s="38" t="s">
        <v>151</v>
      </c>
      <c r="AQ273" s="38" t="s">
        <v>151</v>
      </c>
      <c r="AR273" s="29" t="s">
        <v>151</v>
      </c>
      <c r="AS273" s="30" t="s">
        <v>6078</v>
      </c>
      <c r="AT273" s="30" t="s">
        <v>6079</v>
      </c>
      <c r="AU273" s="31">
        <v>1</v>
      </c>
      <c r="AV273" s="30" t="s">
        <v>151</v>
      </c>
      <c r="AW273" s="30" t="s">
        <v>151</v>
      </c>
      <c r="AX273" s="30" t="s">
        <v>151</v>
      </c>
      <c r="AY273" s="30" t="s">
        <v>6080</v>
      </c>
      <c r="AZ273" s="30" t="s">
        <v>151</v>
      </c>
      <c r="BA273" s="30" t="s">
        <v>151</v>
      </c>
      <c r="BB273" s="30" t="s">
        <v>151</v>
      </c>
      <c r="BC273" s="30" t="s">
        <v>490</v>
      </c>
      <c r="BD273" s="30" t="s">
        <v>6081</v>
      </c>
      <c r="BE273" s="30" t="s">
        <v>6082</v>
      </c>
      <c r="BF273" s="30" t="s">
        <v>221</v>
      </c>
      <c r="BG273" s="30" t="s">
        <v>151</v>
      </c>
      <c r="BH273" s="30" t="s">
        <v>6083</v>
      </c>
      <c r="BI273" s="30" t="s">
        <v>181</v>
      </c>
      <c r="BJ273" s="30" t="s">
        <v>151</v>
      </c>
      <c r="BK273" s="30" t="s">
        <v>151</v>
      </c>
      <c r="BL273" s="30" t="s">
        <v>183</v>
      </c>
      <c r="BM273" s="30" t="s">
        <v>184</v>
      </c>
      <c r="BN273" s="29" t="s">
        <v>151</v>
      </c>
      <c r="BO273" s="30" t="s">
        <v>186</v>
      </c>
      <c r="BP273" s="29" t="s">
        <v>151</v>
      </c>
      <c r="BQ273" s="29" t="s">
        <v>151</v>
      </c>
      <c r="BR273" s="30" t="s">
        <v>6084</v>
      </c>
      <c r="BS273" s="30" t="s">
        <v>187</v>
      </c>
      <c r="BT273" s="30" t="s">
        <v>188</v>
      </c>
      <c r="BU273" s="35">
        <v>45278</v>
      </c>
      <c r="BV273" s="37">
        <v>3.43</v>
      </c>
      <c r="BW273" s="30" t="s">
        <v>193</v>
      </c>
      <c r="BX273" s="37">
        <v>13.43</v>
      </c>
      <c r="BY273" s="30" t="s">
        <v>193</v>
      </c>
      <c r="BZ273" s="30" t="s">
        <v>293</v>
      </c>
      <c r="CA273" s="30" t="s">
        <v>293</v>
      </c>
      <c r="CB273" s="30" t="s">
        <v>151</v>
      </c>
      <c r="CC273" s="30" t="s">
        <v>165</v>
      </c>
      <c r="CD273" s="30" t="s">
        <v>151</v>
      </c>
      <c r="CE273" s="30" t="s">
        <v>191</v>
      </c>
      <c r="CF273" s="35">
        <v>45278</v>
      </c>
      <c r="CG273" s="37">
        <v>3.43</v>
      </c>
      <c r="CH273" s="30" t="s">
        <v>193</v>
      </c>
      <c r="CI273" s="37">
        <v>13.43</v>
      </c>
      <c r="CJ273" s="30" t="s">
        <v>193</v>
      </c>
      <c r="CK273" s="29" t="s">
        <v>151</v>
      </c>
      <c r="CL273" s="30" t="s">
        <v>293</v>
      </c>
      <c r="CM273" s="30" t="s">
        <v>293</v>
      </c>
      <c r="CN273" s="30" t="s">
        <v>151</v>
      </c>
      <c r="CO273" s="30" t="s">
        <v>165</v>
      </c>
      <c r="CP273" s="35">
        <v>45278</v>
      </c>
      <c r="CQ273" s="37" t="s">
        <v>151</v>
      </c>
      <c r="CR273" s="30" t="s">
        <v>151</v>
      </c>
      <c r="CS273" s="30" t="s">
        <v>191</v>
      </c>
      <c r="CT273" s="29" t="s">
        <v>151</v>
      </c>
      <c r="CU273" s="30" t="s">
        <v>151</v>
      </c>
      <c r="CV273" s="32" t="s">
        <v>151</v>
      </c>
      <c r="CW273" s="32" t="s">
        <v>151</v>
      </c>
      <c r="CX273" s="30" t="s">
        <v>151</v>
      </c>
      <c r="CY273" s="32" t="s">
        <v>151</v>
      </c>
      <c r="CZ273" s="32" t="s">
        <v>151</v>
      </c>
      <c r="DA273" s="37">
        <v>13.43</v>
      </c>
      <c r="DB273" s="35">
        <v>45278</v>
      </c>
      <c r="DC273" s="30" t="s">
        <v>293</v>
      </c>
      <c r="DD273" s="29" t="s">
        <v>151</v>
      </c>
      <c r="DE273" s="32" t="s">
        <v>151</v>
      </c>
      <c r="DF273" s="34" t="s">
        <v>151</v>
      </c>
      <c r="DG273" s="32" t="s">
        <v>151</v>
      </c>
      <c r="DH273" s="32" t="s">
        <v>151</v>
      </c>
      <c r="DI273" s="32" t="s">
        <v>151</v>
      </c>
      <c r="DJ273" s="34" t="s">
        <v>151</v>
      </c>
      <c r="DK273" s="32" t="s">
        <v>151</v>
      </c>
      <c r="DL273" s="34" t="s">
        <v>151</v>
      </c>
      <c r="DM273" s="32" t="s">
        <v>151</v>
      </c>
      <c r="DN273" s="34" t="s">
        <v>151</v>
      </c>
      <c r="DO273" s="36" t="s">
        <v>151</v>
      </c>
      <c r="DP273" s="34" t="s">
        <v>151</v>
      </c>
      <c r="DQ273" s="36" t="s">
        <v>151</v>
      </c>
      <c r="DR273" s="32" t="s">
        <v>151</v>
      </c>
      <c r="DS273" s="36" t="s">
        <v>151</v>
      </c>
      <c r="DT273" s="34" t="s">
        <v>151</v>
      </c>
      <c r="DU273" s="36" t="s">
        <v>151</v>
      </c>
      <c r="DV273" s="34" t="s">
        <v>151</v>
      </c>
      <c r="DW273" s="36" t="s">
        <v>151</v>
      </c>
      <c r="DX273" s="34" t="s">
        <v>151</v>
      </c>
      <c r="DY273" s="31" t="s">
        <v>151</v>
      </c>
      <c r="DZ273" s="35" t="s">
        <v>151</v>
      </c>
      <c r="EA273" s="35" t="s">
        <v>151</v>
      </c>
      <c r="EB273" s="34" t="s">
        <v>151</v>
      </c>
      <c r="EC273" s="33" t="s">
        <v>151</v>
      </c>
      <c r="ED273" s="32" t="s">
        <v>151</v>
      </c>
      <c r="EE273" s="34" t="s">
        <v>151</v>
      </c>
      <c r="EF273" s="33" t="s">
        <v>151</v>
      </c>
      <c r="EG273" s="32" t="s">
        <v>151</v>
      </c>
      <c r="EH273" s="29" t="s">
        <v>198</v>
      </c>
      <c r="EI273" s="30" t="s">
        <v>151</v>
      </c>
      <c r="EJ273" s="30" t="s">
        <v>151</v>
      </c>
      <c r="EK273" s="31" t="s">
        <v>151</v>
      </c>
      <c r="EL273" s="31" t="s">
        <v>151</v>
      </c>
      <c r="EM273" s="31" t="s">
        <v>151</v>
      </c>
      <c r="EN273" s="31" t="s">
        <v>151</v>
      </c>
      <c r="EO273" s="31" t="s">
        <v>151</v>
      </c>
      <c r="EP273" s="30" t="s">
        <v>151</v>
      </c>
      <c r="EQ273" s="29" t="s">
        <v>151</v>
      </c>
      <c r="ER273" s="29" t="s">
        <v>151</v>
      </c>
      <c r="ES273" s="4">
        <f>HYPERLINK("https://my.pitchbook.com?c=588704-05","View Company Online")</f>
      </c>
    </row>
    <row r="274">
      <c r="A274" s="17" t="s">
        <v>6085</v>
      </c>
      <c r="B274" s="17" t="s">
        <v>6086</v>
      </c>
      <c r="C274" s="18" t="s">
        <v>151</v>
      </c>
      <c r="D274" s="17" t="s">
        <v>151</v>
      </c>
      <c r="E274" s="17" t="s">
        <v>6087</v>
      </c>
      <c r="F274" s="17" t="s">
        <v>6088</v>
      </c>
      <c r="G274" s="17" t="s">
        <v>151</v>
      </c>
      <c r="H274" s="17" t="s">
        <v>151</v>
      </c>
      <c r="I274" s="17" t="s">
        <v>151</v>
      </c>
      <c r="J274" s="17" t="s">
        <v>6085</v>
      </c>
      <c r="K274" s="17" t="s">
        <v>6089</v>
      </c>
      <c r="L274" s="17" t="s">
        <v>205</v>
      </c>
      <c r="M274" s="17" t="s">
        <v>206</v>
      </c>
      <c r="N274" s="17" t="s">
        <v>269</v>
      </c>
      <c r="O274" s="17" t="s">
        <v>6090</v>
      </c>
      <c r="P274" s="17" t="s">
        <v>6091</v>
      </c>
      <c r="Q274" s="17" t="s">
        <v>6092</v>
      </c>
      <c r="R274" s="17" t="s">
        <v>151</v>
      </c>
      <c r="S274" s="17" t="s">
        <v>162</v>
      </c>
      <c r="T274" s="24">
        <v>4.7</v>
      </c>
      <c r="U274" s="17" t="s">
        <v>163</v>
      </c>
      <c r="V274" s="17" t="s">
        <v>164</v>
      </c>
      <c r="W274" s="17" t="s">
        <v>165</v>
      </c>
      <c r="X274" s="15" t="s">
        <v>6093</v>
      </c>
      <c r="Y274" s="15" t="s">
        <v>6094</v>
      </c>
      <c r="Z274" s="27">
        <v>19</v>
      </c>
      <c r="AA274" s="17" t="s">
        <v>6095</v>
      </c>
      <c r="AB274" s="17" t="s">
        <v>151</v>
      </c>
      <c r="AC274" s="17" t="s">
        <v>151</v>
      </c>
      <c r="AD274" s="26">
        <v>2021</v>
      </c>
      <c r="AE274" s="17" t="s">
        <v>151</v>
      </c>
      <c r="AF274" s="22">
        <v>45594</v>
      </c>
      <c r="AG274" s="17" t="s">
        <v>151</v>
      </c>
      <c r="AH274" s="17" t="s">
        <v>151</v>
      </c>
      <c r="AI274" s="25" t="s">
        <v>151</v>
      </c>
      <c r="AJ274" s="19" t="s">
        <v>151</v>
      </c>
      <c r="AK274" s="25" t="s">
        <v>151</v>
      </c>
      <c r="AL274" s="25" t="s">
        <v>151</v>
      </c>
      <c r="AM274" s="25" t="s">
        <v>151</v>
      </c>
      <c r="AN274" s="25" t="s">
        <v>151</v>
      </c>
      <c r="AO274" s="25" t="s">
        <v>151</v>
      </c>
      <c r="AP274" s="25" t="s">
        <v>151</v>
      </c>
      <c r="AQ274" s="25" t="s">
        <v>151</v>
      </c>
      <c r="AR274" s="16" t="s">
        <v>151</v>
      </c>
      <c r="AS274" s="17" t="s">
        <v>6096</v>
      </c>
      <c r="AT274" s="17" t="s">
        <v>6097</v>
      </c>
      <c r="AU274" s="18">
        <v>14</v>
      </c>
      <c r="AV274" s="17" t="s">
        <v>151</v>
      </c>
      <c r="AW274" s="17" t="s">
        <v>151</v>
      </c>
      <c r="AX274" s="17" t="s">
        <v>151</v>
      </c>
      <c r="AY274" s="17" t="s">
        <v>6098</v>
      </c>
      <c r="AZ274" s="17" t="s">
        <v>151</v>
      </c>
      <c r="BA274" s="17" t="s">
        <v>151</v>
      </c>
      <c r="BB274" s="17" t="s">
        <v>151</v>
      </c>
      <c r="BC274" s="17" t="s">
        <v>151</v>
      </c>
      <c r="BD274" s="17" t="s">
        <v>6099</v>
      </c>
      <c r="BE274" s="17" t="s">
        <v>6100</v>
      </c>
      <c r="BF274" s="17" t="s">
        <v>221</v>
      </c>
      <c r="BG274" s="17" t="s">
        <v>6101</v>
      </c>
      <c r="BH274" s="17" t="s">
        <v>151</v>
      </c>
      <c r="BI274" s="17" t="s">
        <v>6102</v>
      </c>
      <c r="BJ274" s="17" t="s">
        <v>6103</v>
      </c>
      <c r="BK274" s="17" t="s">
        <v>766</v>
      </c>
      <c r="BL274" s="17" t="s">
        <v>6104</v>
      </c>
      <c r="BM274" s="17" t="s">
        <v>184</v>
      </c>
      <c r="BN274" s="16" t="s">
        <v>6105</v>
      </c>
      <c r="BO274" s="17" t="s">
        <v>186</v>
      </c>
      <c r="BP274" s="16" t="s">
        <v>151</v>
      </c>
      <c r="BQ274" s="16" t="s">
        <v>151</v>
      </c>
      <c r="BR274" s="17" t="s">
        <v>6106</v>
      </c>
      <c r="BS274" s="17" t="s">
        <v>187</v>
      </c>
      <c r="BT274" s="17" t="s">
        <v>188</v>
      </c>
      <c r="BU274" s="22">
        <v>44533</v>
      </c>
      <c r="BV274" s="24">
        <v>0.7</v>
      </c>
      <c r="BW274" s="17" t="s">
        <v>193</v>
      </c>
      <c r="BX274" s="24">
        <v>7</v>
      </c>
      <c r="BY274" s="17" t="s">
        <v>192</v>
      </c>
      <c r="BZ274" s="17" t="s">
        <v>293</v>
      </c>
      <c r="CA274" s="17" t="s">
        <v>472</v>
      </c>
      <c r="CB274" s="17" t="s">
        <v>151</v>
      </c>
      <c r="CC274" s="17" t="s">
        <v>165</v>
      </c>
      <c r="CD274" s="17" t="s">
        <v>151</v>
      </c>
      <c r="CE274" s="17" t="s">
        <v>191</v>
      </c>
      <c r="CF274" s="22">
        <v>44985</v>
      </c>
      <c r="CG274" s="24">
        <v>4</v>
      </c>
      <c r="CH274" s="17" t="s">
        <v>192</v>
      </c>
      <c r="CI274" s="24">
        <v>13.5</v>
      </c>
      <c r="CJ274" s="17" t="s">
        <v>192</v>
      </c>
      <c r="CK274" s="16">
        <v>1.36</v>
      </c>
      <c r="CL274" s="17" t="s">
        <v>293</v>
      </c>
      <c r="CM274" s="17" t="s">
        <v>293</v>
      </c>
      <c r="CN274" s="17" t="s">
        <v>151</v>
      </c>
      <c r="CO274" s="17" t="s">
        <v>165</v>
      </c>
      <c r="CP274" s="22">
        <v>44985</v>
      </c>
      <c r="CQ274" s="24" t="s">
        <v>151</v>
      </c>
      <c r="CR274" s="17" t="s">
        <v>151</v>
      </c>
      <c r="CS274" s="17" t="s">
        <v>191</v>
      </c>
      <c r="CT274" s="16">
        <v>90</v>
      </c>
      <c r="CU274" s="17" t="s">
        <v>196</v>
      </c>
      <c r="CV274" s="19">
        <v>83</v>
      </c>
      <c r="CW274" s="19">
        <v>17</v>
      </c>
      <c r="CX274" s="17" t="s">
        <v>294</v>
      </c>
      <c r="CY274" s="19">
        <v>1</v>
      </c>
      <c r="CZ274" s="19">
        <v>82</v>
      </c>
      <c r="DA274" s="24">
        <v>13.5</v>
      </c>
      <c r="DB274" s="22">
        <v>44985</v>
      </c>
      <c r="DC274" s="17" t="s">
        <v>293</v>
      </c>
      <c r="DD274" s="16">
        <v>1.36</v>
      </c>
      <c r="DE274" s="19">
        <v>0</v>
      </c>
      <c r="DF274" s="21">
        <v>11</v>
      </c>
      <c r="DG274" s="19">
        <v>0</v>
      </c>
      <c r="DH274" s="19">
        <v>0</v>
      </c>
      <c r="DI274" s="19" t="s">
        <v>151</v>
      </c>
      <c r="DJ274" s="21" t="s">
        <v>151</v>
      </c>
      <c r="DK274" s="19" t="s">
        <v>151</v>
      </c>
      <c r="DL274" s="21" t="s">
        <v>151</v>
      </c>
      <c r="DM274" s="19" t="s">
        <v>151</v>
      </c>
      <c r="DN274" s="21" t="s">
        <v>151</v>
      </c>
      <c r="DO274" s="23">
        <v>1.54</v>
      </c>
      <c r="DP274" s="21">
        <v>60</v>
      </c>
      <c r="DQ274" s="23">
        <v>0</v>
      </c>
      <c r="DR274" s="19">
        <v>0</v>
      </c>
      <c r="DS274" s="23" t="s">
        <v>151</v>
      </c>
      <c r="DT274" s="21" t="s">
        <v>151</v>
      </c>
      <c r="DU274" s="23" t="s">
        <v>151</v>
      </c>
      <c r="DV274" s="21" t="s">
        <v>151</v>
      </c>
      <c r="DW274" s="23" t="s">
        <v>151</v>
      </c>
      <c r="DX274" s="21" t="s">
        <v>151</v>
      </c>
      <c r="DY274" s="18" t="s">
        <v>151</v>
      </c>
      <c r="DZ274" s="22" t="s">
        <v>151</v>
      </c>
      <c r="EA274" s="22" t="s">
        <v>151</v>
      </c>
      <c r="EB274" s="21">
        <v>660</v>
      </c>
      <c r="EC274" s="20">
        <v>-95</v>
      </c>
      <c r="ED274" s="19">
        <v>-12.58</v>
      </c>
      <c r="EE274" s="21" t="s">
        <v>151</v>
      </c>
      <c r="EF274" s="20" t="s">
        <v>151</v>
      </c>
      <c r="EG274" s="19" t="s">
        <v>151</v>
      </c>
      <c r="EH274" s="16" t="s">
        <v>198</v>
      </c>
      <c r="EI274" s="17" t="s">
        <v>151</v>
      </c>
      <c r="EJ274" s="17" t="s">
        <v>151</v>
      </c>
      <c r="EK274" s="18" t="s">
        <v>151</v>
      </c>
      <c r="EL274" s="18" t="s">
        <v>151</v>
      </c>
      <c r="EM274" s="18" t="s">
        <v>151</v>
      </c>
      <c r="EN274" s="18" t="s">
        <v>151</v>
      </c>
      <c r="EO274" s="18" t="s">
        <v>151</v>
      </c>
      <c r="EP274" s="17" t="s">
        <v>151</v>
      </c>
      <c r="EQ274" s="16" t="s">
        <v>151</v>
      </c>
      <c r="ER274" s="16" t="s">
        <v>151</v>
      </c>
      <c r="ES274" s="3">
        <f>HYPERLINK("https://my.pitchbook.com?c=481207-96","View Company Online")</f>
      </c>
    </row>
    <row r="275">
      <c r="A275" s="30" t="s">
        <v>6107</v>
      </c>
      <c r="B275" s="30" t="s">
        <v>6108</v>
      </c>
      <c r="C275" s="31" t="s">
        <v>151</v>
      </c>
      <c r="D275" s="30" t="s">
        <v>6109</v>
      </c>
      <c r="E275" s="30" t="s">
        <v>6110</v>
      </c>
      <c r="F275" s="30" t="s">
        <v>6111</v>
      </c>
      <c r="G275" s="30" t="s">
        <v>151</v>
      </c>
      <c r="H275" s="30" t="s">
        <v>151</v>
      </c>
      <c r="I275" s="30" t="s">
        <v>151</v>
      </c>
      <c r="J275" s="30" t="s">
        <v>6107</v>
      </c>
      <c r="K275" s="30" t="s">
        <v>6112</v>
      </c>
      <c r="L275" s="30" t="s">
        <v>205</v>
      </c>
      <c r="M275" s="30" t="s">
        <v>206</v>
      </c>
      <c r="N275" s="30" t="s">
        <v>776</v>
      </c>
      <c r="O275" s="30" t="s">
        <v>2749</v>
      </c>
      <c r="P275" s="30" t="s">
        <v>1153</v>
      </c>
      <c r="Q275" s="30" t="s">
        <v>6113</v>
      </c>
      <c r="R275" s="30" t="s">
        <v>151</v>
      </c>
      <c r="S275" s="30" t="s">
        <v>162</v>
      </c>
      <c r="T275" s="37">
        <v>0.75</v>
      </c>
      <c r="U275" s="30" t="s">
        <v>163</v>
      </c>
      <c r="V275" s="30" t="s">
        <v>164</v>
      </c>
      <c r="W275" s="30" t="s">
        <v>165</v>
      </c>
      <c r="X275" s="28" t="s">
        <v>6114</v>
      </c>
      <c r="Y275" s="28" t="s">
        <v>6115</v>
      </c>
      <c r="Z275" s="40">
        <v>198</v>
      </c>
      <c r="AA275" s="30" t="s">
        <v>6116</v>
      </c>
      <c r="AB275" s="30" t="s">
        <v>151</v>
      </c>
      <c r="AC275" s="30" t="s">
        <v>151</v>
      </c>
      <c r="AD275" s="39">
        <v>2012</v>
      </c>
      <c r="AE275" s="30" t="s">
        <v>151</v>
      </c>
      <c r="AF275" s="35">
        <v>45594</v>
      </c>
      <c r="AG275" s="30" t="s">
        <v>151</v>
      </c>
      <c r="AH275" s="30" t="s">
        <v>151</v>
      </c>
      <c r="AI275" s="38" t="s">
        <v>151</v>
      </c>
      <c r="AJ275" s="32" t="s">
        <v>151</v>
      </c>
      <c r="AK275" s="38" t="s">
        <v>151</v>
      </c>
      <c r="AL275" s="38" t="s">
        <v>151</v>
      </c>
      <c r="AM275" s="38" t="s">
        <v>151</v>
      </c>
      <c r="AN275" s="38" t="s">
        <v>151</v>
      </c>
      <c r="AO275" s="38" t="s">
        <v>151</v>
      </c>
      <c r="AP275" s="38" t="s">
        <v>151</v>
      </c>
      <c r="AQ275" s="38" t="s">
        <v>151</v>
      </c>
      <c r="AR275" s="29" t="s">
        <v>151</v>
      </c>
      <c r="AS275" s="30" t="s">
        <v>6117</v>
      </c>
      <c r="AT275" s="30" t="s">
        <v>6118</v>
      </c>
      <c r="AU275" s="31">
        <v>2</v>
      </c>
      <c r="AV275" s="30" t="s">
        <v>151</v>
      </c>
      <c r="AW275" s="30" t="s">
        <v>151</v>
      </c>
      <c r="AX275" s="30" t="s">
        <v>151</v>
      </c>
      <c r="AY275" s="30" t="s">
        <v>6119</v>
      </c>
      <c r="AZ275" s="30" t="s">
        <v>151</v>
      </c>
      <c r="BA275" s="30" t="s">
        <v>151</v>
      </c>
      <c r="BB275" s="30" t="s">
        <v>151</v>
      </c>
      <c r="BC275" s="30" t="s">
        <v>151</v>
      </c>
      <c r="BD275" s="30" t="s">
        <v>6120</v>
      </c>
      <c r="BE275" s="30" t="s">
        <v>6121</v>
      </c>
      <c r="BF275" s="30" t="s">
        <v>221</v>
      </c>
      <c r="BG275" s="30" t="s">
        <v>6122</v>
      </c>
      <c r="BH275" s="30" t="s">
        <v>6123</v>
      </c>
      <c r="BI275" s="30" t="s">
        <v>6124</v>
      </c>
      <c r="BJ275" s="30" t="s">
        <v>6125</v>
      </c>
      <c r="BK275" s="30" t="s">
        <v>6126</v>
      </c>
      <c r="BL275" s="30" t="s">
        <v>6127</v>
      </c>
      <c r="BM275" s="30" t="s">
        <v>1388</v>
      </c>
      <c r="BN275" s="29" t="s">
        <v>6128</v>
      </c>
      <c r="BO275" s="30" t="s">
        <v>186</v>
      </c>
      <c r="BP275" s="29" t="s">
        <v>6123</v>
      </c>
      <c r="BQ275" s="29" t="s">
        <v>151</v>
      </c>
      <c r="BR275" s="30" t="s">
        <v>151</v>
      </c>
      <c r="BS275" s="30" t="s">
        <v>187</v>
      </c>
      <c r="BT275" s="30" t="s">
        <v>188</v>
      </c>
      <c r="BU275" s="35">
        <v>44348</v>
      </c>
      <c r="BV275" s="37">
        <v>0.75</v>
      </c>
      <c r="BW275" s="30" t="s">
        <v>192</v>
      </c>
      <c r="BX275" s="37" t="s">
        <v>151</v>
      </c>
      <c r="BY275" s="30" t="s">
        <v>151</v>
      </c>
      <c r="BZ275" s="30" t="s">
        <v>194</v>
      </c>
      <c r="CA275" s="30" t="s">
        <v>151</v>
      </c>
      <c r="CB275" s="30" t="s">
        <v>151</v>
      </c>
      <c r="CC275" s="30" t="s">
        <v>165</v>
      </c>
      <c r="CD275" s="30" t="s">
        <v>151</v>
      </c>
      <c r="CE275" s="30" t="s">
        <v>191</v>
      </c>
      <c r="CF275" s="35">
        <v>44348</v>
      </c>
      <c r="CG275" s="37">
        <v>0.75</v>
      </c>
      <c r="CH275" s="30" t="s">
        <v>192</v>
      </c>
      <c r="CI275" s="37" t="s">
        <v>151</v>
      </c>
      <c r="CJ275" s="30" t="s">
        <v>151</v>
      </c>
      <c r="CK275" s="29" t="s">
        <v>151</v>
      </c>
      <c r="CL275" s="30" t="s">
        <v>194</v>
      </c>
      <c r="CM275" s="30" t="s">
        <v>151</v>
      </c>
      <c r="CN275" s="30" t="s">
        <v>151</v>
      </c>
      <c r="CO275" s="30" t="s">
        <v>165</v>
      </c>
      <c r="CP275" s="35">
        <v>44348</v>
      </c>
      <c r="CQ275" s="37" t="s">
        <v>151</v>
      </c>
      <c r="CR275" s="30" t="s">
        <v>151</v>
      </c>
      <c r="CS275" s="30" t="s">
        <v>191</v>
      </c>
      <c r="CT275" s="29" t="s">
        <v>151</v>
      </c>
      <c r="CU275" s="30" t="s">
        <v>151</v>
      </c>
      <c r="CV275" s="32" t="s">
        <v>151</v>
      </c>
      <c r="CW275" s="32" t="s">
        <v>151</v>
      </c>
      <c r="CX275" s="30" t="s">
        <v>151</v>
      </c>
      <c r="CY275" s="32" t="s">
        <v>151</v>
      </c>
      <c r="CZ275" s="32" t="s">
        <v>151</v>
      </c>
      <c r="DA275" s="37" t="s">
        <v>151</v>
      </c>
      <c r="DB275" s="35" t="s">
        <v>151</v>
      </c>
      <c r="DC275" s="30" t="s">
        <v>151</v>
      </c>
      <c r="DD275" s="29" t="s">
        <v>151</v>
      </c>
      <c r="DE275" s="32">
        <v>0.48</v>
      </c>
      <c r="DF275" s="34">
        <v>94</v>
      </c>
      <c r="DG275" s="32">
        <v>0</v>
      </c>
      <c r="DH275" s="32">
        <v>0</v>
      </c>
      <c r="DI275" s="32">
        <v>0.48</v>
      </c>
      <c r="DJ275" s="34">
        <v>95</v>
      </c>
      <c r="DK275" s="32" t="s">
        <v>151</v>
      </c>
      <c r="DL275" s="34" t="s">
        <v>151</v>
      </c>
      <c r="DM275" s="32">
        <v>0.48</v>
      </c>
      <c r="DN275" s="34">
        <v>95</v>
      </c>
      <c r="DO275" s="36">
        <v>76.11</v>
      </c>
      <c r="DP275" s="34">
        <v>99</v>
      </c>
      <c r="DQ275" s="36">
        <v>0</v>
      </c>
      <c r="DR275" s="32">
        <v>0</v>
      </c>
      <c r="DS275" s="36">
        <v>76.11</v>
      </c>
      <c r="DT275" s="34">
        <v>99</v>
      </c>
      <c r="DU275" s="36" t="s">
        <v>151</v>
      </c>
      <c r="DV275" s="34" t="s">
        <v>151</v>
      </c>
      <c r="DW275" s="36">
        <v>76.11</v>
      </c>
      <c r="DX275" s="34">
        <v>99</v>
      </c>
      <c r="DY275" s="31" t="s">
        <v>151</v>
      </c>
      <c r="DZ275" s="35" t="s">
        <v>151</v>
      </c>
      <c r="EA275" s="35" t="s">
        <v>151</v>
      </c>
      <c r="EB275" s="34">
        <v>25791</v>
      </c>
      <c r="EC275" s="33">
        <v>-479</v>
      </c>
      <c r="ED275" s="32">
        <v>-1.82</v>
      </c>
      <c r="EE275" s="34">
        <v>1446</v>
      </c>
      <c r="EF275" s="33">
        <v>3</v>
      </c>
      <c r="EG275" s="32">
        <v>0.21</v>
      </c>
      <c r="EH275" s="29" t="s">
        <v>198</v>
      </c>
      <c r="EI275" s="30" t="s">
        <v>151</v>
      </c>
      <c r="EJ275" s="30" t="s">
        <v>151</v>
      </c>
      <c r="EK275" s="31" t="s">
        <v>151</v>
      </c>
      <c r="EL275" s="31" t="s">
        <v>151</v>
      </c>
      <c r="EM275" s="31" t="s">
        <v>151</v>
      </c>
      <c r="EN275" s="31" t="s">
        <v>151</v>
      </c>
      <c r="EO275" s="31" t="s">
        <v>151</v>
      </c>
      <c r="EP275" s="30" t="s">
        <v>151</v>
      </c>
      <c r="EQ275" s="29" t="s">
        <v>151</v>
      </c>
      <c r="ER275" s="29" t="s">
        <v>151</v>
      </c>
      <c r="ES275" s="4">
        <f>HYPERLINK("https://my.pitchbook.com?c=467587-00","View Company Online")</f>
      </c>
    </row>
    <row r="276">
      <c r="A276" s="17" t="s">
        <v>6129</v>
      </c>
      <c r="B276" s="17" t="s">
        <v>6130</v>
      </c>
      <c r="C276" s="18" t="s">
        <v>151</v>
      </c>
      <c r="D276" s="17" t="s">
        <v>151</v>
      </c>
      <c r="E276" s="17" t="s">
        <v>151</v>
      </c>
      <c r="F276" s="17" t="s">
        <v>6131</v>
      </c>
      <c r="G276" s="17" t="s">
        <v>151</v>
      </c>
      <c r="H276" s="17" t="s">
        <v>151</v>
      </c>
      <c r="I276" s="17" t="s">
        <v>6132</v>
      </c>
      <c r="J276" s="17" t="s">
        <v>6129</v>
      </c>
      <c r="K276" s="17" t="s">
        <v>6133</v>
      </c>
      <c r="L276" s="17" t="s">
        <v>205</v>
      </c>
      <c r="M276" s="17" t="s">
        <v>206</v>
      </c>
      <c r="N276" s="17" t="s">
        <v>269</v>
      </c>
      <c r="O276" s="17" t="s">
        <v>563</v>
      </c>
      <c r="P276" s="17" t="s">
        <v>6134</v>
      </c>
      <c r="Q276" s="17" t="s">
        <v>6135</v>
      </c>
      <c r="R276" s="17" t="s">
        <v>151</v>
      </c>
      <c r="S276" s="17" t="s">
        <v>162</v>
      </c>
      <c r="T276" s="24">
        <v>10.82</v>
      </c>
      <c r="U276" s="17" t="s">
        <v>163</v>
      </c>
      <c r="V276" s="17" t="s">
        <v>164</v>
      </c>
      <c r="W276" s="17" t="s">
        <v>165</v>
      </c>
      <c r="X276" s="15" t="s">
        <v>6136</v>
      </c>
      <c r="Y276" s="15" t="s">
        <v>6137</v>
      </c>
      <c r="Z276" s="27">
        <v>38</v>
      </c>
      <c r="AA276" s="17" t="s">
        <v>6138</v>
      </c>
      <c r="AB276" s="17" t="s">
        <v>151</v>
      </c>
      <c r="AC276" s="17" t="s">
        <v>151</v>
      </c>
      <c r="AD276" s="26">
        <v>2017</v>
      </c>
      <c r="AE276" s="17" t="s">
        <v>151</v>
      </c>
      <c r="AF276" s="22">
        <v>45617</v>
      </c>
      <c r="AG276" s="17" t="s">
        <v>151</v>
      </c>
      <c r="AH276" s="17" t="s">
        <v>151</v>
      </c>
      <c r="AI276" s="25">
        <v>0.55</v>
      </c>
      <c r="AJ276" s="19" t="s">
        <v>151</v>
      </c>
      <c r="AK276" s="25" t="s">
        <v>151</v>
      </c>
      <c r="AL276" s="25" t="s">
        <v>151</v>
      </c>
      <c r="AM276" s="25" t="s">
        <v>151</v>
      </c>
      <c r="AN276" s="25" t="s">
        <v>151</v>
      </c>
      <c r="AO276" s="25" t="s">
        <v>151</v>
      </c>
      <c r="AP276" s="25" t="s">
        <v>151</v>
      </c>
      <c r="AQ276" s="25" t="s">
        <v>151</v>
      </c>
      <c r="AR276" s="16" t="s">
        <v>456</v>
      </c>
      <c r="AS276" s="17" t="s">
        <v>6139</v>
      </c>
      <c r="AT276" s="17" t="s">
        <v>6140</v>
      </c>
      <c r="AU276" s="18">
        <v>20</v>
      </c>
      <c r="AV276" s="17" t="s">
        <v>151</v>
      </c>
      <c r="AW276" s="17" t="s">
        <v>151</v>
      </c>
      <c r="AX276" s="17" t="s">
        <v>151</v>
      </c>
      <c r="AY276" s="17" t="s">
        <v>6141</v>
      </c>
      <c r="AZ276" s="17" t="s">
        <v>151</v>
      </c>
      <c r="BA276" s="17" t="s">
        <v>151</v>
      </c>
      <c r="BB276" s="17" t="s">
        <v>151</v>
      </c>
      <c r="BC276" s="17" t="s">
        <v>601</v>
      </c>
      <c r="BD276" s="17" t="s">
        <v>6142</v>
      </c>
      <c r="BE276" s="17" t="s">
        <v>6143</v>
      </c>
      <c r="BF276" s="17" t="s">
        <v>493</v>
      </c>
      <c r="BG276" s="17" t="s">
        <v>6144</v>
      </c>
      <c r="BH276" s="17" t="s">
        <v>6145</v>
      </c>
      <c r="BI276" s="17" t="s">
        <v>707</v>
      </c>
      <c r="BJ276" s="17" t="s">
        <v>6146</v>
      </c>
      <c r="BK276" s="17" t="s">
        <v>151</v>
      </c>
      <c r="BL276" s="17" t="s">
        <v>709</v>
      </c>
      <c r="BM276" s="17" t="s">
        <v>184</v>
      </c>
      <c r="BN276" s="16" t="s">
        <v>710</v>
      </c>
      <c r="BO276" s="17" t="s">
        <v>186</v>
      </c>
      <c r="BP276" s="16" t="s">
        <v>6145</v>
      </c>
      <c r="BQ276" s="16" t="s">
        <v>151</v>
      </c>
      <c r="BR276" s="17" t="s">
        <v>6147</v>
      </c>
      <c r="BS276" s="17" t="s">
        <v>187</v>
      </c>
      <c r="BT276" s="17" t="s">
        <v>188</v>
      </c>
      <c r="BU276" s="22">
        <v>42736</v>
      </c>
      <c r="BV276" s="24" t="s">
        <v>151</v>
      </c>
      <c r="BW276" s="17" t="s">
        <v>151</v>
      </c>
      <c r="BX276" s="24" t="s">
        <v>151</v>
      </c>
      <c r="BY276" s="17" t="s">
        <v>151</v>
      </c>
      <c r="BZ276" s="17" t="s">
        <v>189</v>
      </c>
      <c r="CA276" s="17" t="s">
        <v>151</v>
      </c>
      <c r="CB276" s="17" t="s">
        <v>151</v>
      </c>
      <c r="CC276" s="17" t="s">
        <v>190</v>
      </c>
      <c r="CD276" s="17" t="s">
        <v>151</v>
      </c>
      <c r="CE276" s="17" t="s">
        <v>191</v>
      </c>
      <c r="CF276" s="22" t="s">
        <v>151</v>
      </c>
      <c r="CG276" s="24" t="s">
        <v>151</v>
      </c>
      <c r="CH276" s="17" t="s">
        <v>151</v>
      </c>
      <c r="CI276" s="24" t="s">
        <v>151</v>
      </c>
      <c r="CJ276" s="17" t="s">
        <v>151</v>
      </c>
      <c r="CK276" s="16">
        <v>1.17</v>
      </c>
      <c r="CL276" s="17" t="s">
        <v>189</v>
      </c>
      <c r="CM276" s="17" t="s">
        <v>151</v>
      </c>
      <c r="CN276" s="17" t="s">
        <v>151</v>
      </c>
      <c r="CO276" s="17" t="s">
        <v>190</v>
      </c>
      <c r="CP276" s="22" t="s">
        <v>151</v>
      </c>
      <c r="CQ276" s="24" t="s">
        <v>151</v>
      </c>
      <c r="CR276" s="17" t="s">
        <v>151</v>
      </c>
      <c r="CS276" s="17" t="s">
        <v>191</v>
      </c>
      <c r="CT276" s="16">
        <v>98</v>
      </c>
      <c r="CU276" s="17" t="s">
        <v>196</v>
      </c>
      <c r="CV276" s="19">
        <v>94</v>
      </c>
      <c r="CW276" s="19">
        <v>6</v>
      </c>
      <c r="CX276" s="17" t="s">
        <v>294</v>
      </c>
      <c r="CY276" s="19">
        <v>1</v>
      </c>
      <c r="CZ276" s="19">
        <v>93</v>
      </c>
      <c r="DA276" s="24">
        <v>30</v>
      </c>
      <c r="DB276" s="22">
        <v>45345</v>
      </c>
      <c r="DC276" s="17" t="s">
        <v>194</v>
      </c>
      <c r="DD276" s="16">
        <v>1.17</v>
      </c>
      <c r="DE276" s="19">
        <v>1.17</v>
      </c>
      <c r="DF276" s="21">
        <v>97</v>
      </c>
      <c r="DG276" s="19">
        <v>0</v>
      </c>
      <c r="DH276" s="19">
        <v>0</v>
      </c>
      <c r="DI276" s="19" t="s">
        <v>151</v>
      </c>
      <c r="DJ276" s="21" t="s">
        <v>151</v>
      </c>
      <c r="DK276" s="19" t="s">
        <v>151</v>
      </c>
      <c r="DL276" s="21" t="s">
        <v>151</v>
      </c>
      <c r="DM276" s="19" t="s">
        <v>151</v>
      </c>
      <c r="DN276" s="21" t="s">
        <v>151</v>
      </c>
      <c r="DO276" s="23">
        <v>2.62</v>
      </c>
      <c r="DP276" s="21">
        <v>72</v>
      </c>
      <c r="DQ276" s="23">
        <v>0</v>
      </c>
      <c r="DR276" s="19">
        <v>0</v>
      </c>
      <c r="DS276" s="23" t="s">
        <v>151</v>
      </c>
      <c r="DT276" s="21" t="s">
        <v>151</v>
      </c>
      <c r="DU276" s="23" t="s">
        <v>151</v>
      </c>
      <c r="DV276" s="21" t="s">
        <v>151</v>
      </c>
      <c r="DW276" s="23" t="s">
        <v>151</v>
      </c>
      <c r="DX276" s="21" t="s">
        <v>151</v>
      </c>
      <c r="DY276" s="18" t="s">
        <v>151</v>
      </c>
      <c r="DZ276" s="22" t="s">
        <v>151</v>
      </c>
      <c r="EA276" s="22" t="s">
        <v>151</v>
      </c>
      <c r="EB276" s="21">
        <v>812</v>
      </c>
      <c r="EC276" s="20">
        <v>25</v>
      </c>
      <c r="ED276" s="19">
        <v>3.18</v>
      </c>
      <c r="EE276" s="21" t="s">
        <v>151</v>
      </c>
      <c r="EF276" s="20" t="s">
        <v>151</v>
      </c>
      <c r="EG276" s="19" t="s">
        <v>151</v>
      </c>
      <c r="EH276" s="16" t="s">
        <v>198</v>
      </c>
      <c r="EI276" s="17" t="s">
        <v>151</v>
      </c>
      <c r="EJ276" s="17" t="s">
        <v>151</v>
      </c>
      <c r="EK276" s="18" t="s">
        <v>151</v>
      </c>
      <c r="EL276" s="18" t="s">
        <v>151</v>
      </c>
      <c r="EM276" s="18" t="s">
        <v>151</v>
      </c>
      <c r="EN276" s="18" t="s">
        <v>151</v>
      </c>
      <c r="EO276" s="18" t="s">
        <v>151</v>
      </c>
      <c r="EP276" s="17" t="s">
        <v>151</v>
      </c>
      <c r="EQ276" s="16" t="s">
        <v>151</v>
      </c>
      <c r="ER276" s="16" t="s">
        <v>151</v>
      </c>
      <c r="ES276" s="3">
        <f>HYPERLINK("https://my.pitchbook.com?c=184684-69","View Company Online")</f>
      </c>
    </row>
    <row r="277">
      <c r="A277" s="30" t="s">
        <v>6148</v>
      </c>
      <c r="B277" s="30" t="s">
        <v>6149</v>
      </c>
      <c r="C277" s="31" t="s">
        <v>151</v>
      </c>
      <c r="D277" s="30" t="s">
        <v>151</v>
      </c>
      <c r="E277" s="30" t="s">
        <v>151</v>
      </c>
      <c r="F277" s="30" t="s">
        <v>6150</v>
      </c>
      <c r="G277" s="30" t="s">
        <v>151</v>
      </c>
      <c r="H277" s="30" t="s">
        <v>151</v>
      </c>
      <c r="I277" s="30" t="s">
        <v>151</v>
      </c>
      <c r="J277" s="30" t="s">
        <v>6148</v>
      </c>
      <c r="K277" s="30" t="s">
        <v>6151</v>
      </c>
      <c r="L277" s="30" t="s">
        <v>205</v>
      </c>
      <c r="M277" s="30" t="s">
        <v>206</v>
      </c>
      <c r="N277" s="30" t="s">
        <v>2484</v>
      </c>
      <c r="O277" s="30" t="s">
        <v>2485</v>
      </c>
      <c r="P277" s="30" t="s">
        <v>1421</v>
      </c>
      <c r="Q277" s="30" t="s">
        <v>6152</v>
      </c>
      <c r="R277" s="30" t="s">
        <v>151</v>
      </c>
      <c r="S277" s="30" t="s">
        <v>162</v>
      </c>
      <c r="T277" s="37">
        <v>1</v>
      </c>
      <c r="U277" s="30" t="s">
        <v>163</v>
      </c>
      <c r="V277" s="30" t="s">
        <v>164</v>
      </c>
      <c r="W277" s="30" t="s">
        <v>165</v>
      </c>
      <c r="X277" s="28" t="s">
        <v>6153</v>
      </c>
      <c r="Y277" s="28" t="s">
        <v>6154</v>
      </c>
      <c r="Z277" s="40">
        <v>8</v>
      </c>
      <c r="AA277" s="30" t="s">
        <v>6155</v>
      </c>
      <c r="AB277" s="30" t="s">
        <v>151</v>
      </c>
      <c r="AC277" s="30" t="s">
        <v>151</v>
      </c>
      <c r="AD277" s="39">
        <v>2021</v>
      </c>
      <c r="AE277" s="30" t="s">
        <v>151</v>
      </c>
      <c r="AF277" s="35">
        <v>45478</v>
      </c>
      <c r="AG277" s="30" t="s">
        <v>151</v>
      </c>
      <c r="AH277" s="30" t="s">
        <v>151</v>
      </c>
      <c r="AI277" s="38" t="s">
        <v>151</v>
      </c>
      <c r="AJ277" s="32" t="s">
        <v>151</v>
      </c>
      <c r="AK277" s="38" t="s">
        <v>151</v>
      </c>
      <c r="AL277" s="38" t="s">
        <v>151</v>
      </c>
      <c r="AM277" s="38" t="s">
        <v>151</v>
      </c>
      <c r="AN277" s="38" t="s">
        <v>151</v>
      </c>
      <c r="AO277" s="38" t="s">
        <v>151</v>
      </c>
      <c r="AP277" s="38" t="s">
        <v>151</v>
      </c>
      <c r="AQ277" s="38" t="s">
        <v>151</v>
      </c>
      <c r="AR277" s="29" t="s">
        <v>151</v>
      </c>
      <c r="AS277" s="30" t="s">
        <v>6156</v>
      </c>
      <c r="AT277" s="30" t="s">
        <v>6157</v>
      </c>
      <c r="AU277" s="31">
        <v>5</v>
      </c>
      <c r="AV277" s="30" t="s">
        <v>151</v>
      </c>
      <c r="AW277" s="30" t="s">
        <v>151</v>
      </c>
      <c r="AX277" s="30" t="s">
        <v>151</v>
      </c>
      <c r="AY277" s="30" t="s">
        <v>6158</v>
      </c>
      <c r="AZ277" s="30" t="s">
        <v>151</v>
      </c>
      <c r="BA277" s="30" t="s">
        <v>151</v>
      </c>
      <c r="BB277" s="30" t="s">
        <v>151</v>
      </c>
      <c r="BC277" s="30" t="s">
        <v>151</v>
      </c>
      <c r="BD277" s="30" t="s">
        <v>6159</v>
      </c>
      <c r="BE277" s="30" t="s">
        <v>6160</v>
      </c>
      <c r="BF277" s="30" t="s">
        <v>221</v>
      </c>
      <c r="BG277" s="30" t="s">
        <v>6161</v>
      </c>
      <c r="BH277" s="30" t="s">
        <v>151</v>
      </c>
      <c r="BI277" s="30" t="s">
        <v>764</v>
      </c>
      <c r="BJ277" s="30" t="s">
        <v>151</v>
      </c>
      <c r="BK277" s="30" t="s">
        <v>151</v>
      </c>
      <c r="BL277" s="30" t="s">
        <v>767</v>
      </c>
      <c r="BM277" s="30" t="s">
        <v>184</v>
      </c>
      <c r="BN277" s="29" t="s">
        <v>151</v>
      </c>
      <c r="BO277" s="30" t="s">
        <v>186</v>
      </c>
      <c r="BP277" s="29" t="s">
        <v>151</v>
      </c>
      <c r="BQ277" s="29" t="s">
        <v>151</v>
      </c>
      <c r="BR277" s="30" t="s">
        <v>151</v>
      </c>
      <c r="BS277" s="30" t="s">
        <v>187</v>
      </c>
      <c r="BT277" s="30" t="s">
        <v>188</v>
      </c>
      <c r="BU277" s="35">
        <v>44693</v>
      </c>
      <c r="BV277" s="37">
        <v>1</v>
      </c>
      <c r="BW277" s="30" t="s">
        <v>192</v>
      </c>
      <c r="BX277" s="37">
        <v>8</v>
      </c>
      <c r="BY277" s="30" t="s">
        <v>192</v>
      </c>
      <c r="BZ277" s="30" t="s">
        <v>231</v>
      </c>
      <c r="CA277" s="30" t="s">
        <v>232</v>
      </c>
      <c r="CB277" s="30" t="s">
        <v>151</v>
      </c>
      <c r="CC277" s="30" t="s">
        <v>165</v>
      </c>
      <c r="CD277" s="30" t="s">
        <v>151</v>
      </c>
      <c r="CE277" s="30" t="s">
        <v>191</v>
      </c>
      <c r="CF277" s="35">
        <v>44927</v>
      </c>
      <c r="CG277" s="37" t="s">
        <v>151</v>
      </c>
      <c r="CH277" s="30" t="s">
        <v>151</v>
      </c>
      <c r="CI277" s="37" t="s">
        <v>151</v>
      </c>
      <c r="CJ277" s="30" t="s">
        <v>151</v>
      </c>
      <c r="CK277" s="29" t="s">
        <v>151</v>
      </c>
      <c r="CL277" s="30" t="s">
        <v>189</v>
      </c>
      <c r="CM277" s="30" t="s">
        <v>151</v>
      </c>
      <c r="CN277" s="30" t="s">
        <v>151</v>
      </c>
      <c r="CO277" s="30" t="s">
        <v>190</v>
      </c>
      <c r="CP277" s="35">
        <v>44927</v>
      </c>
      <c r="CQ277" s="37" t="s">
        <v>151</v>
      </c>
      <c r="CR277" s="30" t="s">
        <v>151</v>
      </c>
      <c r="CS277" s="30" t="s">
        <v>191</v>
      </c>
      <c r="CT277" s="29">
        <v>48</v>
      </c>
      <c r="CU277" s="30" t="s">
        <v>263</v>
      </c>
      <c r="CV277" s="32">
        <v>46</v>
      </c>
      <c r="CW277" s="32">
        <v>54</v>
      </c>
      <c r="CX277" s="30" t="s">
        <v>263</v>
      </c>
      <c r="CY277" s="32">
        <v>1</v>
      </c>
      <c r="CZ277" s="32">
        <v>45</v>
      </c>
      <c r="DA277" s="37">
        <v>8</v>
      </c>
      <c r="DB277" s="35">
        <v>44693</v>
      </c>
      <c r="DC277" s="30" t="s">
        <v>231</v>
      </c>
      <c r="DD277" s="29" t="s">
        <v>151</v>
      </c>
      <c r="DE277" s="32" t="s">
        <v>151</v>
      </c>
      <c r="DF277" s="34" t="s">
        <v>151</v>
      </c>
      <c r="DG277" s="32" t="s">
        <v>151</v>
      </c>
      <c r="DH277" s="32" t="s">
        <v>151</v>
      </c>
      <c r="DI277" s="32" t="s">
        <v>151</v>
      </c>
      <c r="DJ277" s="34" t="s">
        <v>151</v>
      </c>
      <c r="DK277" s="32" t="s">
        <v>151</v>
      </c>
      <c r="DL277" s="34" t="s">
        <v>151</v>
      </c>
      <c r="DM277" s="32" t="s">
        <v>151</v>
      </c>
      <c r="DN277" s="34" t="s">
        <v>151</v>
      </c>
      <c r="DO277" s="36" t="s">
        <v>151</v>
      </c>
      <c r="DP277" s="34" t="s">
        <v>151</v>
      </c>
      <c r="DQ277" s="36" t="s">
        <v>151</v>
      </c>
      <c r="DR277" s="32" t="s">
        <v>151</v>
      </c>
      <c r="DS277" s="36" t="s">
        <v>151</v>
      </c>
      <c r="DT277" s="34" t="s">
        <v>151</v>
      </c>
      <c r="DU277" s="36" t="s">
        <v>151</v>
      </c>
      <c r="DV277" s="34" t="s">
        <v>151</v>
      </c>
      <c r="DW277" s="36" t="s">
        <v>151</v>
      </c>
      <c r="DX277" s="34" t="s">
        <v>151</v>
      </c>
      <c r="DY277" s="31" t="s">
        <v>151</v>
      </c>
      <c r="DZ277" s="35" t="s">
        <v>151</v>
      </c>
      <c r="EA277" s="35" t="s">
        <v>151</v>
      </c>
      <c r="EB277" s="34" t="s">
        <v>151</v>
      </c>
      <c r="EC277" s="33" t="s">
        <v>151</v>
      </c>
      <c r="ED277" s="32" t="s">
        <v>151</v>
      </c>
      <c r="EE277" s="34" t="s">
        <v>151</v>
      </c>
      <c r="EF277" s="33" t="s">
        <v>151</v>
      </c>
      <c r="EG277" s="32" t="s">
        <v>151</v>
      </c>
      <c r="EH277" s="29" t="s">
        <v>198</v>
      </c>
      <c r="EI277" s="30" t="s">
        <v>151</v>
      </c>
      <c r="EJ277" s="30" t="s">
        <v>151</v>
      </c>
      <c r="EK277" s="31" t="s">
        <v>151</v>
      </c>
      <c r="EL277" s="31" t="s">
        <v>151</v>
      </c>
      <c r="EM277" s="31" t="s">
        <v>151</v>
      </c>
      <c r="EN277" s="31" t="s">
        <v>151</v>
      </c>
      <c r="EO277" s="31" t="s">
        <v>151</v>
      </c>
      <c r="EP277" s="30" t="s">
        <v>151</v>
      </c>
      <c r="EQ277" s="29" t="s">
        <v>151</v>
      </c>
      <c r="ER277" s="29" t="s">
        <v>151</v>
      </c>
      <c r="ES277" s="4">
        <f>HYPERLINK("https://my.pitchbook.com?c=500747-32","View Company Online")</f>
      </c>
    </row>
    <row r="278">
      <c r="A278" s="17" t="s">
        <v>6162</v>
      </c>
      <c r="B278" s="17" t="s">
        <v>6163</v>
      </c>
      <c r="C278" s="18" t="s">
        <v>151</v>
      </c>
      <c r="D278" s="17" t="s">
        <v>151</v>
      </c>
      <c r="E278" s="17" t="s">
        <v>151</v>
      </c>
      <c r="F278" s="17" t="s">
        <v>6164</v>
      </c>
      <c r="G278" s="17" t="s">
        <v>151</v>
      </c>
      <c r="H278" s="17" t="s">
        <v>151</v>
      </c>
      <c r="I278" s="17" t="s">
        <v>6165</v>
      </c>
      <c r="J278" s="17" t="s">
        <v>6162</v>
      </c>
      <c r="K278" s="17" t="s">
        <v>6166</v>
      </c>
      <c r="L278" s="17" t="s">
        <v>205</v>
      </c>
      <c r="M278" s="17" t="s">
        <v>206</v>
      </c>
      <c r="N278" s="17" t="s">
        <v>269</v>
      </c>
      <c r="O278" s="17" t="s">
        <v>1651</v>
      </c>
      <c r="P278" s="17" t="s">
        <v>2618</v>
      </c>
      <c r="Q278" s="17" t="s">
        <v>6167</v>
      </c>
      <c r="R278" s="17" t="s">
        <v>151</v>
      </c>
      <c r="S278" s="17" t="s">
        <v>162</v>
      </c>
      <c r="T278" s="24">
        <v>5</v>
      </c>
      <c r="U278" s="17" t="s">
        <v>163</v>
      </c>
      <c r="V278" s="17" t="s">
        <v>164</v>
      </c>
      <c r="W278" s="17" t="s">
        <v>165</v>
      </c>
      <c r="X278" s="15" t="s">
        <v>6168</v>
      </c>
      <c r="Y278" s="15" t="s">
        <v>6169</v>
      </c>
      <c r="Z278" s="27">
        <v>16</v>
      </c>
      <c r="AA278" s="17" t="s">
        <v>6170</v>
      </c>
      <c r="AB278" s="17" t="s">
        <v>151</v>
      </c>
      <c r="AC278" s="17" t="s">
        <v>151</v>
      </c>
      <c r="AD278" s="26">
        <v>2019</v>
      </c>
      <c r="AE278" s="17" t="s">
        <v>151</v>
      </c>
      <c r="AF278" s="22">
        <v>45476</v>
      </c>
      <c r="AG278" s="17" t="s">
        <v>151</v>
      </c>
      <c r="AH278" s="17" t="s">
        <v>151</v>
      </c>
      <c r="AI278" s="25" t="s">
        <v>151</v>
      </c>
      <c r="AJ278" s="19" t="s">
        <v>151</v>
      </c>
      <c r="AK278" s="25" t="s">
        <v>151</v>
      </c>
      <c r="AL278" s="25" t="s">
        <v>151</v>
      </c>
      <c r="AM278" s="25" t="s">
        <v>151</v>
      </c>
      <c r="AN278" s="25" t="s">
        <v>151</v>
      </c>
      <c r="AO278" s="25" t="s">
        <v>151</v>
      </c>
      <c r="AP278" s="25" t="s">
        <v>151</v>
      </c>
      <c r="AQ278" s="25" t="s">
        <v>151</v>
      </c>
      <c r="AR278" s="16" t="s">
        <v>151</v>
      </c>
      <c r="AS278" s="17" t="s">
        <v>1294</v>
      </c>
      <c r="AT278" s="17" t="s">
        <v>6171</v>
      </c>
      <c r="AU278" s="18">
        <v>8</v>
      </c>
      <c r="AV278" s="17" t="s">
        <v>151</v>
      </c>
      <c r="AW278" s="17" t="s">
        <v>6172</v>
      </c>
      <c r="AX278" s="17" t="s">
        <v>151</v>
      </c>
      <c r="AY278" s="17" t="s">
        <v>6173</v>
      </c>
      <c r="AZ278" s="17" t="s">
        <v>6174</v>
      </c>
      <c r="BA278" s="17" t="s">
        <v>151</v>
      </c>
      <c r="BB278" s="17" t="s">
        <v>151</v>
      </c>
      <c r="BC278" s="17" t="s">
        <v>151</v>
      </c>
      <c r="BD278" s="17" t="s">
        <v>6175</v>
      </c>
      <c r="BE278" s="17" t="s">
        <v>6176</v>
      </c>
      <c r="BF278" s="17" t="s">
        <v>6177</v>
      </c>
      <c r="BG278" s="17" t="s">
        <v>6178</v>
      </c>
      <c r="BH278" s="17" t="s">
        <v>151</v>
      </c>
      <c r="BI278" s="17" t="s">
        <v>6179</v>
      </c>
      <c r="BJ278" s="17" t="s">
        <v>6180</v>
      </c>
      <c r="BK278" s="17" t="s">
        <v>6181</v>
      </c>
      <c r="BL278" s="17" t="s">
        <v>6182</v>
      </c>
      <c r="BM278" s="17" t="s">
        <v>184</v>
      </c>
      <c r="BN278" s="16" t="s">
        <v>6183</v>
      </c>
      <c r="BO278" s="17" t="s">
        <v>186</v>
      </c>
      <c r="BP278" s="16" t="s">
        <v>151</v>
      </c>
      <c r="BQ278" s="16" t="s">
        <v>151</v>
      </c>
      <c r="BR278" s="17" t="s">
        <v>6184</v>
      </c>
      <c r="BS278" s="17" t="s">
        <v>187</v>
      </c>
      <c r="BT278" s="17" t="s">
        <v>188</v>
      </c>
      <c r="BU278" s="22">
        <v>44587</v>
      </c>
      <c r="BV278" s="24">
        <v>5</v>
      </c>
      <c r="BW278" s="17" t="s">
        <v>192</v>
      </c>
      <c r="BX278" s="24">
        <v>20</v>
      </c>
      <c r="BY278" s="17" t="s">
        <v>192</v>
      </c>
      <c r="BZ278" s="17" t="s">
        <v>293</v>
      </c>
      <c r="CA278" s="17" t="s">
        <v>293</v>
      </c>
      <c r="CB278" s="17" t="s">
        <v>151</v>
      </c>
      <c r="CC278" s="17" t="s">
        <v>165</v>
      </c>
      <c r="CD278" s="17" t="s">
        <v>151</v>
      </c>
      <c r="CE278" s="17" t="s">
        <v>191</v>
      </c>
      <c r="CF278" s="22">
        <v>45444</v>
      </c>
      <c r="CG278" s="24" t="s">
        <v>151</v>
      </c>
      <c r="CH278" s="17" t="s">
        <v>151</v>
      </c>
      <c r="CI278" s="24" t="s">
        <v>151</v>
      </c>
      <c r="CJ278" s="17" t="s">
        <v>151</v>
      </c>
      <c r="CK278" s="16" t="s">
        <v>151</v>
      </c>
      <c r="CL278" s="17" t="s">
        <v>194</v>
      </c>
      <c r="CM278" s="17" t="s">
        <v>151</v>
      </c>
      <c r="CN278" s="17" t="s">
        <v>151</v>
      </c>
      <c r="CO278" s="17" t="s">
        <v>165</v>
      </c>
      <c r="CP278" s="22">
        <v>45444</v>
      </c>
      <c r="CQ278" s="24" t="s">
        <v>151</v>
      </c>
      <c r="CR278" s="17" t="s">
        <v>151</v>
      </c>
      <c r="CS278" s="17" t="s">
        <v>191</v>
      </c>
      <c r="CT278" s="16">
        <v>80</v>
      </c>
      <c r="CU278" s="17" t="s">
        <v>196</v>
      </c>
      <c r="CV278" s="19">
        <v>73</v>
      </c>
      <c r="CW278" s="19">
        <v>27</v>
      </c>
      <c r="CX278" s="17" t="s">
        <v>294</v>
      </c>
      <c r="CY278" s="19">
        <v>1</v>
      </c>
      <c r="CZ278" s="19">
        <v>72</v>
      </c>
      <c r="DA278" s="24">
        <v>20</v>
      </c>
      <c r="DB278" s="22">
        <v>44587</v>
      </c>
      <c r="DC278" s="17" t="s">
        <v>293</v>
      </c>
      <c r="DD278" s="16" t="s">
        <v>151</v>
      </c>
      <c r="DE278" s="19">
        <v>-0.38</v>
      </c>
      <c r="DF278" s="21">
        <v>8</v>
      </c>
      <c r="DG278" s="19">
        <v>0</v>
      </c>
      <c r="DH278" s="19">
        <v>0</v>
      </c>
      <c r="DI278" s="19">
        <v>-0.75</v>
      </c>
      <c r="DJ278" s="21">
        <v>5</v>
      </c>
      <c r="DK278" s="19" t="s">
        <v>151</v>
      </c>
      <c r="DL278" s="21" t="s">
        <v>151</v>
      </c>
      <c r="DM278" s="19">
        <v>-0.75</v>
      </c>
      <c r="DN278" s="21">
        <v>5</v>
      </c>
      <c r="DO278" s="23">
        <v>5.25</v>
      </c>
      <c r="DP278" s="21">
        <v>83</v>
      </c>
      <c r="DQ278" s="23">
        <v>0</v>
      </c>
      <c r="DR278" s="19">
        <v>0</v>
      </c>
      <c r="DS278" s="23">
        <v>9.26</v>
      </c>
      <c r="DT278" s="21">
        <v>89</v>
      </c>
      <c r="DU278" s="23" t="s">
        <v>151</v>
      </c>
      <c r="DV278" s="21" t="s">
        <v>151</v>
      </c>
      <c r="DW278" s="23">
        <v>9.26</v>
      </c>
      <c r="DX278" s="21">
        <v>89</v>
      </c>
      <c r="DY278" s="18" t="s">
        <v>151</v>
      </c>
      <c r="DZ278" s="22" t="s">
        <v>151</v>
      </c>
      <c r="EA278" s="22" t="s">
        <v>151</v>
      </c>
      <c r="EB278" s="21">
        <v>1249</v>
      </c>
      <c r="EC278" s="20">
        <v>-331</v>
      </c>
      <c r="ED278" s="19">
        <v>-20.95</v>
      </c>
      <c r="EE278" s="21">
        <v>176</v>
      </c>
      <c r="EF278" s="20">
        <v>0</v>
      </c>
      <c r="EG278" s="19">
        <v>0</v>
      </c>
      <c r="EH278" s="16" t="s">
        <v>198</v>
      </c>
      <c r="EI278" s="17" t="s">
        <v>151</v>
      </c>
      <c r="EJ278" s="17" t="s">
        <v>151</v>
      </c>
      <c r="EK278" s="18" t="s">
        <v>151</v>
      </c>
      <c r="EL278" s="18" t="s">
        <v>151</v>
      </c>
      <c r="EM278" s="18" t="s">
        <v>151</v>
      </c>
      <c r="EN278" s="18" t="s">
        <v>151</v>
      </c>
      <c r="EO278" s="18" t="s">
        <v>151</v>
      </c>
      <c r="EP278" s="17" t="s">
        <v>151</v>
      </c>
      <c r="EQ278" s="16" t="s">
        <v>151</v>
      </c>
      <c r="ER278" s="16" t="s">
        <v>151</v>
      </c>
      <c r="ES278" s="3">
        <f>HYPERLINK("https://my.pitchbook.com?c=482167-63","View Company Online")</f>
      </c>
    </row>
    <row r="279">
      <c r="A279" s="30" t="s">
        <v>6185</v>
      </c>
      <c r="B279" s="30" t="s">
        <v>6186</v>
      </c>
      <c r="C279" s="31" t="s">
        <v>151</v>
      </c>
      <c r="D279" s="30" t="s">
        <v>151</v>
      </c>
      <c r="E279" s="30" t="s">
        <v>151</v>
      </c>
      <c r="F279" s="30" t="s">
        <v>6187</v>
      </c>
      <c r="G279" s="30" t="s">
        <v>151</v>
      </c>
      <c r="H279" s="30" t="s">
        <v>151</v>
      </c>
      <c r="I279" s="30" t="s">
        <v>151</v>
      </c>
      <c r="J279" s="30" t="s">
        <v>6185</v>
      </c>
      <c r="K279" s="30" t="s">
        <v>6188</v>
      </c>
      <c r="L279" s="30" t="s">
        <v>205</v>
      </c>
      <c r="M279" s="30" t="s">
        <v>206</v>
      </c>
      <c r="N279" s="30" t="s">
        <v>269</v>
      </c>
      <c r="O279" s="30" t="s">
        <v>3056</v>
      </c>
      <c r="P279" s="30" t="s">
        <v>1107</v>
      </c>
      <c r="Q279" s="30" t="s">
        <v>6189</v>
      </c>
      <c r="R279" s="30" t="s">
        <v>151</v>
      </c>
      <c r="S279" s="30" t="s">
        <v>162</v>
      </c>
      <c r="T279" s="37">
        <v>4.5</v>
      </c>
      <c r="U279" s="30" t="s">
        <v>163</v>
      </c>
      <c r="V279" s="30" t="s">
        <v>164</v>
      </c>
      <c r="W279" s="30" t="s">
        <v>165</v>
      </c>
      <c r="X279" s="28" t="s">
        <v>6190</v>
      </c>
      <c r="Y279" s="28" t="s">
        <v>6191</v>
      </c>
      <c r="Z279" s="40">
        <v>6</v>
      </c>
      <c r="AA279" s="30" t="s">
        <v>6192</v>
      </c>
      <c r="AB279" s="30" t="s">
        <v>151</v>
      </c>
      <c r="AC279" s="30" t="s">
        <v>151</v>
      </c>
      <c r="AD279" s="39">
        <v>2021</v>
      </c>
      <c r="AE279" s="30" t="s">
        <v>151</v>
      </c>
      <c r="AF279" s="35">
        <v>45469</v>
      </c>
      <c r="AG279" s="30" t="s">
        <v>151</v>
      </c>
      <c r="AH279" s="30" t="s">
        <v>151</v>
      </c>
      <c r="AI279" s="38" t="s">
        <v>151</v>
      </c>
      <c r="AJ279" s="32" t="s">
        <v>151</v>
      </c>
      <c r="AK279" s="38" t="s">
        <v>151</v>
      </c>
      <c r="AL279" s="38" t="s">
        <v>151</v>
      </c>
      <c r="AM279" s="38" t="s">
        <v>151</v>
      </c>
      <c r="AN279" s="38" t="s">
        <v>151</v>
      </c>
      <c r="AO279" s="38" t="s">
        <v>151</v>
      </c>
      <c r="AP279" s="38" t="s">
        <v>151</v>
      </c>
      <c r="AQ279" s="38" t="s">
        <v>151</v>
      </c>
      <c r="AR279" s="29" t="s">
        <v>151</v>
      </c>
      <c r="AS279" s="30" t="s">
        <v>6193</v>
      </c>
      <c r="AT279" s="30" t="s">
        <v>6194</v>
      </c>
      <c r="AU279" s="31">
        <v>7</v>
      </c>
      <c r="AV279" s="30" t="s">
        <v>151</v>
      </c>
      <c r="AW279" s="30" t="s">
        <v>151</v>
      </c>
      <c r="AX279" s="30" t="s">
        <v>151</v>
      </c>
      <c r="AY279" s="30" t="s">
        <v>6195</v>
      </c>
      <c r="AZ279" s="30" t="s">
        <v>151</v>
      </c>
      <c r="BA279" s="30" t="s">
        <v>151</v>
      </c>
      <c r="BB279" s="30" t="s">
        <v>151</v>
      </c>
      <c r="BC279" s="30" t="s">
        <v>151</v>
      </c>
      <c r="BD279" s="30" t="s">
        <v>6196</v>
      </c>
      <c r="BE279" s="30" t="s">
        <v>6197</v>
      </c>
      <c r="BF279" s="30" t="s">
        <v>221</v>
      </c>
      <c r="BG279" s="30" t="s">
        <v>6198</v>
      </c>
      <c r="BH279" s="30" t="s">
        <v>151</v>
      </c>
      <c r="BI279" s="30" t="s">
        <v>764</v>
      </c>
      <c r="BJ279" s="30" t="s">
        <v>6199</v>
      </c>
      <c r="BK279" s="30" t="s">
        <v>6200</v>
      </c>
      <c r="BL279" s="30" t="s">
        <v>767</v>
      </c>
      <c r="BM279" s="30" t="s">
        <v>184</v>
      </c>
      <c r="BN279" s="29" t="s">
        <v>1170</v>
      </c>
      <c r="BO279" s="30" t="s">
        <v>186</v>
      </c>
      <c r="BP279" s="29" t="s">
        <v>151</v>
      </c>
      <c r="BQ279" s="29" t="s">
        <v>151</v>
      </c>
      <c r="BR279" s="30" t="s">
        <v>6201</v>
      </c>
      <c r="BS279" s="30" t="s">
        <v>187</v>
      </c>
      <c r="BT279" s="30" t="s">
        <v>188</v>
      </c>
      <c r="BU279" s="35">
        <v>44197</v>
      </c>
      <c r="BV279" s="37" t="s">
        <v>151</v>
      </c>
      <c r="BW279" s="30" t="s">
        <v>151</v>
      </c>
      <c r="BX279" s="37" t="s">
        <v>151</v>
      </c>
      <c r="BY279" s="30" t="s">
        <v>151</v>
      </c>
      <c r="BZ279" s="30" t="s">
        <v>189</v>
      </c>
      <c r="CA279" s="30" t="s">
        <v>151</v>
      </c>
      <c r="CB279" s="30" t="s">
        <v>151</v>
      </c>
      <c r="CC279" s="30" t="s">
        <v>190</v>
      </c>
      <c r="CD279" s="30" t="s">
        <v>151</v>
      </c>
      <c r="CE279" s="30" t="s">
        <v>191</v>
      </c>
      <c r="CF279" s="35">
        <v>45226</v>
      </c>
      <c r="CG279" s="37">
        <v>4</v>
      </c>
      <c r="CH279" s="30" t="s">
        <v>192</v>
      </c>
      <c r="CI279" s="37" t="s">
        <v>151</v>
      </c>
      <c r="CJ279" s="30" t="s">
        <v>151</v>
      </c>
      <c r="CK279" s="29" t="s">
        <v>151</v>
      </c>
      <c r="CL279" s="30" t="s">
        <v>293</v>
      </c>
      <c r="CM279" s="30" t="s">
        <v>293</v>
      </c>
      <c r="CN279" s="30" t="s">
        <v>151</v>
      </c>
      <c r="CO279" s="30" t="s">
        <v>165</v>
      </c>
      <c r="CP279" s="35">
        <v>45226</v>
      </c>
      <c r="CQ279" s="37" t="s">
        <v>151</v>
      </c>
      <c r="CR279" s="30" t="s">
        <v>151</v>
      </c>
      <c r="CS279" s="30" t="s">
        <v>191</v>
      </c>
      <c r="CT279" s="29" t="s">
        <v>151</v>
      </c>
      <c r="CU279" s="30" t="s">
        <v>151</v>
      </c>
      <c r="CV279" s="32" t="s">
        <v>151</v>
      </c>
      <c r="CW279" s="32" t="s">
        <v>151</v>
      </c>
      <c r="CX279" s="30" t="s">
        <v>151</v>
      </c>
      <c r="CY279" s="32" t="s">
        <v>151</v>
      </c>
      <c r="CZ279" s="32" t="s">
        <v>151</v>
      </c>
      <c r="DA279" s="37" t="s">
        <v>151</v>
      </c>
      <c r="DB279" s="35" t="s">
        <v>151</v>
      </c>
      <c r="DC279" s="30" t="s">
        <v>151</v>
      </c>
      <c r="DD279" s="29" t="s">
        <v>151</v>
      </c>
      <c r="DE279" s="32">
        <v>-1.28</v>
      </c>
      <c r="DF279" s="34">
        <v>3</v>
      </c>
      <c r="DG279" s="32">
        <v>0</v>
      </c>
      <c r="DH279" s="32">
        <v>0</v>
      </c>
      <c r="DI279" s="32">
        <v>-0.77</v>
      </c>
      <c r="DJ279" s="34">
        <v>5</v>
      </c>
      <c r="DK279" s="32" t="s">
        <v>151</v>
      </c>
      <c r="DL279" s="34" t="s">
        <v>151</v>
      </c>
      <c r="DM279" s="32">
        <v>-0.77</v>
      </c>
      <c r="DN279" s="34">
        <v>5</v>
      </c>
      <c r="DO279" s="36">
        <v>4.28</v>
      </c>
      <c r="DP279" s="34">
        <v>80</v>
      </c>
      <c r="DQ279" s="36">
        <v>0</v>
      </c>
      <c r="DR279" s="32">
        <v>0</v>
      </c>
      <c r="DS279" s="36">
        <v>8.11</v>
      </c>
      <c r="DT279" s="34">
        <v>88</v>
      </c>
      <c r="DU279" s="36" t="s">
        <v>151</v>
      </c>
      <c r="DV279" s="34" t="s">
        <v>151</v>
      </c>
      <c r="DW279" s="36">
        <v>8.11</v>
      </c>
      <c r="DX279" s="34">
        <v>88</v>
      </c>
      <c r="DY279" s="31" t="s">
        <v>151</v>
      </c>
      <c r="DZ279" s="35" t="s">
        <v>151</v>
      </c>
      <c r="EA279" s="35" t="s">
        <v>151</v>
      </c>
      <c r="EB279" s="34">
        <v>540</v>
      </c>
      <c r="EC279" s="33">
        <v>-299</v>
      </c>
      <c r="ED279" s="32">
        <v>-35.64</v>
      </c>
      <c r="EE279" s="34">
        <v>154</v>
      </c>
      <c r="EF279" s="33">
        <v>1</v>
      </c>
      <c r="EG279" s="32">
        <v>0.65</v>
      </c>
      <c r="EH279" s="29" t="s">
        <v>198</v>
      </c>
      <c r="EI279" s="30" t="s">
        <v>151</v>
      </c>
      <c r="EJ279" s="30" t="s">
        <v>151</v>
      </c>
      <c r="EK279" s="31" t="s">
        <v>151</v>
      </c>
      <c r="EL279" s="31" t="s">
        <v>151</v>
      </c>
      <c r="EM279" s="31" t="s">
        <v>151</v>
      </c>
      <c r="EN279" s="31" t="s">
        <v>151</v>
      </c>
      <c r="EO279" s="31" t="s">
        <v>151</v>
      </c>
      <c r="EP279" s="30" t="s">
        <v>151</v>
      </c>
      <c r="EQ279" s="29" t="s">
        <v>151</v>
      </c>
      <c r="ER279" s="29" t="s">
        <v>151</v>
      </c>
      <c r="ES279" s="4">
        <f>HYPERLINK("https://my.pitchbook.com?c=516172-24","View Company Online")</f>
      </c>
    </row>
    <row r="280">
      <c r="A280" s="17" t="s">
        <v>6202</v>
      </c>
      <c r="B280" s="17" t="s">
        <v>6203</v>
      </c>
      <c r="C280" s="18" t="s">
        <v>151</v>
      </c>
      <c r="D280" s="17" t="s">
        <v>151</v>
      </c>
      <c r="E280" s="17" t="s">
        <v>151</v>
      </c>
      <c r="F280" s="17" t="s">
        <v>6204</v>
      </c>
      <c r="G280" s="17" t="s">
        <v>151</v>
      </c>
      <c r="H280" s="17" t="s">
        <v>151</v>
      </c>
      <c r="I280" s="17" t="s">
        <v>151</v>
      </c>
      <c r="J280" s="17" t="s">
        <v>6202</v>
      </c>
      <c r="K280" s="17" t="s">
        <v>6205</v>
      </c>
      <c r="L280" s="17" t="s">
        <v>205</v>
      </c>
      <c r="M280" s="17" t="s">
        <v>206</v>
      </c>
      <c r="N280" s="17" t="s">
        <v>269</v>
      </c>
      <c r="O280" s="17" t="s">
        <v>1819</v>
      </c>
      <c r="P280" s="17" t="s">
        <v>919</v>
      </c>
      <c r="Q280" s="17" t="s">
        <v>6206</v>
      </c>
      <c r="R280" s="17" t="s">
        <v>151</v>
      </c>
      <c r="S280" s="17" t="s">
        <v>162</v>
      </c>
      <c r="T280" s="24">
        <v>3.15</v>
      </c>
      <c r="U280" s="17" t="s">
        <v>163</v>
      </c>
      <c r="V280" s="17" t="s">
        <v>164</v>
      </c>
      <c r="W280" s="17" t="s">
        <v>165</v>
      </c>
      <c r="X280" s="15" t="s">
        <v>6207</v>
      </c>
      <c r="Y280" s="15" t="s">
        <v>6208</v>
      </c>
      <c r="Z280" s="27">
        <v>108</v>
      </c>
      <c r="AA280" s="17" t="s">
        <v>6209</v>
      </c>
      <c r="AB280" s="17" t="s">
        <v>151</v>
      </c>
      <c r="AC280" s="17" t="s">
        <v>151</v>
      </c>
      <c r="AD280" s="26">
        <v>2018</v>
      </c>
      <c r="AE280" s="17" t="s">
        <v>151</v>
      </c>
      <c r="AF280" s="22">
        <v>45595</v>
      </c>
      <c r="AG280" s="17" t="s">
        <v>151</v>
      </c>
      <c r="AH280" s="17" t="s">
        <v>151</v>
      </c>
      <c r="AI280" s="25" t="s">
        <v>151</v>
      </c>
      <c r="AJ280" s="19" t="s">
        <v>151</v>
      </c>
      <c r="AK280" s="25" t="s">
        <v>151</v>
      </c>
      <c r="AL280" s="25" t="s">
        <v>151</v>
      </c>
      <c r="AM280" s="25" t="s">
        <v>151</v>
      </c>
      <c r="AN280" s="25" t="s">
        <v>151</v>
      </c>
      <c r="AO280" s="25" t="s">
        <v>151</v>
      </c>
      <c r="AP280" s="25" t="s">
        <v>151</v>
      </c>
      <c r="AQ280" s="25" t="s">
        <v>151</v>
      </c>
      <c r="AR280" s="16" t="s">
        <v>151</v>
      </c>
      <c r="AS280" s="17" t="s">
        <v>6210</v>
      </c>
      <c r="AT280" s="17" t="s">
        <v>6211</v>
      </c>
      <c r="AU280" s="18">
        <v>9</v>
      </c>
      <c r="AV280" s="17" t="s">
        <v>151</v>
      </c>
      <c r="AW280" s="17" t="s">
        <v>151</v>
      </c>
      <c r="AX280" s="17" t="s">
        <v>151</v>
      </c>
      <c r="AY280" s="17" t="s">
        <v>6212</v>
      </c>
      <c r="AZ280" s="17" t="s">
        <v>151</v>
      </c>
      <c r="BA280" s="17" t="s">
        <v>151</v>
      </c>
      <c r="BB280" s="17" t="s">
        <v>151</v>
      </c>
      <c r="BC280" s="17" t="s">
        <v>151</v>
      </c>
      <c r="BD280" s="17" t="s">
        <v>6213</v>
      </c>
      <c r="BE280" s="17" t="s">
        <v>6214</v>
      </c>
      <c r="BF280" s="17" t="s">
        <v>221</v>
      </c>
      <c r="BG280" s="17" t="s">
        <v>6215</v>
      </c>
      <c r="BH280" s="17" t="s">
        <v>6216</v>
      </c>
      <c r="BI280" s="17" t="s">
        <v>6217</v>
      </c>
      <c r="BJ280" s="17" t="s">
        <v>6218</v>
      </c>
      <c r="BK280" s="17" t="s">
        <v>6219</v>
      </c>
      <c r="BL280" s="17" t="s">
        <v>5170</v>
      </c>
      <c r="BM280" s="17" t="s">
        <v>855</v>
      </c>
      <c r="BN280" s="16" t="s">
        <v>6220</v>
      </c>
      <c r="BO280" s="17" t="s">
        <v>186</v>
      </c>
      <c r="BP280" s="16" t="s">
        <v>6216</v>
      </c>
      <c r="BQ280" s="16" t="s">
        <v>151</v>
      </c>
      <c r="BR280" s="17" t="s">
        <v>6221</v>
      </c>
      <c r="BS280" s="17" t="s">
        <v>187</v>
      </c>
      <c r="BT280" s="17" t="s">
        <v>188</v>
      </c>
      <c r="BU280" s="22">
        <v>44025</v>
      </c>
      <c r="BV280" s="24">
        <v>0.02</v>
      </c>
      <c r="BW280" s="17" t="s">
        <v>192</v>
      </c>
      <c r="BX280" s="24">
        <v>0.33</v>
      </c>
      <c r="BY280" s="17" t="s">
        <v>192</v>
      </c>
      <c r="BZ280" s="17" t="s">
        <v>189</v>
      </c>
      <c r="CA280" s="17" t="s">
        <v>151</v>
      </c>
      <c r="CB280" s="17" t="s">
        <v>151</v>
      </c>
      <c r="CC280" s="17" t="s">
        <v>190</v>
      </c>
      <c r="CD280" s="17" t="s">
        <v>151</v>
      </c>
      <c r="CE280" s="17" t="s">
        <v>191</v>
      </c>
      <c r="CF280" s="22">
        <v>44896</v>
      </c>
      <c r="CG280" s="24">
        <v>0.5</v>
      </c>
      <c r="CH280" s="17" t="s">
        <v>193</v>
      </c>
      <c r="CI280" s="24">
        <v>9.13</v>
      </c>
      <c r="CJ280" s="17" t="s">
        <v>192</v>
      </c>
      <c r="CK280" s="16">
        <v>1</v>
      </c>
      <c r="CL280" s="17" t="s">
        <v>231</v>
      </c>
      <c r="CM280" s="17" t="s">
        <v>151</v>
      </c>
      <c r="CN280" s="17" t="s">
        <v>151</v>
      </c>
      <c r="CO280" s="17" t="s">
        <v>165</v>
      </c>
      <c r="CP280" s="22">
        <v>44896</v>
      </c>
      <c r="CQ280" s="24" t="s">
        <v>151</v>
      </c>
      <c r="CR280" s="17" t="s">
        <v>151</v>
      </c>
      <c r="CS280" s="17" t="s">
        <v>191</v>
      </c>
      <c r="CT280" s="16">
        <v>68</v>
      </c>
      <c r="CU280" s="17" t="s">
        <v>196</v>
      </c>
      <c r="CV280" s="19">
        <v>64</v>
      </c>
      <c r="CW280" s="19">
        <v>36</v>
      </c>
      <c r="CX280" s="17" t="s">
        <v>294</v>
      </c>
      <c r="CY280" s="19">
        <v>1</v>
      </c>
      <c r="CZ280" s="19">
        <v>63</v>
      </c>
      <c r="DA280" s="24">
        <v>9.13</v>
      </c>
      <c r="DB280" s="22">
        <v>44896</v>
      </c>
      <c r="DC280" s="17" t="s">
        <v>231</v>
      </c>
      <c r="DD280" s="16">
        <v>1</v>
      </c>
      <c r="DE280" s="19">
        <v>3.24</v>
      </c>
      <c r="DF280" s="21">
        <v>99</v>
      </c>
      <c r="DG280" s="19">
        <v>0</v>
      </c>
      <c r="DH280" s="19">
        <v>0</v>
      </c>
      <c r="DI280" s="19">
        <v>3.24</v>
      </c>
      <c r="DJ280" s="21">
        <v>99</v>
      </c>
      <c r="DK280" s="19" t="s">
        <v>151</v>
      </c>
      <c r="DL280" s="21" t="s">
        <v>151</v>
      </c>
      <c r="DM280" s="19">
        <v>3.24</v>
      </c>
      <c r="DN280" s="21">
        <v>99</v>
      </c>
      <c r="DO280" s="23">
        <v>9.84</v>
      </c>
      <c r="DP280" s="21">
        <v>90</v>
      </c>
      <c r="DQ280" s="23">
        <v>0</v>
      </c>
      <c r="DR280" s="19">
        <v>0</v>
      </c>
      <c r="DS280" s="23">
        <v>9.84</v>
      </c>
      <c r="DT280" s="21">
        <v>90</v>
      </c>
      <c r="DU280" s="23" t="s">
        <v>151</v>
      </c>
      <c r="DV280" s="21" t="s">
        <v>151</v>
      </c>
      <c r="DW280" s="23">
        <v>9.84</v>
      </c>
      <c r="DX280" s="21">
        <v>90</v>
      </c>
      <c r="DY280" s="18" t="s">
        <v>151</v>
      </c>
      <c r="DZ280" s="22" t="s">
        <v>151</v>
      </c>
      <c r="EA280" s="22" t="s">
        <v>151</v>
      </c>
      <c r="EB280" s="21">
        <v>1597</v>
      </c>
      <c r="EC280" s="20">
        <v>58</v>
      </c>
      <c r="ED280" s="19">
        <v>3.77</v>
      </c>
      <c r="EE280" s="21">
        <v>187</v>
      </c>
      <c r="EF280" s="20">
        <v>3</v>
      </c>
      <c r="EG280" s="19">
        <v>1.63</v>
      </c>
      <c r="EH280" s="16" t="s">
        <v>198</v>
      </c>
      <c r="EI280" s="17" t="s">
        <v>151</v>
      </c>
      <c r="EJ280" s="17" t="s">
        <v>151</v>
      </c>
      <c r="EK280" s="18" t="s">
        <v>151</v>
      </c>
      <c r="EL280" s="18" t="s">
        <v>151</v>
      </c>
      <c r="EM280" s="18" t="s">
        <v>151</v>
      </c>
      <c r="EN280" s="18" t="s">
        <v>151</v>
      </c>
      <c r="EO280" s="18" t="s">
        <v>151</v>
      </c>
      <c r="EP280" s="17" t="s">
        <v>151</v>
      </c>
      <c r="EQ280" s="16" t="s">
        <v>151</v>
      </c>
      <c r="ER280" s="16" t="s">
        <v>151</v>
      </c>
      <c r="ES280" s="3">
        <f>HYPERLINK("https://my.pitchbook.com?c=279606-70","View Company Online")</f>
      </c>
    </row>
    <row r="281">
      <c r="A281" s="30" t="s">
        <v>6222</v>
      </c>
      <c r="B281" s="30" t="s">
        <v>6223</v>
      </c>
      <c r="C281" s="31" t="s">
        <v>151</v>
      </c>
      <c r="D281" s="30" t="s">
        <v>151</v>
      </c>
      <c r="E281" s="30" t="s">
        <v>151</v>
      </c>
      <c r="F281" s="30" t="s">
        <v>6224</v>
      </c>
      <c r="G281" s="30" t="s">
        <v>151</v>
      </c>
      <c r="H281" s="30" t="s">
        <v>151</v>
      </c>
      <c r="I281" s="30" t="s">
        <v>151</v>
      </c>
      <c r="J281" s="30" t="s">
        <v>6222</v>
      </c>
      <c r="K281" s="30" t="s">
        <v>6225</v>
      </c>
      <c r="L281" s="30" t="s">
        <v>205</v>
      </c>
      <c r="M281" s="30" t="s">
        <v>206</v>
      </c>
      <c r="N281" s="30" t="s">
        <v>269</v>
      </c>
      <c r="O281" s="30" t="s">
        <v>508</v>
      </c>
      <c r="P281" s="30" t="s">
        <v>1608</v>
      </c>
      <c r="Q281" s="30" t="s">
        <v>6226</v>
      </c>
      <c r="R281" s="30" t="s">
        <v>151</v>
      </c>
      <c r="S281" s="30" t="s">
        <v>162</v>
      </c>
      <c r="T281" s="37">
        <v>16.3</v>
      </c>
      <c r="U281" s="30" t="s">
        <v>163</v>
      </c>
      <c r="V281" s="30" t="s">
        <v>164</v>
      </c>
      <c r="W281" s="30" t="s">
        <v>165</v>
      </c>
      <c r="X281" s="28" t="s">
        <v>6227</v>
      </c>
      <c r="Y281" s="28" t="s">
        <v>6228</v>
      </c>
      <c r="Z281" s="40">
        <v>10</v>
      </c>
      <c r="AA281" s="30" t="s">
        <v>6229</v>
      </c>
      <c r="AB281" s="30" t="s">
        <v>151</v>
      </c>
      <c r="AC281" s="30" t="s">
        <v>151</v>
      </c>
      <c r="AD281" s="39">
        <v>2020</v>
      </c>
      <c r="AE281" s="30" t="s">
        <v>151</v>
      </c>
      <c r="AF281" s="35">
        <v>45573</v>
      </c>
      <c r="AG281" s="30" t="s">
        <v>151</v>
      </c>
      <c r="AH281" s="30" t="s">
        <v>151</v>
      </c>
      <c r="AI281" s="38" t="s">
        <v>151</v>
      </c>
      <c r="AJ281" s="32" t="s">
        <v>151</v>
      </c>
      <c r="AK281" s="38" t="s">
        <v>151</v>
      </c>
      <c r="AL281" s="38" t="s">
        <v>151</v>
      </c>
      <c r="AM281" s="38" t="s">
        <v>151</v>
      </c>
      <c r="AN281" s="38" t="s">
        <v>151</v>
      </c>
      <c r="AO281" s="38" t="s">
        <v>151</v>
      </c>
      <c r="AP281" s="38" t="s">
        <v>151</v>
      </c>
      <c r="AQ281" s="38">
        <v>0</v>
      </c>
      <c r="AR281" s="29" t="s">
        <v>170</v>
      </c>
      <c r="AS281" s="30" t="s">
        <v>6230</v>
      </c>
      <c r="AT281" s="30" t="s">
        <v>6231</v>
      </c>
      <c r="AU281" s="31">
        <v>8</v>
      </c>
      <c r="AV281" s="30" t="s">
        <v>151</v>
      </c>
      <c r="AW281" s="30" t="s">
        <v>151</v>
      </c>
      <c r="AX281" s="30" t="s">
        <v>151</v>
      </c>
      <c r="AY281" s="30" t="s">
        <v>6232</v>
      </c>
      <c r="AZ281" s="30" t="s">
        <v>151</v>
      </c>
      <c r="BA281" s="30" t="s">
        <v>151</v>
      </c>
      <c r="BB281" s="30" t="s">
        <v>151</v>
      </c>
      <c r="BC281" s="30" t="s">
        <v>601</v>
      </c>
      <c r="BD281" s="30" t="s">
        <v>6233</v>
      </c>
      <c r="BE281" s="30" t="s">
        <v>6234</v>
      </c>
      <c r="BF281" s="30" t="s">
        <v>493</v>
      </c>
      <c r="BG281" s="30" t="s">
        <v>6235</v>
      </c>
      <c r="BH281" s="30" t="s">
        <v>151</v>
      </c>
      <c r="BI281" s="30" t="s">
        <v>764</v>
      </c>
      <c r="BJ281" s="30" t="s">
        <v>3969</v>
      </c>
      <c r="BK281" s="30" t="s">
        <v>6236</v>
      </c>
      <c r="BL281" s="30" t="s">
        <v>767</v>
      </c>
      <c r="BM281" s="30" t="s">
        <v>184</v>
      </c>
      <c r="BN281" s="29" t="s">
        <v>794</v>
      </c>
      <c r="BO281" s="30" t="s">
        <v>186</v>
      </c>
      <c r="BP281" s="29" t="s">
        <v>151</v>
      </c>
      <c r="BQ281" s="29" t="s">
        <v>151</v>
      </c>
      <c r="BR281" s="30" t="s">
        <v>6237</v>
      </c>
      <c r="BS281" s="30" t="s">
        <v>187</v>
      </c>
      <c r="BT281" s="30" t="s">
        <v>188</v>
      </c>
      <c r="BU281" s="35">
        <v>44432</v>
      </c>
      <c r="BV281" s="37">
        <v>5.3</v>
      </c>
      <c r="BW281" s="30" t="s">
        <v>192</v>
      </c>
      <c r="BX281" s="37" t="s">
        <v>151</v>
      </c>
      <c r="BY281" s="30" t="s">
        <v>151</v>
      </c>
      <c r="BZ281" s="30" t="s">
        <v>293</v>
      </c>
      <c r="CA281" s="30" t="s">
        <v>293</v>
      </c>
      <c r="CB281" s="30" t="s">
        <v>151</v>
      </c>
      <c r="CC281" s="30" t="s">
        <v>165</v>
      </c>
      <c r="CD281" s="30" t="s">
        <v>151</v>
      </c>
      <c r="CE281" s="30" t="s">
        <v>191</v>
      </c>
      <c r="CF281" s="35">
        <v>45030</v>
      </c>
      <c r="CG281" s="37">
        <v>11</v>
      </c>
      <c r="CH281" s="30" t="s">
        <v>192</v>
      </c>
      <c r="CI281" s="37" t="s">
        <v>151</v>
      </c>
      <c r="CJ281" s="30" t="s">
        <v>151</v>
      </c>
      <c r="CK281" s="29" t="s">
        <v>151</v>
      </c>
      <c r="CL281" s="30" t="s">
        <v>231</v>
      </c>
      <c r="CM281" s="30" t="s">
        <v>232</v>
      </c>
      <c r="CN281" s="30" t="s">
        <v>151</v>
      </c>
      <c r="CO281" s="30" t="s">
        <v>165</v>
      </c>
      <c r="CP281" s="35">
        <v>45030</v>
      </c>
      <c r="CQ281" s="37" t="s">
        <v>151</v>
      </c>
      <c r="CR281" s="30" t="s">
        <v>151</v>
      </c>
      <c r="CS281" s="30" t="s">
        <v>191</v>
      </c>
      <c r="CT281" s="29">
        <v>89</v>
      </c>
      <c r="CU281" s="30" t="s">
        <v>196</v>
      </c>
      <c r="CV281" s="32">
        <v>81</v>
      </c>
      <c r="CW281" s="32">
        <v>19</v>
      </c>
      <c r="CX281" s="30" t="s">
        <v>294</v>
      </c>
      <c r="CY281" s="32">
        <v>1</v>
      </c>
      <c r="CZ281" s="32">
        <v>80</v>
      </c>
      <c r="DA281" s="37" t="s">
        <v>151</v>
      </c>
      <c r="DB281" s="35" t="s">
        <v>151</v>
      </c>
      <c r="DC281" s="30" t="s">
        <v>151</v>
      </c>
      <c r="DD281" s="29" t="s">
        <v>151</v>
      </c>
      <c r="DE281" s="32">
        <v>-0.43</v>
      </c>
      <c r="DF281" s="34">
        <v>7</v>
      </c>
      <c r="DG281" s="32">
        <v>0</v>
      </c>
      <c r="DH281" s="32">
        <v>0</v>
      </c>
      <c r="DI281" s="32">
        <v>-0.43</v>
      </c>
      <c r="DJ281" s="34">
        <v>7</v>
      </c>
      <c r="DK281" s="32" t="s">
        <v>151</v>
      </c>
      <c r="DL281" s="34" t="s">
        <v>151</v>
      </c>
      <c r="DM281" s="32">
        <v>-0.43</v>
      </c>
      <c r="DN281" s="34">
        <v>7</v>
      </c>
      <c r="DO281" s="36">
        <v>6.05</v>
      </c>
      <c r="DP281" s="34">
        <v>85</v>
      </c>
      <c r="DQ281" s="36">
        <v>0</v>
      </c>
      <c r="DR281" s="32">
        <v>0</v>
      </c>
      <c r="DS281" s="36">
        <v>6.05</v>
      </c>
      <c r="DT281" s="34">
        <v>84</v>
      </c>
      <c r="DU281" s="36" t="s">
        <v>151</v>
      </c>
      <c r="DV281" s="34" t="s">
        <v>151</v>
      </c>
      <c r="DW281" s="36">
        <v>6.05</v>
      </c>
      <c r="DX281" s="34">
        <v>84</v>
      </c>
      <c r="DY281" s="31" t="s">
        <v>151</v>
      </c>
      <c r="DZ281" s="35" t="s">
        <v>151</v>
      </c>
      <c r="EA281" s="35" t="s">
        <v>151</v>
      </c>
      <c r="EB281" s="34">
        <v>1041</v>
      </c>
      <c r="EC281" s="33">
        <v>12</v>
      </c>
      <c r="ED281" s="32">
        <v>1.17</v>
      </c>
      <c r="EE281" s="34">
        <v>115</v>
      </c>
      <c r="EF281" s="33">
        <v>0</v>
      </c>
      <c r="EG281" s="32">
        <v>0</v>
      </c>
      <c r="EH281" s="29" t="s">
        <v>198</v>
      </c>
      <c r="EI281" s="30" t="s">
        <v>151</v>
      </c>
      <c r="EJ281" s="30" t="s">
        <v>151</v>
      </c>
      <c r="EK281" s="31" t="s">
        <v>151</v>
      </c>
      <c r="EL281" s="31" t="s">
        <v>151</v>
      </c>
      <c r="EM281" s="31" t="s">
        <v>151</v>
      </c>
      <c r="EN281" s="31" t="s">
        <v>151</v>
      </c>
      <c r="EO281" s="31" t="s">
        <v>151</v>
      </c>
      <c r="EP281" s="30" t="s">
        <v>151</v>
      </c>
      <c r="EQ281" s="29" t="s">
        <v>151</v>
      </c>
      <c r="ER281" s="29" t="s">
        <v>151</v>
      </c>
      <c r="ES281" s="4">
        <f>HYPERLINK("https://my.pitchbook.com?c=471929-59","View Company Online")</f>
      </c>
    </row>
    <row r="282">
      <c r="A282" s="17" t="s">
        <v>6238</v>
      </c>
      <c r="B282" s="17" t="s">
        <v>6239</v>
      </c>
      <c r="C282" s="18" t="s">
        <v>151</v>
      </c>
      <c r="D282" s="17" t="s">
        <v>151</v>
      </c>
      <c r="E282" s="17" t="s">
        <v>151</v>
      </c>
      <c r="F282" s="17" t="s">
        <v>6240</v>
      </c>
      <c r="G282" s="17" t="s">
        <v>151</v>
      </c>
      <c r="H282" s="17" t="s">
        <v>151</v>
      </c>
      <c r="I282" s="17" t="s">
        <v>151</v>
      </c>
      <c r="J282" s="17" t="s">
        <v>6238</v>
      </c>
      <c r="K282" s="17" t="s">
        <v>6241</v>
      </c>
      <c r="L282" s="17" t="s">
        <v>205</v>
      </c>
      <c r="M282" s="17" t="s">
        <v>206</v>
      </c>
      <c r="N282" s="17" t="s">
        <v>269</v>
      </c>
      <c r="O282" s="17" t="s">
        <v>4123</v>
      </c>
      <c r="P282" s="17" t="s">
        <v>973</v>
      </c>
      <c r="Q282" s="17" t="s">
        <v>6242</v>
      </c>
      <c r="R282" s="17" t="s">
        <v>151</v>
      </c>
      <c r="S282" s="17" t="s">
        <v>162</v>
      </c>
      <c r="T282" s="24">
        <v>1</v>
      </c>
      <c r="U282" s="17" t="s">
        <v>163</v>
      </c>
      <c r="V282" s="17" t="s">
        <v>164</v>
      </c>
      <c r="W282" s="17" t="s">
        <v>165</v>
      </c>
      <c r="X282" s="15" t="s">
        <v>6243</v>
      </c>
      <c r="Y282" s="15" t="s">
        <v>6244</v>
      </c>
      <c r="Z282" s="27">
        <v>15</v>
      </c>
      <c r="AA282" s="17" t="s">
        <v>6245</v>
      </c>
      <c r="AB282" s="17" t="s">
        <v>151</v>
      </c>
      <c r="AC282" s="17" t="s">
        <v>151</v>
      </c>
      <c r="AD282" s="26">
        <v>2021</v>
      </c>
      <c r="AE282" s="17" t="s">
        <v>151</v>
      </c>
      <c r="AF282" s="22">
        <v>45596</v>
      </c>
      <c r="AG282" s="17" t="s">
        <v>151</v>
      </c>
      <c r="AH282" s="17" t="s">
        <v>151</v>
      </c>
      <c r="AI282" s="25" t="s">
        <v>151</v>
      </c>
      <c r="AJ282" s="19" t="s">
        <v>151</v>
      </c>
      <c r="AK282" s="25" t="s">
        <v>151</v>
      </c>
      <c r="AL282" s="25" t="s">
        <v>151</v>
      </c>
      <c r="AM282" s="25" t="s">
        <v>151</v>
      </c>
      <c r="AN282" s="25" t="s">
        <v>151</v>
      </c>
      <c r="AO282" s="25" t="s">
        <v>151</v>
      </c>
      <c r="AP282" s="25" t="s">
        <v>151</v>
      </c>
      <c r="AQ282" s="25" t="s">
        <v>151</v>
      </c>
      <c r="AR282" s="16" t="s">
        <v>151</v>
      </c>
      <c r="AS282" s="17" t="s">
        <v>6246</v>
      </c>
      <c r="AT282" s="17" t="s">
        <v>6247</v>
      </c>
      <c r="AU282" s="18">
        <v>6</v>
      </c>
      <c r="AV282" s="17" t="s">
        <v>151</v>
      </c>
      <c r="AW282" s="17" t="s">
        <v>151</v>
      </c>
      <c r="AX282" s="17" t="s">
        <v>151</v>
      </c>
      <c r="AY282" s="17" t="s">
        <v>6248</v>
      </c>
      <c r="AZ282" s="17" t="s">
        <v>151</v>
      </c>
      <c r="BA282" s="17" t="s">
        <v>151</v>
      </c>
      <c r="BB282" s="17" t="s">
        <v>151</v>
      </c>
      <c r="BC282" s="17" t="s">
        <v>151</v>
      </c>
      <c r="BD282" s="17" t="s">
        <v>6249</v>
      </c>
      <c r="BE282" s="17" t="s">
        <v>6250</v>
      </c>
      <c r="BF282" s="17" t="s">
        <v>221</v>
      </c>
      <c r="BG282" s="17" t="s">
        <v>6251</v>
      </c>
      <c r="BH282" s="17" t="s">
        <v>151</v>
      </c>
      <c r="BI282" s="17" t="s">
        <v>906</v>
      </c>
      <c r="BJ282" s="17" t="s">
        <v>151</v>
      </c>
      <c r="BK282" s="17" t="s">
        <v>151</v>
      </c>
      <c r="BL282" s="17" t="s">
        <v>259</v>
      </c>
      <c r="BM282" s="17" t="s">
        <v>259</v>
      </c>
      <c r="BN282" s="16" t="s">
        <v>151</v>
      </c>
      <c r="BO282" s="17" t="s">
        <v>186</v>
      </c>
      <c r="BP282" s="16" t="s">
        <v>151</v>
      </c>
      <c r="BQ282" s="16" t="s">
        <v>151</v>
      </c>
      <c r="BR282" s="17" t="s">
        <v>151</v>
      </c>
      <c r="BS282" s="17" t="s">
        <v>187</v>
      </c>
      <c r="BT282" s="17" t="s">
        <v>188</v>
      </c>
      <c r="BU282" s="22">
        <v>44602</v>
      </c>
      <c r="BV282" s="24">
        <v>1</v>
      </c>
      <c r="BW282" s="17" t="s">
        <v>193</v>
      </c>
      <c r="BX282" s="24">
        <v>5</v>
      </c>
      <c r="BY282" s="17" t="s">
        <v>192</v>
      </c>
      <c r="BZ282" s="17" t="s">
        <v>231</v>
      </c>
      <c r="CA282" s="17" t="s">
        <v>472</v>
      </c>
      <c r="CB282" s="17" t="s">
        <v>151</v>
      </c>
      <c r="CC282" s="17" t="s">
        <v>165</v>
      </c>
      <c r="CD282" s="17" t="s">
        <v>151</v>
      </c>
      <c r="CE282" s="17" t="s">
        <v>191</v>
      </c>
      <c r="CF282" s="22">
        <v>45323</v>
      </c>
      <c r="CG282" s="24" t="s">
        <v>151</v>
      </c>
      <c r="CH282" s="17" t="s">
        <v>151</v>
      </c>
      <c r="CI282" s="24" t="s">
        <v>151</v>
      </c>
      <c r="CJ282" s="17" t="s">
        <v>151</v>
      </c>
      <c r="CK282" s="16" t="s">
        <v>151</v>
      </c>
      <c r="CL282" s="17" t="s">
        <v>189</v>
      </c>
      <c r="CM282" s="17" t="s">
        <v>151</v>
      </c>
      <c r="CN282" s="17" t="s">
        <v>151</v>
      </c>
      <c r="CO282" s="17" t="s">
        <v>190</v>
      </c>
      <c r="CP282" s="22">
        <v>45323</v>
      </c>
      <c r="CQ282" s="24" t="s">
        <v>151</v>
      </c>
      <c r="CR282" s="17" t="s">
        <v>151</v>
      </c>
      <c r="CS282" s="17" t="s">
        <v>191</v>
      </c>
      <c r="CT282" s="16" t="s">
        <v>151</v>
      </c>
      <c r="CU282" s="17" t="s">
        <v>151</v>
      </c>
      <c r="CV282" s="19" t="s">
        <v>151</v>
      </c>
      <c r="CW282" s="19" t="s">
        <v>151</v>
      </c>
      <c r="CX282" s="17" t="s">
        <v>151</v>
      </c>
      <c r="CY282" s="19" t="s">
        <v>151</v>
      </c>
      <c r="CZ282" s="19" t="s">
        <v>151</v>
      </c>
      <c r="DA282" s="24">
        <v>5</v>
      </c>
      <c r="DB282" s="22">
        <v>44602</v>
      </c>
      <c r="DC282" s="17" t="s">
        <v>231</v>
      </c>
      <c r="DD282" s="16" t="s">
        <v>151</v>
      </c>
      <c r="DE282" s="19">
        <v>2.02</v>
      </c>
      <c r="DF282" s="21">
        <v>98</v>
      </c>
      <c r="DG282" s="19">
        <v>0</v>
      </c>
      <c r="DH282" s="19">
        <v>0</v>
      </c>
      <c r="DI282" s="19">
        <v>0</v>
      </c>
      <c r="DJ282" s="21">
        <v>10</v>
      </c>
      <c r="DK282" s="19">
        <v>0</v>
      </c>
      <c r="DL282" s="21">
        <v>11</v>
      </c>
      <c r="DM282" s="19" t="s">
        <v>151</v>
      </c>
      <c r="DN282" s="21" t="s">
        <v>151</v>
      </c>
      <c r="DO282" s="23">
        <v>0.87</v>
      </c>
      <c r="DP282" s="21">
        <v>47</v>
      </c>
      <c r="DQ282" s="23">
        <v>0</v>
      </c>
      <c r="DR282" s="19">
        <v>0</v>
      </c>
      <c r="DS282" s="23">
        <v>0.58</v>
      </c>
      <c r="DT282" s="21">
        <v>36</v>
      </c>
      <c r="DU282" s="23">
        <v>0.58</v>
      </c>
      <c r="DV282" s="21">
        <v>36</v>
      </c>
      <c r="DW282" s="23" t="s">
        <v>151</v>
      </c>
      <c r="DX282" s="21" t="s">
        <v>151</v>
      </c>
      <c r="DY282" s="18" t="s">
        <v>151</v>
      </c>
      <c r="DZ282" s="22" t="s">
        <v>151</v>
      </c>
      <c r="EA282" s="22" t="s">
        <v>151</v>
      </c>
      <c r="EB282" s="21">
        <v>131</v>
      </c>
      <c r="EC282" s="20">
        <v>-36</v>
      </c>
      <c r="ED282" s="19">
        <v>-21.56</v>
      </c>
      <c r="EE282" s="21" t="s">
        <v>151</v>
      </c>
      <c r="EF282" s="20" t="s">
        <v>151</v>
      </c>
      <c r="EG282" s="19" t="s">
        <v>151</v>
      </c>
      <c r="EH282" s="16" t="s">
        <v>198</v>
      </c>
      <c r="EI282" s="17" t="s">
        <v>151</v>
      </c>
      <c r="EJ282" s="17" t="s">
        <v>151</v>
      </c>
      <c r="EK282" s="18" t="s">
        <v>151</v>
      </c>
      <c r="EL282" s="18" t="s">
        <v>151</v>
      </c>
      <c r="EM282" s="18" t="s">
        <v>151</v>
      </c>
      <c r="EN282" s="18" t="s">
        <v>151</v>
      </c>
      <c r="EO282" s="18" t="s">
        <v>151</v>
      </c>
      <c r="EP282" s="17" t="s">
        <v>151</v>
      </c>
      <c r="EQ282" s="16" t="s">
        <v>151</v>
      </c>
      <c r="ER282" s="16" t="s">
        <v>151</v>
      </c>
      <c r="ES282" s="3">
        <f>HYPERLINK("https://my.pitchbook.com?c=503323-66","View Company Online")</f>
      </c>
    </row>
    <row r="283">
      <c r="A283" s="30" t="s">
        <v>6252</v>
      </c>
      <c r="B283" s="30" t="s">
        <v>6253</v>
      </c>
      <c r="C283" s="31" t="s">
        <v>151</v>
      </c>
      <c r="D283" s="30" t="s">
        <v>151</v>
      </c>
      <c r="E283" s="30" t="s">
        <v>6254</v>
      </c>
      <c r="F283" s="30" t="s">
        <v>6255</v>
      </c>
      <c r="G283" s="30" t="s">
        <v>151</v>
      </c>
      <c r="H283" s="30" t="s">
        <v>151</v>
      </c>
      <c r="I283" s="30" t="s">
        <v>151</v>
      </c>
      <c r="J283" s="30" t="s">
        <v>6252</v>
      </c>
      <c r="K283" s="30" t="s">
        <v>6256</v>
      </c>
      <c r="L283" s="30" t="s">
        <v>205</v>
      </c>
      <c r="M283" s="30" t="s">
        <v>206</v>
      </c>
      <c r="N283" s="30" t="s">
        <v>269</v>
      </c>
      <c r="O283" s="30" t="s">
        <v>6257</v>
      </c>
      <c r="P283" s="30" t="s">
        <v>6258</v>
      </c>
      <c r="Q283" s="30" t="s">
        <v>6259</v>
      </c>
      <c r="R283" s="30" t="s">
        <v>151</v>
      </c>
      <c r="S283" s="30" t="s">
        <v>162</v>
      </c>
      <c r="T283" s="37">
        <v>1.3</v>
      </c>
      <c r="U283" s="30" t="s">
        <v>163</v>
      </c>
      <c r="V283" s="30" t="s">
        <v>164</v>
      </c>
      <c r="W283" s="30" t="s">
        <v>420</v>
      </c>
      <c r="X283" s="28" t="s">
        <v>6260</v>
      </c>
      <c r="Y283" s="28" t="s">
        <v>6261</v>
      </c>
      <c r="Z283" s="40">
        <v>16</v>
      </c>
      <c r="AA283" s="30" t="s">
        <v>6262</v>
      </c>
      <c r="AB283" s="30" t="s">
        <v>151</v>
      </c>
      <c r="AC283" s="30" t="s">
        <v>151</v>
      </c>
      <c r="AD283" s="39">
        <v>2017</v>
      </c>
      <c r="AE283" s="30" t="s">
        <v>151</v>
      </c>
      <c r="AF283" s="35">
        <v>45583</v>
      </c>
      <c r="AG283" s="30" t="s">
        <v>151</v>
      </c>
      <c r="AH283" s="30" t="s">
        <v>151</v>
      </c>
      <c r="AI283" s="38" t="s">
        <v>151</v>
      </c>
      <c r="AJ283" s="32" t="s">
        <v>151</v>
      </c>
      <c r="AK283" s="38" t="s">
        <v>151</v>
      </c>
      <c r="AL283" s="38" t="s">
        <v>151</v>
      </c>
      <c r="AM283" s="38" t="s">
        <v>151</v>
      </c>
      <c r="AN283" s="38" t="s">
        <v>151</v>
      </c>
      <c r="AO283" s="38" t="s">
        <v>151</v>
      </c>
      <c r="AP283" s="38" t="s">
        <v>151</v>
      </c>
      <c r="AQ283" s="38" t="s">
        <v>151</v>
      </c>
      <c r="AR283" s="29" t="s">
        <v>151</v>
      </c>
      <c r="AS283" s="30" t="s">
        <v>6263</v>
      </c>
      <c r="AT283" s="30" t="s">
        <v>6264</v>
      </c>
      <c r="AU283" s="31">
        <v>4</v>
      </c>
      <c r="AV283" s="30" t="s">
        <v>151</v>
      </c>
      <c r="AW283" s="30" t="s">
        <v>151</v>
      </c>
      <c r="AX283" s="30" t="s">
        <v>151</v>
      </c>
      <c r="AY283" s="30" t="s">
        <v>6265</v>
      </c>
      <c r="AZ283" s="30" t="s">
        <v>151</v>
      </c>
      <c r="BA283" s="30" t="s">
        <v>151</v>
      </c>
      <c r="BB283" s="30" t="s">
        <v>151</v>
      </c>
      <c r="BC283" s="30" t="s">
        <v>6266</v>
      </c>
      <c r="BD283" s="30" t="s">
        <v>6267</v>
      </c>
      <c r="BE283" s="30" t="s">
        <v>6268</v>
      </c>
      <c r="BF283" s="30" t="s">
        <v>6269</v>
      </c>
      <c r="BG283" s="30" t="s">
        <v>6270</v>
      </c>
      <c r="BH283" s="30" t="s">
        <v>6271</v>
      </c>
      <c r="BI283" s="30" t="s">
        <v>6272</v>
      </c>
      <c r="BJ283" s="30" t="s">
        <v>6273</v>
      </c>
      <c r="BK283" s="30" t="s">
        <v>6274</v>
      </c>
      <c r="BL283" s="30" t="s">
        <v>6275</v>
      </c>
      <c r="BM283" s="30" t="s">
        <v>259</v>
      </c>
      <c r="BN283" s="29" t="s">
        <v>6276</v>
      </c>
      <c r="BO283" s="30" t="s">
        <v>186</v>
      </c>
      <c r="BP283" s="29" t="s">
        <v>6271</v>
      </c>
      <c r="BQ283" s="29" t="s">
        <v>151</v>
      </c>
      <c r="BR283" s="30" t="s">
        <v>6277</v>
      </c>
      <c r="BS283" s="30" t="s">
        <v>187</v>
      </c>
      <c r="BT283" s="30" t="s">
        <v>188</v>
      </c>
      <c r="BU283" s="35">
        <v>43867</v>
      </c>
      <c r="BV283" s="37">
        <v>0.08</v>
      </c>
      <c r="BW283" s="30" t="s">
        <v>192</v>
      </c>
      <c r="BX283" s="37" t="s">
        <v>151</v>
      </c>
      <c r="BY283" s="30" t="s">
        <v>151</v>
      </c>
      <c r="BZ283" s="30" t="s">
        <v>293</v>
      </c>
      <c r="CA283" s="30" t="s">
        <v>293</v>
      </c>
      <c r="CB283" s="30" t="s">
        <v>151</v>
      </c>
      <c r="CC283" s="30" t="s">
        <v>165</v>
      </c>
      <c r="CD283" s="30" t="s">
        <v>151</v>
      </c>
      <c r="CE283" s="30" t="s">
        <v>191</v>
      </c>
      <c r="CF283" s="35" t="s">
        <v>151</v>
      </c>
      <c r="CG283" s="37" t="s">
        <v>151</v>
      </c>
      <c r="CH283" s="30" t="s">
        <v>151</v>
      </c>
      <c r="CI283" s="37" t="s">
        <v>151</v>
      </c>
      <c r="CJ283" s="30" t="s">
        <v>151</v>
      </c>
      <c r="CK283" s="29" t="s">
        <v>151</v>
      </c>
      <c r="CL283" s="30" t="s">
        <v>293</v>
      </c>
      <c r="CM283" s="30" t="s">
        <v>293</v>
      </c>
      <c r="CN283" s="30" t="s">
        <v>151</v>
      </c>
      <c r="CO283" s="30" t="s">
        <v>165</v>
      </c>
      <c r="CP283" s="35" t="s">
        <v>151</v>
      </c>
      <c r="CQ283" s="37" t="s">
        <v>151</v>
      </c>
      <c r="CR283" s="30" t="s">
        <v>151</v>
      </c>
      <c r="CS283" s="30" t="s">
        <v>191</v>
      </c>
      <c r="CT283" s="29">
        <v>46</v>
      </c>
      <c r="CU283" s="30" t="s">
        <v>263</v>
      </c>
      <c r="CV283" s="32">
        <v>45</v>
      </c>
      <c r="CW283" s="32">
        <v>55</v>
      </c>
      <c r="CX283" s="30" t="s">
        <v>263</v>
      </c>
      <c r="CY283" s="32">
        <v>1</v>
      </c>
      <c r="CZ283" s="32">
        <v>44</v>
      </c>
      <c r="DA283" s="37" t="s">
        <v>151</v>
      </c>
      <c r="DB283" s="35" t="s">
        <v>151</v>
      </c>
      <c r="DC283" s="30" t="s">
        <v>151</v>
      </c>
      <c r="DD283" s="29" t="s">
        <v>151</v>
      </c>
      <c r="DE283" s="32">
        <v>0</v>
      </c>
      <c r="DF283" s="34">
        <v>11</v>
      </c>
      <c r="DG283" s="32">
        <v>0</v>
      </c>
      <c r="DH283" s="32">
        <v>0</v>
      </c>
      <c r="DI283" s="32">
        <v>0</v>
      </c>
      <c r="DJ283" s="34">
        <v>10</v>
      </c>
      <c r="DK283" s="32" t="s">
        <v>151</v>
      </c>
      <c r="DL283" s="34" t="s">
        <v>151</v>
      </c>
      <c r="DM283" s="32">
        <v>0</v>
      </c>
      <c r="DN283" s="34">
        <v>10</v>
      </c>
      <c r="DO283" s="36">
        <v>1.95</v>
      </c>
      <c r="DP283" s="34">
        <v>65</v>
      </c>
      <c r="DQ283" s="36">
        <v>0</v>
      </c>
      <c r="DR283" s="32">
        <v>0</v>
      </c>
      <c r="DS283" s="36">
        <v>1.95</v>
      </c>
      <c r="DT283" s="34">
        <v>65</v>
      </c>
      <c r="DU283" s="36" t="s">
        <v>151</v>
      </c>
      <c r="DV283" s="34" t="s">
        <v>151</v>
      </c>
      <c r="DW283" s="36">
        <v>1.95</v>
      </c>
      <c r="DX283" s="34">
        <v>65</v>
      </c>
      <c r="DY283" s="31" t="s">
        <v>151</v>
      </c>
      <c r="DZ283" s="35" t="s">
        <v>151</v>
      </c>
      <c r="EA283" s="35" t="s">
        <v>151</v>
      </c>
      <c r="EB283" s="34">
        <v>330</v>
      </c>
      <c r="EC283" s="33">
        <v>-9</v>
      </c>
      <c r="ED283" s="32">
        <v>-2.65</v>
      </c>
      <c r="EE283" s="34">
        <v>37</v>
      </c>
      <c r="EF283" s="33">
        <v>1</v>
      </c>
      <c r="EG283" s="32">
        <v>2.78</v>
      </c>
      <c r="EH283" s="29" t="s">
        <v>198</v>
      </c>
      <c r="EI283" s="30" t="s">
        <v>151</v>
      </c>
      <c r="EJ283" s="30" t="s">
        <v>151</v>
      </c>
      <c r="EK283" s="31" t="s">
        <v>151</v>
      </c>
      <c r="EL283" s="31" t="s">
        <v>151</v>
      </c>
      <c r="EM283" s="31" t="s">
        <v>151</v>
      </c>
      <c r="EN283" s="31" t="s">
        <v>151</v>
      </c>
      <c r="EO283" s="31" t="s">
        <v>151</v>
      </c>
      <c r="EP283" s="30" t="s">
        <v>151</v>
      </c>
      <c r="EQ283" s="29" t="s">
        <v>151</v>
      </c>
      <c r="ER283" s="29" t="s">
        <v>151</v>
      </c>
      <c r="ES283" s="4">
        <f>HYPERLINK("https://my.pitchbook.com?c=438839-56","View Company Online")</f>
      </c>
    </row>
    <row r="284">
      <c r="A284" s="17" t="s">
        <v>6278</v>
      </c>
      <c r="B284" s="17" t="s">
        <v>6279</v>
      </c>
      <c r="C284" s="18" t="s">
        <v>151</v>
      </c>
      <c r="D284" s="17" t="s">
        <v>151</v>
      </c>
      <c r="E284" s="17" t="s">
        <v>151</v>
      </c>
      <c r="F284" s="17" t="s">
        <v>6280</v>
      </c>
      <c r="G284" s="17" t="s">
        <v>151</v>
      </c>
      <c r="H284" s="17" t="s">
        <v>151</v>
      </c>
      <c r="I284" s="17" t="s">
        <v>6281</v>
      </c>
      <c r="J284" s="17" t="s">
        <v>6278</v>
      </c>
      <c r="K284" s="17" t="s">
        <v>6282</v>
      </c>
      <c r="L284" s="17" t="s">
        <v>1792</v>
      </c>
      <c r="M284" s="17" t="s">
        <v>2199</v>
      </c>
      <c r="N284" s="17" t="s">
        <v>2200</v>
      </c>
      <c r="O284" s="17" t="s">
        <v>6283</v>
      </c>
      <c r="P284" s="17" t="s">
        <v>6284</v>
      </c>
      <c r="Q284" s="17" t="s">
        <v>6285</v>
      </c>
      <c r="R284" s="17" t="s">
        <v>151</v>
      </c>
      <c r="S284" s="17" t="s">
        <v>6286</v>
      </c>
      <c r="T284" s="24">
        <v>170.12</v>
      </c>
      <c r="U284" s="17" t="s">
        <v>163</v>
      </c>
      <c r="V284" s="17" t="s">
        <v>164</v>
      </c>
      <c r="W284" s="17" t="s">
        <v>6287</v>
      </c>
      <c r="X284" s="15" t="s">
        <v>6288</v>
      </c>
      <c r="Y284" s="15" t="s">
        <v>6289</v>
      </c>
      <c r="Z284" s="27">
        <v>305</v>
      </c>
      <c r="AA284" s="17" t="s">
        <v>6290</v>
      </c>
      <c r="AB284" s="17" t="s">
        <v>151</v>
      </c>
      <c r="AC284" s="17" t="s">
        <v>151</v>
      </c>
      <c r="AD284" s="26">
        <v>2019</v>
      </c>
      <c r="AE284" s="17" t="s">
        <v>151</v>
      </c>
      <c r="AF284" s="22">
        <v>45547</v>
      </c>
      <c r="AG284" s="17" t="s">
        <v>151</v>
      </c>
      <c r="AH284" s="17" t="s">
        <v>151</v>
      </c>
      <c r="AI284" s="25">
        <v>21</v>
      </c>
      <c r="AJ284" s="19" t="s">
        <v>151</v>
      </c>
      <c r="AK284" s="25" t="s">
        <v>151</v>
      </c>
      <c r="AL284" s="25" t="s">
        <v>151</v>
      </c>
      <c r="AM284" s="25" t="s">
        <v>151</v>
      </c>
      <c r="AN284" s="25" t="s">
        <v>151</v>
      </c>
      <c r="AO284" s="25" t="s">
        <v>151</v>
      </c>
      <c r="AP284" s="25" t="s">
        <v>151</v>
      </c>
      <c r="AQ284" s="25" t="s">
        <v>151</v>
      </c>
      <c r="AR284" s="16" t="s">
        <v>456</v>
      </c>
      <c r="AS284" s="17" t="s">
        <v>6291</v>
      </c>
      <c r="AT284" s="17" t="s">
        <v>6292</v>
      </c>
      <c r="AU284" s="18">
        <v>11</v>
      </c>
      <c r="AV284" s="17" t="s">
        <v>151</v>
      </c>
      <c r="AW284" s="17" t="s">
        <v>6293</v>
      </c>
      <c r="AX284" s="17" t="s">
        <v>151</v>
      </c>
      <c r="AY284" s="17" t="s">
        <v>6294</v>
      </c>
      <c r="AZ284" s="17" t="s">
        <v>6295</v>
      </c>
      <c r="BA284" s="17" t="s">
        <v>151</v>
      </c>
      <c r="BB284" s="17" t="s">
        <v>6296</v>
      </c>
      <c r="BC284" s="17" t="s">
        <v>6297</v>
      </c>
      <c r="BD284" s="17" t="s">
        <v>6298</v>
      </c>
      <c r="BE284" s="17" t="s">
        <v>6299</v>
      </c>
      <c r="BF284" s="17" t="s">
        <v>430</v>
      </c>
      <c r="BG284" s="17" t="s">
        <v>6300</v>
      </c>
      <c r="BH284" s="17" t="s">
        <v>151</v>
      </c>
      <c r="BI284" s="17" t="s">
        <v>906</v>
      </c>
      <c r="BJ284" s="17" t="s">
        <v>6301</v>
      </c>
      <c r="BK284" s="17" t="s">
        <v>2545</v>
      </c>
      <c r="BL284" s="17" t="s">
        <v>259</v>
      </c>
      <c r="BM284" s="17" t="s">
        <v>259</v>
      </c>
      <c r="BN284" s="16" t="s">
        <v>6302</v>
      </c>
      <c r="BO284" s="17" t="s">
        <v>186</v>
      </c>
      <c r="BP284" s="16" t="s">
        <v>151</v>
      </c>
      <c r="BQ284" s="16" t="s">
        <v>151</v>
      </c>
      <c r="BR284" s="17" t="s">
        <v>6303</v>
      </c>
      <c r="BS284" s="17" t="s">
        <v>187</v>
      </c>
      <c r="BT284" s="17" t="s">
        <v>188</v>
      </c>
      <c r="BU284" s="22">
        <v>44006</v>
      </c>
      <c r="BV284" s="24">
        <v>5.1</v>
      </c>
      <c r="BW284" s="17" t="s">
        <v>192</v>
      </c>
      <c r="BX284" s="24" t="s">
        <v>151</v>
      </c>
      <c r="BY284" s="17" t="s">
        <v>151</v>
      </c>
      <c r="BZ284" s="17" t="s">
        <v>293</v>
      </c>
      <c r="CA284" s="17" t="s">
        <v>293</v>
      </c>
      <c r="CB284" s="17" t="s">
        <v>151</v>
      </c>
      <c r="CC284" s="17" t="s">
        <v>165</v>
      </c>
      <c r="CD284" s="17" t="s">
        <v>151</v>
      </c>
      <c r="CE284" s="17" t="s">
        <v>191</v>
      </c>
      <c r="CF284" s="22">
        <v>45223</v>
      </c>
      <c r="CG284" s="24" t="s">
        <v>151</v>
      </c>
      <c r="CH284" s="17" t="s">
        <v>151</v>
      </c>
      <c r="CI284" s="24">
        <v>388.6</v>
      </c>
      <c r="CJ284" s="17" t="s">
        <v>192</v>
      </c>
      <c r="CK284" s="16" t="s">
        <v>151</v>
      </c>
      <c r="CL284" s="17" t="s">
        <v>5824</v>
      </c>
      <c r="CM284" s="17" t="s">
        <v>151</v>
      </c>
      <c r="CN284" s="17" t="s">
        <v>151</v>
      </c>
      <c r="CO284" s="17" t="s">
        <v>6304</v>
      </c>
      <c r="CP284" s="22">
        <v>45223</v>
      </c>
      <c r="CQ284" s="24" t="s">
        <v>151</v>
      </c>
      <c r="CR284" s="17" t="s">
        <v>151</v>
      </c>
      <c r="CS284" s="17" t="s">
        <v>191</v>
      </c>
      <c r="CT284" s="16" t="s">
        <v>151</v>
      </c>
      <c r="CU284" s="17" t="s">
        <v>151</v>
      </c>
      <c r="CV284" s="19" t="s">
        <v>151</v>
      </c>
      <c r="CW284" s="19" t="s">
        <v>151</v>
      </c>
      <c r="CX284" s="17" t="s">
        <v>151</v>
      </c>
      <c r="CY284" s="19" t="s">
        <v>151</v>
      </c>
      <c r="CZ284" s="19" t="s">
        <v>151</v>
      </c>
      <c r="DA284" s="24">
        <v>388.6</v>
      </c>
      <c r="DB284" s="22">
        <v>45223</v>
      </c>
      <c r="DC284" s="17" t="s">
        <v>5824</v>
      </c>
      <c r="DD284" s="16" t="s">
        <v>151</v>
      </c>
      <c r="DE284" s="19">
        <v>3.75</v>
      </c>
      <c r="DF284" s="21">
        <v>100</v>
      </c>
      <c r="DG284" s="19">
        <v>-1.93</v>
      </c>
      <c r="DH284" s="19">
        <v>-33.99</v>
      </c>
      <c r="DI284" s="19" t="s">
        <v>151</v>
      </c>
      <c r="DJ284" s="21" t="s">
        <v>151</v>
      </c>
      <c r="DK284" s="19" t="s">
        <v>151</v>
      </c>
      <c r="DL284" s="21" t="s">
        <v>151</v>
      </c>
      <c r="DM284" s="19" t="s">
        <v>151</v>
      </c>
      <c r="DN284" s="21" t="s">
        <v>151</v>
      </c>
      <c r="DO284" s="23">
        <v>30.66</v>
      </c>
      <c r="DP284" s="21">
        <v>97</v>
      </c>
      <c r="DQ284" s="23">
        <v>0.45</v>
      </c>
      <c r="DR284" s="19">
        <v>1.48</v>
      </c>
      <c r="DS284" s="23" t="s">
        <v>151</v>
      </c>
      <c r="DT284" s="21" t="s">
        <v>151</v>
      </c>
      <c r="DU284" s="23" t="s">
        <v>151</v>
      </c>
      <c r="DV284" s="21" t="s">
        <v>151</v>
      </c>
      <c r="DW284" s="23" t="s">
        <v>151</v>
      </c>
      <c r="DX284" s="21" t="s">
        <v>151</v>
      </c>
      <c r="DY284" s="18">
        <v>1</v>
      </c>
      <c r="DZ284" s="22">
        <v>44874</v>
      </c>
      <c r="EA284" s="22" t="s">
        <v>151</v>
      </c>
      <c r="EB284" s="21">
        <v>6206</v>
      </c>
      <c r="EC284" s="20">
        <v>-502</v>
      </c>
      <c r="ED284" s="19">
        <v>-7.48</v>
      </c>
      <c r="EE284" s="21" t="s">
        <v>151</v>
      </c>
      <c r="EF284" s="20" t="s">
        <v>151</v>
      </c>
      <c r="EG284" s="19" t="s">
        <v>151</v>
      </c>
      <c r="EH284" s="16" t="s">
        <v>198</v>
      </c>
      <c r="EI284" s="17" t="s">
        <v>151</v>
      </c>
      <c r="EJ284" s="17" t="s">
        <v>151</v>
      </c>
      <c r="EK284" s="18" t="s">
        <v>151</v>
      </c>
      <c r="EL284" s="18" t="s">
        <v>151</v>
      </c>
      <c r="EM284" s="18" t="s">
        <v>151</v>
      </c>
      <c r="EN284" s="18" t="s">
        <v>151</v>
      </c>
      <c r="EO284" s="18" t="s">
        <v>151</v>
      </c>
      <c r="EP284" s="17" t="s">
        <v>151</v>
      </c>
      <c r="EQ284" s="16" t="s">
        <v>151</v>
      </c>
      <c r="ER284" s="16" t="s">
        <v>151</v>
      </c>
      <c r="ES284" s="3">
        <f>HYPERLINK("https://my.pitchbook.com?c=436439-53","View Company Online")</f>
      </c>
    </row>
    <row r="285">
      <c r="A285" s="30" t="s">
        <v>6305</v>
      </c>
      <c r="B285" s="30" t="s">
        <v>6306</v>
      </c>
      <c r="C285" s="31" t="s">
        <v>151</v>
      </c>
      <c r="D285" s="30" t="s">
        <v>151</v>
      </c>
      <c r="E285" s="30" t="s">
        <v>6307</v>
      </c>
      <c r="F285" s="30" t="s">
        <v>6308</v>
      </c>
      <c r="G285" s="30" t="s">
        <v>151</v>
      </c>
      <c r="H285" s="30" t="s">
        <v>151</v>
      </c>
      <c r="I285" s="30" t="s">
        <v>151</v>
      </c>
      <c r="J285" s="30" t="s">
        <v>6305</v>
      </c>
      <c r="K285" s="30" t="s">
        <v>6309</v>
      </c>
      <c r="L285" s="30" t="s">
        <v>205</v>
      </c>
      <c r="M285" s="30" t="s">
        <v>206</v>
      </c>
      <c r="N285" s="30" t="s">
        <v>1268</v>
      </c>
      <c r="O285" s="30" t="s">
        <v>2129</v>
      </c>
      <c r="P285" s="30" t="s">
        <v>6310</v>
      </c>
      <c r="Q285" s="30" t="s">
        <v>6311</v>
      </c>
      <c r="R285" s="30" t="s">
        <v>151</v>
      </c>
      <c r="S285" s="30" t="s">
        <v>162</v>
      </c>
      <c r="T285" s="37">
        <v>2.85</v>
      </c>
      <c r="U285" s="30" t="s">
        <v>163</v>
      </c>
      <c r="V285" s="30" t="s">
        <v>164</v>
      </c>
      <c r="W285" s="30" t="s">
        <v>165</v>
      </c>
      <c r="X285" s="28" t="s">
        <v>6312</v>
      </c>
      <c r="Y285" s="28" t="s">
        <v>6313</v>
      </c>
      <c r="Z285" s="40">
        <v>16</v>
      </c>
      <c r="AA285" s="30" t="s">
        <v>6314</v>
      </c>
      <c r="AB285" s="30" t="s">
        <v>151</v>
      </c>
      <c r="AC285" s="30" t="s">
        <v>151</v>
      </c>
      <c r="AD285" s="39">
        <v>2021</v>
      </c>
      <c r="AE285" s="30" t="s">
        <v>151</v>
      </c>
      <c r="AF285" s="35">
        <v>45595</v>
      </c>
      <c r="AG285" s="30" t="s">
        <v>151</v>
      </c>
      <c r="AH285" s="30" t="s">
        <v>151</v>
      </c>
      <c r="AI285" s="38" t="s">
        <v>151</v>
      </c>
      <c r="AJ285" s="32" t="s">
        <v>151</v>
      </c>
      <c r="AK285" s="38" t="s">
        <v>151</v>
      </c>
      <c r="AL285" s="38" t="s">
        <v>151</v>
      </c>
      <c r="AM285" s="38" t="s">
        <v>151</v>
      </c>
      <c r="AN285" s="38" t="s">
        <v>151</v>
      </c>
      <c r="AO285" s="38" t="s">
        <v>151</v>
      </c>
      <c r="AP285" s="38" t="s">
        <v>151</v>
      </c>
      <c r="AQ285" s="38" t="s">
        <v>151</v>
      </c>
      <c r="AR285" s="29" t="s">
        <v>151</v>
      </c>
      <c r="AS285" s="30" t="s">
        <v>6315</v>
      </c>
      <c r="AT285" s="30" t="s">
        <v>6316</v>
      </c>
      <c r="AU285" s="31">
        <v>12</v>
      </c>
      <c r="AV285" s="30" t="s">
        <v>151</v>
      </c>
      <c r="AW285" s="30" t="s">
        <v>151</v>
      </c>
      <c r="AX285" s="30" t="s">
        <v>151</v>
      </c>
      <c r="AY285" s="30" t="s">
        <v>6317</v>
      </c>
      <c r="AZ285" s="30" t="s">
        <v>151</v>
      </c>
      <c r="BA285" s="30" t="s">
        <v>151</v>
      </c>
      <c r="BB285" s="30" t="s">
        <v>151</v>
      </c>
      <c r="BC285" s="30" t="s">
        <v>151</v>
      </c>
      <c r="BD285" s="30" t="s">
        <v>6318</v>
      </c>
      <c r="BE285" s="30" t="s">
        <v>6319</v>
      </c>
      <c r="BF285" s="30" t="s">
        <v>493</v>
      </c>
      <c r="BG285" s="30" t="s">
        <v>6320</v>
      </c>
      <c r="BH285" s="30" t="s">
        <v>6321</v>
      </c>
      <c r="BI285" s="30" t="s">
        <v>906</v>
      </c>
      <c r="BJ285" s="30" t="s">
        <v>6322</v>
      </c>
      <c r="BK285" s="30" t="s">
        <v>151</v>
      </c>
      <c r="BL285" s="30" t="s">
        <v>259</v>
      </c>
      <c r="BM285" s="30" t="s">
        <v>259</v>
      </c>
      <c r="BN285" s="29" t="s">
        <v>6323</v>
      </c>
      <c r="BO285" s="30" t="s">
        <v>186</v>
      </c>
      <c r="BP285" s="29" t="s">
        <v>151</v>
      </c>
      <c r="BQ285" s="29" t="s">
        <v>151</v>
      </c>
      <c r="BR285" s="30" t="s">
        <v>6324</v>
      </c>
      <c r="BS285" s="30" t="s">
        <v>187</v>
      </c>
      <c r="BT285" s="30" t="s">
        <v>188</v>
      </c>
      <c r="BU285" s="35">
        <v>44572</v>
      </c>
      <c r="BV285" s="37">
        <v>1.5</v>
      </c>
      <c r="BW285" s="30" t="s">
        <v>192</v>
      </c>
      <c r="BX285" s="37" t="s">
        <v>151</v>
      </c>
      <c r="BY285" s="30" t="s">
        <v>151</v>
      </c>
      <c r="BZ285" s="30" t="s">
        <v>293</v>
      </c>
      <c r="CA285" s="30" t="s">
        <v>293</v>
      </c>
      <c r="CB285" s="30" t="s">
        <v>151</v>
      </c>
      <c r="CC285" s="30" t="s">
        <v>165</v>
      </c>
      <c r="CD285" s="30" t="s">
        <v>151</v>
      </c>
      <c r="CE285" s="30" t="s">
        <v>191</v>
      </c>
      <c r="CF285" s="35">
        <v>44938</v>
      </c>
      <c r="CG285" s="37">
        <v>1.25</v>
      </c>
      <c r="CH285" s="30" t="s">
        <v>192</v>
      </c>
      <c r="CI285" s="37" t="s">
        <v>151</v>
      </c>
      <c r="CJ285" s="30" t="s">
        <v>151</v>
      </c>
      <c r="CK285" s="29" t="s">
        <v>151</v>
      </c>
      <c r="CL285" s="30" t="s">
        <v>293</v>
      </c>
      <c r="CM285" s="30" t="s">
        <v>293</v>
      </c>
      <c r="CN285" s="30" t="s">
        <v>151</v>
      </c>
      <c r="CO285" s="30" t="s">
        <v>165</v>
      </c>
      <c r="CP285" s="35">
        <v>44938</v>
      </c>
      <c r="CQ285" s="37" t="s">
        <v>151</v>
      </c>
      <c r="CR285" s="30" t="s">
        <v>151</v>
      </c>
      <c r="CS285" s="30" t="s">
        <v>191</v>
      </c>
      <c r="CT285" s="29">
        <v>70</v>
      </c>
      <c r="CU285" s="30" t="s">
        <v>196</v>
      </c>
      <c r="CV285" s="32">
        <v>65</v>
      </c>
      <c r="CW285" s="32">
        <v>35</v>
      </c>
      <c r="CX285" s="30" t="s">
        <v>294</v>
      </c>
      <c r="CY285" s="32">
        <v>1</v>
      </c>
      <c r="CZ285" s="32">
        <v>64</v>
      </c>
      <c r="DA285" s="37" t="s">
        <v>151</v>
      </c>
      <c r="DB285" s="35" t="s">
        <v>151</v>
      </c>
      <c r="DC285" s="30" t="s">
        <v>151</v>
      </c>
      <c r="DD285" s="29" t="s">
        <v>151</v>
      </c>
      <c r="DE285" s="32">
        <v>0.42</v>
      </c>
      <c r="DF285" s="34">
        <v>93</v>
      </c>
      <c r="DG285" s="32">
        <v>0</v>
      </c>
      <c r="DH285" s="32">
        <v>0</v>
      </c>
      <c r="DI285" s="32">
        <v>0</v>
      </c>
      <c r="DJ285" s="34">
        <v>10</v>
      </c>
      <c r="DK285" s="32" t="s">
        <v>151</v>
      </c>
      <c r="DL285" s="34" t="s">
        <v>151</v>
      </c>
      <c r="DM285" s="32">
        <v>0</v>
      </c>
      <c r="DN285" s="34">
        <v>10</v>
      </c>
      <c r="DO285" s="36">
        <v>2.3</v>
      </c>
      <c r="DP285" s="34">
        <v>69</v>
      </c>
      <c r="DQ285" s="36">
        <v>0</v>
      </c>
      <c r="DR285" s="32">
        <v>0</v>
      </c>
      <c r="DS285" s="36">
        <v>3.37</v>
      </c>
      <c r="DT285" s="34">
        <v>76</v>
      </c>
      <c r="DU285" s="36" t="s">
        <v>151</v>
      </c>
      <c r="DV285" s="34" t="s">
        <v>151</v>
      </c>
      <c r="DW285" s="36">
        <v>3.37</v>
      </c>
      <c r="DX285" s="34">
        <v>76</v>
      </c>
      <c r="DY285" s="31" t="s">
        <v>151</v>
      </c>
      <c r="DZ285" s="35" t="s">
        <v>151</v>
      </c>
      <c r="EA285" s="35" t="s">
        <v>151</v>
      </c>
      <c r="EB285" s="34">
        <v>82</v>
      </c>
      <c r="EC285" s="33">
        <v>-31</v>
      </c>
      <c r="ED285" s="32">
        <v>-27.43</v>
      </c>
      <c r="EE285" s="34">
        <v>64</v>
      </c>
      <c r="EF285" s="33">
        <v>0</v>
      </c>
      <c r="EG285" s="32">
        <v>0</v>
      </c>
      <c r="EH285" s="29" t="s">
        <v>198</v>
      </c>
      <c r="EI285" s="30" t="s">
        <v>151</v>
      </c>
      <c r="EJ285" s="30" t="s">
        <v>151</v>
      </c>
      <c r="EK285" s="31" t="s">
        <v>151</v>
      </c>
      <c r="EL285" s="31" t="s">
        <v>151</v>
      </c>
      <c r="EM285" s="31" t="s">
        <v>151</v>
      </c>
      <c r="EN285" s="31" t="s">
        <v>151</v>
      </c>
      <c r="EO285" s="31" t="s">
        <v>151</v>
      </c>
      <c r="EP285" s="30" t="s">
        <v>151</v>
      </c>
      <c r="EQ285" s="29" t="s">
        <v>151</v>
      </c>
      <c r="ER285" s="29" t="s">
        <v>151</v>
      </c>
      <c r="ES285" s="4">
        <f>HYPERLINK("https://my.pitchbook.com?c=460338-67","View Company Online")</f>
      </c>
    </row>
    <row r="286">
      <c r="A286" s="17" t="s">
        <v>6325</v>
      </c>
      <c r="B286" s="17" t="s">
        <v>6326</v>
      </c>
      <c r="C286" s="18" t="s">
        <v>151</v>
      </c>
      <c r="D286" s="17" t="s">
        <v>151</v>
      </c>
      <c r="E286" s="17" t="s">
        <v>6327</v>
      </c>
      <c r="F286" s="17" t="s">
        <v>6328</v>
      </c>
      <c r="G286" s="17" t="s">
        <v>151</v>
      </c>
      <c r="H286" s="17" t="s">
        <v>151</v>
      </c>
      <c r="I286" s="17" t="s">
        <v>151</v>
      </c>
      <c r="J286" s="17" t="s">
        <v>6325</v>
      </c>
      <c r="K286" s="17" t="s">
        <v>6329</v>
      </c>
      <c r="L286" s="17" t="s">
        <v>155</v>
      </c>
      <c r="M286" s="17" t="s">
        <v>361</v>
      </c>
      <c r="N286" s="17" t="s">
        <v>362</v>
      </c>
      <c r="O286" s="17" t="s">
        <v>363</v>
      </c>
      <c r="P286" s="17" t="s">
        <v>6330</v>
      </c>
      <c r="Q286" s="17" t="s">
        <v>6331</v>
      </c>
      <c r="R286" s="17" t="s">
        <v>151</v>
      </c>
      <c r="S286" s="17" t="s">
        <v>162</v>
      </c>
      <c r="T286" s="24">
        <v>0.31</v>
      </c>
      <c r="U286" s="17" t="s">
        <v>163</v>
      </c>
      <c r="V286" s="17" t="s">
        <v>164</v>
      </c>
      <c r="W286" s="17" t="s">
        <v>165</v>
      </c>
      <c r="X286" s="15" t="s">
        <v>6332</v>
      </c>
      <c r="Y286" s="15" t="s">
        <v>6333</v>
      </c>
      <c r="Z286" s="27">
        <v>11</v>
      </c>
      <c r="AA286" s="17" t="s">
        <v>6334</v>
      </c>
      <c r="AB286" s="17" t="s">
        <v>151</v>
      </c>
      <c r="AC286" s="17" t="s">
        <v>151</v>
      </c>
      <c r="AD286" s="26">
        <v>2019</v>
      </c>
      <c r="AE286" s="17" t="s">
        <v>151</v>
      </c>
      <c r="AF286" s="22">
        <v>45595</v>
      </c>
      <c r="AG286" s="17" t="s">
        <v>151</v>
      </c>
      <c r="AH286" s="17" t="s">
        <v>151</v>
      </c>
      <c r="AI286" s="25" t="s">
        <v>151</v>
      </c>
      <c r="AJ286" s="19" t="s">
        <v>151</v>
      </c>
      <c r="AK286" s="25" t="s">
        <v>151</v>
      </c>
      <c r="AL286" s="25" t="s">
        <v>151</v>
      </c>
      <c r="AM286" s="25" t="s">
        <v>151</v>
      </c>
      <c r="AN286" s="25" t="s">
        <v>151</v>
      </c>
      <c r="AO286" s="25" t="s">
        <v>151</v>
      </c>
      <c r="AP286" s="25" t="s">
        <v>151</v>
      </c>
      <c r="AQ286" s="25" t="s">
        <v>151</v>
      </c>
      <c r="AR286" s="16" t="s">
        <v>151</v>
      </c>
      <c r="AS286" s="17" t="s">
        <v>6335</v>
      </c>
      <c r="AT286" s="17" t="s">
        <v>6336</v>
      </c>
      <c r="AU286" s="18">
        <v>13</v>
      </c>
      <c r="AV286" s="17" t="s">
        <v>151</v>
      </c>
      <c r="AW286" s="17" t="s">
        <v>151</v>
      </c>
      <c r="AX286" s="17" t="s">
        <v>151</v>
      </c>
      <c r="AY286" s="17" t="s">
        <v>6337</v>
      </c>
      <c r="AZ286" s="17" t="s">
        <v>151</v>
      </c>
      <c r="BA286" s="17" t="s">
        <v>151</v>
      </c>
      <c r="BB286" s="17" t="s">
        <v>151</v>
      </c>
      <c r="BC286" s="17" t="s">
        <v>601</v>
      </c>
      <c r="BD286" s="17" t="s">
        <v>6338</v>
      </c>
      <c r="BE286" s="17" t="s">
        <v>6339</v>
      </c>
      <c r="BF286" s="17" t="s">
        <v>6340</v>
      </c>
      <c r="BG286" s="17" t="s">
        <v>6341</v>
      </c>
      <c r="BH286" s="17" t="s">
        <v>6342</v>
      </c>
      <c r="BI286" s="17" t="s">
        <v>906</v>
      </c>
      <c r="BJ286" s="17" t="s">
        <v>6343</v>
      </c>
      <c r="BK286" s="17" t="s">
        <v>6344</v>
      </c>
      <c r="BL286" s="17" t="s">
        <v>259</v>
      </c>
      <c r="BM286" s="17" t="s">
        <v>259</v>
      </c>
      <c r="BN286" s="16" t="s">
        <v>6302</v>
      </c>
      <c r="BO286" s="17" t="s">
        <v>186</v>
      </c>
      <c r="BP286" s="16" t="s">
        <v>6342</v>
      </c>
      <c r="BQ286" s="16" t="s">
        <v>151</v>
      </c>
      <c r="BR286" s="17" t="s">
        <v>151</v>
      </c>
      <c r="BS286" s="17" t="s">
        <v>187</v>
      </c>
      <c r="BT286" s="17" t="s">
        <v>188</v>
      </c>
      <c r="BU286" s="22" t="s">
        <v>151</v>
      </c>
      <c r="BV286" s="24" t="s">
        <v>151</v>
      </c>
      <c r="BW286" s="17" t="s">
        <v>151</v>
      </c>
      <c r="BX286" s="24" t="s">
        <v>151</v>
      </c>
      <c r="BY286" s="17" t="s">
        <v>151</v>
      </c>
      <c r="BZ286" s="17" t="s">
        <v>189</v>
      </c>
      <c r="CA286" s="17" t="s">
        <v>151</v>
      </c>
      <c r="CB286" s="17" t="s">
        <v>151</v>
      </c>
      <c r="CC286" s="17" t="s">
        <v>190</v>
      </c>
      <c r="CD286" s="17" t="s">
        <v>151</v>
      </c>
      <c r="CE286" s="17" t="s">
        <v>191</v>
      </c>
      <c r="CF286" s="22">
        <v>45056</v>
      </c>
      <c r="CG286" s="24">
        <v>0.03</v>
      </c>
      <c r="CH286" s="17" t="s">
        <v>192</v>
      </c>
      <c r="CI286" s="24" t="s">
        <v>151</v>
      </c>
      <c r="CJ286" s="17" t="s">
        <v>151</v>
      </c>
      <c r="CK286" s="16" t="s">
        <v>151</v>
      </c>
      <c r="CL286" s="17" t="s">
        <v>189</v>
      </c>
      <c r="CM286" s="17" t="s">
        <v>151</v>
      </c>
      <c r="CN286" s="17" t="s">
        <v>151</v>
      </c>
      <c r="CO286" s="17" t="s">
        <v>190</v>
      </c>
      <c r="CP286" s="22">
        <v>45056</v>
      </c>
      <c r="CQ286" s="24" t="s">
        <v>151</v>
      </c>
      <c r="CR286" s="17" t="s">
        <v>151</v>
      </c>
      <c r="CS286" s="17" t="s">
        <v>191</v>
      </c>
      <c r="CT286" s="16">
        <v>57</v>
      </c>
      <c r="CU286" s="17" t="s">
        <v>196</v>
      </c>
      <c r="CV286" s="19">
        <v>54</v>
      </c>
      <c r="CW286" s="19">
        <v>46</v>
      </c>
      <c r="CX286" s="17" t="s">
        <v>294</v>
      </c>
      <c r="CY286" s="19">
        <v>1</v>
      </c>
      <c r="CZ286" s="19">
        <v>53</v>
      </c>
      <c r="DA286" s="24">
        <v>3.26</v>
      </c>
      <c r="DB286" s="22">
        <v>43865</v>
      </c>
      <c r="DC286" s="17" t="s">
        <v>293</v>
      </c>
      <c r="DD286" s="16" t="s">
        <v>151</v>
      </c>
      <c r="DE286" s="19">
        <v>-0.09</v>
      </c>
      <c r="DF286" s="21">
        <v>11</v>
      </c>
      <c r="DG286" s="19">
        <v>0</v>
      </c>
      <c r="DH286" s="19">
        <v>0</v>
      </c>
      <c r="DI286" s="19">
        <v>-0.17</v>
      </c>
      <c r="DJ286" s="21">
        <v>9</v>
      </c>
      <c r="DK286" s="19" t="s">
        <v>151</v>
      </c>
      <c r="DL286" s="21" t="s">
        <v>151</v>
      </c>
      <c r="DM286" s="19">
        <v>-0.17</v>
      </c>
      <c r="DN286" s="21">
        <v>9</v>
      </c>
      <c r="DO286" s="23">
        <v>4.03</v>
      </c>
      <c r="DP286" s="21">
        <v>79</v>
      </c>
      <c r="DQ286" s="23">
        <v>0</v>
      </c>
      <c r="DR286" s="19">
        <v>0</v>
      </c>
      <c r="DS286" s="23">
        <v>7.21</v>
      </c>
      <c r="DT286" s="21">
        <v>87</v>
      </c>
      <c r="DU286" s="23" t="s">
        <v>151</v>
      </c>
      <c r="DV286" s="21" t="s">
        <v>151</v>
      </c>
      <c r="DW286" s="23">
        <v>7.21</v>
      </c>
      <c r="DX286" s="21">
        <v>86</v>
      </c>
      <c r="DY286" s="18" t="s">
        <v>151</v>
      </c>
      <c r="DZ286" s="22" t="s">
        <v>151</v>
      </c>
      <c r="EA286" s="22" t="s">
        <v>151</v>
      </c>
      <c r="EB286" s="21">
        <v>1433</v>
      </c>
      <c r="EC286" s="20">
        <v>169</v>
      </c>
      <c r="ED286" s="19">
        <v>13.37</v>
      </c>
      <c r="EE286" s="21">
        <v>137</v>
      </c>
      <c r="EF286" s="20">
        <v>1</v>
      </c>
      <c r="EG286" s="19">
        <v>0.74</v>
      </c>
      <c r="EH286" s="16" t="s">
        <v>198</v>
      </c>
      <c r="EI286" s="17" t="s">
        <v>151</v>
      </c>
      <c r="EJ286" s="17" t="s">
        <v>151</v>
      </c>
      <c r="EK286" s="18" t="s">
        <v>151</v>
      </c>
      <c r="EL286" s="18" t="s">
        <v>151</v>
      </c>
      <c r="EM286" s="18" t="s">
        <v>151</v>
      </c>
      <c r="EN286" s="18" t="s">
        <v>151</v>
      </c>
      <c r="EO286" s="18" t="s">
        <v>151</v>
      </c>
      <c r="EP286" s="17" t="s">
        <v>151</v>
      </c>
      <c r="EQ286" s="16" t="s">
        <v>151</v>
      </c>
      <c r="ER286" s="16" t="s">
        <v>151</v>
      </c>
      <c r="ES286" s="3">
        <f>HYPERLINK("https://my.pitchbook.com?c=431284-33","View Company Online")</f>
      </c>
    </row>
    <row r="287">
      <c r="A287" s="30" t="s">
        <v>6345</v>
      </c>
      <c r="B287" s="30" t="s">
        <v>6346</v>
      </c>
      <c r="C287" s="31" t="s">
        <v>151</v>
      </c>
      <c r="D287" s="30" t="s">
        <v>151</v>
      </c>
      <c r="E287" s="30" t="s">
        <v>1890</v>
      </c>
      <c r="F287" s="30" t="s">
        <v>6347</v>
      </c>
      <c r="G287" s="30" t="s">
        <v>151</v>
      </c>
      <c r="H287" s="30" t="s">
        <v>151</v>
      </c>
      <c r="I287" s="30" t="s">
        <v>151</v>
      </c>
      <c r="J287" s="30" t="s">
        <v>6345</v>
      </c>
      <c r="K287" s="30" t="s">
        <v>6348</v>
      </c>
      <c r="L287" s="30" t="s">
        <v>205</v>
      </c>
      <c r="M287" s="30" t="s">
        <v>206</v>
      </c>
      <c r="N287" s="30" t="s">
        <v>269</v>
      </c>
      <c r="O287" s="30" t="s">
        <v>1819</v>
      </c>
      <c r="P287" s="30" t="s">
        <v>919</v>
      </c>
      <c r="Q287" s="30" t="s">
        <v>6349</v>
      </c>
      <c r="R287" s="30" t="s">
        <v>151</v>
      </c>
      <c r="S287" s="30" t="s">
        <v>162</v>
      </c>
      <c r="T287" s="37">
        <v>4.87</v>
      </c>
      <c r="U287" s="30" t="s">
        <v>163</v>
      </c>
      <c r="V287" s="30" t="s">
        <v>164</v>
      </c>
      <c r="W287" s="30" t="s">
        <v>165</v>
      </c>
      <c r="X287" s="28" t="s">
        <v>6350</v>
      </c>
      <c r="Y287" s="28" t="s">
        <v>6351</v>
      </c>
      <c r="Z287" s="40">
        <v>9</v>
      </c>
      <c r="AA287" s="30" t="s">
        <v>6352</v>
      </c>
      <c r="AB287" s="30" t="s">
        <v>151</v>
      </c>
      <c r="AC287" s="30" t="s">
        <v>151</v>
      </c>
      <c r="AD287" s="39">
        <v>2021</v>
      </c>
      <c r="AE287" s="30" t="s">
        <v>151</v>
      </c>
      <c r="AF287" s="35">
        <v>45566</v>
      </c>
      <c r="AG287" s="30" t="s">
        <v>151</v>
      </c>
      <c r="AH287" s="30" t="s">
        <v>151</v>
      </c>
      <c r="AI287" s="38" t="s">
        <v>151</v>
      </c>
      <c r="AJ287" s="32" t="s">
        <v>151</v>
      </c>
      <c r="AK287" s="38" t="s">
        <v>151</v>
      </c>
      <c r="AL287" s="38" t="s">
        <v>151</v>
      </c>
      <c r="AM287" s="38" t="s">
        <v>151</v>
      </c>
      <c r="AN287" s="38" t="s">
        <v>151</v>
      </c>
      <c r="AO287" s="38" t="s">
        <v>151</v>
      </c>
      <c r="AP287" s="38" t="s">
        <v>151</v>
      </c>
      <c r="AQ287" s="38" t="s">
        <v>151</v>
      </c>
      <c r="AR287" s="29" t="s">
        <v>151</v>
      </c>
      <c r="AS287" s="30" t="s">
        <v>6353</v>
      </c>
      <c r="AT287" s="30" t="s">
        <v>6354</v>
      </c>
      <c r="AU287" s="31">
        <v>14</v>
      </c>
      <c r="AV287" s="30" t="s">
        <v>151</v>
      </c>
      <c r="AW287" s="30" t="s">
        <v>151</v>
      </c>
      <c r="AX287" s="30" t="s">
        <v>151</v>
      </c>
      <c r="AY287" s="30" t="s">
        <v>6355</v>
      </c>
      <c r="AZ287" s="30" t="s">
        <v>151</v>
      </c>
      <c r="BA287" s="30" t="s">
        <v>151</v>
      </c>
      <c r="BB287" s="30" t="s">
        <v>151</v>
      </c>
      <c r="BC287" s="30" t="s">
        <v>151</v>
      </c>
      <c r="BD287" s="30" t="s">
        <v>6356</v>
      </c>
      <c r="BE287" s="30" t="s">
        <v>6357</v>
      </c>
      <c r="BF287" s="30" t="s">
        <v>403</v>
      </c>
      <c r="BG287" s="30" t="s">
        <v>151</v>
      </c>
      <c r="BH287" s="30" t="s">
        <v>151</v>
      </c>
      <c r="BI287" s="30" t="s">
        <v>1409</v>
      </c>
      <c r="BJ287" s="30" t="s">
        <v>6358</v>
      </c>
      <c r="BK287" s="30" t="s">
        <v>6359</v>
      </c>
      <c r="BL287" s="30" t="s">
        <v>1412</v>
      </c>
      <c r="BM287" s="30" t="s">
        <v>823</v>
      </c>
      <c r="BN287" s="29" t="s">
        <v>4074</v>
      </c>
      <c r="BO287" s="30" t="s">
        <v>186</v>
      </c>
      <c r="BP287" s="29" t="s">
        <v>151</v>
      </c>
      <c r="BQ287" s="29" t="s">
        <v>151</v>
      </c>
      <c r="BR287" s="30" t="s">
        <v>6360</v>
      </c>
      <c r="BS287" s="30" t="s">
        <v>187</v>
      </c>
      <c r="BT287" s="30" t="s">
        <v>188</v>
      </c>
      <c r="BU287" s="35">
        <v>44698</v>
      </c>
      <c r="BV287" s="37">
        <v>4.87</v>
      </c>
      <c r="BW287" s="30" t="s">
        <v>192</v>
      </c>
      <c r="BX287" s="37">
        <v>25</v>
      </c>
      <c r="BY287" s="30" t="s">
        <v>192</v>
      </c>
      <c r="BZ287" s="30" t="s">
        <v>293</v>
      </c>
      <c r="CA287" s="30" t="s">
        <v>293</v>
      </c>
      <c r="CB287" s="30" t="s">
        <v>151</v>
      </c>
      <c r="CC287" s="30" t="s">
        <v>165</v>
      </c>
      <c r="CD287" s="30" t="s">
        <v>151</v>
      </c>
      <c r="CE287" s="30" t="s">
        <v>191</v>
      </c>
      <c r="CF287" s="35">
        <v>44698</v>
      </c>
      <c r="CG287" s="37">
        <v>4.87</v>
      </c>
      <c r="CH287" s="30" t="s">
        <v>192</v>
      </c>
      <c r="CI287" s="37">
        <v>25</v>
      </c>
      <c r="CJ287" s="30" t="s">
        <v>192</v>
      </c>
      <c r="CK287" s="29" t="s">
        <v>151</v>
      </c>
      <c r="CL287" s="30" t="s">
        <v>293</v>
      </c>
      <c r="CM287" s="30" t="s">
        <v>293</v>
      </c>
      <c r="CN287" s="30" t="s">
        <v>151</v>
      </c>
      <c r="CO287" s="30" t="s">
        <v>165</v>
      </c>
      <c r="CP287" s="35">
        <v>44698</v>
      </c>
      <c r="CQ287" s="37" t="s">
        <v>151</v>
      </c>
      <c r="CR287" s="30" t="s">
        <v>151</v>
      </c>
      <c r="CS287" s="30" t="s">
        <v>191</v>
      </c>
      <c r="CT287" s="29" t="s">
        <v>151</v>
      </c>
      <c r="CU287" s="30" t="s">
        <v>151</v>
      </c>
      <c r="CV287" s="32" t="s">
        <v>151</v>
      </c>
      <c r="CW287" s="32" t="s">
        <v>151</v>
      </c>
      <c r="CX287" s="30" t="s">
        <v>151</v>
      </c>
      <c r="CY287" s="32" t="s">
        <v>151</v>
      </c>
      <c r="CZ287" s="32" t="s">
        <v>151</v>
      </c>
      <c r="DA287" s="37">
        <v>25</v>
      </c>
      <c r="DB287" s="35">
        <v>44698</v>
      </c>
      <c r="DC287" s="30" t="s">
        <v>293</v>
      </c>
      <c r="DD287" s="29" t="s">
        <v>151</v>
      </c>
      <c r="DE287" s="32">
        <v>4.76</v>
      </c>
      <c r="DF287" s="34">
        <v>100</v>
      </c>
      <c r="DG287" s="32">
        <v>0</v>
      </c>
      <c r="DH287" s="32">
        <v>0</v>
      </c>
      <c r="DI287" s="32">
        <v>4.76</v>
      </c>
      <c r="DJ287" s="34">
        <v>100</v>
      </c>
      <c r="DK287" s="32">
        <v>6.18</v>
      </c>
      <c r="DL287" s="34">
        <v>99</v>
      </c>
      <c r="DM287" s="32">
        <v>3.35</v>
      </c>
      <c r="DN287" s="34">
        <v>100</v>
      </c>
      <c r="DO287" s="36">
        <v>9.97</v>
      </c>
      <c r="DP287" s="34">
        <v>90</v>
      </c>
      <c r="DQ287" s="36">
        <v>0</v>
      </c>
      <c r="DR287" s="32">
        <v>0</v>
      </c>
      <c r="DS287" s="36">
        <v>9.97</v>
      </c>
      <c r="DT287" s="34">
        <v>90</v>
      </c>
      <c r="DU287" s="36">
        <v>7.63</v>
      </c>
      <c r="DV287" s="34">
        <v>85</v>
      </c>
      <c r="DW287" s="36">
        <v>12.32</v>
      </c>
      <c r="DX287" s="34">
        <v>92</v>
      </c>
      <c r="DY287" s="31" t="s">
        <v>151</v>
      </c>
      <c r="DZ287" s="35" t="s">
        <v>151</v>
      </c>
      <c r="EA287" s="35" t="s">
        <v>151</v>
      </c>
      <c r="EB287" s="34">
        <v>1573</v>
      </c>
      <c r="EC287" s="33">
        <v>-7</v>
      </c>
      <c r="ED287" s="32">
        <v>-0.44</v>
      </c>
      <c r="EE287" s="34">
        <v>234</v>
      </c>
      <c r="EF287" s="33">
        <v>3</v>
      </c>
      <c r="EG287" s="32">
        <v>1.3</v>
      </c>
      <c r="EH287" s="29" t="s">
        <v>198</v>
      </c>
      <c r="EI287" s="30" t="s">
        <v>151</v>
      </c>
      <c r="EJ287" s="30" t="s">
        <v>151</v>
      </c>
      <c r="EK287" s="31" t="s">
        <v>151</v>
      </c>
      <c r="EL287" s="31" t="s">
        <v>151</v>
      </c>
      <c r="EM287" s="31" t="s">
        <v>151</v>
      </c>
      <c r="EN287" s="31" t="s">
        <v>151</v>
      </c>
      <c r="EO287" s="31" t="s">
        <v>151</v>
      </c>
      <c r="EP287" s="30" t="s">
        <v>151</v>
      </c>
      <c r="EQ287" s="29" t="s">
        <v>151</v>
      </c>
      <c r="ER287" s="29" t="s">
        <v>151</v>
      </c>
      <c r="ES287" s="4">
        <f>HYPERLINK("https://my.pitchbook.com?c=482539-15","View Company Online")</f>
      </c>
    </row>
    <row r="288">
      <c r="A288" s="17" t="s">
        <v>6361</v>
      </c>
      <c r="B288" s="17" t="s">
        <v>6362</v>
      </c>
      <c r="C288" s="18" t="s">
        <v>151</v>
      </c>
      <c r="D288" s="17" t="s">
        <v>151</v>
      </c>
      <c r="E288" s="17" t="s">
        <v>6363</v>
      </c>
      <c r="F288" s="17" t="s">
        <v>6364</v>
      </c>
      <c r="G288" s="17" t="s">
        <v>151</v>
      </c>
      <c r="H288" s="17" t="s">
        <v>151</v>
      </c>
      <c r="I288" s="17" t="s">
        <v>6365</v>
      </c>
      <c r="J288" s="17" t="s">
        <v>6361</v>
      </c>
      <c r="K288" s="17" t="s">
        <v>6366</v>
      </c>
      <c r="L288" s="17" t="s">
        <v>155</v>
      </c>
      <c r="M288" s="17" t="s">
        <v>2320</v>
      </c>
      <c r="N288" s="17" t="s">
        <v>6367</v>
      </c>
      <c r="O288" s="17" t="s">
        <v>6368</v>
      </c>
      <c r="P288" s="17" t="s">
        <v>2509</v>
      </c>
      <c r="Q288" s="17" t="s">
        <v>6369</v>
      </c>
      <c r="R288" s="17" t="s">
        <v>151</v>
      </c>
      <c r="S288" s="17" t="s">
        <v>162</v>
      </c>
      <c r="T288" s="24">
        <v>37.75</v>
      </c>
      <c r="U288" s="17" t="s">
        <v>163</v>
      </c>
      <c r="V288" s="17" t="s">
        <v>164</v>
      </c>
      <c r="W288" s="17" t="s">
        <v>420</v>
      </c>
      <c r="X288" s="15" t="s">
        <v>6370</v>
      </c>
      <c r="Y288" s="15" t="s">
        <v>6371</v>
      </c>
      <c r="Z288" s="27">
        <v>231</v>
      </c>
      <c r="AA288" s="17" t="s">
        <v>6372</v>
      </c>
      <c r="AB288" s="17" t="s">
        <v>151</v>
      </c>
      <c r="AC288" s="17" t="s">
        <v>151</v>
      </c>
      <c r="AD288" s="26">
        <v>2019</v>
      </c>
      <c r="AE288" s="17" t="s">
        <v>151</v>
      </c>
      <c r="AF288" s="22">
        <v>45524</v>
      </c>
      <c r="AG288" s="17" t="s">
        <v>151</v>
      </c>
      <c r="AH288" s="17" t="s">
        <v>151</v>
      </c>
      <c r="AI288" s="25" t="s">
        <v>151</v>
      </c>
      <c r="AJ288" s="19" t="s">
        <v>151</v>
      </c>
      <c r="AK288" s="25" t="s">
        <v>151</v>
      </c>
      <c r="AL288" s="25" t="s">
        <v>151</v>
      </c>
      <c r="AM288" s="25" t="s">
        <v>151</v>
      </c>
      <c r="AN288" s="25" t="s">
        <v>151</v>
      </c>
      <c r="AO288" s="25" t="s">
        <v>151</v>
      </c>
      <c r="AP288" s="25" t="s">
        <v>151</v>
      </c>
      <c r="AQ288" s="25" t="s">
        <v>151</v>
      </c>
      <c r="AR288" s="16" t="s">
        <v>151</v>
      </c>
      <c r="AS288" s="17" t="s">
        <v>6373</v>
      </c>
      <c r="AT288" s="17" t="s">
        <v>6374</v>
      </c>
      <c r="AU288" s="18">
        <v>15</v>
      </c>
      <c r="AV288" s="17" t="s">
        <v>151</v>
      </c>
      <c r="AW288" s="17" t="s">
        <v>6375</v>
      </c>
      <c r="AX288" s="17" t="s">
        <v>151</v>
      </c>
      <c r="AY288" s="17" t="s">
        <v>6376</v>
      </c>
      <c r="AZ288" s="17" t="s">
        <v>151</v>
      </c>
      <c r="BA288" s="17" t="s">
        <v>151</v>
      </c>
      <c r="BB288" s="17" t="s">
        <v>151</v>
      </c>
      <c r="BC288" s="17" t="s">
        <v>6377</v>
      </c>
      <c r="BD288" s="17" t="s">
        <v>6378</v>
      </c>
      <c r="BE288" s="17" t="s">
        <v>6379</v>
      </c>
      <c r="BF288" s="17" t="s">
        <v>282</v>
      </c>
      <c r="BG288" s="17" t="s">
        <v>6380</v>
      </c>
      <c r="BH288" s="17" t="s">
        <v>6381</v>
      </c>
      <c r="BI288" s="17" t="s">
        <v>906</v>
      </c>
      <c r="BJ288" s="17" t="s">
        <v>6382</v>
      </c>
      <c r="BK288" s="17" t="s">
        <v>151</v>
      </c>
      <c r="BL288" s="17" t="s">
        <v>259</v>
      </c>
      <c r="BM288" s="17" t="s">
        <v>259</v>
      </c>
      <c r="BN288" s="16" t="s">
        <v>4140</v>
      </c>
      <c r="BO288" s="17" t="s">
        <v>186</v>
      </c>
      <c r="BP288" s="16" t="s">
        <v>6381</v>
      </c>
      <c r="BQ288" s="16" t="s">
        <v>151</v>
      </c>
      <c r="BR288" s="17" t="s">
        <v>6383</v>
      </c>
      <c r="BS288" s="17" t="s">
        <v>187</v>
      </c>
      <c r="BT288" s="17" t="s">
        <v>188</v>
      </c>
      <c r="BU288" s="22">
        <v>43466</v>
      </c>
      <c r="BV288" s="24">
        <v>0.28</v>
      </c>
      <c r="BW288" s="17" t="s">
        <v>192</v>
      </c>
      <c r="BX288" s="24" t="s">
        <v>151</v>
      </c>
      <c r="BY288" s="17" t="s">
        <v>151</v>
      </c>
      <c r="BZ288" s="17" t="s">
        <v>1391</v>
      </c>
      <c r="CA288" s="17" t="s">
        <v>151</v>
      </c>
      <c r="CB288" s="17" t="s">
        <v>151</v>
      </c>
      <c r="CC288" s="17" t="s">
        <v>585</v>
      </c>
      <c r="CD288" s="17" t="s">
        <v>151</v>
      </c>
      <c r="CE288" s="17" t="s">
        <v>191</v>
      </c>
      <c r="CF288" s="22" t="s">
        <v>151</v>
      </c>
      <c r="CG288" s="24" t="s">
        <v>151</v>
      </c>
      <c r="CH288" s="17" t="s">
        <v>151</v>
      </c>
      <c r="CI288" s="24" t="s">
        <v>151</v>
      </c>
      <c r="CJ288" s="17" t="s">
        <v>151</v>
      </c>
      <c r="CK288" s="16" t="s">
        <v>151</v>
      </c>
      <c r="CL288" s="17" t="s">
        <v>911</v>
      </c>
      <c r="CM288" s="17" t="s">
        <v>151</v>
      </c>
      <c r="CN288" s="17" t="s">
        <v>151</v>
      </c>
      <c r="CO288" s="17" t="s">
        <v>165</v>
      </c>
      <c r="CP288" s="22" t="s">
        <v>151</v>
      </c>
      <c r="CQ288" s="24" t="s">
        <v>151</v>
      </c>
      <c r="CR288" s="17" t="s">
        <v>151</v>
      </c>
      <c r="CS288" s="17" t="s">
        <v>191</v>
      </c>
      <c r="CT288" s="16" t="s">
        <v>151</v>
      </c>
      <c r="CU288" s="17" t="s">
        <v>151</v>
      </c>
      <c r="CV288" s="19" t="s">
        <v>151</v>
      </c>
      <c r="CW288" s="19" t="s">
        <v>151</v>
      </c>
      <c r="CX288" s="17" t="s">
        <v>151</v>
      </c>
      <c r="CY288" s="19" t="s">
        <v>151</v>
      </c>
      <c r="CZ288" s="19" t="s">
        <v>151</v>
      </c>
      <c r="DA288" s="24">
        <v>189.2</v>
      </c>
      <c r="DB288" s="22">
        <v>44616</v>
      </c>
      <c r="DC288" s="17" t="s">
        <v>231</v>
      </c>
      <c r="DD288" s="16" t="s">
        <v>151</v>
      </c>
      <c r="DE288" s="19">
        <v>0.33</v>
      </c>
      <c r="DF288" s="21">
        <v>93</v>
      </c>
      <c r="DG288" s="19">
        <v>0</v>
      </c>
      <c r="DH288" s="19">
        <v>0</v>
      </c>
      <c r="DI288" s="19">
        <v>0.06</v>
      </c>
      <c r="DJ288" s="21">
        <v>92</v>
      </c>
      <c r="DK288" s="19" t="s">
        <v>151</v>
      </c>
      <c r="DL288" s="21" t="s">
        <v>151</v>
      </c>
      <c r="DM288" s="19">
        <v>0.06</v>
      </c>
      <c r="DN288" s="21">
        <v>92</v>
      </c>
      <c r="DO288" s="23">
        <v>15.1</v>
      </c>
      <c r="DP288" s="21">
        <v>93</v>
      </c>
      <c r="DQ288" s="23">
        <v>0</v>
      </c>
      <c r="DR288" s="19">
        <v>0</v>
      </c>
      <c r="DS288" s="23">
        <v>12.42</v>
      </c>
      <c r="DT288" s="21">
        <v>92</v>
      </c>
      <c r="DU288" s="23" t="s">
        <v>151</v>
      </c>
      <c r="DV288" s="21" t="s">
        <v>151</v>
      </c>
      <c r="DW288" s="23">
        <v>12.42</v>
      </c>
      <c r="DX288" s="21">
        <v>92</v>
      </c>
      <c r="DY288" s="18">
        <v>2</v>
      </c>
      <c r="DZ288" s="22">
        <v>44624</v>
      </c>
      <c r="EA288" s="22" t="s">
        <v>151</v>
      </c>
      <c r="EB288" s="21">
        <v>1145</v>
      </c>
      <c r="EC288" s="20">
        <v>-3</v>
      </c>
      <c r="ED288" s="19">
        <v>-0.26</v>
      </c>
      <c r="EE288" s="21">
        <v>236</v>
      </c>
      <c r="EF288" s="20">
        <v>1</v>
      </c>
      <c r="EG288" s="19">
        <v>0.43</v>
      </c>
      <c r="EH288" s="16" t="s">
        <v>198</v>
      </c>
      <c r="EI288" s="17" t="s">
        <v>151</v>
      </c>
      <c r="EJ288" s="17" t="s">
        <v>151</v>
      </c>
      <c r="EK288" s="18" t="s">
        <v>151</v>
      </c>
      <c r="EL288" s="18" t="s">
        <v>151</v>
      </c>
      <c r="EM288" s="18" t="s">
        <v>151</v>
      </c>
      <c r="EN288" s="18" t="s">
        <v>151</v>
      </c>
      <c r="EO288" s="18" t="s">
        <v>151</v>
      </c>
      <c r="EP288" s="17" t="s">
        <v>151</v>
      </c>
      <c r="EQ288" s="16" t="s">
        <v>151</v>
      </c>
      <c r="ER288" s="16" t="s">
        <v>151</v>
      </c>
      <c r="ES288" s="3">
        <f>HYPERLINK("https://my.pitchbook.com?c=343685-08","View Company Online")</f>
      </c>
    </row>
    <row r="289">
      <c r="A289" s="30" t="s">
        <v>6384</v>
      </c>
      <c r="B289" s="30" t="s">
        <v>6385</v>
      </c>
      <c r="C289" s="31" t="s">
        <v>151</v>
      </c>
      <c r="D289" s="30" t="s">
        <v>6386</v>
      </c>
      <c r="E289" s="30" t="s">
        <v>151</v>
      </c>
      <c r="F289" s="30" t="s">
        <v>6387</v>
      </c>
      <c r="G289" s="30" t="s">
        <v>151</v>
      </c>
      <c r="H289" s="30" t="s">
        <v>151</v>
      </c>
      <c r="I289" s="30" t="s">
        <v>6388</v>
      </c>
      <c r="J289" s="30" t="s">
        <v>6384</v>
      </c>
      <c r="K289" s="30" t="s">
        <v>6389</v>
      </c>
      <c r="L289" s="30" t="s">
        <v>205</v>
      </c>
      <c r="M289" s="30" t="s">
        <v>206</v>
      </c>
      <c r="N289" s="30" t="s">
        <v>269</v>
      </c>
      <c r="O289" s="30" t="s">
        <v>1420</v>
      </c>
      <c r="P289" s="30" t="s">
        <v>6390</v>
      </c>
      <c r="Q289" s="30" t="s">
        <v>6391</v>
      </c>
      <c r="R289" s="30" t="s">
        <v>151</v>
      </c>
      <c r="S289" s="30" t="s">
        <v>162</v>
      </c>
      <c r="T289" s="37">
        <v>14.1</v>
      </c>
      <c r="U289" s="30" t="s">
        <v>163</v>
      </c>
      <c r="V289" s="30" t="s">
        <v>164</v>
      </c>
      <c r="W289" s="30" t="s">
        <v>165</v>
      </c>
      <c r="X289" s="28" t="s">
        <v>6392</v>
      </c>
      <c r="Y289" s="28" t="s">
        <v>6393</v>
      </c>
      <c r="Z289" s="40">
        <v>26</v>
      </c>
      <c r="AA289" s="30" t="s">
        <v>6394</v>
      </c>
      <c r="AB289" s="30" t="s">
        <v>151</v>
      </c>
      <c r="AC289" s="30" t="s">
        <v>151</v>
      </c>
      <c r="AD289" s="39">
        <v>2019</v>
      </c>
      <c r="AE289" s="30" t="s">
        <v>151</v>
      </c>
      <c r="AF289" s="35">
        <v>45594</v>
      </c>
      <c r="AG289" s="30" t="s">
        <v>151</v>
      </c>
      <c r="AH289" s="30" t="s">
        <v>151</v>
      </c>
      <c r="AI289" s="38" t="s">
        <v>151</v>
      </c>
      <c r="AJ289" s="32" t="s">
        <v>151</v>
      </c>
      <c r="AK289" s="38" t="s">
        <v>151</v>
      </c>
      <c r="AL289" s="38" t="s">
        <v>151</v>
      </c>
      <c r="AM289" s="38" t="s">
        <v>151</v>
      </c>
      <c r="AN289" s="38" t="s">
        <v>151</v>
      </c>
      <c r="AO289" s="38" t="s">
        <v>151</v>
      </c>
      <c r="AP289" s="38" t="s">
        <v>151</v>
      </c>
      <c r="AQ289" s="38" t="s">
        <v>151</v>
      </c>
      <c r="AR289" s="29" t="s">
        <v>151</v>
      </c>
      <c r="AS289" s="30" t="s">
        <v>6395</v>
      </c>
      <c r="AT289" s="30" t="s">
        <v>6396</v>
      </c>
      <c r="AU289" s="31">
        <v>15</v>
      </c>
      <c r="AV289" s="30" t="s">
        <v>151</v>
      </c>
      <c r="AW289" s="30" t="s">
        <v>6397</v>
      </c>
      <c r="AX289" s="30" t="s">
        <v>151</v>
      </c>
      <c r="AY289" s="30" t="s">
        <v>6398</v>
      </c>
      <c r="AZ289" s="30" t="s">
        <v>151</v>
      </c>
      <c r="BA289" s="30" t="s">
        <v>151</v>
      </c>
      <c r="BB289" s="30" t="s">
        <v>151</v>
      </c>
      <c r="BC289" s="30" t="s">
        <v>1115</v>
      </c>
      <c r="BD289" s="30" t="s">
        <v>6399</v>
      </c>
      <c r="BE289" s="30" t="s">
        <v>6400</v>
      </c>
      <c r="BF289" s="30" t="s">
        <v>221</v>
      </c>
      <c r="BG289" s="30" t="s">
        <v>6401</v>
      </c>
      <c r="BH289" s="30" t="s">
        <v>6402</v>
      </c>
      <c r="BI289" s="30" t="s">
        <v>764</v>
      </c>
      <c r="BJ289" s="30" t="s">
        <v>3969</v>
      </c>
      <c r="BK289" s="30" t="s">
        <v>6403</v>
      </c>
      <c r="BL289" s="30" t="s">
        <v>767</v>
      </c>
      <c r="BM289" s="30" t="s">
        <v>184</v>
      </c>
      <c r="BN289" s="29" t="s">
        <v>794</v>
      </c>
      <c r="BO289" s="30" t="s">
        <v>186</v>
      </c>
      <c r="BP289" s="29" t="s">
        <v>6402</v>
      </c>
      <c r="BQ289" s="29" t="s">
        <v>151</v>
      </c>
      <c r="BR289" s="30" t="s">
        <v>6404</v>
      </c>
      <c r="BS289" s="30" t="s">
        <v>187</v>
      </c>
      <c r="BT289" s="30" t="s">
        <v>188</v>
      </c>
      <c r="BU289" s="35">
        <v>43698</v>
      </c>
      <c r="BV289" s="37">
        <v>0.15</v>
      </c>
      <c r="BW289" s="30" t="s">
        <v>192</v>
      </c>
      <c r="BX289" s="37">
        <v>2.14</v>
      </c>
      <c r="BY289" s="30" t="s">
        <v>192</v>
      </c>
      <c r="BZ289" s="30" t="s">
        <v>189</v>
      </c>
      <c r="CA289" s="30" t="s">
        <v>151</v>
      </c>
      <c r="CB289" s="30" t="s">
        <v>151</v>
      </c>
      <c r="CC289" s="30" t="s">
        <v>190</v>
      </c>
      <c r="CD289" s="30" t="s">
        <v>151</v>
      </c>
      <c r="CE289" s="30" t="s">
        <v>191</v>
      </c>
      <c r="CF289" s="35">
        <v>44743</v>
      </c>
      <c r="CG289" s="37" t="s">
        <v>151</v>
      </c>
      <c r="CH289" s="30" t="s">
        <v>151</v>
      </c>
      <c r="CI289" s="37" t="s">
        <v>151</v>
      </c>
      <c r="CJ289" s="30" t="s">
        <v>151</v>
      </c>
      <c r="CK289" s="29">
        <v>2.23</v>
      </c>
      <c r="CL289" s="30" t="s">
        <v>911</v>
      </c>
      <c r="CM289" s="30" t="s">
        <v>151</v>
      </c>
      <c r="CN289" s="30" t="s">
        <v>151</v>
      </c>
      <c r="CO289" s="30" t="s">
        <v>165</v>
      </c>
      <c r="CP289" s="35">
        <v>44743</v>
      </c>
      <c r="CQ289" s="37" t="s">
        <v>151</v>
      </c>
      <c r="CR289" s="30" t="s">
        <v>151</v>
      </c>
      <c r="CS289" s="30" t="s">
        <v>191</v>
      </c>
      <c r="CT289" s="29">
        <v>92</v>
      </c>
      <c r="CU289" s="30" t="s">
        <v>196</v>
      </c>
      <c r="CV289" s="32">
        <v>85</v>
      </c>
      <c r="CW289" s="32">
        <v>15</v>
      </c>
      <c r="CX289" s="30" t="s">
        <v>294</v>
      </c>
      <c r="CY289" s="32">
        <v>1</v>
      </c>
      <c r="CZ289" s="32">
        <v>84</v>
      </c>
      <c r="DA289" s="37">
        <v>60</v>
      </c>
      <c r="DB289" s="35">
        <v>44719</v>
      </c>
      <c r="DC289" s="30" t="s">
        <v>231</v>
      </c>
      <c r="DD289" s="29">
        <v>2.23</v>
      </c>
      <c r="DE289" s="32">
        <v>-0.81</v>
      </c>
      <c r="DF289" s="34">
        <v>5</v>
      </c>
      <c r="DG289" s="32">
        <v>0</v>
      </c>
      <c r="DH289" s="32">
        <v>0</v>
      </c>
      <c r="DI289" s="32">
        <v>-0.36</v>
      </c>
      <c r="DJ289" s="34">
        <v>8</v>
      </c>
      <c r="DK289" s="32" t="s">
        <v>151</v>
      </c>
      <c r="DL289" s="34" t="s">
        <v>151</v>
      </c>
      <c r="DM289" s="32">
        <v>-0.36</v>
      </c>
      <c r="DN289" s="34">
        <v>8</v>
      </c>
      <c r="DO289" s="36">
        <v>6.47</v>
      </c>
      <c r="DP289" s="34">
        <v>86</v>
      </c>
      <c r="DQ289" s="36">
        <v>0</v>
      </c>
      <c r="DR289" s="32">
        <v>0</v>
      </c>
      <c r="DS289" s="36">
        <v>10.79</v>
      </c>
      <c r="DT289" s="34">
        <v>91</v>
      </c>
      <c r="DU289" s="36" t="s">
        <v>151</v>
      </c>
      <c r="DV289" s="34" t="s">
        <v>151</v>
      </c>
      <c r="DW289" s="36">
        <v>10.79</v>
      </c>
      <c r="DX289" s="34">
        <v>90</v>
      </c>
      <c r="DY289" s="31" t="s">
        <v>151</v>
      </c>
      <c r="DZ289" s="35" t="s">
        <v>151</v>
      </c>
      <c r="EA289" s="35" t="s">
        <v>151</v>
      </c>
      <c r="EB289" s="34">
        <v>977</v>
      </c>
      <c r="EC289" s="33">
        <v>13</v>
      </c>
      <c r="ED289" s="32">
        <v>1.35</v>
      </c>
      <c r="EE289" s="34">
        <v>205</v>
      </c>
      <c r="EF289" s="33">
        <v>0</v>
      </c>
      <c r="EG289" s="32">
        <v>0</v>
      </c>
      <c r="EH289" s="29" t="s">
        <v>198</v>
      </c>
      <c r="EI289" s="30" t="s">
        <v>151</v>
      </c>
      <c r="EJ289" s="30" t="s">
        <v>151</v>
      </c>
      <c r="EK289" s="31" t="s">
        <v>151</v>
      </c>
      <c r="EL289" s="31" t="s">
        <v>151</v>
      </c>
      <c r="EM289" s="31" t="s">
        <v>151</v>
      </c>
      <c r="EN289" s="31" t="s">
        <v>151</v>
      </c>
      <c r="EO289" s="31" t="s">
        <v>151</v>
      </c>
      <c r="EP289" s="30" t="s">
        <v>151</v>
      </c>
      <c r="EQ289" s="29" t="s">
        <v>151</v>
      </c>
      <c r="ER289" s="29" t="s">
        <v>151</v>
      </c>
      <c r="ES289" s="4">
        <f>HYPERLINK("https://my.pitchbook.com?c=279545-05","View Company Online")</f>
      </c>
    </row>
    <row r="290">
      <c r="A290" s="17" t="s">
        <v>6405</v>
      </c>
      <c r="B290" s="17" t="s">
        <v>6406</v>
      </c>
      <c r="C290" s="18" t="s">
        <v>151</v>
      </c>
      <c r="D290" s="17" t="s">
        <v>151</v>
      </c>
      <c r="E290" s="17" t="s">
        <v>151</v>
      </c>
      <c r="F290" s="17" t="s">
        <v>6407</v>
      </c>
      <c r="G290" s="17" t="s">
        <v>151</v>
      </c>
      <c r="H290" s="17" t="s">
        <v>151</v>
      </c>
      <c r="I290" s="17" t="s">
        <v>151</v>
      </c>
      <c r="J290" s="17" t="s">
        <v>6405</v>
      </c>
      <c r="K290" s="17" t="s">
        <v>6408</v>
      </c>
      <c r="L290" s="17" t="s">
        <v>205</v>
      </c>
      <c r="M290" s="17" t="s">
        <v>206</v>
      </c>
      <c r="N290" s="17" t="s">
        <v>269</v>
      </c>
      <c r="O290" s="17" t="s">
        <v>6409</v>
      </c>
      <c r="P290" s="17" t="s">
        <v>6410</v>
      </c>
      <c r="Q290" s="17" t="s">
        <v>6411</v>
      </c>
      <c r="R290" s="17" t="s">
        <v>151</v>
      </c>
      <c r="S290" s="17" t="s">
        <v>162</v>
      </c>
      <c r="T290" s="24">
        <v>0.13</v>
      </c>
      <c r="U290" s="17" t="s">
        <v>163</v>
      </c>
      <c r="V290" s="17" t="s">
        <v>164</v>
      </c>
      <c r="W290" s="17" t="s">
        <v>165</v>
      </c>
      <c r="X290" s="15" t="s">
        <v>6412</v>
      </c>
      <c r="Y290" s="15" t="s">
        <v>6413</v>
      </c>
      <c r="Z290" s="27">
        <v>5</v>
      </c>
      <c r="AA290" s="17" t="s">
        <v>6414</v>
      </c>
      <c r="AB290" s="17" t="s">
        <v>151</v>
      </c>
      <c r="AC290" s="17" t="s">
        <v>151</v>
      </c>
      <c r="AD290" s="26">
        <v>2016</v>
      </c>
      <c r="AE290" s="17" t="s">
        <v>151</v>
      </c>
      <c r="AF290" s="22">
        <v>45595</v>
      </c>
      <c r="AG290" s="17" t="s">
        <v>151</v>
      </c>
      <c r="AH290" s="17" t="s">
        <v>151</v>
      </c>
      <c r="AI290" s="25" t="s">
        <v>151</v>
      </c>
      <c r="AJ290" s="19" t="s">
        <v>151</v>
      </c>
      <c r="AK290" s="25" t="s">
        <v>151</v>
      </c>
      <c r="AL290" s="25" t="s">
        <v>151</v>
      </c>
      <c r="AM290" s="25" t="s">
        <v>151</v>
      </c>
      <c r="AN290" s="25" t="s">
        <v>151</v>
      </c>
      <c r="AO290" s="25" t="s">
        <v>151</v>
      </c>
      <c r="AP290" s="25" t="s">
        <v>151</v>
      </c>
      <c r="AQ290" s="25" t="s">
        <v>151</v>
      </c>
      <c r="AR290" s="16" t="s">
        <v>151</v>
      </c>
      <c r="AS290" s="17" t="s">
        <v>6415</v>
      </c>
      <c r="AT290" s="17" t="s">
        <v>6416</v>
      </c>
      <c r="AU290" s="18">
        <v>10</v>
      </c>
      <c r="AV290" s="17" t="s">
        <v>151</v>
      </c>
      <c r="AW290" s="17" t="s">
        <v>151</v>
      </c>
      <c r="AX290" s="17" t="s">
        <v>151</v>
      </c>
      <c r="AY290" s="17" t="s">
        <v>6417</v>
      </c>
      <c r="AZ290" s="17" t="s">
        <v>151</v>
      </c>
      <c r="BA290" s="17" t="s">
        <v>151</v>
      </c>
      <c r="BB290" s="17" t="s">
        <v>151</v>
      </c>
      <c r="BC290" s="17" t="s">
        <v>151</v>
      </c>
      <c r="BD290" s="17" t="s">
        <v>6418</v>
      </c>
      <c r="BE290" s="17" t="s">
        <v>6419</v>
      </c>
      <c r="BF290" s="17" t="s">
        <v>221</v>
      </c>
      <c r="BG290" s="17" t="s">
        <v>6420</v>
      </c>
      <c r="BH290" s="17" t="s">
        <v>6421</v>
      </c>
      <c r="BI290" s="17" t="s">
        <v>6422</v>
      </c>
      <c r="BJ290" s="17" t="s">
        <v>6423</v>
      </c>
      <c r="BK290" s="17" t="s">
        <v>6424</v>
      </c>
      <c r="BL290" s="17" t="s">
        <v>258</v>
      </c>
      <c r="BM290" s="17" t="s">
        <v>6425</v>
      </c>
      <c r="BN290" s="16" t="s">
        <v>6426</v>
      </c>
      <c r="BO290" s="17" t="s">
        <v>186</v>
      </c>
      <c r="BP290" s="16" t="s">
        <v>6421</v>
      </c>
      <c r="BQ290" s="16" t="s">
        <v>151</v>
      </c>
      <c r="BR290" s="17" t="s">
        <v>6427</v>
      </c>
      <c r="BS290" s="17" t="s">
        <v>187</v>
      </c>
      <c r="BT290" s="17" t="s">
        <v>188</v>
      </c>
      <c r="BU290" s="22" t="s">
        <v>151</v>
      </c>
      <c r="BV290" s="24" t="s">
        <v>151</v>
      </c>
      <c r="BW290" s="17" t="s">
        <v>151</v>
      </c>
      <c r="BX290" s="24" t="s">
        <v>151</v>
      </c>
      <c r="BY290" s="17" t="s">
        <v>151</v>
      </c>
      <c r="BZ290" s="17" t="s">
        <v>189</v>
      </c>
      <c r="CA290" s="17" t="s">
        <v>151</v>
      </c>
      <c r="CB290" s="17" t="s">
        <v>151</v>
      </c>
      <c r="CC290" s="17" t="s">
        <v>190</v>
      </c>
      <c r="CD290" s="17" t="s">
        <v>151</v>
      </c>
      <c r="CE290" s="17" t="s">
        <v>191</v>
      </c>
      <c r="CF290" s="22">
        <v>45462</v>
      </c>
      <c r="CG290" s="24">
        <v>1</v>
      </c>
      <c r="CH290" s="17" t="s">
        <v>192</v>
      </c>
      <c r="CI290" s="24" t="s">
        <v>151</v>
      </c>
      <c r="CJ290" s="17" t="s">
        <v>151</v>
      </c>
      <c r="CK290" s="16" t="s">
        <v>151</v>
      </c>
      <c r="CL290" s="17" t="s">
        <v>501</v>
      </c>
      <c r="CM290" s="17" t="s">
        <v>151</v>
      </c>
      <c r="CN290" s="17" t="s">
        <v>151</v>
      </c>
      <c r="CO290" s="17" t="s">
        <v>190</v>
      </c>
      <c r="CP290" s="22">
        <v>45462</v>
      </c>
      <c r="CQ290" s="24" t="s">
        <v>151</v>
      </c>
      <c r="CR290" s="17" t="s">
        <v>151</v>
      </c>
      <c r="CS290" s="17" t="s">
        <v>191</v>
      </c>
      <c r="CT290" s="16" t="s">
        <v>151</v>
      </c>
      <c r="CU290" s="17" t="s">
        <v>151</v>
      </c>
      <c r="CV290" s="19" t="s">
        <v>151</v>
      </c>
      <c r="CW290" s="19" t="s">
        <v>151</v>
      </c>
      <c r="CX290" s="17" t="s">
        <v>151</v>
      </c>
      <c r="CY290" s="19" t="s">
        <v>151</v>
      </c>
      <c r="CZ290" s="19" t="s">
        <v>151</v>
      </c>
      <c r="DA290" s="24">
        <v>0.33</v>
      </c>
      <c r="DB290" s="22">
        <v>44082</v>
      </c>
      <c r="DC290" s="17" t="s">
        <v>189</v>
      </c>
      <c r="DD290" s="16" t="s">
        <v>151</v>
      </c>
      <c r="DE290" s="19">
        <v>1.56</v>
      </c>
      <c r="DF290" s="21">
        <v>97</v>
      </c>
      <c r="DG290" s="19">
        <v>0</v>
      </c>
      <c r="DH290" s="19">
        <v>0</v>
      </c>
      <c r="DI290" s="19">
        <v>0</v>
      </c>
      <c r="DJ290" s="21">
        <v>10</v>
      </c>
      <c r="DK290" s="19" t="s">
        <v>151</v>
      </c>
      <c r="DL290" s="21" t="s">
        <v>151</v>
      </c>
      <c r="DM290" s="19">
        <v>0</v>
      </c>
      <c r="DN290" s="21">
        <v>10</v>
      </c>
      <c r="DO290" s="23">
        <v>1.56</v>
      </c>
      <c r="DP290" s="21">
        <v>60</v>
      </c>
      <c r="DQ290" s="23">
        <v>0</v>
      </c>
      <c r="DR290" s="19">
        <v>0</v>
      </c>
      <c r="DS290" s="23">
        <v>2.74</v>
      </c>
      <c r="DT290" s="21">
        <v>72</v>
      </c>
      <c r="DU290" s="23" t="s">
        <v>151</v>
      </c>
      <c r="DV290" s="21" t="s">
        <v>151</v>
      </c>
      <c r="DW290" s="23">
        <v>2.74</v>
      </c>
      <c r="DX290" s="21">
        <v>72</v>
      </c>
      <c r="DY290" s="18" t="s">
        <v>151</v>
      </c>
      <c r="DZ290" s="22" t="s">
        <v>151</v>
      </c>
      <c r="EA290" s="22" t="s">
        <v>151</v>
      </c>
      <c r="EB290" s="21" t="s">
        <v>151</v>
      </c>
      <c r="EC290" s="20" t="s">
        <v>151</v>
      </c>
      <c r="ED290" s="19" t="s">
        <v>151</v>
      </c>
      <c r="EE290" s="21">
        <v>52</v>
      </c>
      <c r="EF290" s="20">
        <v>0</v>
      </c>
      <c r="EG290" s="19">
        <v>0</v>
      </c>
      <c r="EH290" s="16" t="s">
        <v>198</v>
      </c>
      <c r="EI290" s="17" t="s">
        <v>151</v>
      </c>
      <c r="EJ290" s="17" t="s">
        <v>151</v>
      </c>
      <c r="EK290" s="18" t="s">
        <v>151</v>
      </c>
      <c r="EL290" s="18" t="s">
        <v>151</v>
      </c>
      <c r="EM290" s="18" t="s">
        <v>151</v>
      </c>
      <c r="EN290" s="18" t="s">
        <v>151</v>
      </c>
      <c r="EO290" s="18" t="s">
        <v>151</v>
      </c>
      <c r="EP290" s="17" t="s">
        <v>151</v>
      </c>
      <c r="EQ290" s="16" t="s">
        <v>151</v>
      </c>
      <c r="ER290" s="16" t="s">
        <v>151</v>
      </c>
      <c r="ES290" s="3">
        <f>HYPERLINK("https://my.pitchbook.com?c=277684-03","View Company Online")</f>
      </c>
    </row>
    <row r="291">
      <c r="A291" s="30" t="s">
        <v>6428</v>
      </c>
      <c r="B291" s="30" t="s">
        <v>6429</v>
      </c>
      <c r="C291" s="31" t="s">
        <v>151</v>
      </c>
      <c r="D291" s="30" t="s">
        <v>151</v>
      </c>
      <c r="E291" s="30" t="s">
        <v>151</v>
      </c>
      <c r="F291" s="30" t="s">
        <v>6430</v>
      </c>
      <c r="G291" s="30" t="s">
        <v>151</v>
      </c>
      <c r="H291" s="30" t="s">
        <v>151</v>
      </c>
      <c r="I291" s="30" t="s">
        <v>151</v>
      </c>
      <c r="J291" s="30" t="s">
        <v>6428</v>
      </c>
      <c r="K291" s="30" t="s">
        <v>6431</v>
      </c>
      <c r="L291" s="30" t="s">
        <v>1792</v>
      </c>
      <c r="M291" s="30" t="s">
        <v>5329</v>
      </c>
      <c r="N291" s="30" t="s">
        <v>5330</v>
      </c>
      <c r="O291" s="30" t="s">
        <v>5331</v>
      </c>
      <c r="P291" s="30" t="s">
        <v>6432</v>
      </c>
      <c r="Q291" s="30" t="s">
        <v>6433</v>
      </c>
      <c r="R291" s="30" t="s">
        <v>151</v>
      </c>
      <c r="S291" s="30" t="s">
        <v>162</v>
      </c>
      <c r="T291" s="37">
        <v>4.99</v>
      </c>
      <c r="U291" s="30" t="s">
        <v>163</v>
      </c>
      <c r="V291" s="30" t="s">
        <v>164</v>
      </c>
      <c r="W291" s="30" t="s">
        <v>165</v>
      </c>
      <c r="X291" s="28" t="s">
        <v>6434</v>
      </c>
      <c r="Y291" s="28" t="s">
        <v>6435</v>
      </c>
      <c r="Z291" s="40">
        <v>10</v>
      </c>
      <c r="AA291" s="30" t="s">
        <v>6436</v>
      </c>
      <c r="AB291" s="30" t="s">
        <v>151</v>
      </c>
      <c r="AC291" s="30" t="s">
        <v>151</v>
      </c>
      <c r="AD291" s="39">
        <v>2020</v>
      </c>
      <c r="AE291" s="30" t="s">
        <v>151</v>
      </c>
      <c r="AF291" s="35">
        <v>45595</v>
      </c>
      <c r="AG291" s="30" t="s">
        <v>151</v>
      </c>
      <c r="AH291" s="30" t="s">
        <v>151</v>
      </c>
      <c r="AI291" s="38" t="s">
        <v>151</v>
      </c>
      <c r="AJ291" s="32" t="s">
        <v>151</v>
      </c>
      <c r="AK291" s="38" t="s">
        <v>151</v>
      </c>
      <c r="AL291" s="38" t="s">
        <v>151</v>
      </c>
      <c r="AM291" s="38" t="s">
        <v>151</v>
      </c>
      <c r="AN291" s="38" t="s">
        <v>151</v>
      </c>
      <c r="AO291" s="38" t="s">
        <v>151</v>
      </c>
      <c r="AP291" s="38" t="s">
        <v>151</v>
      </c>
      <c r="AQ291" s="38" t="s">
        <v>151</v>
      </c>
      <c r="AR291" s="29" t="s">
        <v>151</v>
      </c>
      <c r="AS291" s="30" t="s">
        <v>6437</v>
      </c>
      <c r="AT291" s="30" t="s">
        <v>6438</v>
      </c>
      <c r="AU291" s="31">
        <v>16</v>
      </c>
      <c r="AV291" s="30" t="s">
        <v>151</v>
      </c>
      <c r="AW291" s="30" t="s">
        <v>151</v>
      </c>
      <c r="AX291" s="30" t="s">
        <v>151</v>
      </c>
      <c r="AY291" s="30" t="s">
        <v>6439</v>
      </c>
      <c r="AZ291" s="30" t="s">
        <v>151</v>
      </c>
      <c r="BA291" s="30" t="s">
        <v>151</v>
      </c>
      <c r="BB291" s="30" t="s">
        <v>151</v>
      </c>
      <c r="BC291" s="30" t="s">
        <v>151</v>
      </c>
      <c r="BD291" s="30" t="s">
        <v>6440</v>
      </c>
      <c r="BE291" s="30" t="s">
        <v>6441</v>
      </c>
      <c r="BF291" s="30" t="s">
        <v>5299</v>
      </c>
      <c r="BG291" s="30" t="s">
        <v>6442</v>
      </c>
      <c r="BH291" s="30" t="s">
        <v>6443</v>
      </c>
      <c r="BI291" s="30" t="s">
        <v>6444</v>
      </c>
      <c r="BJ291" s="30" t="s">
        <v>151</v>
      </c>
      <c r="BK291" s="30" t="s">
        <v>151</v>
      </c>
      <c r="BL291" s="30" t="s">
        <v>6445</v>
      </c>
      <c r="BM291" s="30" t="s">
        <v>525</v>
      </c>
      <c r="BN291" s="29" t="s">
        <v>6446</v>
      </c>
      <c r="BO291" s="30" t="s">
        <v>186</v>
      </c>
      <c r="BP291" s="29" t="s">
        <v>6443</v>
      </c>
      <c r="BQ291" s="29" t="s">
        <v>151</v>
      </c>
      <c r="BR291" s="30" t="s">
        <v>6447</v>
      </c>
      <c r="BS291" s="30" t="s">
        <v>187</v>
      </c>
      <c r="BT291" s="30" t="s">
        <v>188</v>
      </c>
      <c r="BU291" s="35">
        <v>44562</v>
      </c>
      <c r="BV291" s="37" t="s">
        <v>151</v>
      </c>
      <c r="BW291" s="30" t="s">
        <v>151</v>
      </c>
      <c r="BX291" s="37" t="s">
        <v>151</v>
      </c>
      <c r="BY291" s="30" t="s">
        <v>151</v>
      </c>
      <c r="BZ291" s="30" t="s">
        <v>189</v>
      </c>
      <c r="CA291" s="30" t="s">
        <v>151</v>
      </c>
      <c r="CB291" s="30" t="s">
        <v>151</v>
      </c>
      <c r="CC291" s="30" t="s">
        <v>190</v>
      </c>
      <c r="CD291" s="30" t="s">
        <v>151</v>
      </c>
      <c r="CE291" s="30" t="s">
        <v>191</v>
      </c>
      <c r="CF291" s="35">
        <v>45554</v>
      </c>
      <c r="CG291" s="37">
        <v>3.7</v>
      </c>
      <c r="CH291" s="30" t="s">
        <v>192</v>
      </c>
      <c r="CI291" s="37" t="s">
        <v>151</v>
      </c>
      <c r="CJ291" s="30" t="s">
        <v>151</v>
      </c>
      <c r="CK291" s="29" t="s">
        <v>151</v>
      </c>
      <c r="CL291" s="30" t="s">
        <v>293</v>
      </c>
      <c r="CM291" s="30" t="s">
        <v>472</v>
      </c>
      <c r="CN291" s="30" t="s">
        <v>151</v>
      </c>
      <c r="CO291" s="30" t="s">
        <v>165</v>
      </c>
      <c r="CP291" s="35">
        <v>45554</v>
      </c>
      <c r="CQ291" s="37" t="s">
        <v>151</v>
      </c>
      <c r="CR291" s="30" t="s">
        <v>151</v>
      </c>
      <c r="CS291" s="30" t="s">
        <v>191</v>
      </c>
      <c r="CT291" s="29">
        <v>95</v>
      </c>
      <c r="CU291" s="30" t="s">
        <v>196</v>
      </c>
      <c r="CV291" s="32">
        <v>89</v>
      </c>
      <c r="CW291" s="32">
        <v>11</v>
      </c>
      <c r="CX291" s="30" t="s">
        <v>294</v>
      </c>
      <c r="CY291" s="32">
        <v>1</v>
      </c>
      <c r="CZ291" s="32">
        <v>88</v>
      </c>
      <c r="DA291" s="37">
        <v>6.11</v>
      </c>
      <c r="DB291" s="35">
        <v>44748</v>
      </c>
      <c r="DC291" s="30" t="s">
        <v>293</v>
      </c>
      <c r="DD291" s="29" t="s">
        <v>151</v>
      </c>
      <c r="DE291" s="32">
        <v>0</v>
      </c>
      <c r="DF291" s="34">
        <v>11</v>
      </c>
      <c r="DG291" s="32">
        <v>0</v>
      </c>
      <c r="DH291" s="32">
        <v>0</v>
      </c>
      <c r="DI291" s="32">
        <v>0</v>
      </c>
      <c r="DJ291" s="34">
        <v>10</v>
      </c>
      <c r="DK291" s="32" t="s">
        <v>151</v>
      </c>
      <c r="DL291" s="34" t="s">
        <v>151</v>
      </c>
      <c r="DM291" s="32">
        <v>0</v>
      </c>
      <c r="DN291" s="34">
        <v>10</v>
      </c>
      <c r="DO291" s="36">
        <v>3.74</v>
      </c>
      <c r="DP291" s="34">
        <v>78</v>
      </c>
      <c r="DQ291" s="36">
        <v>0</v>
      </c>
      <c r="DR291" s="32">
        <v>0</v>
      </c>
      <c r="DS291" s="36">
        <v>3.74</v>
      </c>
      <c r="DT291" s="34">
        <v>78</v>
      </c>
      <c r="DU291" s="36" t="s">
        <v>151</v>
      </c>
      <c r="DV291" s="34" t="s">
        <v>151</v>
      </c>
      <c r="DW291" s="36">
        <v>3.74</v>
      </c>
      <c r="DX291" s="34">
        <v>77</v>
      </c>
      <c r="DY291" s="31" t="s">
        <v>151</v>
      </c>
      <c r="DZ291" s="35" t="s">
        <v>151</v>
      </c>
      <c r="EA291" s="35" t="s">
        <v>151</v>
      </c>
      <c r="EB291" s="34">
        <v>141</v>
      </c>
      <c r="EC291" s="33">
        <v>25</v>
      </c>
      <c r="ED291" s="32">
        <v>21.55</v>
      </c>
      <c r="EE291" s="34">
        <v>71</v>
      </c>
      <c r="EF291" s="33">
        <v>0</v>
      </c>
      <c r="EG291" s="32">
        <v>0</v>
      </c>
      <c r="EH291" s="29" t="s">
        <v>198</v>
      </c>
      <c r="EI291" s="30" t="s">
        <v>151</v>
      </c>
      <c r="EJ291" s="30" t="s">
        <v>151</v>
      </c>
      <c r="EK291" s="31" t="s">
        <v>151</v>
      </c>
      <c r="EL291" s="31" t="s">
        <v>151</v>
      </c>
      <c r="EM291" s="31" t="s">
        <v>151</v>
      </c>
      <c r="EN291" s="31" t="s">
        <v>151</v>
      </c>
      <c r="EO291" s="31" t="s">
        <v>151</v>
      </c>
      <c r="EP291" s="30" t="s">
        <v>151</v>
      </c>
      <c r="EQ291" s="29" t="s">
        <v>151</v>
      </c>
      <c r="ER291" s="29" t="s">
        <v>151</v>
      </c>
      <c r="ES291" s="4">
        <f>HYPERLINK("https://my.pitchbook.com?c=494215-66","View Company Online")</f>
      </c>
    </row>
    <row r="292">
      <c r="A292" s="17" t="s">
        <v>6448</v>
      </c>
      <c r="B292" s="17" t="s">
        <v>6449</v>
      </c>
      <c r="C292" s="18" t="s">
        <v>151</v>
      </c>
      <c r="D292" s="17" t="s">
        <v>151</v>
      </c>
      <c r="E292" s="17" t="s">
        <v>6450</v>
      </c>
      <c r="F292" s="17" t="s">
        <v>151</v>
      </c>
      <c r="G292" s="17" t="s">
        <v>151</v>
      </c>
      <c r="H292" s="17" t="s">
        <v>151</v>
      </c>
      <c r="I292" s="17" t="s">
        <v>151</v>
      </c>
      <c r="J292" s="17" t="s">
        <v>6448</v>
      </c>
      <c r="K292" s="17" t="s">
        <v>6451</v>
      </c>
      <c r="L292" s="17" t="s">
        <v>205</v>
      </c>
      <c r="M292" s="17" t="s">
        <v>206</v>
      </c>
      <c r="N292" s="17" t="s">
        <v>917</v>
      </c>
      <c r="O292" s="17" t="s">
        <v>3476</v>
      </c>
      <c r="P292" s="17" t="s">
        <v>151</v>
      </c>
      <c r="Q292" s="17" t="s">
        <v>6452</v>
      </c>
      <c r="R292" s="17" t="s">
        <v>151</v>
      </c>
      <c r="S292" s="17" t="s">
        <v>162</v>
      </c>
      <c r="T292" s="24">
        <v>0.36</v>
      </c>
      <c r="U292" s="17" t="s">
        <v>163</v>
      </c>
      <c r="V292" s="17" t="s">
        <v>164</v>
      </c>
      <c r="W292" s="17" t="s">
        <v>165</v>
      </c>
      <c r="X292" s="15" t="s">
        <v>6453</v>
      </c>
      <c r="Y292" s="15" t="s">
        <v>6454</v>
      </c>
      <c r="Z292" s="27">
        <v>2</v>
      </c>
      <c r="AA292" s="17" t="s">
        <v>3618</v>
      </c>
      <c r="AB292" s="17" t="s">
        <v>151</v>
      </c>
      <c r="AC292" s="17" t="s">
        <v>151</v>
      </c>
      <c r="AD292" s="26">
        <v>2022</v>
      </c>
      <c r="AE292" s="17" t="s">
        <v>151</v>
      </c>
      <c r="AF292" s="22">
        <v>45615</v>
      </c>
      <c r="AG292" s="17" t="s">
        <v>151</v>
      </c>
      <c r="AH292" s="17" t="s">
        <v>151</v>
      </c>
      <c r="AI292" s="25" t="s">
        <v>151</v>
      </c>
      <c r="AJ292" s="19" t="s">
        <v>151</v>
      </c>
      <c r="AK292" s="25" t="s">
        <v>151</v>
      </c>
      <c r="AL292" s="25" t="s">
        <v>151</v>
      </c>
      <c r="AM292" s="25" t="s">
        <v>151</v>
      </c>
      <c r="AN292" s="25" t="s">
        <v>151</v>
      </c>
      <c r="AO292" s="25" t="s">
        <v>151</v>
      </c>
      <c r="AP292" s="25" t="s">
        <v>151</v>
      </c>
      <c r="AQ292" s="25" t="s">
        <v>151</v>
      </c>
      <c r="AR292" s="16" t="s">
        <v>151</v>
      </c>
      <c r="AS292" s="17" t="s">
        <v>6455</v>
      </c>
      <c r="AT292" s="17" t="s">
        <v>6456</v>
      </c>
      <c r="AU292" s="18">
        <v>3</v>
      </c>
      <c r="AV292" s="17" t="s">
        <v>151</v>
      </c>
      <c r="AW292" s="17" t="s">
        <v>151</v>
      </c>
      <c r="AX292" s="17" t="s">
        <v>151</v>
      </c>
      <c r="AY292" s="17" t="s">
        <v>6457</v>
      </c>
      <c r="AZ292" s="17" t="s">
        <v>151</v>
      </c>
      <c r="BA292" s="17" t="s">
        <v>151</v>
      </c>
      <c r="BB292" s="17" t="s">
        <v>151</v>
      </c>
      <c r="BC292" s="17" t="s">
        <v>151</v>
      </c>
      <c r="BD292" s="17" t="s">
        <v>6458</v>
      </c>
      <c r="BE292" s="17" t="s">
        <v>6459</v>
      </c>
      <c r="BF292" s="17" t="s">
        <v>403</v>
      </c>
      <c r="BG292" s="17" t="s">
        <v>6460</v>
      </c>
      <c r="BH292" s="17" t="s">
        <v>151</v>
      </c>
      <c r="BI292" s="17" t="s">
        <v>906</v>
      </c>
      <c r="BJ292" s="17" t="s">
        <v>151</v>
      </c>
      <c r="BK292" s="17" t="s">
        <v>151</v>
      </c>
      <c r="BL292" s="17" t="s">
        <v>259</v>
      </c>
      <c r="BM292" s="17" t="s">
        <v>259</v>
      </c>
      <c r="BN292" s="16" t="s">
        <v>4398</v>
      </c>
      <c r="BO292" s="17" t="s">
        <v>186</v>
      </c>
      <c r="BP292" s="16" t="s">
        <v>151</v>
      </c>
      <c r="BQ292" s="16" t="s">
        <v>151</v>
      </c>
      <c r="BR292" s="17" t="s">
        <v>151</v>
      </c>
      <c r="BS292" s="17" t="s">
        <v>187</v>
      </c>
      <c r="BT292" s="17" t="s">
        <v>188</v>
      </c>
      <c r="BU292" s="22">
        <v>45197</v>
      </c>
      <c r="BV292" s="24">
        <v>0.12</v>
      </c>
      <c r="BW292" s="17" t="s">
        <v>192</v>
      </c>
      <c r="BX292" s="24" t="s">
        <v>151</v>
      </c>
      <c r="BY292" s="17" t="s">
        <v>151</v>
      </c>
      <c r="BZ292" s="17" t="s">
        <v>189</v>
      </c>
      <c r="CA292" s="17" t="s">
        <v>151</v>
      </c>
      <c r="CB292" s="17" t="s">
        <v>151</v>
      </c>
      <c r="CC292" s="17" t="s">
        <v>190</v>
      </c>
      <c r="CD292" s="17" t="s">
        <v>151</v>
      </c>
      <c r="CE292" s="17" t="s">
        <v>191</v>
      </c>
      <c r="CF292" s="22">
        <v>45216</v>
      </c>
      <c r="CG292" s="24">
        <v>0.24</v>
      </c>
      <c r="CH292" s="17" t="s">
        <v>192</v>
      </c>
      <c r="CI292" s="24" t="s">
        <v>151</v>
      </c>
      <c r="CJ292" s="17" t="s">
        <v>151</v>
      </c>
      <c r="CK292" s="16" t="s">
        <v>151</v>
      </c>
      <c r="CL292" s="17" t="s">
        <v>231</v>
      </c>
      <c r="CM292" s="17" t="s">
        <v>151</v>
      </c>
      <c r="CN292" s="17" t="s">
        <v>151</v>
      </c>
      <c r="CO292" s="17" t="s">
        <v>165</v>
      </c>
      <c r="CP292" s="22">
        <v>45216</v>
      </c>
      <c r="CQ292" s="24" t="s">
        <v>151</v>
      </c>
      <c r="CR292" s="17" t="s">
        <v>151</v>
      </c>
      <c r="CS292" s="17" t="s">
        <v>191</v>
      </c>
      <c r="CT292" s="16" t="s">
        <v>151</v>
      </c>
      <c r="CU292" s="17" t="s">
        <v>151</v>
      </c>
      <c r="CV292" s="19" t="s">
        <v>151</v>
      </c>
      <c r="CW292" s="19" t="s">
        <v>151</v>
      </c>
      <c r="CX292" s="17" t="s">
        <v>151</v>
      </c>
      <c r="CY292" s="19" t="s">
        <v>151</v>
      </c>
      <c r="CZ292" s="19" t="s">
        <v>151</v>
      </c>
      <c r="DA292" s="24" t="s">
        <v>151</v>
      </c>
      <c r="DB292" s="22" t="s">
        <v>151</v>
      </c>
      <c r="DC292" s="17" t="s">
        <v>151</v>
      </c>
      <c r="DD292" s="16" t="s">
        <v>151</v>
      </c>
      <c r="DE292" s="19">
        <v>0</v>
      </c>
      <c r="DF292" s="21">
        <v>11</v>
      </c>
      <c r="DG292" s="19">
        <v>0</v>
      </c>
      <c r="DH292" s="19">
        <v>0</v>
      </c>
      <c r="DI292" s="19">
        <v>0</v>
      </c>
      <c r="DJ292" s="21">
        <v>10</v>
      </c>
      <c r="DK292" s="19" t="s">
        <v>151</v>
      </c>
      <c r="DL292" s="21" t="s">
        <v>151</v>
      </c>
      <c r="DM292" s="19">
        <v>0</v>
      </c>
      <c r="DN292" s="21">
        <v>10</v>
      </c>
      <c r="DO292" s="23">
        <v>1.42</v>
      </c>
      <c r="DP292" s="21">
        <v>58</v>
      </c>
      <c r="DQ292" s="23">
        <v>0</v>
      </c>
      <c r="DR292" s="19">
        <v>0</v>
      </c>
      <c r="DS292" s="23">
        <v>2.68</v>
      </c>
      <c r="DT292" s="21">
        <v>72</v>
      </c>
      <c r="DU292" s="23" t="s">
        <v>151</v>
      </c>
      <c r="DV292" s="21" t="s">
        <v>151</v>
      </c>
      <c r="DW292" s="23">
        <v>2.68</v>
      </c>
      <c r="DX292" s="21">
        <v>72</v>
      </c>
      <c r="DY292" s="18" t="s">
        <v>151</v>
      </c>
      <c r="DZ292" s="22" t="s">
        <v>151</v>
      </c>
      <c r="EA292" s="22" t="s">
        <v>151</v>
      </c>
      <c r="EB292" s="21">
        <v>599</v>
      </c>
      <c r="EC292" s="20">
        <v>16</v>
      </c>
      <c r="ED292" s="19">
        <v>2.74</v>
      </c>
      <c r="EE292" s="21">
        <v>51</v>
      </c>
      <c r="EF292" s="20">
        <v>0</v>
      </c>
      <c r="EG292" s="19">
        <v>0</v>
      </c>
      <c r="EH292" s="16" t="s">
        <v>198</v>
      </c>
      <c r="EI292" s="17" t="s">
        <v>151</v>
      </c>
      <c r="EJ292" s="17" t="s">
        <v>151</v>
      </c>
      <c r="EK292" s="18" t="s">
        <v>151</v>
      </c>
      <c r="EL292" s="18" t="s">
        <v>151</v>
      </c>
      <c r="EM292" s="18" t="s">
        <v>151</v>
      </c>
      <c r="EN292" s="18" t="s">
        <v>151</v>
      </c>
      <c r="EO292" s="18" t="s">
        <v>151</v>
      </c>
      <c r="EP292" s="17" t="s">
        <v>151</v>
      </c>
      <c r="EQ292" s="16" t="s">
        <v>151</v>
      </c>
      <c r="ER292" s="16" t="s">
        <v>151</v>
      </c>
      <c r="ES292" s="3">
        <f>HYPERLINK("https://my.pitchbook.com?c=539107-93","View Company Online")</f>
      </c>
    </row>
    <row r="293">
      <c r="A293" s="30" t="s">
        <v>6461</v>
      </c>
      <c r="B293" s="30" t="s">
        <v>6462</v>
      </c>
      <c r="C293" s="31" t="s">
        <v>151</v>
      </c>
      <c r="D293" s="30" t="s">
        <v>151</v>
      </c>
      <c r="E293" s="30" t="s">
        <v>151</v>
      </c>
      <c r="F293" s="30" t="s">
        <v>6463</v>
      </c>
      <c r="G293" s="30" t="s">
        <v>151</v>
      </c>
      <c r="H293" s="30" t="s">
        <v>151</v>
      </c>
      <c r="I293" s="30" t="s">
        <v>151</v>
      </c>
      <c r="J293" s="30" t="s">
        <v>6461</v>
      </c>
      <c r="K293" s="30" t="s">
        <v>6464</v>
      </c>
      <c r="L293" s="30" t="s">
        <v>155</v>
      </c>
      <c r="M293" s="30" t="s">
        <v>361</v>
      </c>
      <c r="N293" s="30" t="s">
        <v>3162</v>
      </c>
      <c r="O293" s="30" t="s">
        <v>3163</v>
      </c>
      <c r="P293" s="30" t="s">
        <v>151</v>
      </c>
      <c r="Q293" s="30" t="s">
        <v>6465</v>
      </c>
      <c r="R293" s="30" t="s">
        <v>151</v>
      </c>
      <c r="S293" s="30" t="s">
        <v>162</v>
      </c>
      <c r="T293" s="37">
        <v>0.09</v>
      </c>
      <c r="U293" s="30" t="s">
        <v>4045</v>
      </c>
      <c r="V293" s="30" t="s">
        <v>164</v>
      </c>
      <c r="W293" s="30" t="s">
        <v>165</v>
      </c>
      <c r="X293" s="28" t="s">
        <v>6466</v>
      </c>
      <c r="Y293" s="28" t="s">
        <v>6467</v>
      </c>
      <c r="Z293" s="40">
        <v>4</v>
      </c>
      <c r="AA293" s="30" t="s">
        <v>4170</v>
      </c>
      <c r="AB293" s="30" t="s">
        <v>151</v>
      </c>
      <c r="AC293" s="30" t="s">
        <v>151</v>
      </c>
      <c r="AD293" s="39">
        <v>2021</v>
      </c>
      <c r="AE293" s="30" t="s">
        <v>151</v>
      </c>
      <c r="AF293" s="35">
        <v>45497</v>
      </c>
      <c r="AG293" s="30" t="s">
        <v>151</v>
      </c>
      <c r="AH293" s="30" t="s">
        <v>151</v>
      </c>
      <c r="AI293" s="38" t="s">
        <v>151</v>
      </c>
      <c r="AJ293" s="32" t="s">
        <v>151</v>
      </c>
      <c r="AK293" s="38" t="s">
        <v>151</v>
      </c>
      <c r="AL293" s="38" t="s">
        <v>151</v>
      </c>
      <c r="AM293" s="38" t="s">
        <v>151</v>
      </c>
      <c r="AN293" s="38" t="s">
        <v>151</v>
      </c>
      <c r="AO293" s="38" t="s">
        <v>151</v>
      </c>
      <c r="AP293" s="38" t="s">
        <v>151</v>
      </c>
      <c r="AQ293" s="38" t="s">
        <v>151</v>
      </c>
      <c r="AR293" s="29" t="s">
        <v>151</v>
      </c>
      <c r="AS293" s="30" t="s">
        <v>6468</v>
      </c>
      <c r="AT293" s="30" t="s">
        <v>6469</v>
      </c>
      <c r="AU293" s="31">
        <v>2</v>
      </c>
      <c r="AV293" s="30" t="s">
        <v>151</v>
      </c>
      <c r="AW293" s="30" t="s">
        <v>151</v>
      </c>
      <c r="AX293" s="30" t="s">
        <v>151</v>
      </c>
      <c r="AY293" s="30" t="s">
        <v>6470</v>
      </c>
      <c r="AZ293" s="30" t="s">
        <v>151</v>
      </c>
      <c r="BA293" s="30" t="s">
        <v>151</v>
      </c>
      <c r="BB293" s="30" t="s">
        <v>151</v>
      </c>
      <c r="BC293" s="30" t="s">
        <v>151</v>
      </c>
      <c r="BD293" s="30" t="s">
        <v>6471</v>
      </c>
      <c r="BE293" s="30" t="s">
        <v>6472</v>
      </c>
      <c r="BF293" s="30" t="s">
        <v>403</v>
      </c>
      <c r="BG293" s="30" t="s">
        <v>151</v>
      </c>
      <c r="BH293" s="30" t="s">
        <v>151</v>
      </c>
      <c r="BI293" s="30" t="s">
        <v>5030</v>
      </c>
      <c r="BJ293" s="30" t="s">
        <v>151</v>
      </c>
      <c r="BK293" s="30" t="s">
        <v>151</v>
      </c>
      <c r="BL293" s="30" t="s">
        <v>5032</v>
      </c>
      <c r="BM293" s="30" t="s">
        <v>3217</v>
      </c>
      <c r="BN293" s="29" t="s">
        <v>151</v>
      </c>
      <c r="BO293" s="30" t="s">
        <v>186</v>
      </c>
      <c r="BP293" s="29" t="s">
        <v>151</v>
      </c>
      <c r="BQ293" s="29" t="s">
        <v>151</v>
      </c>
      <c r="BR293" s="30" t="s">
        <v>151</v>
      </c>
      <c r="BS293" s="30" t="s">
        <v>187</v>
      </c>
      <c r="BT293" s="30" t="s">
        <v>188</v>
      </c>
      <c r="BU293" s="35">
        <v>45471</v>
      </c>
      <c r="BV293" s="37">
        <v>0.08</v>
      </c>
      <c r="BW293" s="30" t="s">
        <v>192</v>
      </c>
      <c r="BX293" s="37" t="s">
        <v>151</v>
      </c>
      <c r="BY293" s="30" t="s">
        <v>151</v>
      </c>
      <c r="BZ293" s="30" t="s">
        <v>293</v>
      </c>
      <c r="CA293" s="30" t="s">
        <v>293</v>
      </c>
      <c r="CB293" s="30" t="s">
        <v>151</v>
      </c>
      <c r="CC293" s="30" t="s">
        <v>165</v>
      </c>
      <c r="CD293" s="30" t="s">
        <v>151</v>
      </c>
      <c r="CE293" s="30" t="s">
        <v>191</v>
      </c>
      <c r="CF293" s="35" t="s">
        <v>151</v>
      </c>
      <c r="CG293" s="37">
        <v>0.01</v>
      </c>
      <c r="CH293" s="30" t="s">
        <v>192</v>
      </c>
      <c r="CI293" s="37" t="s">
        <v>151</v>
      </c>
      <c r="CJ293" s="30" t="s">
        <v>151</v>
      </c>
      <c r="CK293" s="29" t="s">
        <v>151</v>
      </c>
      <c r="CL293" s="30" t="s">
        <v>189</v>
      </c>
      <c r="CM293" s="30" t="s">
        <v>151</v>
      </c>
      <c r="CN293" s="30" t="s">
        <v>151</v>
      </c>
      <c r="CO293" s="30" t="s">
        <v>190</v>
      </c>
      <c r="CP293" s="35" t="s">
        <v>151</v>
      </c>
      <c r="CQ293" s="37" t="s">
        <v>151</v>
      </c>
      <c r="CR293" s="30" t="s">
        <v>151</v>
      </c>
      <c r="CS293" s="30" t="s">
        <v>191</v>
      </c>
      <c r="CT293" s="29" t="s">
        <v>151</v>
      </c>
      <c r="CU293" s="30" t="s">
        <v>151</v>
      </c>
      <c r="CV293" s="32" t="s">
        <v>151</v>
      </c>
      <c r="CW293" s="32" t="s">
        <v>151</v>
      </c>
      <c r="CX293" s="30" t="s">
        <v>151</v>
      </c>
      <c r="CY293" s="32" t="s">
        <v>151</v>
      </c>
      <c r="CZ293" s="32" t="s">
        <v>151</v>
      </c>
      <c r="DA293" s="37" t="s">
        <v>151</v>
      </c>
      <c r="DB293" s="35" t="s">
        <v>151</v>
      </c>
      <c r="DC293" s="30" t="s">
        <v>151</v>
      </c>
      <c r="DD293" s="29" t="s">
        <v>151</v>
      </c>
      <c r="DE293" s="32">
        <v>-2.5</v>
      </c>
      <c r="DF293" s="34">
        <v>2</v>
      </c>
      <c r="DG293" s="32">
        <v>0</v>
      </c>
      <c r="DH293" s="32">
        <v>0</v>
      </c>
      <c r="DI293" s="32" t="s">
        <v>151</v>
      </c>
      <c r="DJ293" s="34" t="s">
        <v>151</v>
      </c>
      <c r="DK293" s="32" t="s">
        <v>151</v>
      </c>
      <c r="DL293" s="34" t="s">
        <v>151</v>
      </c>
      <c r="DM293" s="32" t="s">
        <v>151</v>
      </c>
      <c r="DN293" s="34" t="s">
        <v>151</v>
      </c>
      <c r="DO293" s="36">
        <v>0.31</v>
      </c>
      <c r="DP293" s="34">
        <v>21</v>
      </c>
      <c r="DQ293" s="36">
        <v>0</v>
      </c>
      <c r="DR293" s="32">
        <v>0</v>
      </c>
      <c r="DS293" s="36" t="s">
        <v>151</v>
      </c>
      <c r="DT293" s="34" t="s">
        <v>151</v>
      </c>
      <c r="DU293" s="36" t="s">
        <v>151</v>
      </c>
      <c r="DV293" s="34" t="s">
        <v>151</v>
      </c>
      <c r="DW293" s="36" t="s">
        <v>151</v>
      </c>
      <c r="DX293" s="34" t="s">
        <v>151</v>
      </c>
      <c r="DY293" s="31" t="s">
        <v>151</v>
      </c>
      <c r="DZ293" s="35" t="s">
        <v>151</v>
      </c>
      <c r="EA293" s="35" t="s">
        <v>151</v>
      </c>
      <c r="EB293" s="34" t="s">
        <v>151</v>
      </c>
      <c r="EC293" s="33" t="s">
        <v>151</v>
      </c>
      <c r="ED293" s="32" t="s">
        <v>151</v>
      </c>
      <c r="EE293" s="34">
        <v>5</v>
      </c>
      <c r="EF293" s="33">
        <v>0</v>
      </c>
      <c r="EG293" s="32">
        <v>0</v>
      </c>
      <c r="EH293" s="29" t="s">
        <v>198</v>
      </c>
      <c r="EI293" s="30" t="s">
        <v>151</v>
      </c>
      <c r="EJ293" s="30" t="s">
        <v>151</v>
      </c>
      <c r="EK293" s="31" t="s">
        <v>151</v>
      </c>
      <c r="EL293" s="31" t="s">
        <v>151</v>
      </c>
      <c r="EM293" s="31" t="s">
        <v>151</v>
      </c>
      <c r="EN293" s="31" t="s">
        <v>151</v>
      </c>
      <c r="EO293" s="31" t="s">
        <v>151</v>
      </c>
      <c r="EP293" s="30" t="s">
        <v>151</v>
      </c>
      <c r="EQ293" s="29" t="s">
        <v>151</v>
      </c>
      <c r="ER293" s="29" t="s">
        <v>151</v>
      </c>
      <c r="ES293" s="4">
        <f>HYPERLINK("https://my.pitchbook.com?c=608086-90","View Company Online")</f>
      </c>
    </row>
    <row r="294">
      <c r="A294" s="17" t="s">
        <v>6473</v>
      </c>
      <c r="B294" s="17" t="s">
        <v>6474</v>
      </c>
      <c r="C294" s="18" t="s">
        <v>151</v>
      </c>
      <c r="D294" s="17" t="s">
        <v>151</v>
      </c>
      <c r="E294" s="17" t="s">
        <v>151</v>
      </c>
      <c r="F294" s="17" t="s">
        <v>6475</v>
      </c>
      <c r="G294" s="17" t="s">
        <v>151</v>
      </c>
      <c r="H294" s="17" t="s">
        <v>151</v>
      </c>
      <c r="I294" s="17" t="s">
        <v>6476</v>
      </c>
      <c r="J294" s="17" t="s">
        <v>6473</v>
      </c>
      <c r="K294" s="17" t="s">
        <v>6477</v>
      </c>
      <c r="L294" s="17" t="s">
        <v>205</v>
      </c>
      <c r="M294" s="17" t="s">
        <v>206</v>
      </c>
      <c r="N294" s="17" t="s">
        <v>269</v>
      </c>
      <c r="O294" s="17" t="s">
        <v>4123</v>
      </c>
      <c r="P294" s="17" t="s">
        <v>6478</v>
      </c>
      <c r="Q294" s="17" t="s">
        <v>6479</v>
      </c>
      <c r="R294" s="17" t="s">
        <v>151</v>
      </c>
      <c r="S294" s="17" t="s">
        <v>162</v>
      </c>
      <c r="T294" s="24">
        <v>0.62</v>
      </c>
      <c r="U294" s="17" t="s">
        <v>4045</v>
      </c>
      <c r="V294" s="17" t="s">
        <v>164</v>
      </c>
      <c r="W294" s="17" t="s">
        <v>165</v>
      </c>
      <c r="X294" s="15" t="s">
        <v>6480</v>
      </c>
      <c r="Y294" s="15" t="s">
        <v>6481</v>
      </c>
      <c r="Z294" s="27">
        <v>7</v>
      </c>
      <c r="AA294" s="17" t="s">
        <v>6482</v>
      </c>
      <c r="AB294" s="17" t="s">
        <v>151</v>
      </c>
      <c r="AC294" s="17" t="s">
        <v>151</v>
      </c>
      <c r="AD294" s="26">
        <v>2022</v>
      </c>
      <c r="AE294" s="17" t="s">
        <v>151</v>
      </c>
      <c r="AF294" s="22">
        <v>45561</v>
      </c>
      <c r="AG294" s="17" t="s">
        <v>151</v>
      </c>
      <c r="AH294" s="17" t="s">
        <v>151</v>
      </c>
      <c r="AI294" s="25" t="s">
        <v>151</v>
      </c>
      <c r="AJ294" s="19" t="s">
        <v>151</v>
      </c>
      <c r="AK294" s="25" t="s">
        <v>151</v>
      </c>
      <c r="AL294" s="25" t="s">
        <v>151</v>
      </c>
      <c r="AM294" s="25" t="s">
        <v>151</v>
      </c>
      <c r="AN294" s="25" t="s">
        <v>151</v>
      </c>
      <c r="AO294" s="25" t="s">
        <v>151</v>
      </c>
      <c r="AP294" s="25" t="s">
        <v>151</v>
      </c>
      <c r="AQ294" s="25" t="s">
        <v>151</v>
      </c>
      <c r="AR294" s="16" t="s">
        <v>151</v>
      </c>
      <c r="AS294" s="17" t="s">
        <v>6483</v>
      </c>
      <c r="AT294" s="17" t="s">
        <v>6484</v>
      </c>
      <c r="AU294" s="18">
        <v>4</v>
      </c>
      <c r="AV294" s="17" t="s">
        <v>151</v>
      </c>
      <c r="AW294" s="17" t="s">
        <v>151</v>
      </c>
      <c r="AX294" s="17" t="s">
        <v>151</v>
      </c>
      <c r="AY294" s="17" t="s">
        <v>6485</v>
      </c>
      <c r="AZ294" s="17" t="s">
        <v>151</v>
      </c>
      <c r="BA294" s="17" t="s">
        <v>151</v>
      </c>
      <c r="BB294" s="17" t="s">
        <v>151</v>
      </c>
      <c r="BC294" s="17" t="s">
        <v>151</v>
      </c>
      <c r="BD294" s="17" t="s">
        <v>6486</v>
      </c>
      <c r="BE294" s="17" t="s">
        <v>6487</v>
      </c>
      <c r="BF294" s="17" t="s">
        <v>2427</v>
      </c>
      <c r="BG294" s="17" t="s">
        <v>151</v>
      </c>
      <c r="BH294" s="17" t="s">
        <v>151</v>
      </c>
      <c r="BI294" s="17" t="s">
        <v>764</v>
      </c>
      <c r="BJ294" s="17" t="s">
        <v>151</v>
      </c>
      <c r="BK294" s="17" t="s">
        <v>151</v>
      </c>
      <c r="BL294" s="17" t="s">
        <v>767</v>
      </c>
      <c r="BM294" s="17" t="s">
        <v>184</v>
      </c>
      <c r="BN294" s="16" t="s">
        <v>151</v>
      </c>
      <c r="BO294" s="17" t="s">
        <v>186</v>
      </c>
      <c r="BP294" s="16" t="s">
        <v>151</v>
      </c>
      <c r="BQ294" s="16" t="s">
        <v>151</v>
      </c>
      <c r="BR294" s="17" t="s">
        <v>151</v>
      </c>
      <c r="BS294" s="17" t="s">
        <v>187</v>
      </c>
      <c r="BT294" s="17" t="s">
        <v>188</v>
      </c>
      <c r="BU294" s="22">
        <v>44927</v>
      </c>
      <c r="BV294" s="24" t="s">
        <v>151</v>
      </c>
      <c r="BW294" s="17" t="s">
        <v>151</v>
      </c>
      <c r="BX294" s="24" t="s">
        <v>151</v>
      </c>
      <c r="BY294" s="17" t="s">
        <v>151</v>
      </c>
      <c r="BZ294" s="17" t="s">
        <v>189</v>
      </c>
      <c r="CA294" s="17" t="s">
        <v>151</v>
      </c>
      <c r="CB294" s="17" t="s">
        <v>151</v>
      </c>
      <c r="CC294" s="17" t="s">
        <v>190</v>
      </c>
      <c r="CD294" s="17" t="s">
        <v>151</v>
      </c>
      <c r="CE294" s="17" t="s">
        <v>191</v>
      </c>
      <c r="CF294" s="22">
        <v>45169</v>
      </c>
      <c r="CG294" s="24">
        <v>0.6</v>
      </c>
      <c r="CH294" s="17" t="s">
        <v>192</v>
      </c>
      <c r="CI294" s="24">
        <v>5</v>
      </c>
      <c r="CJ294" s="17" t="s">
        <v>192</v>
      </c>
      <c r="CK294" s="16" t="s">
        <v>151</v>
      </c>
      <c r="CL294" s="17" t="s">
        <v>293</v>
      </c>
      <c r="CM294" s="17" t="s">
        <v>293</v>
      </c>
      <c r="CN294" s="17" t="s">
        <v>151</v>
      </c>
      <c r="CO294" s="17" t="s">
        <v>165</v>
      </c>
      <c r="CP294" s="22">
        <v>45169</v>
      </c>
      <c r="CQ294" s="24" t="s">
        <v>151</v>
      </c>
      <c r="CR294" s="17" t="s">
        <v>151</v>
      </c>
      <c r="CS294" s="17" t="s">
        <v>191</v>
      </c>
      <c r="CT294" s="16" t="s">
        <v>151</v>
      </c>
      <c r="CU294" s="17" t="s">
        <v>151</v>
      </c>
      <c r="CV294" s="19" t="s">
        <v>151</v>
      </c>
      <c r="CW294" s="19" t="s">
        <v>151</v>
      </c>
      <c r="CX294" s="17" t="s">
        <v>151</v>
      </c>
      <c r="CY294" s="19" t="s">
        <v>151</v>
      </c>
      <c r="CZ294" s="19" t="s">
        <v>151</v>
      </c>
      <c r="DA294" s="24">
        <v>5</v>
      </c>
      <c r="DB294" s="22">
        <v>45169</v>
      </c>
      <c r="DC294" s="17" t="s">
        <v>293</v>
      </c>
      <c r="DD294" s="16" t="s">
        <v>151</v>
      </c>
      <c r="DE294" s="19">
        <v>0</v>
      </c>
      <c r="DF294" s="21">
        <v>11</v>
      </c>
      <c r="DG294" s="19">
        <v>0</v>
      </c>
      <c r="DH294" s="19">
        <v>0</v>
      </c>
      <c r="DI294" s="19" t="s">
        <v>151</v>
      </c>
      <c r="DJ294" s="21" t="s">
        <v>151</v>
      </c>
      <c r="DK294" s="19" t="s">
        <v>151</v>
      </c>
      <c r="DL294" s="21" t="s">
        <v>151</v>
      </c>
      <c r="DM294" s="19" t="s">
        <v>151</v>
      </c>
      <c r="DN294" s="21" t="s">
        <v>151</v>
      </c>
      <c r="DO294" s="23">
        <v>0.54</v>
      </c>
      <c r="DP294" s="21">
        <v>35</v>
      </c>
      <c r="DQ294" s="23">
        <v>0</v>
      </c>
      <c r="DR294" s="19">
        <v>0</v>
      </c>
      <c r="DS294" s="23" t="s">
        <v>151</v>
      </c>
      <c r="DT294" s="21" t="s">
        <v>151</v>
      </c>
      <c r="DU294" s="23" t="s">
        <v>151</v>
      </c>
      <c r="DV294" s="21" t="s">
        <v>151</v>
      </c>
      <c r="DW294" s="23" t="s">
        <v>151</v>
      </c>
      <c r="DX294" s="21" t="s">
        <v>151</v>
      </c>
      <c r="DY294" s="18" t="s">
        <v>151</v>
      </c>
      <c r="DZ294" s="22" t="s">
        <v>151</v>
      </c>
      <c r="EA294" s="22" t="s">
        <v>151</v>
      </c>
      <c r="EB294" s="21">
        <v>773</v>
      </c>
      <c r="EC294" s="20">
        <v>34</v>
      </c>
      <c r="ED294" s="19">
        <v>4.6</v>
      </c>
      <c r="EE294" s="21" t="s">
        <v>151</v>
      </c>
      <c r="EF294" s="20" t="s">
        <v>151</v>
      </c>
      <c r="EG294" s="19" t="s">
        <v>151</v>
      </c>
      <c r="EH294" s="16" t="s">
        <v>198</v>
      </c>
      <c r="EI294" s="17" t="s">
        <v>151</v>
      </c>
      <c r="EJ294" s="17" t="s">
        <v>151</v>
      </c>
      <c r="EK294" s="18" t="s">
        <v>151</v>
      </c>
      <c r="EL294" s="18" t="s">
        <v>151</v>
      </c>
      <c r="EM294" s="18" t="s">
        <v>151</v>
      </c>
      <c r="EN294" s="18" t="s">
        <v>151</v>
      </c>
      <c r="EO294" s="18" t="s">
        <v>151</v>
      </c>
      <c r="EP294" s="17" t="s">
        <v>151</v>
      </c>
      <c r="EQ294" s="16" t="s">
        <v>151</v>
      </c>
      <c r="ER294" s="16" t="s">
        <v>151</v>
      </c>
      <c r="ES294" s="3">
        <f>HYPERLINK("https://my.pitchbook.com?c=530465-50","View Company Online")</f>
      </c>
    </row>
    <row r="295">
      <c r="A295" s="30" t="s">
        <v>6488</v>
      </c>
      <c r="B295" s="30" t="s">
        <v>6489</v>
      </c>
      <c r="C295" s="31" t="s">
        <v>151</v>
      </c>
      <c r="D295" s="30" t="s">
        <v>151</v>
      </c>
      <c r="E295" s="30" t="s">
        <v>6490</v>
      </c>
      <c r="F295" s="30" t="s">
        <v>6491</v>
      </c>
      <c r="G295" s="30" t="s">
        <v>151</v>
      </c>
      <c r="H295" s="30" t="s">
        <v>151</v>
      </c>
      <c r="I295" s="30" t="s">
        <v>151</v>
      </c>
      <c r="J295" s="30" t="s">
        <v>6488</v>
      </c>
      <c r="K295" s="30" t="s">
        <v>6492</v>
      </c>
      <c r="L295" s="30" t="s">
        <v>155</v>
      </c>
      <c r="M295" s="30" t="s">
        <v>361</v>
      </c>
      <c r="N295" s="30" t="s">
        <v>6493</v>
      </c>
      <c r="O295" s="30" t="s">
        <v>6494</v>
      </c>
      <c r="P295" s="30" t="s">
        <v>6495</v>
      </c>
      <c r="Q295" s="30" t="s">
        <v>6496</v>
      </c>
      <c r="R295" s="30" t="s">
        <v>151</v>
      </c>
      <c r="S295" s="30" t="s">
        <v>162</v>
      </c>
      <c r="T295" s="37">
        <v>4.1</v>
      </c>
      <c r="U295" s="30" t="s">
        <v>163</v>
      </c>
      <c r="V295" s="30" t="s">
        <v>164</v>
      </c>
      <c r="W295" s="30" t="s">
        <v>165</v>
      </c>
      <c r="X295" s="28" t="s">
        <v>6497</v>
      </c>
      <c r="Y295" s="28" t="s">
        <v>6498</v>
      </c>
      <c r="Z295" s="40">
        <v>176</v>
      </c>
      <c r="AA295" s="30" t="s">
        <v>6499</v>
      </c>
      <c r="AB295" s="30" t="s">
        <v>151</v>
      </c>
      <c r="AC295" s="30" t="s">
        <v>151</v>
      </c>
      <c r="AD295" s="39">
        <v>2019</v>
      </c>
      <c r="AE295" s="30" t="s">
        <v>151</v>
      </c>
      <c r="AF295" s="35">
        <v>45574</v>
      </c>
      <c r="AG295" s="30" t="s">
        <v>151</v>
      </c>
      <c r="AH295" s="30" t="s">
        <v>151</v>
      </c>
      <c r="AI295" s="38">
        <v>142</v>
      </c>
      <c r="AJ295" s="32">
        <v>42</v>
      </c>
      <c r="AK295" s="38" t="s">
        <v>151</v>
      </c>
      <c r="AL295" s="38" t="s">
        <v>151</v>
      </c>
      <c r="AM295" s="38" t="s">
        <v>151</v>
      </c>
      <c r="AN295" s="38" t="s">
        <v>151</v>
      </c>
      <c r="AO295" s="38" t="s">
        <v>151</v>
      </c>
      <c r="AP295" s="38" t="s">
        <v>151</v>
      </c>
      <c r="AQ295" s="38" t="s">
        <v>151</v>
      </c>
      <c r="AR295" s="29" t="s">
        <v>456</v>
      </c>
      <c r="AS295" s="30" t="s">
        <v>6500</v>
      </c>
      <c r="AT295" s="30" t="s">
        <v>6501</v>
      </c>
      <c r="AU295" s="31">
        <v>1</v>
      </c>
      <c r="AV295" s="30" t="s">
        <v>151</v>
      </c>
      <c r="AW295" s="30" t="s">
        <v>151</v>
      </c>
      <c r="AX295" s="30" t="s">
        <v>151</v>
      </c>
      <c r="AY295" s="30" t="s">
        <v>151</v>
      </c>
      <c r="AZ295" s="30" t="s">
        <v>151</v>
      </c>
      <c r="BA295" s="30" t="s">
        <v>151</v>
      </c>
      <c r="BB295" s="30" t="s">
        <v>151</v>
      </c>
      <c r="BC295" s="30" t="s">
        <v>151</v>
      </c>
      <c r="BD295" s="30" t="s">
        <v>6502</v>
      </c>
      <c r="BE295" s="30" t="s">
        <v>6503</v>
      </c>
      <c r="BF295" s="30" t="s">
        <v>221</v>
      </c>
      <c r="BG295" s="30" t="s">
        <v>6504</v>
      </c>
      <c r="BH295" s="30" t="s">
        <v>6505</v>
      </c>
      <c r="BI295" s="30" t="s">
        <v>906</v>
      </c>
      <c r="BJ295" s="30" t="s">
        <v>6506</v>
      </c>
      <c r="BK295" s="30" t="s">
        <v>523</v>
      </c>
      <c r="BL295" s="30" t="s">
        <v>259</v>
      </c>
      <c r="BM295" s="30" t="s">
        <v>259</v>
      </c>
      <c r="BN295" s="29" t="s">
        <v>1306</v>
      </c>
      <c r="BO295" s="30" t="s">
        <v>186</v>
      </c>
      <c r="BP295" s="29" t="s">
        <v>6505</v>
      </c>
      <c r="BQ295" s="29" t="s">
        <v>151</v>
      </c>
      <c r="BR295" s="30" t="s">
        <v>6507</v>
      </c>
      <c r="BS295" s="30" t="s">
        <v>187</v>
      </c>
      <c r="BT295" s="30" t="s">
        <v>188</v>
      </c>
      <c r="BU295" s="35" t="s">
        <v>151</v>
      </c>
      <c r="BV295" s="37">
        <v>1.5</v>
      </c>
      <c r="BW295" s="30" t="s">
        <v>192</v>
      </c>
      <c r="BX295" s="37" t="s">
        <v>151</v>
      </c>
      <c r="BY295" s="30" t="s">
        <v>151</v>
      </c>
      <c r="BZ295" s="30" t="s">
        <v>1075</v>
      </c>
      <c r="CA295" s="30" t="s">
        <v>1075</v>
      </c>
      <c r="CB295" s="30" t="s">
        <v>151</v>
      </c>
      <c r="CC295" s="30" t="s">
        <v>585</v>
      </c>
      <c r="CD295" s="30" t="s">
        <v>151</v>
      </c>
      <c r="CE295" s="30" t="s">
        <v>191</v>
      </c>
      <c r="CF295" s="35">
        <v>44301</v>
      </c>
      <c r="CG295" s="37">
        <v>2.6</v>
      </c>
      <c r="CH295" s="30" t="s">
        <v>192</v>
      </c>
      <c r="CI295" s="37" t="s">
        <v>151</v>
      </c>
      <c r="CJ295" s="30" t="s">
        <v>151</v>
      </c>
      <c r="CK295" s="29" t="s">
        <v>151</v>
      </c>
      <c r="CL295" s="30" t="s">
        <v>293</v>
      </c>
      <c r="CM295" s="30" t="s">
        <v>293</v>
      </c>
      <c r="CN295" s="30" t="s">
        <v>151</v>
      </c>
      <c r="CO295" s="30" t="s">
        <v>165</v>
      </c>
      <c r="CP295" s="35">
        <v>44301</v>
      </c>
      <c r="CQ295" s="37" t="s">
        <v>151</v>
      </c>
      <c r="CR295" s="30" t="s">
        <v>151</v>
      </c>
      <c r="CS295" s="30" t="s">
        <v>191</v>
      </c>
      <c r="CT295" s="29">
        <v>19</v>
      </c>
      <c r="CU295" s="30" t="s">
        <v>263</v>
      </c>
      <c r="CV295" s="32">
        <v>20</v>
      </c>
      <c r="CW295" s="32">
        <v>80</v>
      </c>
      <c r="CX295" s="30" t="s">
        <v>263</v>
      </c>
      <c r="CY295" s="32">
        <v>1</v>
      </c>
      <c r="CZ295" s="32">
        <v>19</v>
      </c>
      <c r="DA295" s="37" t="s">
        <v>151</v>
      </c>
      <c r="DB295" s="35" t="s">
        <v>151</v>
      </c>
      <c r="DC295" s="30" t="s">
        <v>151</v>
      </c>
      <c r="DD295" s="29" t="s">
        <v>151</v>
      </c>
      <c r="DE295" s="32">
        <v>0</v>
      </c>
      <c r="DF295" s="34">
        <v>11</v>
      </c>
      <c r="DG295" s="32">
        <v>0</v>
      </c>
      <c r="DH295" s="32">
        <v>0</v>
      </c>
      <c r="DI295" s="32">
        <v>0</v>
      </c>
      <c r="DJ295" s="34">
        <v>10</v>
      </c>
      <c r="DK295" s="32" t="s">
        <v>151</v>
      </c>
      <c r="DL295" s="34" t="s">
        <v>151</v>
      </c>
      <c r="DM295" s="32">
        <v>0</v>
      </c>
      <c r="DN295" s="34">
        <v>10</v>
      </c>
      <c r="DO295" s="36">
        <v>2.53</v>
      </c>
      <c r="DP295" s="34">
        <v>71</v>
      </c>
      <c r="DQ295" s="36">
        <v>0</v>
      </c>
      <c r="DR295" s="32">
        <v>0</v>
      </c>
      <c r="DS295" s="36">
        <v>2.53</v>
      </c>
      <c r="DT295" s="34">
        <v>71</v>
      </c>
      <c r="DU295" s="36" t="s">
        <v>151</v>
      </c>
      <c r="DV295" s="34" t="s">
        <v>151</v>
      </c>
      <c r="DW295" s="36">
        <v>2.53</v>
      </c>
      <c r="DX295" s="34">
        <v>70</v>
      </c>
      <c r="DY295" s="31" t="s">
        <v>151</v>
      </c>
      <c r="DZ295" s="35" t="s">
        <v>151</v>
      </c>
      <c r="EA295" s="35" t="s">
        <v>151</v>
      </c>
      <c r="EB295" s="34">
        <v>147</v>
      </c>
      <c r="EC295" s="33">
        <v>7</v>
      </c>
      <c r="ED295" s="32">
        <v>5</v>
      </c>
      <c r="EE295" s="34">
        <v>48</v>
      </c>
      <c r="EF295" s="33">
        <v>1</v>
      </c>
      <c r="EG295" s="32">
        <v>2.13</v>
      </c>
      <c r="EH295" s="29" t="s">
        <v>198</v>
      </c>
      <c r="EI295" s="30" t="s">
        <v>151</v>
      </c>
      <c r="EJ295" s="30" t="s">
        <v>151</v>
      </c>
      <c r="EK295" s="31" t="s">
        <v>151</v>
      </c>
      <c r="EL295" s="31" t="s">
        <v>151</v>
      </c>
      <c r="EM295" s="31" t="s">
        <v>151</v>
      </c>
      <c r="EN295" s="31" t="s">
        <v>151</v>
      </c>
      <c r="EO295" s="31" t="s">
        <v>151</v>
      </c>
      <c r="EP295" s="30" t="s">
        <v>151</v>
      </c>
      <c r="EQ295" s="29" t="s">
        <v>151</v>
      </c>
      <c r="ER295" s="29" t="s">
        <v>151</v>
      </c>
      <c r="ES295" s="4">
        <f>HYPERLINK("https://my.pitchbook.com?c=464446-36","View Company Online")</f>
      </c>
    </row>
    <row r="296">
      <c r="A296" s="17" t="s">
        <v>6508</v>
      </c>
      <c r="B296" s="17" t="s">
        <v>6509</v>
      </c>
      <c r="C296" s="18" t="s">
        <v>151</v>
      </c>
      <c r="D296" s="17" t="s">
        <v>151</v>
      </c>
      <c r="E296" s="17" t="s">
        <v>6510</v>
      </c>
      <c r="F296" s="17" t="s">
        <v>6511</v>
      </c>
      <c r="G296" s="17" t="s">
        <v>151</v>
      </c>
      <c r="H296" s="17" t="s">
        <v>151</v>
      </c>
      <c r="I296" s="17" t="s">
        <v>151</v>
      </c>
      <c r="J296" s="17" t="s">
        <v>6508</v>
      </c>
      <c r="K296" s="17" t="s">
        <v>6512</v>
      </c>
      <c r="L296" s="17" t="s">
        <v>1178</v>
      </c>
      <c r="M296" s="17" t="s">
        <v>1179</v>
      </c>
      <c r="N296" s="17" t="s">
        <v>1179</v>
      </c>
      <c r="O296" s="17" t="s">
        <v>6513</v>
      </c>
      <c r="P296" s="17" t="s">
        <v>1153</v>
      </c>
      <c r="Q296" s="17" t="s">
        <v>6514</v>
      </c>
      <c r="R296" s="17" t="s">
        <v>151</v>
      </c>
      <c r="S296" s="17" t="s">
        <v>162</v>
      </c>
      <c r="T296" s="24">
        <v>8.5</v>
      </c>
      <c r="U296" s="17" t="s">
        <v>163</v>
      </c>
      <c r="V296" s="17" t="s">
        <v>164</v>
      </c>
      <c r="W296" s="17" t="s">
        <v>165</v>
      </c>
      <c r="X296" s="15" t="s">
        <v>6515</v>
      </c>
      <c r="Y296" s="15" t="s">
        <v>6516</v>
      </c>
      <c r="Z296" s="27">
        <v>9</v>
      </c>
      <c r="AA296" s="17" t="s">
        <v>6517</v>
      </c>
      <c r="AB296" s="17" t="s">
        <v>151</v>
      </c>
      <c r="AC296" s="17" t="s">
        <v>151</v>
      </c>
      <c r="AD296" s="26">
        <v>2023</v>
      </c>
      <c r="AE296" s="17" t="s">
        <v>151</v>
      </c>
      <c r="AF296" s="22">
        <v>45593</v>
      </c>
      <c r="AG296" s="17" t="s">
        <v>151</v>
      </c>
      <c r="AH296" s="17" t="s">
        <v>151</v>
      </c>
      <c r="AI296" s="25" t="s">
        <v>151</v>
      </c>
      <c r="AJ296" s="19" t="s">
        <v>151</v>
      </c>
      <c r="AK296" s="25" t="s">
        <v>151</v>
      </c>
      <c r="AL296" s="25" t="s">
        <v>151</v>
      </c>
      <c r="AM296" s="25" t="s">
        <v>151</v>
      </c>
      <c r="AN296" s="25" t="s">
        <v>151</v>
      </c>
      <c r="AO296" s="25" t="s">
        <v>151</v>
      </c>
      <c r="AP296" s="25" t="s">
        <v>151</v>
      </c>
      <c r="AQ296" s="25" t="s">
        <v>151</v>
      </c>
      <c r="AR296" s="16" t="s">
        <v>151</v>
      </c>
      <c r="AS296" s="17" t="s">
        <v>6518</v>
      </c>
      <c r="AT296" s="17" t="s">
        <v>6519</v>
      </c>
      <c r="AU296" s="18">
        <v>6</v>
      </c>
      <c r="AV296" s="17" t="s">
        <v>151</v>
      </c>
      <c r="AW296" s="17" t="s">
        <v>151</v>
      </c>
      <c r="AX296" s="17" t="s">
        <v>151</v>
      </c>
      <c r="AY296" s="17" t="s">
        <v>6520</v>
      </c>
      <c r="AZ296" s="17" t="s">
        <v>151</v>
      </c>
      <c r="BA296" s="17" t="s">
        <v>151</v>
      </c>
      <c r="BB296" s="17" t="s">
        <v>151</v>
      </c>
      <c r="BC296" s="17" t="s">
        <v>151</v>
      </c>
      <c r="BD296" s="17" t="s">
        <v>6521</v>
      </c>
      <c r="BE296" s="17" t="s">
        <v>6522</v>
      </c>
      <c r="BF296" s="17" t="s">
        <v>3087</v>
      </c>
      <c r="BG296" s="17" t="s">
        <v>6523</v>
      </c>
      <c r="BH296" s="17" t="s">
        <v>151</v>
      </c>
      <c r="BI296" s="17" t="s">
        <v>906</v>
      </c>
      <c r="BJ296" s="17" t="s">
        <v>6524</v>
      </c>
      <c r="BK296" s="17" t="s">
        <v>6525</v>
      </c>
      <c r="BL296" s="17" t="s">
        <v>259</v>
      </c>
      <c r="BM296" s="17" t="s">
        <v>259</v>
      </c>
      <c r="BN296" s="16" t="s">
        <v>6526</v>
      </c>
      <c r="BO296" s="17" t="s">
        <v>186</v>
      </c>
      <c r="BP296" s="16" t="s">
        <v>151</v>
      </c>
      <c r="BQ296" s="16" t="s">
        <v>151</v>
      </c>
      <c r="BR296" s="17" t="s">
        <v>6527</v>
      </c>
      <c r="BS296" s="17" t="s">
        <v>187</v>
      </c>
      <c r="BT296" s="17" t="s">
        <v>188</v>
      </c>
      <c r="BU296" s="22">
        <v>45401</v>
      </c>
      <c r="BV296" s="24" t="s">
        <v>151</v>
      </c>
      <c r="BW296" s="17" t="s">
        <v>151</v>
      </c>
      <c r="BX296" s="24" t="s">
        <v>151</v>
      </c>
      <c r="BY296" s="17" t="s">
        <v>151</v>
      </c>
      <c r="BZ296" s="17" t="s">
        <v>189</v>
      </c>
      <c r="CA296" s="17" t="s">
        <v>151</v>
      </c>
      <c r="CB296" s="17" t="s">
        <v>151</v>
      </c>
      <c r="CC296" s="17" t="s">
        <v>190</v>
      </c>
      <c r="CD296" s="17" t="s">
        <v>151</v>
      </c>
      <c r="CE296" s="17" t="s">
        <v>191</v>
      </c>
      <c r="CF296" s="22">
        <v>45593</v>
      </c>
      <c r="CG296" s="24">
        <v>8.5</v>
      </c>
      <c r="CH296" s="17" t="s">
        <v>192</v>
      </c>
      <c r="CI296" s="24" t="s">
        <v>151</v>
      </c>
      <c r="CJ296" s="17" t="s">
        <v>151</v>
      </c>
      <c r="CK296" s="16" t="s">
        <v>151</v>
      </c>
      <c r="CL296" s="17" t="s">
        <v>231</v>
      </c>
      <c r="CM296" s="17" t="s">
        <v>151</v>
      </c>
      <c r="CN296" s="17" t="s">
        <v>151</v>
      </c>
      <c r="CO296" s="17" t="s">
        <v>165</v>
      </c>
      <c r="CP296" s="22">
        <v>45593</v>
      </c>
      <c r="CQ296" s="24" t="s">
        <v>151</v>
      </c>
      <c r="CR296" s="17" t="s">
        <v>151</v>
      </c>
      <c r="CS296" s="17" t="s">
        <v>191</v>
      </c>
      <c r="CT296" s="16" t="s">
        <v>151</v>
      </c>
      <c r="CU296" s="17" t="s">
        <v>151</v>
      </c>
      <c r="CV296" s="19" t="s">
        <v>151</v>
      </c>
      <c r="CW296" s="19" t="s">
        <v>151</v>
      </c>
      <c r="CX296" s="17" t="s">
        <v>151</v>
      </c>
      <c r="CY296" s="19" t="s">
        <v>151</v>
      </c>
      <c r="CZ296" s="19" t="s">
        <v>151</v>
      </c>
      <c r="DA296" s="24" t="s">
        <v>151</v>
      </c>
      <c r="DB296" s="22" t="s">
        <v>151</v>
      </c>
      <c r="DC296" s="17" t="s">
        <v>151</v>
      </c>
      <c r="DD296" s="16" t="s">
        <v>151</v>
      </c>
      <c r="DE296" s="19">
        <v>3.35</v>
      </c>
      <c r="DF296" s="21">
        <v>100</v>
      </c>
      <c r="DG296" s="19">
        <v>0</v>
      </c>
      <c r="DH296" s="19">
        <v>0</v>
      </c>
      <c r="DI296" s="19" t="s">
        <v>151</v>
      </c>
      <c r="DJ296" s="21" t="s">
        <v>151</v>
      </c>
      <c r="DK296" s="19" t="s">
        <v>151</v>
      </c>
      <c r="DL296" s="21" t="s">
        <v>151</v>
      </c>
      <c r="DM296" s="19" t="s">
        <v>151</v>
      </c>
      <c r="DN296" s="21" t="s">
        <v>151</v>
      </c>
      <c r="DO296" s="23">
        <v>0.69</v>
      </c>
      <c r="DP296" s="21">
        <v>42</v>
      </c>
      <c r="DQ296" s="23">
        <v>0</v>
      </c>
      <c r="DR296" s="19">
        <v>0</v>
      </c>
      <c r="DS296" s="23" t="s">
        <v>151</v>
      </c>
      <c r="DT296" s="21" t="s">
        <v>151</v>
      </c>
      <c r="DU296" s="23" t="s">
        <v>151</v>
      </c>
      <c r="DV296" s="21" t="s">
        <v>151</v>
      </c>
      <c r="DW296" s="23" t="s">
        <v>151</v>
      </c>
      <c r="DX296" s="21" t="s">
        <v>151</v>
      </c>
      <c r="DY296" s="18" t="s">
        <v>151</v>
      </c>
      <c r="DZ296" s="22" t="s">
        <v>151</v>
      </c>
      <c r="EA296" s="22" t="s">
        <v>151</v>
      </c>
      <c r="EB296" s="21">
        <v>588</v>
      </c>
      <c r="EC296" s="20">
        <v>101</v>
      </c>
      <c r="ED296" s="19">
        <v>20.74</v>
      </c>
      <c r="EE296" s="21" t="s">
        <v>151</v>
      </c>
      <c r="EF296" s="20" t="s">
        <v>151</v>
      </c>
      <c r="EG296" s="19" t="s">
        <v>151</v>
      </c>
      <c r="EH296" s="16" t="s">
        <v>198</v>
      </c>
      <c r="EI296" s="17" t="s">
        <v>151</v>
      </c>
      <c r="EJ296" s="17" t="s">
        <v>151</v>
      </c>
      <c r="EK296" s="18" t="s">
        <v>151</v>
      </c>
      <c r="EL296" s="18" t="s">
        <v>151</v>
      </c>
      <c r="EM296" s="18" t="s">
        <v>151</v>
      </c>
      <c r="EN296" s="18" t="s">
        <v>151</v>
      </c>
      <c r="EO296" s="18" t="s">
        <v>151</v>
      </c>
      <c r="EP296" s="17" t="s">
        <v>151</v>
      </c>
      <c r="EQ296" s="16" t="s">
        <v>151</v>
      </c>
      <c r="ER296" s="16" t="s">
        <v>151</v>
      </c>
      <c r="ES296" s="3">
        <f>HYPERLINK("https://my.pitchbook.com?c=518957-74","View Company Online")</f>
      </c>
    </row>
    <row r="297">
      <c r="A297" s="30" t="s">
        <v>6528</v>
      </c>
      <c r="B297" s="30" t="s">
        <v>6529</v>
      </c>
      <c r="C297" s="31" t="s">
        <v>151</v>
      </c>
      <c r="D297" s="30" t="s">
        <v>151</v>
      </c>
      <c r="E297" s="30" t="s">
        <v>6530</v>
      </c>
      <c r="F297" s="30" t="s">
        <v>6531</v>
      </c>
      <c r="G297" s="30" t="s">
        <v>151</v>
      </c>
      <c r="H297" s="30" t="s">
        <v>151</v>
      </c>
      <c r="I297" s="30" t="s">
        <v>151</v>
      </c>
      <c r="J297" s="30" t="s">
        <v>6528</v>
      </c>
      <c r="K297" s="30" t="s">
        <v>6532</v>
      </c>
      <c r="L297" s="30" t="s">
        <v>616</v>
      </c>
      <c r="M297" s="30" t="s">
        <v>834</v>
      </c>
      <c r="N297" s="30" t="s">
        <v>3076</v>
      </c>
      <c r="O297" s="30" t="s">
        <v>6533</v>
      </c>
      <c r="P297" s="30" t="s">
        <v>6534</v>
      </c>
      <c r="Q297" s="30" t="s">
        <v>6535</v>
      </c>
      <c r="R297" s="30" t="s">
        <v>151</v>
      </c>
      <c r="S297" s="30" t="s">
        <v>162</v>
      </c>
      <c r="T297" s="37">
        <v>5.45</v>
      </c>
      <c r="U297" s="30" t="s">
        <v>163</v>
      </c>
      <c r="V297" s="30" t="s">
        <v>164</v>
      </c>
      <c r="W297" s="30" t="s">
        <v>165</v>
      </c>
      <c r="X297" s="28" t="s">
        <v>6536</v>
      </c>
      <c r="Y297" s="28" t="s">
        <v>6537</v>
      </c>
      <c r="Z297" s="40">
        <v>5</v>
      </c>
      <c r="AA297" s="30" t="s">
        <v>6538</v>
      </c>
      <c r="AB297" s="30" t="s">
        <v>151</v>
      </c>
      <c r="AC297" s="30" t="s">
        <v>151</v>
      </c>
      <c r="AD297" s="39">
        <v>2022</v>
      </c>
      <c r="AE297" s="30" t="s">
        <v>151</v>
      </c>
      <c r="AF297" s="35">
        <v>45601</v>
      </c>
      <c r="AG297" s="30" t="s">
        <v>151</v>
      </c>
      <c r="AH297" s="30" t="s">
        <v>151</v>
      </c>
      <c r="AI297" s="38" t="s">
        <v>151</v>
      </c>
      <c r="AJ297" s="32" t="s">
        <v>151</v>
      </c>
      <c r="AK297" s="38" t="s">
        <v>151</v>
      </c>
      <c r="AL297" s="38" t="s">
        <v>151</v>
      </c>
      <c r="AM297" s="38" t="s">
        <v>151</v>
      </c>
      <c r="AN297" s="38" t="s">
        <v>151</v>
      </c>
      <c r="AO297" s="38" t="s">
        <v>151</v>
      </c>
      <c r="AP297" s="38" t="s">
        <v>151</v>
      </c>
      <c r="AQ297" s="38" t="s">
        <v>151</v>
      </c>
      <c r="AR297" s="29" t="s">
        <v>151</v>
      </c>
      <c r="AS297" s="30" t="s">
        <v>6539</v>
      </c>
      <c r="AT297" s="30" t="s">
        <v>6540</v>
      </c>
      <c r="AU297" s="31">
        <v>8</v>
      </c>
      <c r="AV297" s="30" t="s">
        <v>151</v>
      </c>
      <c r="AW297" s="30" t="s">
        <v>151</v>
      </c>
      <c r="AX297" s="30" t="s">
        <v>151</v>
      </c>
      <c r="AY297" s="30" t="s">
        <v>6541</v>
      </c>
      <c r="AZ297" s="30" t="s">
        <v>151</v>
      </c>
      <c r="BA297" s="30" t="s">
        <v>151</v>
      </c>
      <c r="BB297" s="30" t="s">
        <v>151</v>
      </c>
      <c r="BC297" s="30" t="s">
        <v>151</v>
      </c>
      <c r="BD297" s="30" t="s">
        <v>6542</v>
      </c>
      <c r="BE297" s="30" t="s">
        <v>6543</v>
      </c>
      <c r="BF297" s="30" t="s">
        <v>2427</v>
      </c>
      <c r="BG297" s="30" t="s">
        <v>6544</v>
      </c>
      <c r="BH297" s="30" t="s">
        <v>151</v>
      </c>
      <c r="BI297" s="30" t="s">
        <v>378</v>
      </c>
      <c r="BJ297" s="30" t="s">
        <v>6545</v>
      </c>
      <c r="BK297" s="30" t="s">
        <v>6546</v>
      </c>
      <c r="BL297" s="30" t="s">
        <v>381</v>
      </c>
      <c r="BM297" s="30" t="s">
        <v>289</v>
      </c>
      <c r="BN297" s="29" t="s">
        <v>6547</v>
      </c>
      <c r="BO297" s="30" t="s">
        <v>186</v>
      </c>
      <c r="BP297" s="29" t="s">
        <v>151</v>
      </c>
      <c r="BQ297" s="29" t="s">
        <v>151</v>
      </c>
      <c r="BR297" s="30" t="s">
        <v>6548</v>
      </c>
      <c r="BS297" s="30" t="s">
        <v>187</v>
      </c>
      <c r="BT297" s="30" t="s">
        <v>188</v>
      </c>
      <c r="BU297" s="35">
        <v>44621</v>
      </c>
      <c r="BV297" s="37">
        <v>0.1</v>
      </c>
      <c r="BW297" s="30" t="s">
        <v>192</v>
      </c>
      <c r="BX297" s="37" t="s">
        <v>151</v>
      </c>
      <c r="BY297" s="30" t="s">
        <v>151</v>
      </c>
      <c r="BZ297" s="30" t="s">
        <v>501</v>
      </c>
      <c r="CA297" s="30" t="s">
        <v>151</v>
      </c>
      <c r="CB297" s="30" t="s">
        <v>151</v>
      </c>
      <c r="CC297" s="30" t="s">
        <v>190</v>
      </c>
      <c r="CD297" s="30" t="s">
        <v>151</v>
      </c>
      <c r="CE297" s="30" t="s">
        <v>191</v>
      </c>
      <c r="CF297" s="35">
        <v>45589</v>
      </c>
      <c r="CG297" s="37">
        <v>3.75</v>
      </c>
      <c r="CH297" s="30" t="s">
        <v>192</v>
      </c>
      <c r="CI297" s="37" t="s">
        <v>151</v>
      </c>
      <c r="CJ297" s="30" t="s">
        <v>151</v>
      </c>
      <c r="CK297" s="29" t="s">
        <v>151</v>
      </c>
      <c r="CL297" s="30" t="s">
        <v>293</v>
      </c>
      <c r="CM297" s="30" t="s">
        <v>293</v>
      </c>
      <c r="CN297" s="30" t="s">
        <v>151</v>
      </c>
      <c r="CO297" s="30" t="s">
        <v>165</v>
      </c>
      <c r="CP297" s="35">
        <v>45589</v>
      </c>
      <c r="CQ297" s="37" t="s">
        <v>151</v>
      </c>
      <c r="CR297" s="30" t="s">
        <v>151</v>
      </c>
      <c r="CS297" s="30" t="s">
        <v>191</v>
      </c>
      <c r="CT297" s="29">
        <v>73</v>
      </c>
      <c r="CU297" s="30" t="s">
        <v>196</v>
      </c>
      <c r="CV297" s="32">
        <v>68</v>
      </c>
      <c r="CW297" s="32">
        <v>32</v>
      </c>
      <c r="CX297" s="30" t="s">
        <v>294</v>
      </c>
      <c r="CY297" s="32">
        <v>1</v>
      </c>
      <c r="CZ297" s="32">
        <v>67</v>
      </c>
      <c r="DA297" s="37" t="s">
        <v>151</v>
      </c>
      <c r="DB297" s="35" t="s">
        <v>151</v>
      </c>
      <c r="DC297" s="30" t="s">
        <v>151</v>
      </c>
      <c r="DD297" s="29" t="s">
        <v>151</v>
      </c>
      <c r="DE297" s="32">
        <v>0</v>
      </c>
      <c r="DF297" s="34">
        <v>11</v>
      </c>
      <c r="DG297" s="32">
        <v>0</v>
      </c>
      <c r="DH297" s="32">
        <v>0</v>
      </c>
      <c r="DI297" s="32">
        <v>0</v>
      </c>
      <c r="DJ297" s="34">
        <v>10</v>
      </c>
      <c r="DK297" s="32" t="s">
        <v>151</v>
      </c>
      <c r="DL297" s="34" t="s">
        <v>151</v>
      </c>
      <c r="DM297" s="32">
        <v>0</v>
      </c>
      <c r="DN297" s="34">
        <v>10</v>
      </c>
      <c r="DO297" s="36">
        <v>1</v>
      </c>
      <c r="DP297" s="34">
        <v>49</v>
      </c>
      <c r="DQ297" s="36">
        <v>0</v>
      </c>
      <c r="DR297" s="32">
        <v>0</v>
      </c>
      <c r="DS297" s="36">
        <v>1</v>
      </c>
      <c r="DT297" s="34">
        <v>50</v>
      </c>
      <c r="DU297" s="36" t="s">
        <v>151</v>
      </c>
      <c r="DV297" s="34" t="s">
        <v>151</v>
      </c>
      <c r="DW297" s="36">
        <v>1</v>
      </c>
      <c r="DX297" s="34">
        <v>49</v>
      </c>
      <c r="DY297" s="31" t="s">
        <v>151</v>
      </c>
      <c r="DZ297" s="35" t="s">
        <v>151</v>
      </c>
      <c r="EA297" s="35" t="s">
        <v>151</v>
      </c>
      <c r="EB297" s="34">
        <v>471</v>
      </c>
      <c r="EC297" s="33">
        <v>82</v>
      </c>
      <c r="ED297" s="32">
        <v>21.08</v>
      </c>
      <c r="EE297" s="34">
        <v>19</v>
      </c>
      <c r="EF297" s="33">
        <v>0</v>
      </c>
      <c r="EG297" s="32">
        <v>0</v>
      </c>
      <c r="EH297" s="29" t="s">
        <v>198</v>
      </c>
      <c r="EI297" s="30" t="s">
        <v>151</v>
      </c>
      <c r="EJ297" s="30" t="s">
        <v>151</v>
      </c>
      <c r="EK297" s="31" t="s">
        <v>151</v>
      </c>
      <c r="EL297" s="31" t="s">
        <v>151</v>
      </c>
      <c r="EM297" s="31" t="s">
        <v>151</v>
      </c>
      <c r="EN297" s="31" t="s">
        <v>151</v>
      </c>
      <c r="EO297" s="31" t="s">
        <v>151</v>
      </c>
      <c r="EP297" s="30" t="s">
        <v>151</v>
      </c>
      <c r="EQ297" s="29" t="s">
        <v>151</v>
      </c>
      <c r="ER297" s="29" t="s">
        <v>151</v>
      </c>
      <c r="ES297" s="4">
        <f>HYPERLINK("https://my.pitchbook.com?c=517724-47","View Company Online")</f>
      </c>
    </row>
    <row r="298">
      <c r="A298" s="17" t="s">
        <v>6549</v>
      </c>
      <c r="B298" s="17" t="s">
        <v>6550</v>
      </c>
      <c r="C298" s="18" t="s">
        <v>151</v>
      </c>
      <c r="D298" s="17" t="s">
        <v>151</v>
      </c>
      <c r="E298" s="17" t="s">
        <v>151</v>
      </c>
      <c r="F298" s="17" t="s">
        <v>6551</v>
      </c>
      <c r="G298" s="17" t="s">
        <v>151</v>
      </c>
      <c r="H298" s="17" t="s">
        <v>151</v>
      </c>
      <c r="I298" s="17" t="s">
        <v>6552</v>
      </c>
      <c r="J298" s="17" t="s">
        <v>6549</v>
      </c>
      <c r="K298" s="17" t="s">
        <v>6553</v>
      </c>
      <c r="L298" s="17" t="s">
        <v>1792</v>
      </c>
      <c r="M298" s="17" t="s">
        <v>2199</v>
      </c>
      <c r="N298" s="17" t="s">
        <v>6554</v>
      </c>
      <c r="O298" s="17" t="s">
        <v>6555</v>
      </c>
      <c r="P298" s="17" t="s">
        <v>6556</v>
      </c>
      <c r="Q298" s="17" t="s">
        <v>6557</v>
      </c>
      <c r="R298" s="17" t="s">
        <v>151</v>
      </c>
      <c r="S298" s="17" t="s">
        <v>162</v>
      </c>
      <c r="T298" s="24">
        <v>1.77</v>
      </c>
      <c r="U298" s="17" t="s">
        <v>1870</v>
      </c>
      <c r="V298" s="17" t="s">
        <v>164</v>
      </c>
      <c r="W298" s="17" t="s">
        <v>165</v>
      </c>
      <c r="X298" s="15" t="s">
        <v>6558</v>
      </c>
      <c r="Y298" s="15" t="s">
        <v>6559</v>
      </c>
      <c r="Z298" s="27">
        <v>11</v>
      </c>
      <c r="AA298" s="17" t="s">
        <v>6560</v>
      </c>
      <c r="AB298" s="17" t="s">
        <v>151</v>
      </c>
      <c r="AC298" s="17" t="s">
        <v>151</v>
      </c>
      <c r="AD298" s="26">
        <v>2019</v>
      </c>
      <c r="AE298" s="17" t="s">
        <v>151</v>
      </c>
      <c r="AF298" s="22">
        <v>45601</v>
      </c>
      <c r="AG298" s="17" t="s">
        <v>151</v>
      </c>
      <c r="AH298" s="17" t="s">
        <v>151</v>
      </c>
      <c r="AI298" s="25" t="s">
        <v>151</v>
      </c>
      <c r="AJ298" s="19" t="s">
        <v>151</v>
      </c>
      <c r="AK298" s="25" t="s">
        <v>151</v>
      </c>
      <c r="AL298" s="25" t="s">
        <v>151</v>
      </c>
      <c r="AM298" s="25" t="s">
        <v>151</v>
      </c>
      <c r="AN298" s="25" t="s">
        <v>151</v>
      </c>
      <c r="AO298" s="25" t="s">
        <v>151</v>
      </c>
      <c r="AP298" s="25" t="s">
        <v>151</v>
      </c>
      <c r="AQ298" s="25" t="s">
        <v>151</v>
      </c>
      <c r="AR298" s="16" t="s">
        <v>151</v>
      </c>
      <c r="AS298" s="17" t="s">
        <v>6561</v>
      </c>
      <c r="AT298" s="17" t="s">
        <v>6562</v>
      </c>
      <c r="AU298" s="18">
        <v>10</v>
      </c>
      <c r="AV298" s="17" t="s">
        <v>151</v>
      </c>
      <c r="AW298" s="17" t="s">
        <v>151</v>
      </c>
      <c r="AX298" s="17" t="s">
        <v>151</v>
      </c>
      <c r="AY298" s="17" t="s">
        <v>6563</v>
      </c>
      <c r="AZ298" s="17" t="s">
        <v>151</v>
      </c>
      <c r="BA298" s="17" t="s">
        <v>151</v>
      </c>
      <c r="BB298" s="17" t="s">
        <v>151</v>
      </c>
      <c r="BC298" s="17" t="s">
        <v>151</v>
      </c>
      <c r="BD298" s="17" t="s">
        <v>6564</v>
      </c>
      <c r="BE298" s="17" t="s">
        <v>6565</v>
      </c>
      <c r="BF298" s="17" t="s">
        <v>6566</v>
      </c>
      <c r="BG298" s="17" t="s">
        <v>6567</v>
      </c>
      <c r="BH298" s="17" t="s">
        <v>6568</v>
      </c>
      <c r="BI298" s="17" t="s">
        <v>6569</v>
      </c>
      <c r="BJ298" s="17" t="s">
        <v>6570</v>
      </c>
      <c r="BK298" s="17" t="s">
        <v>151</v>
      </c>
      <c r="BL298" s="17" t="s">
        <v>6571</v>
      </c>
      <c r="BM298" s="17" t="s">
        <v>1043</v>
      </c>
      <c r="BN298" s="16" t="s">
        <v>6572</v>
      </c>
      <c r="BO298" s="17" t="s">
        <v>186</v>
      </c>
      <c r="BP298" s="16" t="s">
        <v>6568</v>
      </c>
      <c r="BQ298" s="16" t="s">
        <v>151</v>
      </c>
      <c r="BR298" s="17" t="s">
        <v>6573</v>
      </c>
      <c r="BS298" s="17" t="s">
        <v>187</v>
      </c>
      <c r="BT298" s="17" t="s">
        <v>188</v>
      </c>
      <c r="BU298" s="22">
        <v>44113</v>
      </c>
      <c r="BV298" s="24" t="s">
        <v>151</v>
      </c>
      <c r="BW298" s="17" t="s">
        <v>151</v>
      </c>
      <c r="BX298" s="24" t="s">
        <v>151</v>
      </c>
      <c r="BY298" s="17" t="s">
        <v>151</v>
      </c>
      <c r="BZ298" s="17" t="s">
        <v>189</v>
      </c>
      <c r="CA298" s="17" t="s">
        <v>151</v>
      </c>
      <c r="CB298" s="17" t="s">
        <v>151</v>
      </c>
      <c r="CC298" s="17" t="s">
        <v>190</v>
      </c>
      <c r="CD298" s="17" t="s">
        <v>151</v>
      </c>
      <c r="CE298" s="17" t="s">
        <v>191</v>
      </c>
      <c r="CF298" s="22">
        <v>45596</v>
      </c>
      <c r="CG298" s="24">
        <v>0.03</v>
      </c>
      <c r="CH298" s="17" t="s">
        <v>192</v>
      </c>
      <c r="CI298" s="24" t="s">
        <v>151</v>
      </c>
      <c r="CJ298" s="17" t="s">
        <v>151</v>
      </c>
      <c r="CK298" s="16" t="s">
        <v>151</v>
      </c>
      <c r="CL298" s="17" t="s">
        <v>1075</v>
      </c>
      <c r="CM298" s="17" t="s">
        <v>1075</v>
      </c>
      <c r="CN298" s="17" t="s">
        <v>151</v>
      </c>
      <c r="CO298" s="17" t="s">
        <v>585</v>
      </c>
      <c r="CP298" s="22">
        <v>45596</v>
      </c>
      <c r="CQ298" s="24" t="s">
        <v>151</v>
      </c>
      <c r="CR298" s="17" t="s">
        <v>151</v>
      </c>
      <c r="CS298" s="17" t="s">
        <v>191</v>
      </c>
      <c r="CT298" s="16">
        <v>44</v>
      </c>
      <c r="CU298" s="17" t="s">
        <v>263</v>
      </c>
      <c r="CV298" s="19">
        <v>44</v>
      </c>
      <c r="CW298" s="19">
        <v>56</v>
      </c>
      <c r="CX298" s="17" t="s">
        <v>263</v>
      </c>
      <c r="CY298" s="19">
        <v>1</v>
      </c>
      <c r="CZ298" s="19">
        <v>43</v>
      </c>
      <c r="DA298" s="24" t="s">
        <v>151</v>
      </c>
      <c r="DB298" s="22" t="s">
        <v>151</v>
      </c>
      <c r="DC298" s="17" t="s">
        <v>151</v>
      </c>
      <c r="DD298" s="16" t="s">
        <v>151</v>
      </c>
      <c r="DE298" s="19">
        <v>0</v>
      </c>
      <c r="DF298" s="21">
        <v>11</v>
      </c>
      <c r="DG298" s="19">
        <v>0</v>
      </c>
      <c r="DH298" s="19">
        <v>0</v>
      </c>
      <c r="DI298" s="19">
        <v>0</v>
      </c>
      <c r="DJ298" s="21">
        <v>10</v>
      </c>
      <c r="DK298" s="19" t="s">
        <v>151</v>
      </c>
      <c r="DL298" s="21" t="s">
        <v>151</v>
      </c>
      <c r="DM298" s="19">
        <v>0</v>
      </c>
      <c r="DN298" s="21">
        <v>10</v>
      </c>
      <c r="DO298" s="23">
        <v>2.32</v>
      </c>
      <c r="DP298" s="21">
        <v>69</v>
      </c>
      <c r="DQ298" s="23">
        <v>0</v>
      </c>
      <c r="DR298" s="19">
        <v>0</v>
      </c>
      <c r="DS298" s="23">
        <v>2.32</v>
      </c>
      <c r="DT298" s="21">
        <v>69</v>
      </c>
      <c r="DU298" s="23" t="s">
        <v>151</v>
      </c>
      <c r="DV298" s="21" t="s">
        <v>151</v>
      </c>
      <c r="DW298" s="23">
        <v>2.32</v>
      </c>
      <c r="DX298" s="21">
        <v>69</v>
      </c>
      <c r="DY298" s="18" t="s">
        <v>151</v>
      </c>
      <c r="DZ298" s="22" t="s">
        <v>151</v>
      </c>
      <c r="EA298" s="22" t="s">
        <v>151</v>
      </c>
      <c r="EB298" s="21">
        <v>638</v>
      </c>
      <c r="EC298" s="20">
        <v>159</v>
      </c>
      <c r="ED298" s="19">
        <v>33.19</v>
      </c>
      <c r="EE298" s="21">
        <v>44</v>
      </c>
      <c r="EF298" s="20">
        <v>0</v>
      </c>
      <c r="EG298" s="19">
        <v>0</v>
      </c>
      <c r="EH298" s="16" t="s">
        <v>198</v>
      </c>
      <c r="EI298" s="17" t="s">
        <v>151</v>
      </c>
      <c r="EJ298" s="17" t="s">
        <v>151</v>
      </c>
      <c r="EK298" s="18" t="s">
        <v>151</v>
      </c>
      <c r="EL298" s="18" t="s">
        <v>151</v>
      </c>
      <c r="EM298" s="18" t="s">
        <v>151</v>
      </c>
      <c r="EN298" s="18" t="s">
        <v>151</v>
      </c>
      <c r="EO298" s="18" t="s">
        <v>151</v>
      </c>
      <c r="EP298" s="17" t="s">
        <v>151</v>
      </c>
      <c r="EQ298" s="16" t="s">
        <v>151</v>
      </c>
      <c r="ER298" s="16" t="s">
        <v>151</v>
      </c>
      <c r="ES298" s="3">
        <f>HYPERLINK("https://my.pitchbook.com?c=460210-78","View Company Online")</f>
      </c>
    </row>
    <row r="299">
      <c r="A299" s="30" t="s">
        <v>6574</v>
      </c>
      <c r="B299" s="30" t="s">
        <v>6575</v>
      </c>
      <c r="C299" s="31" t="s">
        <v>151</v>
      </c>
      <c r="D299" s="30" t="s">
        <v>151</v>
      </c>
      <c r="E299" s="30" t="s">
        <v>151</v>
      </c>
      <c r="F299" s="30" t="s">
        <v>6576</v>
      </c>
      <c r="G299" s="30" t="s">
        <v>151</v>
      </c>
      <c r="H299" s="30" t="s">
        <v>151</v>
      </c>
      <c r="I299" s="30" t="s">
        <v>151</v>
      </c>
      <c r="J299" s="30" t="s">
        <v>6574</v>
      </c>
      <c r="K299" s="30" t="s">
        <v>6577</v>
      </c>
      <c r="L299" s="30" t="s">
        <v>616</v>
      </c>
      <c r="M299" s="30" t="s">
        <v>834</v>
      </c>
      <c r="N299" s="30" t="s">
        <v>2059</v>
      </c>
      <c r="O299" s="30" t="s">
        <v>2943</v>
      </c>
      <c r="P299" s="30" t="s">
        <v>6578</v>
      </c>
      <c r="Q299" s="30" t="s">
        <v>6579</v>
      </c>
      <c r="R299" s="30" t="s">
        <v>151</v>
      </c>
      <c r="S299" s="30" t="s">
        <v>162</v>
      </c>
      <c r="T299" s="37">
        <v>2.85</v>
      </c>
      <c r="U299" s="30" t="s">
        <v>163</v>
      </c>
      <c r="V299" s="30" t="s">
        <v>164</v>
      </c>
      <c r="W299" s="30" t="s">
        <v>165</v>
      </c>
      <c r="X299" s="28" t="s">
        <v>6580</v>
      </c>
      <c r="Y299" s="28" t="s">
        <v>6581</v>
      </c>
      <c r="Z299" s="40" t="s">
        <v>151</v>
      </c>
      <c r="AA299" s="30" t="s">
        <v>151</v>
      </c>
      <c r="AB299" s="30" t="s">
        <v>151</v>
      </c>
      <c r="AC299" s="30" t="s">
        <v>151</v>
      </c>
      <c r="AD299" s="39">
        <v>2011</v>
      </c>
      <c r="AE299" s="30" t="s">
        <v>151</v>
      </c>
      <c r="AF299" s="35">
        <v>45595</v>
      </c>
      <c r="AG299" s="30" t="s">
        <v>151</v>
      </c>
      <c r="AH299" s="30" t="s">
        <v>151</v>
      </c>
      <c r="AI299" s="38" t="s">
        <v>151</v>
      </c>
      <c r="AJ299" s="32" t="s">
        <v>151</v>
      </c>
      <c r="AK299" s="38" t="s">
        <v>151</v>
      </c>
      <c r="AL299" s="38" t="s">
        <v>151</v>
      </c>
      <c r="AM299" s="38" t="s">
        <v>151</v>
      </c>
      <c r="AN299" s="38" t="s">
        <v>151</v>
      </c>
      <c r="AO299" s="38" t="s">
        <v>151</v>
      </c>
      <c r="AP299" s="38" t="s">
        <v>151</v>
      </c>
      <c r="AQ299" s="38" t="s">
        <v>151</v>
      </c>
      <c r="AR299" s="29" t="s">
        <v>151</v>
      </c>
      <c r="AS299" s="30" t="s">
        <v>6582</v>
      </c>
      <c r="AT299" s="30" t="s">
        <v>6583</v>
      </c>
      <c r="AU299" s="31">
        <v>1</v>
      </c>
      <c r="AV299" s="30" t="s">
        <v>151</v>
      </c>
      <c r="AW299" s="30" t="s">
        <v>151</v>
      </c>
      <c r="AX299" s="30" t="s">
        <v>151</v>
      </c>
      <c r="AY299" s="30" t="s">
        <v>6584</v>
      </c>
      <c r="AZ299" s="30" t="s">
        <v>151</v>
      </c>
      <c r="BA299" s="30" t="s">
        <v>151</v>
      </c>
      <c r="BB299" s="30" t="s">
        <v>151</v>
      </c>
      <c r="BC299" s="30" t="s">
        <v>151</v>
      </c>
      <c r="BD299" s="30" t="s">
        <v>151</v>
      </c>
      <c r="BE299" s="30" t="s">
        <v>151</v>
      </c>
      <c r="BF299" s="30" t="s">
        <v>151</v>
      </c>
      <c r="BG299" s="30" t="s">
        <v>151</v>
      </c>
      <c r="BH299" s="30" t="s">
        <v>151</v>
      </c>
      <c r="BI299" s="30" t="s">
        <v>2430</v>
      </c>
      <c r="BJ299" s="30" t="s">
        <v>6585</v>
      </c>
      <c r="BK299" s="30" t="s">
        <v>151</v>
      </c>
      <c r="BL299" s="30" t="s">
        <v>2432</v>
      </c>
      <c r="BM299" s="30" t="s">
        <v>322</v>
      </c>
      <c r="BN299" s="29" t="s">
        <v>6586</v>
      </c>
      <c r="BO299" s="30" t="s">
        <v>186</v>
      </c>
      <c r="BP299" s="29" t="s">
        <v>6587</v>
      </c>
      <c r="BQ299" s="29" t="s">
        <v>151</v>
      </c>
      <c r="BR299" s="30" t="s">
        <v>6588</v>
      </c>
      <c r="BS299" s="30" t="s">
        <v>187</v>
      </c>
      <c r="BT299" s="30" t="s">
        <v>188</v>
      </c>
      <c r="BU299" s="35">
        <v>44579</v>
      </c>
      <c r="BV299" s="37">
        <v>2.85</v>
      </c>
      <c r="BW299" s="30" t="s">
        <v>192</v>
      </c>
      <c r="BX299" s="37" t="s">
        <v>151</v>
      </c>
      <c r="BY299" s="30" t="s">
        <v>151</v>
      </c>
      <c r="BZ299" s="30" t="s">
        <v>194</v>
      </c>
      <c r="CA299" s="30" t="s">
        <v>151</v>
      </c>
      <c r="CB299" s="30" t="s">
        <v>151</v>
      </c>
      <c r="CC299" s="30" t="s">
        <v>165</v>
      </c>
      <c r="CD299" s="30" t="s">
        <v>151</v>
      </c>
      <c r="CE299" s="30" t="s">
        <v>191</v>
      </c>
      <c r="CF299" s="35">
        <v>44579</v>
      </c>
      <c r="CG299" s="37">
        <v>2.85</v>
      </c>
      <c r="CH299" s="30" t="s">
        <v>192</v>
      </c>
      <c r="CI299" s="37" t="s">
        <v>151</v>
      </c>
      <c r="CJ299" s="30" t="s">
        <v>151</v>
      </c>
      <c r="CK299" s="29" t="s">
        <v>151</v>
      </c>
      <c r="CL299" s="30" t="s">
        <v>194</v>
      </c>
      <c r="CM299" s="30" t="s">
        <v>151</v>
      </c>
      <c r="CN299" s="30" t="s">
        <v>151</v>
      </c>
      <c r="CO299" s="30" t="s">
        <v>165</v>
      </c>
      <c r="CP299" s="35">
        <v>44579</v>
      </c>
      <c r="CQ299" s="37" t="s">
        <v>151</v>
      </c>
      <c r="CR299" s="30" t="s">
        <v>151</v>
      </c>
      <c r="CS299" s="30" t="s">
        <v>191</v>
      </c>
      <c r="CT299" s="29" t="s">
        <v>151</v>
      </c>
      <c r="CU299" s="30" t="s">
        <v>151</v>
      </c>
      <c r="CV299" s="32" t="s">
        <v>151</v>
      </c>
      <c r="CW299" s="32" t="s">
        <v>151</v>
      </c>
      <c r="CX299" s="30" t="s">
        <v>151</v>
      </c>
      <c r="CY299" s="32" t="s">
        <v>151</v>
      </c>
      <c r="CZ299" s="32" t="s">
        <v>151</v>
      </c>
      <c r="DA299" s="37" t="s">
        <v>151</v>
      </c>
      <c r="DB299" s="35" t="s">
        <v>151</v>
      </c>
      <c r="DC299" s="30" t="s">
        <v>151</v>
      </c>
      <c r="DD299" s="29" t="s">
        <v>151</v>
      </c>
      <c r="DE299" s="32">
        <v>0</v>
      </c>
      <c r="DF299" s="34">
        <v>11</v>
      </c>
      <c r="DG299" s="32">
        <v>0</v>
      </c>
      <c r="DH299" s="32">
        <v>0</v>
      </c>
      <c r="DI299" s="32">
        <v>0</v>
      </c>
      <c r="DJ299" s="34">
        <v>10</v>
      </c>
      <c r="DK299" s="32">
        <v>0</v>
      </c>
      <c r="DL299" s="34">
        <v>11</v>
      </c>
      <c r="DM299" s="32">
        <v>0</v>
      </c>
      <c r="DN299" s="34">
        <v>10</v>
      </c>
      <c r="DO299" s="36">
        <v>0.6</v>
      </c>
      <c r="DP299" s="34">
        <v>38</v>
      </c>
      <c r="DQ299" s="36">
        <v>0</v>
      </c>
      <c r="DR299" s="32">
        <v>0</v>
      </c>
      <c r="DS299" s="36">
        <v>0.6</v>
      </c>
      <c r="DT299" s="34">
        <v>38</v>
      </c>
      <c r="DU299" s="36">
        <v>0.47</v>
      </c>
      <c r="DV299" s="34">
        <v>33</v>
      </c>
      <c r="DW299" s="36">
        <v>0.74</v>
      </c>
      <c r="DX299" s="34">
        <v>42</v>
      </c>
      <c r="DY299" s="31">
        <v>1</v>
      </c>
      <c r="DZ299" s="35">
        <v>44295</v>
      </c>
      <c r="EA299" s="35" t="s">
        <v>6589</v>
      </c>
      <c r="EB299" s="34">
        <v>0</v>
      </c>
      <c r="EC299" s="33">
        <v>0</v>
      </c>
      <c r="ED299" s="32">
        <v>0</v>
      </c>
      <c r="EE299" s="34">
        <v>14</v>
      </c>
      <c r="EF299" s="33">
        <v>0</v>
      </c>
      <c r="EG299" s="32">
        <v>0</v>
      </c>
      <c r="EH299" s="29" t="s">
        <v>198</v>
      </c>
      <c r="EI299" s="30" t="s">
        <v>151</v>
      </c>
      <c r="EJ299" s="30" t="s">
        <v>151</v>
      </c>
      <c r="EK299" s="31" t="s">
        <v>151</v>
      </c>
      <c r="EL299" s="31" t="s">
        <v>151</v>
      </c>
      <c r="EM299" s="31" t="s">
        <v>151</v>
      </c>
      <c r="EN299" s="31" t="s">
        <v>151</v>
      </c>
      <c r="EO299" s="31" t="s">
        <v>151</v>
      </c>
      <c r="EP299" s="30" t="s">
        <v>151</v>
      </c>
      <c r="EQ299" s="29" t="s">
        <v>151</v>
      </c>
      <c r="ER299" s="29" t="s">
        <v>151</v>
      </c>
      <c r="ES299" s="4">
        <f>HYPERLINK("https://my.pitchbook.com?c=490698-37","View Company Online")</f>
      </c>
    </row>
    <row r="300">
      <c r="A300" s="17" t="s">
        <v>6590</v>
      </c>
      <c r="B300" s="17" t="s">
        <v>6591</v>
      </c>
      <c r="C300" s="18" t="s">
        <v>151</v>
      </c>
      <c r="D300" s="17" t="s">
        <v>6592</v>
      </c>
      <c r="E300" s="17" t="s">
        <v>151</v>
      </c>
      <c r="F300" s="17" t="s">
        <v>6593</v>
      </c>
      <c r="G300" s="17" t="s">
        <v>151</v>
      </c>
      <c r="H300" s="17" t="s">
        <v>151</v>
      </c>
      <c r="I300" s="17" t="s">
        <v>6594</v>
      </c>
      <c r="J300" s="17" t="s">
        <v>6590</v>
      </c>
      <c r="K300" s="17" t="s">
        <v>6595</v>
      </c>
      <c r="L300" s="17" t="s">
        <v>205</v>
      </c>
      <c r="M300" s="17" t="s">
        <v>206</v>
      </c>
      <c r="N300" s="17" t="s">
        <v>269</v>
      </c>
      <c r="O300" s="17" t="s">
        <v>563</v>
      </c>
      <c r="P300" s="17" t="s">
        <v>6596</v>
      </c>
      <c r="Q300" s="17" t="s">
        <v>6597</v>
      </c>
      <c r="R300" s="17" t="s">
        <v>151</v>
      </c>
      <c r="S300" s="17" t="s">
        <v>162</v>
      </c>
      <c r="T300" s="24">
        <v>10.35</v>
      </c>
      <c r="U300" s="17" t="s">
        <v>163</v>
      </c>
      <c r="V300" s="17" t="s">
        <v>164</v>
      </c>
      <c r="W300" s="17" t="s">
        <v>165</v>
      </c>
      <c r="X300" s="15" t="s">
        <v>6598</v>
      </c>
      <c r="Y300" s="15" t="s">
        <v>6599</v>
      </c>
      <c r="Z300" s="27">
        <v>30</v>
      </c>
      <c r="AA300" s="17" t="s">
        <v>6600</v>
      </c>
      <c r="AB300" s="17" t="s">
        <v>151</v>
      </c>
      <c r="AC300" s="17" t="s">
        <v>151</v>
      </c>
      <c r="AD300" s="26">
        <v>2019</v>
      </c>
      <c r="AE300" s="17" t="s">
        <v>151</v>
      </c>
      <c r="AF300" s="22">
        <v>45574</v>
      </c>
      <c r="AG300" s="17" t="s">
        <v>151</v>
      </c>
      <c r="AH300" s="17" t="s">
        <v>151</v>
      </c>
      <c r="AI300" s="25" t="s">
        <v>151</v>
      </c>
      <c r="AJ300" s="19" t="s">
        <v>151</v>
      </c>
      <c r="AK300" s="25" t="s">
        <v>151</v>
      </c>
      <c r="AL300" s="25" t="s">
        <v>151</v>
      </c>
      <c r="AM300" s="25" t="s">
        <v>151</v>
      </c>
      <c r="AN300" s="25" t="s">
        <v>151</v>
      </c>
      <c r="AO300" s="25" t="s">
        <v>151</v>
      </c>
      <c r="AP300" s="25" t="s">
        <v>151</v>
      </c>
      <c r="AQ300" s="25" t="s">
        <v>151</v>
      </c>
      <c r="AR300" s="16" t="s">
        <v>151</v>
      </c>
      <c r="AS300" s="17" t="s">
        <v>6601</v>
      </c>
      <c r="AT300" s="17" t="s">
        <v>6602</v>
      </c>
      <c r="AU300" s="18">
        <v>4</v>
      </c>
      <c r="AV300" s="17" t="s">
        <v>151</v>
      </c>
      <c r="AW300" s="17" t="s">
        <v>151</v>
      </c>
      <c r="AX300" s="17" t="s">
        <v>151</v>
      </c>
      <c r="AY300" s="17" t="s">
        <v>6603</v>
      </c>
      <c r="AZ300" s="17" t="s">
        <v>151</v>
      </c>
      <c r="BA300" s="17" t="s">
        <v>151</v>
      </c>
      <c r="BB300" s="17" t="s">
        <v>151</v>
      </c>
      <c r="BC300" s="17" t="s">
        <v>151</v>
      </c>
      <c r="BD300" s="17" t="s">
        <v>6604</v>
      </c>
      <c r="BE300" s="17" t="s">
        <v>6605</v>
      </c>
      <c r="BF300" s="17" t="s">
        <v>493</v>
      </c>
      <c r="BG300" s="17" t="s">
        <v>6606</v>
      </c>
      <c r="BH300" s="17" t="s">
        <v>6607</v>
      </c>
      <c r="BI300" s="17" t="s">
        <v>5030</v>
      </c>
      <c r="BJ300" s="17" t="s">
        <v>6608</v>
      </c>
      <c r="BK300" s="17" t="s">
        <v>6609</v>
      </c>
      <c r="BL300" s="17" t="s">
        <v>5032</v>
      </c>
      <c r="BM300" s="17" t="s">
        <v>3217</v>
      </c>
      <c r="BN300" s="16" t="s">
        <v>6610</v>
      </c>
      <c r="BO300" s="17" t="s">
        <v>186</v>
      </c>
      <c r="BP300" s="16" t="s">
        <v>6607</v>
      </c>
      <c r="BQ300" s="16" t="s">
        <v>151</v>
      </c>
      <c r="BR300" s="17" t="s">
        <v>6611</v>
      </c>
      <c r="BS300" s="17" t="s">
        <v>187</v>
      </c>
      <c r="BT300" s="17" t="s">
        <v>188</v>
      </c>
      <c r="BU300" s="22">
        <v>43840</v>
      </c>
      <c r="BV300" s="24">
        <v>2.35</v>
      </c>
      <c r="BW300" s="17" t="s">
        <v>192</v>
      </c>
      <c r="BX300" s="24">
        <v>7.35</v>
      </c>
      <c r="BY300" s="17" t="s">
        <v>192</v>
      </c>
      <c r="BZ300" s="17" t="s">
        <v>293</v>
      </c>
      <c r="CA300" s="17" t="s">
        <v>293</v>
      </c>
      <c r="CB300" s="17" t="s">
        <v>151</v>
      </c>
      <c r="CC300" s="17" t="s">
        <v>165</v>
      </c>
      <c r="CD300" s="17" t="s">
        <v>151</v>
      </c>
      <c r="CE300" s="17" t="s">
        <v>191</v>
      </c>
      <c r="CF300" s="22">
        <v>45569</v>
      </c>
      <c r="CG300" s="24">
        <v>1</v>
      </c>
      <c r="CH300" s="17" t="s">
        <v>192</v>
      </c>
      <c r="CI300" s="24" t="s">
        <v>151</v>
      </c>
      <c r="CJ300" s="17" t="s">
        <v>151</v>
      </c>
      <c r="CK300" s="16" t="s">
        <v>151</v>
      </c>
      <c r="CL300" s="17" t="s">
        <v>194</v>
      </c>
      <c r="CM300" s="17" t="s">
        <v>151</v>
      </c>
      <c r="CN300" s="17" t="s">
        <v>151</v>
      </c>
      <c r="CO300" s="17" t="s">
        <v>165</v>
      </c>
      <c r="CP300" s="22">
        <v>45569</v>
      </c>
      <c r="CQ300" s="24" t="s">
        <v>151</v>
      </c>
      <c r="CR300" s="17" t="s">
        <v>151</v>
      </c>
      <c r="CS300" s="17" t="s">
        <v>191</v>
      </c>
      <c r="CT300" s="16">
        <v>93</v>
      </c>
      <c r="CU300" s="17" t="s">
        <v>196</v>
      </c>
      <c r="CV300" s="19">
        <v>86</v>
      </c>
      <c r="CW300" s="19">
        <v>14</v>
      </c>
      <c r="CX300" s="17" t="s">
        <v>294</v>
      </c>
      <c r="CY300" s="19">
        <v>1</v>
      </c>
      <c r="CZ300" s="19">
        <v>85</v>
      </c>
      <c r="DA300" s="24">
        <v>22</v>
      </c>
      <c r="DB300" s="22">
        <v>44292</v>
      </c>
      <c r="DC300" s="17" t="s">
        <v>231</v>
      </c>
      <c r="DD300" s="16">
        <v>2.04</v>
      </c>
      <c r="DE300" s="19">
        <v>1.21</v>
      </c>
      <c r="DF300" s="21">
        <v>97</v>
      </c>
      <c r="DG300" s="19">
        <v>0</v>
      </c>
      <c r="DH300" s="19">
        <v>0</v>
      </c>
      <c r="DI300" s="19">
        <v>1.54</v>
      </c>
      <c r="DJ300" s="21">
        <v>97</v>
      </c>
      <c r="DK300" s="19" t="s">
        <v>151</v>
      </c>
      <c r="DL300" s="21" t="s">
        <v>151</v>
      </c>
      <c r="DM300" s="19">
        <v>1.54</v>
      </c>
      <c r="DN300" s="21">
        <v>98</v>
      </c>
      <c r="DO300" s="23">
        <v>27.81</v>
      </c>
      <c r="DP300" s="21">
        <v>96</v>
      </c>
      <c r="DQ300" s="23">
        <v>0</v>
      </c>
      <c r="DR300" s="19">
        <v>0</v>
      </c>
      <c r="DS300" s="23">
        <v>53.32</v>
      </c>
      <c r="DT300" s="21">
        <v>98</v>
      </c>
      <c r="DU300" s="23" t="s">
        <v>151</v>
      </c>
      <c r="DV300" s="21" t="s">
        <v>151</v>
      </c>
      <c r="DW300" s="23">
        <v>53.32</v>
      </c>
      <c r="DX300" s="21">
        <v>98</v>
      </c>
      <c r="DY300" s="18">
        <v>2</v>
      </c>
      <c r="DZ300" s="22">
        <v>44545</v>
      </c>
      <c r="EA300" s="22" t="s">
        <v>151</v>
      </c>
      <c r="EB300" s="21">
        <v>789</v>
      </c>
      <c r="EC300" s="20">
        <v>-34</v>
      </c>
      <c r="ED300" s="19">
        <v>-4.13</v>
      </c>
      <c r="EE300" s="21">
        <v>1013</v>
      </c>
      <c r="EF300" s="20">
        <v>16</v>
      </c>
      <c r="EG300" s="19">
        <v>1.6</v>
      </c>
      <c r="EH300" s="16" t="s">
        <v>198</v>
      </c>
      <c r="EI300" s="17" t="s">
        <v>151</v>
      </c>
      <c r="EJ300" s="17" t="s">
        <v>151</v>
      </c>
      <c r="EK300" s="18" t="s">
        <v>151</v>
      </c>
      <c r="EL300" s="18" t="s">
        <v>151</v>
      </c>
      <c r="EM300" s="18" t="s">
        <v>151</v>
      </c>
      <c r="EN300" s="18" t="s">
        <v>151</v>
      </c>
      <c r="EO300" s="18" t="s">
        <v>151</v>
      </c>
      <c r="EP300" s="17" t="s">
        <v>151</v>
      </c>
      <c r="EQ300" s="16" t="s">
        <v>151</v>
      </c>
      <c r="ER300" s="16" t="s">
        <v>151</v>
      </c>
      <c r="ES300" s="3">
        <f>HYPERLINK("https://my.pitchbook.com?c=399261-88","View Company Online")</f>
      </c>
    </row>
    <row r="301">
      <c r="A301" s="30" t="s">
        <v>6612</v>
      </c>
      <c r="B301" s="30" t="s">
        <v>6613</v>
      </c>
      <c r="C301" s="31" t="s">
        <v>151</v>
      </c>
      <c r="D301" s="30" t="s">
        <v>6614</v>
      </c>
      <c r="E301" s="30" t="s">
        <v>151</v>
      </c>
      <c r="F301" s="30" t="s">
        <v>6615</v>
      </c>
      <c r="G301" s="30" t="s">
        <v>151</v>
      </c>
      <c r="H301" s="30" t="s">
        <v>151</v>
      </c>
      <c r="I301" s="30" t="s">
        <v>151</v>
      </c>
      <c r="J301" s="30" t="s">
        <v>6612</v>
      </c>
      <c r="K301" s="30" t="s">
        <v>6616</v>
      </c>
      <c r="L301" s="30" t="s">
        <v>205</v>
      </c>
      <c r="M301" s="30" t="s">
        <v>206</v>
      </c>
      <c r="N301" s="30" t="s">
        <v>1268</v>
      </c>
      <c r="O301" s="30" t="s">
        <v>2129</v>
      </c>
      <c r="P301" s="30" t="s">
        <v>4186</v>
      </c>
      <c r="Q301" s="30" t="s">
        <v>6617</v>
      </c>
      <c r="R301" s="30" t="s">
        <v>151</v>
      </c>
      <c r="S301" s="30" t="s">
        <v>162</v>
      </c>
      <c r="T301" s="37">
        <v>6.57</v>
      </c>
      <c r="U301" s="30" t="s">
        <v>163</v>
      </c>
      <c r="V301" s="30" t="s">
        <v>164</v>
      </c>
      <c r="W301" s="30" t="s">
        <v>165</v>
      </c>
      <c r="X301" s="28" t="s">
        <v>6618</v>
      </c>
      <c r="Y301" s="28" t="s">
        <v>6619</v>
      </c>
      <c r="Z301" s="40">
        <v>7</v>
      </c>
      <c r="AA301" s="30" t="s">
        <v>3963</v>
      </c>
      <c r="AB301" s="30" t="s">
        <v>151</v>
      </c>
      <c r="AC301" s="30" t="s">
        <v>151</v>
      </c>
      <c r="AD301" s="39">
        <v>2021</v>
      </c>
      <c r="AE301" s="30" t="s">
        <v>151</v>
      </c>
      <c r="AF301" s="35">
        <v>45583</v>
      </c>
      <c r="AG301" s="30" t="s">
        <v>151</v>
      </c>
      <c r="AH301" s="30" t="s">
        <v>151</v>
      </c>
      <c r="AI301" s="38" t="s">
        <v>151</v>
      </c>
      <c r="AJ301" s="32" t="s">
        <v>151</v>
      </c>
      <c r="AK301" s="38" t="s">
        <v>151</v>
      </c>
      <c r="AL301" s="38" t="s">
        <v>151</v>
      </c>
      <c r="AM301" s="38" t="s">
        <v>151</v>
      </c>
      <c r="AN301" s="38" t="s">
        <v>151</v>
      </c>
      <c r="AO301" s="38" t="s">
        <v>151</v>
      </c>
      <c r="AP301" s="38" t="s">
        <v>151</v>
      </c>
      <c r="AQ301" s="38" t="s">
        <v>151</v>
      </c>
      <c r="AR301" s="29" t="s">
        <v>151</v>
      </c>
      <c r="AS301" s="30" t="s">
        <v>6620</v>
      </c>
      <c r="AT301" s="30" t="s">
        <v>6621</v>
      </c>
      <c r="AU301" s="31">
        <v>5</v>
      </c>
      <c r="AV301" s="30" t="s">
        <v>151</v>
      </c>
      <c r="AW301" s="30" t="s">
        <v>151</v>
      </c>
      <c r="AX301" s="30" t="s">
        <v>151</v>
      </c>
      <c r="AY301" s="30" t="s">
        <v>6622</v>
      </c>
      <c r="AZ301" s="30" t="s">
        <v>151</v>
      </c>
      <c r="BA301" s="30" t="s">
        <v>151</v>
      </c>
      <c r="BB301" s="30" t="s">
        <v>151</v>
      </c>
      <c r="BC301" s="30" t="s">
        <v>151</v>
      </c>
      <c r="BD301" s="30" t="s">
        <v>6623</v>
      </c>
      <c r="BE301" s="30" t="s">
        <v>6624</v>
      </c>
      <c r="BF301" s="30" t="s">
        <v>493</v>
      </c>
      <c r="BG301" s="30" t="s">
        <v>6625</v>
      </c>
      <c r="BH301" s="30" t="s">
        <v>6626</v>
      </c>
      <c r="BI301" s="30" t="s">
        <v>6627</v>
      </c>
      <c r="BJ301" s="30" t="s">
        <v>6628</v>
      </c>
      <c r="BK301" s="30" t="s">
        <v>6629</v>
      </c>
      <c r="BL301" s="30" t="s">
        <v>6630</v>
      </c>
      <c r="BM301" s="30" t="s">
        <v>259</v>
      </c>
      <c r="BN301" s="29" t="s">
        <v>6631</v>
      </c>
      <c r="BO301" s="30" t="s">
        <v>186</v>
      </c>
      <c r="BP301" s="29" t="s">
        <v>6626</v>
      </c>
      <c r="BQ301" s="29" t="s">
        <v>151</v>
      </c>
      <c r="BR301" s="30" t="s">
        <v>6632</v>
      </c>
      <c r="BS301" s="30" t="s">
        <v>187</v>
      </c>
      <c r="BT301" s="30" t="s">
        <v>188</v>
      </c>
      <c r="BU301" s="35">
        <v>44764</v>
      </c>
      <c r="BV301" s="37">
        <v>2.57</v>
      </c>
      <c r="BW301" s="30" t="s">
        <v>192</v>
      </c>
      <c r="BX301" s="37">
        <v>27.57</v>
      </c>
      <c r="BY301" s="30" t="s">
        <v>192</v>
      </c>
      <c r="BZ301" s="30" t="s">
        <v>293</v>
      </c>
      <c r="CA301" s="30" t="s">
        <v>293</v>
      </c>
      <c r="CB301" s="30" t="s">
        <v>151</v>
      </c>
      <c r="CC301" s="30" t="s">
        <v>165</v>
      </c>
      <c r="CD301" s="30" t="s">
        <v>151</v>
      </c>
      <c r="CE301" s="30" t="s">
        <v>191</v>
      </c>
      <c r="CF301" s="35">
        <v>45562</v>
      </c>
      <c r="CG301" s="37">
        <v>4</v>
      </c>
      <c r="CH301" s="30" t="s">
        <v>192</v>
      </c>
      <c r="CI301" s="37">
        <v>18.5</v>
      </c>
      <c r="CJ301" s="30" t="s">
        <v>192</v>
      </c>
      <c r="CK301" s="29">
        <v>0.53</v>
      </c>
      <c r="CL301" s="30" t="s">
        <v>293</v>
      </c>
      <c r="CM301" s="30" t="s">
        <v>293</v>
      </c>
      <c r="CN301" s="30" t="s">
        <v>151</v>
      </c>
      <c r="CO301" s="30" t="s">
        <v>165</v>
      </c>
      <c r="CP301" s="35">
        <v>45562</v>
      </c>
      <c r="CQ301" s="37" t="s">
        <v>151</v>
      </c>
      <c r="CR301" s="30" t="s">
        <v>151</v>
      </c>
      <c r="CS301" s="30" t="s">
        <v>191</v>
      </c>
      <c r="CT301" s="29">
        <v>69</v>
      </c>
      <c r="CU301" s="30" t="s">
        <v>196</v>
      </c>
      <c r="CV301" s="32">
        <v>64</v>
      </c>
      <c r="CW301" s="32">
        <v>36</v>
      </c>
      <c r="CX301" s="30" t="s">
        <v>294</v>
      </c>
      <c r="CY301" s="32">
        <v>1</v>
      </c>
      <c r="CZ301" s="32">
        <v>63</v>
      </c>
      <c r="DA301" s="37">
        <v>18.5</v>
      </c>
      <c r="DB301" s="35">
        <v>45562</v>
      </c>
      <c r="DC301" s="30" t="s">
        <v>293</v>
      </c>
      <c r="DD301" s="29">
        <v>0.53</v>
      </c>
      <c r="DE301" s="32">
        <v>0</v>
      </c>
      <c r="DF301" s="34">
        <v>11</v>
      </c>
      <c r="DG301" s="32">
        <v>0</v>
      </c>
      <c r="DH301" s="32">
        <v>0</v>
      </c>
      <c r="DI301" s="32">
        <v>0</v>
      </c>
      <c r="DJ301" s="34">
        <v>10</v>
      </c>
      <c r="DK301" s="32" t="s">
        <v>151</v>
      </c>
      <c r="DL301" s="34" t="s">
        <v>151</v>
      </c>
      <c r="DM301" s="32">
        <v>0</v>
      </c>
      <c r="DN301" s="34">
        <v>10</v>
      </c>
      <c r="DO301" s="36">
        <v>0.56</v>
      </c>
      <c r="DP301" s="34">
        <v>36</v>
      </c>
      <c r="DQ301" s="36">
        <v>0</v>
      </c>
      <c r="DR301" s="32">
        <v>0</v>
      </c>
      <c r="DS301" s="36">
        <v>0.58</v>
      </c>
      <c r="DT301" s="34">
        <v>36</v>
      </c>
      <c r="DU301" s="36" t="s">
        <v>151</v>
      </c>
      <c r="DV301" s="34" t="s">
        <v>151</v>
      </c>
      <c r="DW301" s="36">
        <v>0.58</v>
      </c>
      <c r="DX301" s="34">
        <v>36</v>
      </c>
      <c r="DY301" s="31" t="s">
        <v>151</v>
      </c>
      <c r="DZ301" s="35" t="s">
        <v>151</v>
      </c>
      <c r="EA301" s="35" t="s">
        <v>151</v>
      </c>
      <c r="EB301" s="34">
        <v>928</v>
      </c>
      <c r="EC301" s="33">
        <v>118</v>
      </c>
      <c r="ED301" s="32">
        <v>14.57</v>
      </c>
      <c r="EE301" s="34">
        <v>11</v>
      </c>
      <c r="EF301" s="33">
        <v>0</v>
      </c>
      <c r="EG301" s="32">
        <v>0</v>
      </c>
      <c r="EH301" s="29" t="s">
        <v>198</v>
      </c>
      <c r="EI301" s="30" t="s">
        <v>151</v>
      </c>
      <c r="EJ301" s="30" t="s">
        <v>151</v>
      </c>
      <c r="EK301" s="31" t="s">
        <v>151</v>
      </c>
      <c r="EL301" s="31" t="s">
        <v>151</v>
      </c>
      <c r="EM301" s="31" t="s">
        <v>151</v>
      </c>
      <c r="EN301" s="31" t="s">
        <v>151</v>
      </c>
      <c r="EO301" s="31" t="s">
        <v>151</v>
      </c>
      <c r="EP301" s="30" t="s">
        <v>151</v>
      </c>
      <c r="EQ301" s="29" t="s">
        <v>151</v>
      </c>
      <c r="ER301" s="29" t="s">
        <v>151</v>
      </c>
      <c r="ES301" s="4">
        <f>HYPERLINK("https://my.pitchbook.com?c=502818-58","View Company Online")</f>
      </c>
    </row>
    <row r="302">
      <c r="A302" s="17" t="s">
        <v>6633</v>
      </c>
      <c r="B302" s="17" t="s">
        <v>6634</v>
      </c>
      <c r="C302" s="18" t="s">
        <v>151</v>
      </c>
      <c r="D302" s="17" t="s">
        <v>151</v>
      </c>
      <c r="E302" s="17" t="s">
        <v>6635</v>
      </c>
      <c r="F302" s="17" t="s">
        <v>6636</v>
      </c>
      <c r="G302" s="17" t="s">
        <v>151</v>
      </c>
      <c r="H302" s="17" t="s">
        <v>151</v>
      </c>
      <c r="I302" s="17" t="s">
        <v>6637</v>
      </c>
      <c r="J302" s="17" t="s">
        <v>6633</v>
      </c>
      <c r="K302" s="17" t="s">
        <v>6638</v>
      </c>
      <c r="L302" s="17" t="s">
        <v>205</v>
      </c>
      <c r="M302" s="17" t="s">
        <v>206</v>
      </c>
      <c r="N302" s="17" t="s">
        <v>1082</v>
      </c>
      <c r="O302" s="17" t="s">
        <v>3294</v>
      </c>
      <c r="P302" s="17" t="s">
        <v>6639</v>
      </c>
      <c r="Q302" s="17" t="s">
        <v>6640</v>
      </c>
      <c r="R302" s="17" t="s">
        <v>151</v>
      </c>
      <c r="S302" s="17" t="s">
        <v>162</v>
      </c>
      <c r="T302" s="24">
        <v>9.7</v>
      </c>
      <c r="U302" s="17" t="s">
        <v>163</v>
      </c>
      <c r="V302" s="17" t="s">
        <v>164</v>
      </c>
      <c r="W302" s="17" t="s">
        <v>165</v>
      </c>
      <c r="X302" s="15" t="s">
        <v>6641</v>
      </c>
      <c r="Y302" s="15" t="s">
        <v>6642</v>
      </c>
      <c r="Z302" s="27">
        <v>10</v>
      </c>
      <c r="AA302" s="17" t="s">
        <v>6643</v>
      </c>
      <c r="AB302" s="17" t="s">
        <v>151</v>
      </c>
      <c r="AC302" s="17" t="s">
        <v>151</v>
      </c>
      <c r="AD302" s="26">
        <v>2022</v>
      </c>
      <c r="AE302" s="17" t="s">
        <v>151</v>
      </c>
      <c r="AF302" s="22">
        <v>45587</v>
      </c>
      <c r="AG302" s="17" t="s">
        <v>151</v>
      </c>
      <c r="AH302" s="17" t="s">
        <v>151</v>
      </c>
      <c r="AI302" s="25" t="s">
        <v>151</v>
      </c>
      <c r="AJ302" s="19" t="s">
        <v>151</v>
      </c>
      <c r="AK302" s="25" t="s">
        <v>151</v>
      </c>
      <c r="AL302" s="25" t="s">
        <v>151</v>
      </c>
      <c r="AM302" s="25" t="s">
        <v>151</v>
      </c>
      <c r="AN302" s="25" t="s">
        <v>151</v>
      </c>
      <c r="AO302" s="25" t="s">
        <v>151</v>
      </c>
      <c r="AP302" s="25" t="s">
        <v>151</v>
      </c>
      <c r="AQ302" s="25" t="s">
        <v>151</v>
      </c>
      <c r="AR302" s="16" t="s">
        <v>151</v>
      </c>
      <c r="AS302" s="17" t="s">
        <v>6644</v>
      </c>
      <c r="AT302" s="17" t="s">
        <v>6645</v>
      </c>
      <c r="AU302" s="18">
        <v>11</v>
      </c>
      <c r="AV302" s="17" t="s">
        <v>151</v>
      </c>
      <c r="AW302" s="17" t="s">
        <v>151</v>
      </c>
      <c r="AX302" s="17" t="s">
        <v>151</v>
      </c>
      <c r="AY302" s="17" t="s">
        <v>6646</v>
      </c>
      <c r="AZ302" s="17" t="s">
        <v>151</v>
      </c>
      <c r="BA302" s="17" t="s">
        <v>151</v>
      </c>
      <c r="BB302" s="17" t="s">
        <v>151</v>
      </c>
      <c r="BC302" s="17" t="s">
        <v>151</v>
      </c>
      <c r="BD302" s="17" t="s">
        <v>6647</v>
      </c>
      <c r="BE302" s="17" t="s">
        <v>6648</v>
      </c>
      <c r="BF302" s="17" t="s">
        <v>282</v>
      </c>
      <c r="BG302" s="17" t="s">
        <v>6649</v>
      </c>
      <c r="BH302" s="17" t="s">
        <v>151</v>
      </c>
      <c r="BI302" s="17" t="s">
        <v>1409</v>
      </c>
      <c r="BJ302" s="17" t="s">
        <v>151</v>
      </c>
      <c r="BK302" s="17" t="s">
        <v>151</v>
      </c>
      <c r="BL302" s="17" t="s">
        <v>1412</v>
      </c>
      <c r="BM302" s="17" t="s">
        <v>823</v>
      </c>
      <c r="BN302" s="16" t="s">
        <v>151</v>
      </c>
      <c r="BO302" s="17" t="s">
        <v>186</v>
      </c>
      <c r="BP302" s="16" t="s">
        <v>151</v>
      </c>
      <c r="BQ302" s="16" t="s">
        <v>151</v>
      </c>
      <c r="BR302" s="17" t="s">
        <v>6650</v>
      </c>
      <c r="BS302" s="17" t="s">
        <v>187</v>
      </c>
      <c r="BT302" s="17" t="s">
        <v>188</v>
      </c>
      <c r="BU302" s="22">
        <v>45449</v>
      </c>
      <c r="BV302" s="24">
        <v>9.7</v>
      </c>
      <c r="BW302" s="17" t="s">
        <v>192</v>
      </c>
      <c r="BX302" s="24">
        <v>35</v>
      </c>
      <c r="BY302" s="17" t="s">
        <v>192</v>
      </c>
      <c r="BZ302" s="17" t="s">
        <v>293</v>
      </c>
      <c r="CA302" s="17" t="s">
        <v>293</v>
      </c>
      <c r="CB302" s="17" t="s">
        <v>151</v>
      </c>
      <c r="CC302" s="17" t="s">
        <v>165</v>
      </c>
      <c r="CD302" s="17" t="s">
        <v>151</v>
      </c>
      <c r="CE302" s="17" t="s">
        <v>191</v>
      </c>
      <c r="CF302" s="22">
        <v>45449</v>
      </c>
      <c r="CG302" s="24">
        <v>9.7</v>
      </c>
      <c r="CH302" s="17" t="s">
        <v>192</v>
      </c>
      <c r="CI302" s="24">
        <v>35</v>
      </c>
      <c r="CJ302" s="17" t="s">
        <v>192</v>
      </c>
      <c r="CK302" s="16" t="s">
        <v>151</v>
      </c>
      <c r="CL302" s="17" t="s">
        <v>293</v>
      </c>
      <c r="CM302" s="17" t="s">
        <v>293</v>
      </c>
      <c r="CN302" s="17" t="s">
        <v>151</v>
      </c>
      <c r="CO302" s="17" t="s">
        <v>165</v>
      </c>
      <c r="CP302" s="22">
        <v>45449</v>
      </c>
      <c r="CQ302" s="24" t="s">
        <v>151</v>
      </c>
      <c r="CR302" s="17" t="s">
        <v>151</v>
      </c>
      <c r="CS302" s="17" t="s">
        <v>191</v>
      </c>
      <c r="CT302" s="16" t="s">
        <v>151</v>
      </c>
      <c r="CU302" s="17" t="s">
        <v>151</v>
      </c>
      <c r="CV302" s="19" t="s">
        <v>151</v>
      </c>
      <c r="CW302" s="19" t="s">
        <v>151</v>
      </c>
      <c r="CX302" s="17" t="s">
        <v>151</v>
      </c>
      <c r="CY302" s="19" t="s">
        <v>151</v>
      </c>
      <c r="CZ302" s="19" t="s">
        <v>151</v>
      </c>
      <c r="DA302" s="24">
        <v>35</v>
      </c>
      <c r="DB302" s="22">
        <v>45449</v>
      </c>
      <c r="DC302" s="17" t="s">
        <v>293</v>
      </c>
      <c r="DD302" s="16" t="s">
        <v>151</v>
      </c>
      <c r="DE302" s="19">
        <v>0.69</v>
      </c>
      <c r="DF302" s="21">
        <v>95</v>
      </c>
      <c r="DG302" s="19">
        <v>0</v>
      </c>
      <c r="DH302" s="19">
        <v>0</v>
      </c>
      <c r="DI302" s="19">
        <v>0</v>
      </c>
      <c r="DJ302" s="21">
        <v>10</v>
      </c>
      <c r="DK302" s="19" t="s">
        <v>151</v>
      </c>
      <c r="DL302" s="21" t="s">
        <v>151</v>
      </c>
      <c r="DM302" s="19">
        <v>0</v>
      </c>
      <c r="DN302" s="21">
        <v>10</v>
      </c>
      <c r="DO302" s="23">
        <v>2.02</v>
      </c>
      <c r="DP302" s="21">
        <v>67</v>
      </c>
      <c r="DQ302" s="23">
        <v>0</v>
      </c>
      <c r="DR302" s="19">
        <v>0</v>
      </c>
      <c r="DS302" s="23">
        <v>3.26</v>
      </c>
      <c r="DT302" s="21">
        <v>76</v>
      </c>
      <c r="DU302" s="23" t="s">
        <v>151</v>
      </c>
      <c r="DV302" s="21" t="s">
        <v>151</v>
      </c>
      <c r="DW302" s="23">
        <v>3.26</v>
      </c>
      <c r="DX302" s="21">
        <v>75</v>
      </c>
      <c r="DY302" s="18" t="s">
        <v>151</v>
      </c>
      <c r="DZ302" s="22" t="s">
        <v>151</v>
      </c>
      <c r="EA302" s="22" t="s">
        <v>151</v>
      </c>
      <c r="EB302" s="21">
        <v>621</v>
      </c>
      <c r="EC302" s="20">
        <v>18</v>
      </c>
      <c r="ED302" s="19">
        <v>2.99</v>
      </c>
      <c r="EE302" s="21">
        <v>62</v>
      </c>
      <c r="EF302" s="20">
        <v>0</v>
      </c>
      <c r="EG302" s="19">
        <v>0</v>
      </c>
      <c r="EH302" s="16" t="s">
        <v>198</v>
      </c>
      <c r="EI302" s="17" t="s">
        <v>151</v>
      </c>
      <c r="EJ302" s="17" t="s">
        <v>151</v>
      </c>
      <c r="EK302" s="18" t="s">
        <v>151</v>
      </c>
      <c r="EL302" s="18" t="s">
        <v>151</v>
      </c>
      <c r="EM302" s="18" t="s">
        <v>151</v>
      </c>
      <c r="EN302" s="18" t="s">
        <v>151</v>
      </c>
      <c r="EO302" s="18" t="s">
        <v>151</v>
      </c>
      <c r="EP302" s="17" t="s">
        <v>151</v>
      </c>
      <c r="EQ302" s="16" t="s">
        <v>151</v>
      </c>
      <c r="ER302" s="16" t="s">
        <v>151</v>
      </c>
      <c r="ES302" s="3">
        <f>HYPERLINK("https://my.pitchbook.com?c=522911-44","View Company Online")</f>
      </c>
    </row>
    <row r="303">
      <c r="A303" s="30" t="s">
        <v>6651</v>
      </c>
      <c r="B303" s="30" t="s">
        <v>6652</v>
      </c>
      <c r="C303" s="31" t="s">
        <v>151</v>
      </c>
      <c r="D303" s="30" t="s">
        <v>151</v>
      </c>
      <c r="E303" s="30" t="s">
        <v>151</v>
      </c>
      <c r="F303" s="30" t="s">
        <v>6653</v>
      </c>
      <c r="G303" s="30" t="s">
        <v>151</v>
      </c>
      <c r="H303" s="30" t="s">
        <v>151</v>
      </c>
      <c r="I303" s="30" t="s">
        <v>151</v>
      </c>
      <c r="J303" s="30" t="s">
        <v>6651</v>
      </c>
      <c r="K303" s="30" t="s">
        <v>6654</v>
      </c>
      <c r="L303" s="30" t="s">
        <v>155</v>
      </c>
      <c r="M303" s="30" t="s">
        <v>361</v>
      </c>
      <c r="N303" s="30" t="s">
        <v>362</v>
      </c>
      <c r="O303" s="30" t="s">
        <v>363</v>
      </c>
      <c r="P303" s="30" t="s">
        <v>6655</v>
      </c>
      <c r="Q303" s="30" t="s">
        <v>6656</v>
      </c>
      <c r="R303" s="30" t="s">
        <v>151</v>
      </c>
      <c r="S303" s="30" t="s">
        <v>162</v>
      </c>
      <c r="T303" s="37">
        <v>0.6</v>
      </c>
      <c r="U303" s="30" t="s">
        <v>163</v>
      </c>
      <c r="V303" s="30" t="s">
        <v>164</v>
      </c>
      <c r="W303" s="30" t="s">
        <v>165</v>
      </c>
      <c r="X303" s="28" t="s">
        <v>6657</v>
      </c>
      <c r="Y303" s="28" t="s">
        <v>6658</v>
      </c>
      <c r="Z303" s="40" t="s">
        <v>151</v>
      </c>
      <c r="AA303" s="30" t="s">
        <v>151</v>
      </c>
      <c r="AB303" s="30" t="s">
        <v>151</v>
      </c>
      <c r="AC303" s="30" t="s">
        <v>151</v>
      </c>
      <c r="AD303" s="39">
        <v>2022</v>
      </c>
      <c r="AE303" s="30" t="s">
        <v>151</v>
      </c>
      <c r="AF303" s="35">
        <v>45329</v>
      </c>
      <c r="AG303" s="30" t="s">
        <v>151</v>
      </c>
      <c r="AH303" s="30" t="s">
        <v>151</v>
      </c>
      <c r="AI303" s="38" t="s">
        <v>151</v>
      </c>
      <c r="AJ303" s="32" t="s">
        <v>151</v>
      </c>
      <c r="AK303" s="38" t="s">
        <v>151</v>
      </c>
      <c r="AL303" s="38" t="s">
        <v>151</v>
      </c>
      <c r="AM303" s="38" t="s">
        <v>151</v>
      </c>
      <c r="AN303" s="38" t="s">
        <v>151</v>
      </c>
      <c r="AO303" s="38" t="s">
        <v>151</v>
      </c>
      <c r="AP303" s="38" t="s">
        <v>151</v>
      </c>
      <c r="AQ303" s="38" t="s">
        <v>151</v>
      </c>
      <c r="AR303" s="29" t="s">
        <v>151</v>
      </c>
      <c r="AS303" s="30" t="s">
        <v>6659</v>
      </c>
      <c r="AT303" s="30" t="s">
        <v>6660</v>
      </c>
      <c r="AU303" s="31">
        <v>2</v>
      </c>
      <c r="AV303" s="30" t="s">
        <v>151</v>
      </c>
      <c r="AW303" s="30" t="s">
        <v>151</v>
      </c>
      <c r="AX303" s="30" t="s">
        <v>151</v>
      </c>
      <c r="AY303" s="30" t="s">
        <v>6661</v>
      </c>
      <c r="AZ303" s="30" t="s">
        <v>151</v>
      </c>
      <c r="BA303" s="30" t="s">
        <v>151</v>
      </c>
      <c r="BB303" s="30" t="s">
        <v>151</v>
      </c>
      <c r="BC303" s="30" t="s">
        <v>151</v>
      </c>
      <c r="BD303" s="30" t="s">
        <v>6662</v>
      </c>
      <c r="BE303" s="30" t="s">
        <v>6663</v>
      </c>
      <c r="BF303" s="30" t="s">
        <v>2910</v>
      </c>
      <c r="BG303" s="30" t="s">
        <v>151</v>
      </c>
      <c r="BH303" s="30" t="s">
        <v>151</v>
      </c>
      <c r="BI303" s="30" t="s">
        <v>6664</v>
      </c>
      <c r="BJ303" s="30" t="s">
        <v>151</v>
      </c>
      <c r="BK303" s="30" t="s">
        <v>151</v>
      </c>
      <c r="BL303" s="30" t="s">
        <v>6665</v>
      </c>
      <c r="BM303" s="30" t="s">
        <v>322</v>
      </c>
      <c r="BN303" s="29" t="s">
        <v>151</v>
      </c>
      <c r="BO303" s="30" t="s">
        <v>186</v>
      </c>
      <c r="BP303" s="29" t="s">
        <v>151</v>
      </c>
      <c r="BQ303" s="29" t="s">
        <v>151</v>
      </c>
      <c r="BR303" s="30" t="s">
        <v>151</v>
      </c>
      <c r="BS303" s="30" t="s">
        <v>187</v>
      </c>
      <c r="BT303" s="30" t="s">
        <v>188</v>
      </c>
      <c r="BU303" s="35">
        <v>44915</v>
      </c>
      <c r="BV303" s="37">
        <v>0.5</v>
      </c>
      <c r="BW303" s="30" t="s">
        <v>192</v>
      </c>
      <c r="BX303" s="37" t="s">
        <v>151</v>
      </c>
      <c r="BY303" s="30" t="s">
        <v>151</v>
      </c>
      <c r="BZ303" s="30" t="s">
        <v>189</v>
      </c>
      <c r="CA303" s="30" t="s">
        <v>151</v>
      </c>
      <c r="CB303" s="30" t="s">
        <v>151</v>
      </c>
      <c r="CC303" s="30" t="s">
        <v>190</v>
      </c>
      <c r="CD303" s="30" t="s">
        <v>151</v>
      </c>
      <c r="CE303" s="30" t="s">
        <v>191</v>
      </c>
      <c r="CF303" s="35">
        <v>45070</v>
      </c>
      <c r="CG303" s="37">
        <v>0.1</v>
      </c>
      <c r="CH303" s="30" t="s">
        <v>192</v>
      </c>
      <c r="CI303" s="37" t="s">
        <v>151</v>
      </c>
      <c r="CJ303" s="30" t="s">
        <v>151</v>
      </c>
      <c r="CK303" s="29" t="s">
        <v>151</v>
      </c>
      <c r="CL303" s="30" t="s">
        <v>231</v>
      </c>
      <c r="CM303" s="30" t="s">
        <v>151</v>
      </c>
      <c r="CN303" s="30" t="s">
        <v>151</v>
      </c>
      <c r="CO303" s="30" t="s">
        <v>165</v>
      </c>
      <c r="CP303" s="35">
        <v>45070</v>
      </c>
      <c r="CQ303" s="37" t="s">
        <v>151</v>
      </c>
      <c r="CR303" s="30" t="s">
        <v>151</v>
      </c>
      <c r="CS303" s="30" t="s">
        <v>191</v>
      </c>
      <c r="CT303" s="29" t="s">
        <v>151</v>
      </c>
      <c r="CU303" s="30" t="s">
        <v>151</v>
      </c>
      <c r="CV303" s="32" t="s">
        <v>151</v>
      </c>
      <c r="CW303" s="32" t="s">
        <v>151</v>
      </c>
      <c r="CX303" s="30" t="s">
        <v>151</v>
      </c>
      <c r="CY303" s="32" t="s">
        <v>151</v>
      </c>
      <c r="CZ303" s="32" t="s">
        <v>151</v>
      </c>
      <c r="DA303" s="37" t="s">
        <v>151</v>
      </c>
      <c r="DB303" s="35" t="s">
        <v>151</v>
      </c>
      <c r="DC303" s="30" t="s">
        <v>151</v>
      </c>
      <c r="DD303" s="29" t="s">
        <v>151</v>
      </c>
      <c r="DE303" s="32" t="s">
        <v>151</v>
      </c>
      <c r="DF303" s="34" t="s">
        <v>151</v>
      </c>
      <c r="DG303" s="32" t="s">
        <v>151</v>
      </c>
      <c r="DH303" s="32" t="s">
        <v>151</v>
      </c>
      <c r="DI303" s="32" t="s">
        <v>151</v>
      </c>
      <c r="DJ303" s="34" t="s">
        <v>151</v>
      </c>
      <c r="DK303" s="32" t="s">
        <v>151</v>
      </c>
      <c r="DL303" s="34" t="s">
        <v>151</v>
      </c>
      <c r="DM303" s="32" t="s">
        <v>151</v>
      </c>
      <c r="DN303" s="34" t="s">
        <v>151</v>
      </c>
      <c r="DO303" s="36" t="s">
        <v>151</v>
      </c>
      <c r="DP303" s="34" t="s">
        <v>151</v>
      </c>
      <c r="DQ303" s="36" t="s">
        <v>151</v>
      </c>
      <c r="DR303" s="32" t="s">
        <v>151</v>
      </c>
      <c r="DS303" s="36" t="s">
        <v>151</v>
      </c>
      <c r="DT303" s="34" t="s">
        <v>151</v>
      </c>
      <c r="DU303" s="36" t="s">
        <v>151</v>
      </c>
      <c r="DV303" s="34" t="s">
        <v>151</v>
      </c>
      <c r="DW303" s="36" t="s">
        <v>151</v>
      </c>
      <c r="DX303" s="34" t="s">
        <v>151</v>
      </c>
      <c r="DY303" s="31" t="s">
        <v>151</v>
      </c>
      <c r="DZ303" s="35" t="s">
        <v>151</v>
      </c>
      <c r="EA303" s="35" t="s">
        <v>151</v>
      </c>
      <c r="EB303" s="34" t="s">
        <v>151</v>
      </c>
      <c r="EC303" s="33" t="s">
        <v>151</v>
      </c>
      <c r="ED303" s="32" t="s">
        <v>151</v>
      </c>
      <c r="EE303" s="34" t="s">
        <v>151</v>
      </c>
      <c r="EF303" s="33" t="s">
        <v>151</v>
      </c>
      <c r="EG303" s="32" t="s">
        <v>151</v>
      </c>
      <c r="EH303" s="29" t="s">
        <v>198</v>
      </c>
      <c r="EI303" s="30" t="s">
        <v>151</v>
      </c>
      <c r="EJ303" s="30" t="s">
        <v>151</v>
      </c>
      <c r="EK303" s="31" t="s">
        <v>151</v>
      </c>
      <c r="EL303" s="31" t="s">
        <v>151</v>
      </c>
      <c r="EM303" s="31" t="s">
        <v>151</v>
      </c>
      <c r="EN303" s="31" t="s">
        <v>151</v>
      </c>
      <c r="EO303" s="31" t="s">
        <v>151</v>
      </c>
      <c r="EP303" s="30" t="s">
        <v>151</v>
      </c>
      <c r="EQ303" s="29" t="s">
        <v>151</v>
      </c>
      <c r="ER303" s="29" t="s">
        <v>151</v>
      </c>
      <c r="ES303" s="4">
        <f>HYPERLINK("https://my.pitchbook.com?c=517043-71","View Company Online")</f>
      </c>
    </row>
    <row r="304">
      <c r="A304" s="17" t="s">
        <v>6666</v>
      </c>
      <c r="B304" s="17" t="s">
        <v>6667</v>
      </c>
      <c r="C304" s="18" t="s">
        <v>151</v>
      </c>
      <c r="D304" s="17" t="s">
        <v>151</v>
      </c>
      <c r="E304" s="17" t="s">
        <v>151</v>
      </c>
      <c r="F304" s="17" t="s">
        <v>6668</v>
      </c>
      <c r="G304" s="17" t="s">
        <v>151</v>
      </c>
      <c r="H304" s="17" t="s">
        <v>151</v>
      </c>
      <c r="I304" s="17" t="s">
        <v>151</v>
      </c>
      <c r="J304" s="17" t="s">
        <v>6666</v>
      </c>
      <c r="K304" s="17" t="s">
        <v>6669</v>
      </c>
      <c r="L304" s="17" t="s">
        <v>205</v>
      </c>
      <c r="M304" s="17" t="s">
        <v>206</v>
      </c>
      <c r="N304" s="17" t="s">
        <v>1940</v>
      </c>
      <c r="O304" s="17" t="s">
        <v>5396</v>
      </c>
      <c r="P304" s="17" t="s">
        <v>1942</v>
      </c>
      <c r="Q304" s="17" t="s">
        <v>6670</v>
      </c>
      <c r="R304" s="17" t="s">
        <v>151</v>
      </c>
      <c r="S304" s="17" t="s">
        <v>162</v>
      </c>
      <c r="T304" s="24">
        <v>2.4</v>
      </c>
      <c r="U304" s="17" t="s">
        <v>163</v>
      </c>
      <c r="V304" s="17" t="s">
        <v>164</v>
      </c>
      <c r="W304" s="17" t="s">
        <v>165</v>
      </c>
      <c r="X304" s="15" t="s">
        <v>6671</v>
      </c>
      <c r="Y304" s="15" t="s">
        <v>6672</v>
      </c>
      <c r="Z304" s="27">
        <v>47</v>
      </c>
      <c r="AA304" s="17" t="s">
        <v>6673</v>
      </c>
      <c r="AB304" s="17" t="s">
        <v>151</v>
      </c>
      <c r="AC304" s="17" t="s">
        <v>151</v>
      </c>
      <c r="AD304" s="26">
        <v>2015</v>
      </c>
      <c r="AE304" s="17" t="s">
        <v>151</v>
      </c>
      <c r="AF304" s="22">
        <v>45604</v>
      </c>
      <c r="AG304" s="17" t="s">
        <v>151</v>
      </c>
      <c r="AH304" s="17" t="s">
        <v>151</v>
      </c>
      <c r="AI304" s="25">
        <v>0.01</v>
      </c>
      <c r="AJ304" s="19" t="s">
        <v>151</v>
      </c>
      <c r="AK304" s="25" t="s">
        <v>151</v>
      </c>
      <c r="AL304" s="25">
        <v>-0.65</v>
      </c>
      <c r="AM304" s="25" t="s">
        <v>151</v>
      </c>
      <c r="AN304" s="25" t="s">
        <v>151</v>
      </c>
      <c r="AO304" s="25" t="s">
        <v>151</v>
      </c>
      <c r="AP304" s="25" t="s">
        <v>151</v>
      </c>
      <c r="AQ304" s="25" t="s">
        <v>151</v>
      </c>
      <c r="AR304" s="16" t="s">
        <v>6674</v>
      </c>
      <c r="AS304" s="17" t="s">
        <v>6675</v>
      </c>
      <c r="AT304" s="17" t="s">
        <v>6676</v>
      </c>
      <c r="AU304" s="18">
        <v>2</v>
      </c>
      <c r="AV304" s="17" t="s">
        <v>151</v>
      </c>
      <c r="AW304" s="17" t="s">
        <v>151</v>
      </c>
      <c r="AX304" s="17" t="s">
        <v>151</v>
      </c>
      <c r="AY304" s="17" t="s">
        <v>6677</v>
      </c>
      <c r="AZ304" s="17" t="s">
        <v>151</v>
      </c>
      <c r="BA304" s="17" t="s">
        <v>151</v>
      </c>
      <c r="BB304" s="17" t="s">
        <v>151</v>
      </c>
      <c r="BC304" s="17" t="s">
        <v>6678</v>
      </c>
      <c r="BD304" s="17" t="s">
        <v>6679</v>
      </c>
      <c r="BE304" s="17" t="s">
        <v>6680</v>
      </c>
      <c r="BF304" s="17" t="s">
        <v>221</v>
      </c>
      <c r="BG304" s="17" t="s">
        <v>6681</v>
      </c>
      <c r="BH304" s="17" t="s">
        <v>6682</v>
      </c>
      <c r="BI304" s="17" t="s">
        <v>906</v>
      </c>
      <c r="BJ304" s="17" t="s">
        <v>6683</v>
      </c>
      <c r="BK304" s="17" t="s">
        <v>2957</v>
      </c>
      <c r="BL304" s="17" t="s">
        <v>259</v>
      </c>
      <c r="BM304" s="17" t="s">
        <v>259</v>
      </c>
      <c r="BN304" s="16" t="s">
        <v>6684</v>
      </c>
      <c r="BO304" s="17" t="s">
        <v>186</v>
      </c>
      <c r="BP304" s="16" t="s">
        <v>6682</v>
      </c>
      <c r="BQ304" s="16" t="s">
        <v>151</v>
      </c>
      <c r="BR304" s="17" t="s">
        <v>6685</v>
      </c>
      <c r="BS304" s="17" t="s">
        <v>187</v>
      </c>
      <c r="BT304" s="17" t="s">
        <v>188</v>
      </c>
      <c r="BU304" s="22">
        <v>42944</v>
      </c>
      <c r="BV304" s="24">
        <v>0.01</v>
      </c>
      <c r="BW304" s="17" t="s">
        <v>192</v>
      </c>
      <c r="BX304" s="24" t="s">
        <v>151</v>
      </c>
      <c r="BY304" s="17" t="s">
        <v>151</v>
      </c>
      <c r="BZ304" s="17" t="s">
        <v>1363</v>
      </c>
      <c r="CA304" s="17" t="s">
        <v>151</v>
      </c>
      <c r="CB304" s="17" t="s">
        <v>151</v>
      </c>
      <c r="CC304" s="17" t="s">
        <v>585</v>
      </c>
      <c r="CD304" s="17" t="s">
        <v>6686</v>
      </c>
      <c r="CE304" s="17" t="s">
        <v>1887</v>
      </c>
      <c r="CF304" s="22">
        <v>45441</v>
      </c>
      <c r="CG304" s="24">
        <v>2</v>
      </c>
      <c r="CH304" s="17" t="s">
        <v>192</v>
      </c>
      <c r="CI304" s="24" t="s">
        <v>151</v>
      </c>
      <c r="CJ304" s="17" t="s">
        <v>151</v>
      </c>
      <c r="CK304" s="16" t="s">
        <v>151</v>
      </c>
      <c r="CL304" s="17" t="s">
        <v>194</v>
      </c>
      <c r="CM304" s="17" t="s">
        <v>151</v>
      </c>
      <c r="CN304" s="17" t="s">
        <v>151</v>
      </c>
      <c r="CO304" s="17" t="s">
        <v>165</v>
      </c>
      <c r="CP304" s="22">
        <v>45441</v>
      </c>
      <c r="CQ304" s="24" t="s">
        <v>151</v>
      </c>
      <c r="CR304" s="17" t="s">
        <v>151</v>
      </c>
      <c r="CS304" s="17" t="s">
        <v>859</v>
      </c>
      <c r="CT304" s="16">
        <v>46</v>
      </c>
      <c r="CU304" s="17" t="s">
        <v>263</v>
      </c>
      <c r="CV304" s="19">
        <v>44</v>
      </c>
      <c r="CW304" s="19">
        <v>56</v>
      </c>
      <c r="CX304" s="17" t="s">
        <v>263</v>
      </c>
      <c r="CY304" s="19">
        <v>1</v>
      </c>
      <c r="CZ304" s="19">
        <v>43</v>
      </c>
      <c r="DA304" s="24">
        <v>7.4</v>
      </c>
      <c r="DB304" s="22">
        <v>44196</v>
      </c>
      <c r="DC304" s="17" t="s">
        <v>293</v>
      </c>
      <c r="DD304" s="16" t="s">
        <v>151</v>
      </c>
      <c r="DE304" s="19">
        <v>0.19</v>
      </c>
      <c r="DF304" s="21">
        <v>91</v>
      </c>
      <c r="DG304" s="19">
        <v>0</v>
      </c>
      <c r="DH304" s="19">
        <v>0</v>
      </c>
      <c r="DI304" s="19">
        <v>-0.17</v>
      </c>
      <c r="DJ304" s="21">
        <v>9</v>
      </c>
      <c r="DK304" s="19" t="s">
        <v>151</v>
      </c>
      <c r="DL304" s="21" t="s">
        <v>151</v>
      </c>
      <c r="DM304" s="19">
        <v>-0.17</v>
      </c>
      <c r="DN304" s="21">
        <v>9</v>
      </c>
      <c r="DO304" s="23">
        <v>22.57</v>
      </c>
      <c r="DP304" s="21">
        <v>95</v>
      </c>
      <c r="DQ304" s="23">
        <v>0</v>
      </c>
      <c r="DR304" s="19">
        <v>0</v>
      </c>
      <c r="DS304" s="23">
        <v>41.53</v>
      </c>
      <c r="DT304" s="21">
        <v>98</v>
      </c>
      <c r="DU304" s="23" t="s">
        <v>151</v>
      </c>
      <c r="DV304" s="21" t="s">
        <v>151</v>
      </c>
      <c r="DW304" s="23">
        <v>41.53</v>
      </c>
      <c r="DX304" s="21">
        <v>98</v>
      </c>
      <c r="DY304" s="18">
        <v>1</v>
      </c>
      <c r="DZ304" s="22">
        <v>43995</v>
      </c>
      <c r="EA304" s="22" t="s">
        <v>151</v>
      </c>
      <c r="EB304" s="21" t="s">
        <v>151</v>
      </c>
      <c r="EC304" s="20" t="s">
        <v>151</v>
      </c>
      <c r="ED304" s="19" t="s">
        <v>151</v>
      </c>
      <c r="EE304" s="21">
        <v>789</v>
      </c>
      <c r="EF304" s="20">
        <v>1</v>
      </c>
      <c r="EG304" s="19">
        <v>0.13</v>
      </c>
      <c r="EH304" s="16" t="s">
        <v>198</v>
      </c>
      <c r="EI304" s="17" t="s">
        <v>151</v>
      </c>
      <c r="EJ304" s="17" t="s">
        <v>151</v>
      </c>
      <c r="EK304" s="18" t="s">
        <v>151</v>
      </c>
      <c r="EL304" s="18" t="s">
        <v>151</v>
      </c>
      <c r="EM304" s="18" t="s">
        <v>151</v>
      </c>
      <c r="EN304" s="18" t="s">
        <v>151</v>
      </c>
      <c r="EO304" s="18" t="s">
        <v>151</v>
      </c>
      <c r="EP304" s="17" t="s">
        <v>151</v>
      </c>
      <c r="EQ304" s="16" t="s">
        <v>151</v>
      </c>
      <c r="ER304" s="16" t="s">
        <v>151</v>
      </c>
      <c r="ES304" s="3">
        <f>HYPERLINK("https://my.pitchbook.com?c=177267-97","View Company Online")</f>
      </c>
    </row>
    <row r="305">
      <c r="A305" s="30" t="s">
        <v>6687</v>
      </c>
      <c r="B305" s="30" t="s">
        <v>6688</v>
      </c>
      <c r="C305" s="31" t="s">
        <v>151</v>
      </c>
      <c r="D305" s="30" t="s">
        <v>151</v>
      </c>
      <c r="E305" s="30" t="s">
        <v>151</v>
      </c>
      <c r="F305" s="30" t="s">
        <v>6689</v>
      </c>
      <c r="G305" s="30" t="s">
        <v>151</v>
      </c>
      <c r="H305" s="30" t="s">
        <v>151</v>
      </c>
      <c r="I305" s="30" t="s">
        <v>6690</v>
      </c>
      <c r="J305" s="30" t="s">
        <v>6687</v>
      </c>
      <c r="K305" s="30" t="s">
        <v>6691</v>
      </c>
      <c r="L305" s="30" t="s">
        <v>205</v>
      </c>
      <c r="M305" s="30" t="s">
        <v>206</v>
      </c>
      <c r="N305" s="30" t="s">
        <v>1940</v>
      </c>
      <c r="O305" s="30" t="s">
        <v>6692</v>
      </c>
      <c r="P305" s="30" t="s">
        <v>2174</v>
      </c>
      <c r="Q305" s="30" t="s">
        <v>6693</v>
      </c>
      <c r="R305" s="30" t="s">
        <v>151</v>
      </c>
      <c r="S305" s="30" t="s">
        <v>162</v>
      </c>
      <c r="T305" s="37">
        <v>18.49</v>
      </c>
      <c r="U305" s="30" t="s">
        <v>163</v>
      </c>
      <c r="V305" s="30" t="s">
        <v>164</v>
      </c>
      <c r="W305" s="30" t="s">
        <v>165</v>
      </c>
      <c r="X305" s="28" t="s">
        <v>6694</v>
      </c>
      <c r="Y305" s="28" t="s">
        <v>6695</v>
      </c>
      <c r="Z305" s="40">
        <v>49</v>
      </c>
      <c r="AA305" s="30" t="s">
        <v>6696</v>
      </c>
      <c r="AB305" s="30" t="s">
        <v>151</v>
      </c>
      <c r="AC305" s="30" t="s">
        <v>151</v>
      </c>
      <c r="AD305" s="39">
        <v>2017</v>
      </c>
      <c r="AE305" s="30" t="s">
        <v>151</v>
      </c>
      <c r="AF305" s="35">
        <v>45596</v>
      </c>
      <c r="AG305" s="30" t="s">
        <v>151</v>
      </c>
      <c r="AH305" s="30" t="s">
        <v>151</v>
      </c>
      <c r="AI305" s="38" t="s">
        <v>151</v>
      </c>
      <c r="AJ305" s="32" t="s">
        <v>151</v>
      </c>
      <c r="AK305" s="38" t="s">
        <v>151</v>
      </c>
      <c r="AL305" s="38" t="s">
        <v>151</v>
      </c>
      <c r="AM305" s="38" t="s">
        <v>151</v>
      </c>
      <c r="AN305" s="38" t="s">
        <v>151</v>
      </c>
      <c r="AO305" s="38" t="s">
        <v>151</v>
      </c>
      <c r="AP305" s="38" t="s">
        <v>151</v>
      </c>
      <c r="AQ305" s="38" t="s">
        <v>151</v>
      </c>
      <c r="AR305" s="29" t="s">
        <v>151</v>
      </c>
      <c r="AS305" s="30" t="s">
        <v>6697</v>
      </c>
      <c r="AT305" s="30" t="s">
        <v>6698</v>
      </c>
      <c r="AU305" s="31">
        <v>9</v>
      </c>
      <c r="AV305" s="30" t="s">
        <v>151</v>
      </c>
      <c r="AW305" s="30" t="s">
        <v>6699</v>
      </c>
      <c r="AX305" s="30" t="s">
        <v>151</v>
      </c>
      <c r="AY305" s="30" t="s">
        <v>6700</v>
      </c>
      <c r="AZ305" s="30" t="s">
        <v>6701</v>
      </c>
      <c r="BA305" s="30" t="s">
        <v>151</v>
      </c>
      <c r="BB305" s="30" t="s">
        <v>151</v>
      </c>
      <c r="BC305" s="30" t="s">
        <v>151</v>
      </c>
      <c r="BD305" s="30" t="s">
        <v>6702</v>
      </c>
      <c r="BE305" s="30" t="s">
        <v>6703</v>
      </c>
      <c r="BF305" s="30" t="s">
        <v>493</v>
      </c>
      <c r="BG305" s="30" t="s">
        <v>6704</v>
      </c>
      <c r="BH305" s="30" t="s">
        <v>6705</v>
      </c>
      <c r="BI305" s="30" t="s">
        <v>1040</v>
      </c>
      <c r="BJ305" s="30" t="s">
        <v>6706</v>
      </c>
      <c r="BK305" s="30" t="s">
        <v>151</v>
      </c>
      <c r="BL305" s="30" t="s">
        <v>1042</v>
      </c>
      <c r="BM305" s="30" t="s">
        <v>1043</v>
      </c>
      <c r="BN305" s="29" t="s">
        <v>6707</v>
      </c>
      <c r="BO305" s="30" t="s">
        <v>186</v>
      </c>
      <c r="BP305" s="29" t="s">
        <v>6705</v>
      </c>
      <c r="BQ305" s="29" t="s">
        <v>151</v>
      </c>
      <c r="BR305" s="30" t="s">
        <v>6708</v>
      </c>
      <c r="BS305" s="30" t="s">
        <v>187</v>
      </c>
      <c r="BT305" s="30" t="s">
        <v>188</v>
      </c>
      <c r="BU305" s="35">
        <v>43969</v>
      </c>
      <c r="BV305" s="37">
        <v>1</v>
      </c>
      <c r="BW305" s="30" t="s">
        <v>192</v>
      </c>
      <c r="BX305" s="37" t="s">
        <v>151</v>
      </c>
      <c r="BY305" s="30" t="s">
        <v>151</v>
      </c>
      <c r="BZ305" s="30" t="s">
        <v>293</v>
      </c>
      <c r="CA305" s="30" t="s">
        <v>293</v>
      </c>
      <c r="CB305" s="30" t="s">
        <v>151</v>
      </c>
      <c r="CC305" s="30" t="s">
        <v>165</v>
      </c>
      <c r="CD305" s="30" t="s">
        <v>151</v>
      </c>
      <c r="CE305" s="30" t="s">
        <v>191</v>
      </c>
      <c r="CF305" s="35">
        <v>45294</v>
      </c>
      <c r="CG305" s="37">
        <v>8.89</v>
      </c>
      <c r="CH305" s="30" t="s">
        <v>192</v>
      </c>
      <c r="CI305" s="37" t="s">
        <v>151</v>
      </c>
      <c r="CJ305" s="30" t="s">
        <v>151</v>
      </c>
      <c r="CK305" s="29" t="s">
        <v>151</v>
      </c>
      <c r="CL305" s="30" t="s">
        <v>194</v>
      </c>
      <c r="CM305" s="30" t="s">
        <v>151</v>
      </c>
      <c r="CN305" s="30" t="s">
        <v>151</v>
      </c>
      <c r="CO305" s="30" t="s">
        <v>165</v>
      </c>
      <c r="CP305" s="35">
        <v>45294</v>
      </c>
      <c r="CQ305" s="37" t="s">
        <v>151</v>
      </c>
      <c r="CR305" s="30" t="s">
        <v>151</v>
      </c>
      <c r="CS305" s="30" t="s">
        <v>191</v>
      </c>
      <c r="CT305" s="29">
        <v>42</v>
      </c>
      <c r="CU305" s="30" t="s">
        <v>196</v>
      </c>
      <c r="CV305" s="32">
        <v>84</v>
      </c>
      <c r="CW305" s="32">
        <v>16</v>
      </c>
      <c r="CX305" s="30" t="s">
        <v>294</v>
      </c>
      <c r="CY305" s="32">
        <v>1</v>
      </c>
      <c r="CZ305" s="32">
        <v>83</v>
      </c>
      <c r="DA305" s="37">
        <v>15.8</v>
      </c>
      <c r="DB305" s="35">
        <v>45070</v>
      </c>
      <c r="DC305" s="30" t="s">
        <v>194</v>
      </c>
      <c r="DD305" s="29">
        <v>0.41</v>
      </c>
      <c r="DE305" s="32">
        <v>0.54</v>
      </c>
      <c r="DF305" s="34">
        <v>94</v>
      </c>
      <c r="DG305" s="32">
        <v>0</v>
      </c>
      <c r="DH305" s="32">
        <v>0</v>
      </c>
      <c r="DI305" s="32">
        <v>0</v>
      </c>
      <c r="DJ305" s="34">
        <v>10</v>
      </c>
      <c r="DK305" s="32" t="s">
        <v>151</v>
      </c>
      <c r="DL305" s="34" t="s">
        <v>151</v>
      </c>
      <c r="DM305" s="32">
        <v>0</v>
      </c>
      <c r="DN305" s="34">
        <v>10</v>
      </c>
      <c r="DO305" s="36">
        <v>3.57</v>
      </c>
      <c r="DP305" s="34">
        <v>77</v>
      </c>
      <c r="DQ305" s="36">
        <v>0</v>
      </c>
      <c r="DR305" s="32">
        <v>0</v>
      </c>
      <c r="DS305" s="36">
        <v>3.37</v>
      </c>
      <c r="DT305" s="34">
        <v>76</v>
      </c>
      <c r="DU305" s="36" t="s">
        <v>151</v>
      </c>
      <c r="DV305" s="34" t="s">
        <v>151</v>
      </c>
      <c r="DW305" s="36">
        <v>3.37</v>
      </c>
      <c r="DX305" s="34">
        <v>76</v>
      </c>
      <c r="DY305" s="31" t="s">
        <v>151</v>
      </c>
      <c r="DZ305" s="35" t="s">
        <v>151</v>
      </c>
      <c r="EA305" s="35" t="s">
        <v>151</v>
      </c>
      <c r="EB305" s="34" t="s">
        <v>151</v>
      </c>
      <c r="EC305" s="33" t="s">
        <v>151</v>
      </c>
      <c r="ED305" s="32" t="s">
        <v>151</v>
      </c>
      <c r="EE305" s="34">
        <v>64</v>
      </c>
      <c r="EF305" s="33">
        <v>0</v>
      </c>
      <c r="EG305" s="32">
        <v>0</v>
      </c>
      <c r="EH305" s="29" t="s">
        <v>198</v>
      </c>
      <c r="EI305" s="30" t="s">
        <v>151</v>
      </c>
      <c r="EJ305" s="30" t="s">
        <v>151</v>
      </c>
      <c r="EK305" s="31" t="s">
        <v>151</v>
      </c>
      <c r="EL305" s="31" t="s">
        <v>151</v>
      </c>
      <c r="EM305" s="31" t="s">
        <v>151</v>
      </c>
      <c r="EN305" s="31" t="s">
        <v>151</v>
      </c>
      <c r="EO305" s="31" t="s">
        <v>151</v>
      </c>
      <c r="EP305" s="30" t="s">
        <v>151</v>
      </c>
      <c r="EQ305" s="29" t="s">
        <v>151</v>
      </c>
      <c r="ER305" s="29" t="s">
        <v>151</v>
      </c>
      <c r="ES305" s="4">
        <f>HYPERLINK("https://my.pitchbook.com?c=315666-64","View Company Online")</f>
      </c>
    </row>
    <row r="306">
      <c r="A306" s="17" t="s">
        <v>6709</v>
      </c>
      <c r="B306" s="17" t="s">
        <v>6710</v>
      </c>
      <c r="C306" s="18" t="s">
        <v>151</v>
      </c>
      <c r="D306" s="17" t="s">
        <v>151</v>
      </c>
      <c r="E306" s="17" t="s">
        <v>151</v>
      </c>
      <c r="F306" s="17" t="s">
        <v>6711</v>
      </c>
      <c r="G306" s="17" t="s">
        <v>151</v>
      </c>
      <c r="H306" s="17" t="s">
        <v>151</v>
      </c>
      <c r="I306" s="17" t="s">
        <v>151</v>
      </c>
      <c r="J306" s="17" t="s">
        <v>6709</v>
      </c>
      <c r="K306" s="17" t="s">
        <v>6712</v>
      </c>
      <c r="L306" s="17" t="s">
        <v>205</v>
      </c>
      <c r="M306" s="17" t="s">
        <v>206</v>
      </c>
      <c r="N306" s="17" t="s">
        <v>269</v>
      </c>
      <c r="O306" s="17" t="s">
        <v>6713</v>
      </c>
      <c r="P306" s="17" t="s">
        <v>973</v>
      </c>
      <c r="Q306" s="17" t="s">
        <v>6714</v>
      </c>
      <c r="R306" s="17" t="s">
        <v>151</v>
      </c>
      <c r="S306" s="17" t="s">
        <v>162</v>
      </c>
      <c r="T306" s="24">
        <v>1.5</v>
      </c>
      <c r="U306" s="17" t="s">
        <v>163</v>
      </c>
      <c r="V306" s="17" t="s">
        <v>164</v>
      </c>
      <c r="W306" s="17" t="s">
        <v>165</v>
      </c>
      <c r="X306" s="15" t="s">
        <v>6715</v>
      </c>
      <c r="Y306" s="15" t="s">
        <v>6716</v>
      </c>
      <c r="Z306" s="27">
        <v>16</v>
      </c>
      <c r="AA306" s="17" t="s">
        <v>6717</v>
      </c>
      <c r="AB306" s="17" t="s">
        <v>151</v>
      </c>
      <c r="AC306" s="17" t="s">
        <v>151</v>
      </c>
      <c r="AD306" s="26">
        <v>2022</v>
      </c>
      <c r="AE306" s="17" t="s">
        <v>151</v>
      </c>
      <c r="AF306" s="22">
        <v>45616</v>
      </c>
      <c r="AG306" s="17" t="s">
        <v>151</v>
      </c>
      <c r="AH306" s="17" t="s">
        <v>151</v>
      </c>
      <c r="AI306" s="25" t="s">
        <v>151</v>
      </c>
      <c r="AJ306" s="19" t="s">
        <v>151</v>
      </c>
      <c r="AK306" s="25" t="s">
        <v>151</v>
      </c>
      <c r="AL306" s="25" t="s">
        <v>151</v>
      </c>
      <c r="AM306" s="25" t="s">
        <v>151</v>
      </c>
      <c r="AN306" s="25" t="s">
        <v>151</v>
      </c>
      <c r="AO306" s="25" t="s">
        <v>151</v>
      </c>
      <c r="AP306" s="25" t="s">
        <v>151</v>
      </c>
      <c r="AQ306" s="25" t="s">
        <v>151</v>
      </c>
      <c r="AR306" s="16" t="s">
        <v>151</v>
      </c>
      <c r="AS306" s="17" t="s">
        <v>6718</v>
      </c>
      <c r="AT306" s="17" t="s">
        <v>6719</v>
      </c>
      <c r="AU306" s="18">
        <v>2</v>
      </c>
      <c r="AV306" s="17" t="s">
        <v>151</v>
      </c>
      <c r="AW306" s="17" t="s">
        <v>151</v>
      </c>
      <c r="AX306" s="17" t="s">
        <v>151</v>
      </c>
      <c r="AY306" s="17" t="s">
        <v>6720</v>
      </c>
      <c r="AZ306" s="17" t="s">
        <v>151</v>
      </c>
      <c r="BA306" s="17" t="s">
        <v>151</v>
      </c>
      <c r="BB306" s="17" t="s">
        <v>151</v>
      </c>
      <c r="BC306" s="17" t="s">
        <v>151</v>
      </c>
      <c r="BD306" s="17" t="s">
        <v>6721</v>
      </c>
      <c r="BE306" s="17" t="s">
        <v>6722</v>
      </c>
      <c r="BF306" s="17" t="s">
        <v>221</v>
      </c>
      <c r="BG306" s="17" t="s">
        <v>6723</v>
      </c>
      <c r="BH306" s="17" t="s">
        <v>151</v>
      </c>
      <c r="BI306" s="17" t="s">
        <v>764</v>
      </c>
      <c r="BJ306" s="17" t="s">
        <v>4115</v>
      </c>
      <c r="BK306" s="17" t="s">
        <v>1122</v>
      </c>
      <c r="BL306" s="17" t="s">
        <v>767</v>
      </c>
      <c r="BM306" s="17" t="s">
        <v>184</v>
      </c>
      <c r="BN306" s="16" t="s">
        <v>3001</v>
      </c>
      <c r="BO306" s="17" t="s">
        <v>186</v>
      </c>
      <c r="BP306" s="16" t="s">
        <v>151</v>
      </c>
      <c r="BQ306" s="16" t="s">
        <v>151</v>
      </c>
      <c r="BR306" s="17" t="s">
        <v>6724</v>
      </c>
      <c r="BS306" s="17" t="s">
        <v>187</v>
      </c>
      <c r="BT306" s="17" t="s">
        <v>188</v>
      </c>
      <c r="BU306" s="22">
        <v>44964</v>
      </c>
      <c r="BV306" s="24">
        <v>1.5</v>
      </c>
      <c r="BW306" s="17" t="s">
        <v>193</v>
      </c>
      <c r="BX306" s="24">
        <v>7.5</v>
      </c>
      <c r="BY306" s="17" t="s">
        <v>192</v>
      </c>
      <c r="BZ306" s="17" t="s">
        <v>293</v>
      </c>
      <c r="CA306" s="17" t="s">
        <v>293</v>
      </c>
      <c r="CB306" s="17" t="s">
        <v>151</v>
      </c>
      <c r="CC306" s="17" t="s">
        <v>165</v>
      </c>
      <c r="CD306" s="17" t="s">
        <v>151</v>
      </c>
      <c r="CE306" s="17" t="s">
        <v>191</v>
      </c>
      <c r="CF306" s="22">
        <v>44991</v>
      </c>
      <c r="CG306" s="24" t="s">
        <v>151</v>
      </c>
      <c r="CH306" s="17" t="s">
        <v>151</v>
      </c>
      <c r="CI306" s="24" t="s">
        <v>151</v>
      </c>
      <c r="CJ306" s="17" t="s">
        <v>151</v>
      </c>
      <c r="CK306" s="16" t="s">
        <v>151</v>
      </c>
      <c r="CL306" s="17" t="s">
        <v>189</v>
      </c>
      <c r="CM306" s="17" t="s">
        <v>151</v>
      </c>
      <c r="CN306" s="17" t="s">
        <v>151</v>
      </c>
      <c r="CO306" s="17" t="s">
        <v>190</v>
      </c>
      <c r="CP306" s="22">
        <v>44991</v>
      </c>
      <c r="CQ306" s="24" t="s">
        <v>151</v>
      </c>
      <c r="CR306" s="17" t="s">
        <v>151</v>
      </c>
      <c r="CS306" s="17" t="s">
        <v>191</v>
      </c>
      <c r="CT306" s="16" t="s">
        <v>151</v>
      </c>
      <c r="CU306" s="17" t="s">
        <v>151</v>
      </c>
      <c r="CV306" s="19" t="s">
        <v>151</v>
      </c>
      <c r="CW306" s="19" t="s">
        <v>151</v>
      </c>
      <c r="CX306" s="17" t="s">
        <v>151</v>
      </c>
      <c r="CY306" s="19" t="s">
        <v>151</v>
      </c>
      <c r="CZ306" s="19" t="s">
        <v>151</v>
      </c>
      <c r="DA306" s="24">
        <v>7.5</v>
      </c>
      <c r="DB306" s="22">
        <v>44964</v>
      </c>
      <c r="DC306" s="17" t="s">
        <v>293</v>
      </c>
      <c r="DD306" s="16" t="s">
        <v>151</v>
      </c>
      <c r="DE306" s="19">
        <v>0</v>
      </c>
      <c r="DF306" s="21">
        <v>11</v>
      </c>
      <c r="DG306" s="19">
        <v>0</v>
      </c>
      <c r="DH306" s="19">
        <v>0</v>
      </c>
      <c r="DI306" s="19" t="s">
        <v>151</v>
      </c>
      <c r="DJ306" s="21" t="s">
        <v>151</v>
      </c>
      <c r="DK306" s="19" t="s">
        <v>151</v>
      </c>
      <c r="DL306" s="21" t="s">
        <v>151</v>
      </c>
      <c r="DM306" s="19" t="s">
        <v>151</v>
      </c>
      <c r="DN306" s="21" t="s">
        <v>151</v>
      </c>
      <c r="DO306" s="23">
        <v>1.23</v>
      </c>
      <c r="DP306" s="21">
        <v>55</v>
      </c>
      <c r="DQ306" s="23">
        <v>0</v>
      </c>
      <c r="DR306" s="19">
        <v>0</v>
      </c>
      <c r="DS306" s="23" t="s">
        <v>151</v>
      </c>
      <c r="DT306" s="21" t="s">
        <v>151</v>
      </c>
      <c r="DU306" s="23" t="s">
        <v>151</v>
      </c>
      <c r="DV306" s="21" t="s">
        <v>151</v>
      </c>
      <c r="DW306" s="23" t="s">
        <v>151</v>
      </c>
      <c r="DX306" s="21" t="s">
        <v>151</v>
      </c>
      <c r="DY306" s="18" t="s">
        <v>151</v>
      </c>
      <c r="DZ306" s="22" t="s">
        <v>151</v>
      </c>
      <c r="EA306" s="22" t="s">
        <v>151</v>
      </c>
      <c r="EB306" s="21">
        <v>133</v>
      </c>
      <c r="EC306" s="20">
        <v>-29</v>
      </c>
      <c r="ED306" s="19">
        <v>-17.9</v>
      </c>
      <c r="EE306" s="21" t="s">
        <v>151</v>
      </c>
      <c r="EF306" s="20" t="s">
        <v>151</v>
      </c>
      <c r="EG306" s="19" t="s">
        <v>151</v>
      </c>
      <c r="EH306" s="16" t="s">
        <v>198</v>
      </c>
      <c r="EI306" s="17" t="s">
        <v>151</v>
      </c>
      <c r="EJ306" s="17" t="s">
        <v>151</v>
      </c>
      <c r="EK306" s="18" t="s">
        <v>151</v>
      </c>
      <c r="EL306" s="18" t="s">
        <v>151</v>
      </c>
      <c r="EM306" s="18" t="s">
        <v>151</v>
      </c>
      <c r="EN306" s="18" t="s">
        <v>151</v>
      </c>
      <c r="EO306" s="18" t="s">
        <v>151</v>
      </c>
      <c r="EP306" s="17" t="s">
        <v>151</v>
      </c>
      <c r="EQ306" s="16" t="s">
        <v>151</v>
      </c>
      <c r="ER306" s="16" t="s">
        <v>151</v>
      </c>
      <c r="ES306" s="3">
        <f>HYPERLINK("https://my.pitchbook.com?c=519581-71","View Company Online")</f>
      </c>
    </row>
    <row r="307">
      <c r="A307" s="30" t="s">
        <v>6725</v>
      </c>
      <c r="B307" s="30" t="s">
        <v>6726</v>
      </c>
      <c r="C307" s="31" t="s">
        <v>151</v>
      </c>
      <c r="D307" s="30" t="s">
        <v>151</v>
      </c>
      <c r="E307" s="30" t="s">
        <v>151</v>
      </c>
      <c r="F307" s="30" t="s">
        <v>6727</v>
      </c>
      <c r="G307" s="30" t="s">
        <v>151</v>
      </c>
      <c r="H307" s="30" t="s">
        <v>151</v>
      </c>
      <c r="I307" s="30" t="s">
        <v>151</v>
      </c>
      <c r="J307" s="30" t="s">
        <v>6725</v>
      </c>
      <c r="K307" s="30" t="s">
        <v>6728</v>
      </c>
      <c r="L307" s="30" t="s">
        <v>205</v>
      </c>
      <c r="M307" s="30" t="s">
        <v>206</v>
      </c>
      <c r="N307" s="30" t="s">
        <v>269</v>
      </c>
      <c r="O307" s="30" t="s">
        <v>1819</v>
      </c>
      <c r="P307" s="30" t="s">
        <v>1132</v>
      </c>
      <c r="Q307" s="30" t="s">
        <v>6729</v>
      </c>
      <c r="R307" s="30" t="s">
        <v>6730</v>
      </c>
      <c r="S307" s="30" t="s">
        <v>162</v>
      </c>
      <c r="T307" s="37">
        <v>3.45</v>
      </c>
      <c r="U307" s="30" t="s">
        <v>163</v>
      </c>
      <c r="V307" s="30" t="s">
        <v>164</v>
      </c>
      <c r="W307" s="30" t="s">
        <v>165</v>
      </c>
      <c r="X307" s="28" t="s">
        <v>6731</v>
      </c>
      <c r="Y307" s="28" t="s">
        <v>6732</v>
      </c>
      <c r="Z307" s="40">
        <v>17</v>
      </c>
      <c r="AA307" s="30" t="s">
        <v>6733</v>
      </c>
      <c r="AB307" s="30" t="s">
        <v>151</v>
      </c>
      <c r="AC307" s="30" t="s">
        <v>151</v>
      </c>
      <c r="AD307" s="39">
        <v>2019</v>
      </c>
      <c r="AE307" s="30" t="s">
        <v>151</v>
      </c>
      <c r="AF307" s="35">
        <v>45558</v>
      </c>
      <c r="AG307" s="30" t="s">
        <v>151</v>
      </c>
      <c r="AH307" s="30" t="s">
        <v>151</v>
      </c>
      <c r="AI307" s="38" t="s">
        <v>151</v>
      </c>
      <c r="AJ307" s="32" t="s">
        <v>151</v>
      </c>
      <c r="AK307" s="38" t="s">
        <v>151</v>
      </c>
      <c r="AL307" s="38" t="s">
        <v>151</v>
      </c>
      <c r="AM307" s="38" t="s">
        <v>151</v>
      </c>
      <c r="AN307" s="38" t="s">
        <v>151</v>
      </c>
      <c r="AO307" s="38" t="s">
        <v>151</v>
      </c>
      <c r="AP307" s="38" t="s">
        <v>151</v>
      </c>
      <c r="AQ307" s="38" t="s">
        <v>151</v>
      </c>
      <c r="AR307" s="29" t="s">
        <v>151</v>
      </c>
      <c r="AS307" s="30" t="s">
        <v>6734</v>
      </c>
      <c r="AT307" s="30" t="s">
        <v>6735</v>
      </c>
      <c r="AU307" s="31">
        <v>7</v>
      </c>
      <c r="AV307" s="30" t="s">
        <v>151</v>
      </c>
      <c r="AW307" s="30" t="s">
        <v>151</v>
      </c>
      <c r="AX307" s="30" t="s">
        <v>151</v>
      </c>
      <c r="AY307" s="30" t="s">
        <v>6736</v>
      </c>
      <c r="AZ307" s="30" t="s">
        <v>151</v>
      </c>
      <c r="BA307" s="30" t="s">
        <v>151</v>
      </c>
      <c r="BB307" s="30" t="s">
        <v>151</v>
      </c>
      <c r="BC307" s="30" t="s">
        <v>151</v>
      </c>
      <c r="BD307" s="30" t="s">
        <v>6737</v>
      </c>
      <c r="BE307" s="30" t="s">
        <v>6738</v>
      </c>
      <c r="BF307" s="30" t="s">
        <v>221</v>
      </c>
      <c r="BG307" s="30" t="s">
        <v>6739</v>
      </c>
      <c r="BH307" s="30" t="s">
        <v>6740</v>
      </c>
      <c r="BI307" s="30" t="s">
        <v>707</v>
      </c>
      <c r="BJ307" s="30" t="s">
        <v>6741</v>
      </c>
      <c r="BK307" s="30" t="s">
        <v>151</v>
      </c>
      <c r="BL307" s="30" t="s">
        <v>709</v>
      </c>
      <c r="BM307" s="30" t="s">
        <v>184</v>
      </c>
      <c r="BN307" s="29" t="s">
        <v>6742</v>
      </c>
      <c r="BO307" s="30" t="s">
        <v>186</v>
      </c>
      <c r="BP307" s="29" t="s">
        <v>6740</v>
      </c>
      <c r="BQ307" s="29" t="s">
        <v>151</v>
      </c>
      <c r="BR307" s="30" t="s">
        <v>151</v>
      </c>
      <c r="BS307" s="30" t="s">
        <v>187</v>
      </c>
      <c r="BT307" s="30" t="s">
        <v>188</v>
      </c>
      <c r="BU307" s="35">
        <v>43891</v>
      </c>
      <c r="BV307" s="37">
        <v>0.15</v>
      </c>
      <c r="BW307" s="30" t="s">
        <v>192</v>
      </c>
      <c r="BX307" s="37" t="s">
        <v>151</v>
      </c>
      <c r="BY307" s="30" t="s">
        <v>151</v>
      </c>
      <c r="BZ307" s="30" t="s">
        <v>189</v>
      </c>
      <c r="CA307" s="30" t="s">
        <v>151</v>
      </c>
      <c r="CB307" s="30" t="s">
        <v>151</v>
      </c>
      <c r="CC307" s="30" t="s">
        <v>190</v>
      </c>
      <c r="CD307" s="30" t="s">
        <v>151</v>
      </c>
      <c r="CE307" s="30" t="s">
        <v>191</v>
      </c>
      <c r="CF307" s="35">
        <v>45387</v>
      </c>
      <c r="CG307" s="37" t="s">
        <v>151</v>
      </c>
      <c r="CH307" s="30" t="s">
        <v>151</v>
      </c>
      <c r="CI307" s="37" t="s">
        <v>151</v>
      </c>
      <c r="CJ307" s="30" t="s">
        <v>151</v>
      </c>
      <c r="CK307" s="29" t="s">
        <v>151</v>
      </c>
      <c r="CL307" s="30" t="s">
        <v>189</v>
      </c>
      <c r="CM307" s="30" t="s">
        <v>151</v>
      </c>
      <c r="CN307" s="30" t="s">
        <v>151</v>
      </c>
      <c r="CO307" s="30" t="s">
        <v>190</v>
      </c>
      <c r="CP307" s="35">
        <v>45387</v>
      </c>
      <c r="CQ307" s="37" t="s">
        <v>151</v>
      </c>
      <c r="CR307" s="30" t="s">
        <v>151</v>
      </c>
      <c r="CS307" s="30" t="s">
        <v>191</v>
      </c>
      <c r="CT307" s="29">
        <v>71</v>
      </c>
      <c r="CU307" s="30" t="s">
        <v>196</v>
      </c>
      <c r="CV307" s="32">
        <v>66</v>
      </c>
      <c r="CW307" s="32">
        <v>34</v>
      </c>
      <c r="CX307" s="30" t="s">
        <v>294</v>
      </c>
      <c r="CY307" s="32">
        <v>1</v>
      </c>
      <c r="CZ307" s="32">
        <v>65</v>
      </c>
      <c r="DA307" s="37" t="s">
        <v>151</v>
      </c>
      <c r="DB307" s="35" t="s">
        <v>151</v>
      </c>
      <c r="DC307" s="30" t="s">
        <v>151</v>
      </c>
      <c r="DD307" s="29" t="s">
        <v>151</v>
      </c>
      <c r="DE307" s="32">
        <v>-0.57</v>
      </c>
      <c r="DF307" s="34">
        <v>6</v>
      </c>
      <c r="DG307" s="32">
        <v>0</v>
      </c>
      <c r="DH307" s="32">
        <v>0</v>
      </c>
      <c r="DI307" s="32">
        <v>-1.15</v>
      </c>
      <c r="DJ307" s="34">
        <v>4</v>
      </c>
      <c r="DK307" s="32" t="s">
        <v>151</v>
      </c>
      <c r="DL307" s="34" t="s">
        <v>151</v>
      </c>
      <c r="DM307" s="32">
        <v>-1.15</v>
      </c>
      <c r="DN307" s="34">
        <v>4</v>
      </c>
      <c r="DO307" s="36">
        <v>4.1</v>
      </c>
      <c r="DP307" s="34">
        <v>79</v>
      </c>
      <c r="DQ307" s="36">
        <v>0</v>
      </c>
      <c r="DR307" s="32">
        <v>0</v>
      </c>
      <c r="DS307" s="36">
        <v>6.89</v>
      </c>
      <c r="DT307" s="34">
        <v>86</v>
      </c>
      <c r="DU307" s="36" t="s">
        <v>151</v>
      </c>
      <c r="DV307" s="34" t="s">
        <v>151</v>
      </c>
      <c r="DW307" s="36">
        <v>6.89</v>
      </c>
      <c r="DX307" s="34">
        <v>86</v>
      </c>
      <c r="DY307" s="31" t="s">
        <v>151</v>
      </c>
      <c r="DZ307" s="35" t="s">
        <v>151</v>
      </c>
      <c r="EA307" s="35" t="s">
        <v>151</v>
      </c>
      <c r="EB307" s="34">
        <v>7419</v>
      </c>
      <c r="EC307" s="33">
        <v>-272</v>
      </c>
      <c r="ED307" s="32">
        <v>-3.54</v>
      </c>
      <c r="EE307" s="34">
        <v>131</v>
      </c>
      <c r="EF307" s="33">
        <v>1</v>
      </c>
      <c r="EG307" s="32">
        <v>0.77</v>
      </c>
      <c r="EH307" s="29" t="s">
        <v>198</v>
      </c>
      <c r="EI307" s="30" t="s">
        <v>151</v>
      </c>
      <c r="EJ307" s="30" t="s">
        <v>151</v>
      </c>
      <c r="EK307" s="31" t="s">
        <v>151</v>
      </c>
      <c r="EL307" s="31" t="s">
        <v>151</v>
      </c>
      <c r="EM307" s="31" t="s">
        <v>151</v>
      </c>
      <c r="EN307" s="31" t="s">
        <v>151</v>
      </c>
      <c r="EO307" s="31" t="s">
        <v>151</v>
      </c>
      <c r="EP307" s="30" t="s">
        <v>151</v>
      </c>
      <c r="EQ307" s="29" t="s">
        <v>151</v>
      </c>
      <c r="ER307" s="29" t="s">
        <v>151</v>
      </c>
      <c r="ES307" s="4">
        <f>HYPERLINK("https://my.pitchbook.com?c=494839-54","View Company Online")</f>
      </c>
    </row>
    <row r="308">
      <c r="A308" s="17" t="s">
        <v>6743</v>
      </c>
      <c r="B308" s="17" t="s">
        <v>6744</v>
      </c>
      <c r="C308" s="18" t="s">
        <v>151</v>
      </c>
      <c r="D308" s="17" t="s">
        <v>151</v>
      </c>
      <c r="E308" s="17" t="s">
        <v>151</v>
      </c>
      <c r="F308" s="17" t="s">
        <v>6745</v>
      </c>
      <c r="G308" s="17" t="s">
        <v>151</v>
      </c>
      <c r="H308" s="17" t="s">
        <v>151</v>
      </c>
      <c r="I308" s="17" t="s">
        <v>6746</v>
      </c>
      <c r="J308" s="17" t="s">
        <v>6743</v>
      </c>
      <c r="K308" s="17" t="s">
        <v>6747</v>
      </c>
      <c r="L308" s="17" t="s">
        <v>1023</v>
      </c>
      <c r="M308" s="17" t="s">
        <v>6748</v>
      </c>
      <c r="N308" s="17" t="s">
        <v>6749</v>
      </c>
      <c r="O308" s="17" t="s">
        <v>6750</v>
      </c>
      <c r="P308" s="17" t="s">
        <v>6751</v>
      </c>
      <c r="Q308" s="17" t="s">
        <v>6752</v>
      </c>
      <c r="R308" s="17" t="s">
        <v>750</v>
      </c>
      <c r="S308" s="17" t="s">
        <v>162</v>
      </c>
      <c r="T308" s="24">
        <v>7</v>
      </c>
      <c r="U308" s="17" t="s">
        <v>163</v>
      </c>
      <c r="V308" s="17" t="s">
        <v>164</v>
      </c>
      <c r="W308" s="17" t="s">
        <v>420</v>
      </c>
      <c r="X308" s="15" t="s">
        <v>6753</v>
      </c>
      <c r="Y308" s="15" t="s">
        <v>6754</v>
      </c>
      <c r="Z308" s="27">
        <v>18</v>
      </c>
      <c r="AA308" s="17" t="s">
        <v>6755</v>
      </c>
      <c r="AB308" s="17" t="s">
        <v>151</v>
      </c>
      <c r="AC308" s="17" t="s">
        <v>151</v>
      </c>
      <c r="AD308" s="26">
        <v>2019</v>
      </c>
      <c r="AE308" s="17" t="s">
        <v>151</v>
      </c>
      <c r="AF308" s="22">
        <v>45595</v>
      </c>
      <c r="AG308" s="17" t="s">
        <v>151</v>
      </c>
      <c r="AH308" s="17" t="s">
        <v>151</v>
      </c>
      <c r="AI308" s="25">
        <v>0.79</v>
      </c>
      <c r="AJ308" s="19" t="s">
        <v>151</v>
      </c>
      <c r="AK308" s="25" t="s">
        <v>151</v>
      </c>
      <c r="AL308" s="25" t="s">
        <v>151</v>
      </c>
      <c r="AM308" s="25" t="s">
        <v>151</v>
      </c>
      <c r="AN308" s="25" t="s">
        <v>151</v>
      </c>
      <c r="AO308" s="25" t="s">
        <v>151</v>
      </c>
      <c r="AP308" s="25" t="s">
        <v>151</v>
      </c>
      <c r="AQ308" s="25" t="s">
        <v>151</v>
      </c>
      <c r="AR308" s="16" t="s">
        <v>810</v>
      </c>
      <c r="AS308" s="17" t="s">
        <v>6756</v>
      </c>
      <c r="AT308" s="17" t="s">
        <v>6757</v>
      </c>
      <c r="AU308" s="18">
        <v>12</v>
      </c>
      <c r="AV308" s="17" t="s">
        <v>151</v>
      </c>
      <c r="AW308" s="17" t="s">
        <v>151</v>
      </c>
      <c r="AX308" s="17" t="s">
        <v>151</v>
      </c>
      <c r="AY308" s="17" t="s">
        <v>6758</v>
      </c>
      <c r="AZ308" s="17" t="s">
        <v>151</v>
      </c>
      <c r="BA308" s="17" t="s">
        <v>151</v>
      </c>
      <c r="BB308" s="17" t="s">
        <v>151</v>
      </c>
      <c r="BC308" s="17" t="s">
        <v>6759</v>
      </c>
      <c r="BD308" s="17" t="s">
        <v>6760</v>
      </c>
      <c r="BE308" s="17" t="s">
        <v>6761</v>
      </c>
      <c r="BF308" s="17" t="s">
        <v>3087</v>
      </c>
      <c r="BG308" s="17" t="s">
        <v>151</v>
      </c>
      <c r="BH308" s="17" t="s">
        <v>6762</v>
      </c>
      <c r="BI308" s="17" t="s">
        <v>6763</v>
      </c>
      <c r="BJ308" s="17" t="s">
        <v>6764</v>
      </c>
      <c r="BK308" s="17" t="s">
        <v>6765</v>
      </c>
      <c r="BL308" s="17" t="s">
        <v>6766</v>
      </c>
      <c r="BM308" s="17" t="s">
        <v>184</v>
      </c>
      <c r="BN308" s="16" t="s">
        <v>6767</v>
      </c>
      <c r="BO308" s="17" t="s">
        <v>186</v>
      </c>
      <c r="BP308" s="16" t="s">
        <v>6768</v>
      </c>
      <c r="BQ308" s="16" t="s">
        <v>151</v>
      </c>
      <c r="BR308" s="17" t="s">
        <v>6769</v>
      </c>
      <c r="BS308" s="17" t="s">
        <v>187</v>
      </c>
      <c r="BT308" s="17" t="s">
        <v>188</v>
      </c>
      <c r="BU308" s="22" t="s">
        <v>151</v>
      </c>
      <c r="BV308" s="24" t="s">
        <v>151</v>
      </c>
      <c r="BW308" s="17" t="s">
        <v>151</v>
      </c>
      <c r="BX308" s="24" t="s">
        <v>151</v>
      </c>
      <c r="BY308" s="17" t="s">
        <v>151</v>
      </c>
      <c r="BZ308" s="17" t="s">
        <v>189</v>
      </c>
      <c r="CA308" s="17" t="s">
        <v>151</v>
      </c>
      <c r="CB308" s="17" t="s">
        <v>151</v>
      </c>
      <c r="CC308" s="17" t="s">
        <v>190</v>
      </c>
      <c r="CD308" s="17" t="s">
        <v>151</v>
      </c>
      <c r="CE308" s="17" t="s">
        <v>191</v>
      </c>
      <c r="CF308" s="22">
        <v>44747</v>
      </c>
      <c r="CG308" s="24" t="s">
        <v>151</v>
      </c>
      <c r="CH308" s="17" t="s">
        <v>151</v>
      </c>
      <c r="CI308" s="24" t="s">
        <v>151</v>
      </c>
      <c r="CJ308" s="17" t="s">
        <v>151</v>
      </c>
      <c r="CK308" s="16">
        <v>4.19</v>
      </c>
      <c r="CL308" s="17" t="s">
        <v>231</v>
      </c>
      <c r="CM308" s="17" t="s">
        <v>232</v>
      </c>
      <c r="CN308" s="17" t="s">
        <v>151</v>
      </c>
      <c r="CO308" s="17" t="s">
        <v>165</v>
      </c>
      <c r="CP308" s="22">
        <v>44747</v>
      </c>
      <c r="CQ308" s="24" t="s">
        <v>151</v>
      </c>
      <c r="CR308" s="17" t="s">
        <v>151</v>
      </c>
      <c r="CS308" s="17" t="s">
        <v>1887</v>
      </c>
      <c r="CT308" s="16">
        <v>76</v>
      </c>
      <c r="CU308" s="17" t="s">
        <v>196</v>
      </c>
      <c r="CV308" s="19">
        <v>70</v>
      </c>
      <c r="CW308" s="19">
        <v>30</v>
      </c>
      <c r="CX308" s="17" t="s">
        <v>294</v>
      </c>
      <c r="CY308" s="19">
        <v>1</v>
      </c>
      <c r="CZ308" s="19">
        <v>69</v>
      </c>
      <c r="DA308" s="24">
        <v>24.2</v>
      </c>
      <c r="DB308" s="22">
        <v>44550</v>
      </c>
      <c r="DC308" s="17" t="s">
        <v>293</v>
      </c>
      <c r="DD308" s="16">
        <v>4.19</v>
      </c>
      <c r="DE308" s="19">
        <v>-1.26</v>
      </c>
      <c r="DF308" s="21">
        <v>3</v>
      </c>
      <c r="DG308" s="19">
        <v>0</v>
      </c>
      <c r="DH308" s="19">
        <v>0</v>
      </c>
      <c r="DI308" s="19">
        <v>-1.26</v>
      </c>
      <c r="DJ308" s="21">
        <v>3</v>
      </c>
      <c r="DK308" s="19" t="s">
        <v>151</v>
      </c>
      <c r="DL308" s="21" t="s">
        <v>151</v>
      </c>
      <c r="DM308" s="19">
        <v>-1.26</v>
      </c>
      <c r="DN308" s="21">
        <v>3</v>
      </c>
      <c r="DO308" s="23">
        <v>6.42</v>
      </c>
      <c r="DP308" s="21">
        <v>85</v>
      </c>
      <c r="DQ308" s="23">
        <v>0</v>
      </c>
      <c r="DR308" s="19">
        <v>0</v>
      </c>
      <c r="DS308" s="23">
        <v>6.42</v>
      </c>
      <c r="DT308" s="21">
        <v>85</v>
      </c>
      <c r="DU308" s="23" t="s">
        <v>151</v>
      </c>
      <c r="DV308" s="21" t="s">
        <v>151</v>
      </c>
      <c r="DW308" s="23">
        <v>6.42</v>
      </c>
      <c r="DX308" s="21">
        <v>85</v>
      </c>
      <c r="DY308" s="18">
        <v>2</v>
      </c>
      <c r="DZ308" s="22">
        <v>44620</v>
      </c>
      <c r="EA308" s="22" t="s">
        <v>6770</v>
      </c>
      <c r="EB308" s="21">
        <v>515</v>
      </c>
      <c r="EC308" s="20">
        <v>-97</v>
      </c>
      <c r="ED308" s="19">
        <v>-15.85</v>
      </c>
      <c r="EE308" s="21">
        <v>122</v>
      </c>
      <c r="EF308" s="20">
        <v>-1</v>
      </c>
      <c r="EG308" s="19">
        <v>-0.81</v>
      </c>
      <c r="EH308" s="16" t="s">
        <v>198</v>
      </c>
      <c r="EI308" s="17" t="s">
        <v>151</v>
      </c>
      <c r="EJ308" s="17" t="s">
        <v>151</v>
      </c>
      <c r="EK308" s="18" t="s">
        <v>151</v>
      </c>
      <c r="EL308" s="18" t="s">
        <v>151</v>
      </c>
      <c r="EM308" s="18" t="s">
        <v>151</v>
      </c>
      <c r="EN308" s="18" t="s">
        <v>151</v>
      </c>
      <c r="EO308" s="18" t="s">
        <v>151</v>
      </c>
      <c r="EP308" s="17" t="s">
        <v>151</v>
      </c>
      <c r="EQ308" s="16" t="s">
        <v>151</v>
      </c>
      <c r="ER308" s="16" t="s">
        <v>151</v>
      </c>
      <c r="ES308" s="3">
        <f>HYPERLINK("https://my.pitchbook.com?c=465628-60","View Company Online")</f>
      </c>
    </row>
    <row r="309">
      <c r="A309" s="30" t="s">
        <v>6771</v>
      </c>
      <c r="B309" s="30" t="s">
        <v>6772</v>
      </c>
      <c r="C309" s="31" t="s">
        <v>151</v>
      </c>
      <c r="D309" s="30" t="s">
        <v>6773</v>
      </c>
      <c r="E309" s="30" t="s">
        <v>6774</v>
      </c>
      <c r="F309" s="30" t="s">
        <v>6775</v>
      </c>
      <c r="G309" s="30" t="s">
        <v>151</v>
      </c>
      <c r="H309" s="30" t="s">
        <v>151</v>
      </c>
      <c r="I309" s="30" t="s">
        <v>6776</v>
      </c>
      <c r="J309" s="30" t="s">
        <v>6771</v>
      </c>
      <c r="K309" s="30" t="s">
        <v>6777</v>
      </c>
      <c r="L309" s="30" t="s">
        <v>205</v>
      </c>
      <c r="M309" s="30" t="s">
        <v>206</v>
      </c>
      <c r="N309" s="30" t="s">
        <v>1268</v>
      </c>
      <c r="O309" s="30" t="s">
        <v>6778</v>
      </c>
      <c r="P309" s="30" t="s">
        <v>6779</v>
      </c>
      <c r="Q309" s="30" t="s">
        <v>6780</v>
      </c>
      <c r="R309" s="30" t="s">
        <v>151</v>
      </c>
      <c r="S309" s="30" t="s">
        <v>162</v>
      </c>
      <c r="T309" s="37">
        <v>10.15</v>
      </c>
      <c r="U309" s="30" t="s">
        <v>163</v>
      </c>
      <c r="V309" s="30" t="s">
        <v>164</v>
      </c>
      <c r="W309" s="30" t="s">
        <v>420</v>
      </c>
      <c r="X309" s="28" t="s">
        <v>6781</v>
      </c>
      <c r="Y309" s="28" t="s">
        <v>6782</v>
      </c>
      <c r="Z309" s="40">
        <v>42</v>
      </c>
      <c r="AA309" s="30" t="s">
        <v>6783</v>
      </c>
      <c r="AB309" s="30" t="s">
        <v>151</v>
      </c>
      <c r="AC309" s="30" t="s">
        <v>151</v>
      </c>
      <c r="AD309" s="39">
        <v>2016</v>
      </c>
      <c r="AE309" s="30" t="s">
        <v>151</v>
      </c>
      <c r="AF309" s="35">
        <v>45566</v>
      </c>
      <c r="AG309" s="30" t="s">
        <v>151</v>
      </c>
      <c r="AH309" s="30" t="s">
        <v>151</v>
      </c>
      <c r="AI309" s="38" t="s">
        <v>151</v>
      </c>
      <c r="AJ309" s="32" t="s">
        <v>151</v>
      </c>
      <c r="AK309" s="38" t="s">
        <v>151</v>
      </c>
      <c r="AL309" s="38" t="s">
        <v>151</v>
      </c>
      <c r="AM309" s="38" t="s">
        <v>151</v>
      </c>
      <c r="AN309" s="38" t="s">
        <v>151</v>
      </c>
      <c r="AO309" s="38" t="s">
        <v>151</v>
      </c>
      <c r="AP309" s="38" t="s">
        <v>151</v>
      </c>
      <c r="AQ309" s="38" t="s">
        <v>151</v>
      </c>
      <c r="AR309" s="29" t="s">
        <v>151</v>
      </c>
      <c r="AS309" s="30" t="s">
        <v>6784</v>
      </c>
      <c r="AT309" s="30" t="s">
        <v>6785</v>
      </c>
      <c r="AU309" s="31">
        <v>2</v>
      </c>
      <c r="AV309" s="30" t="s">
        <v>151</v>
      </c>
      <c r="AW309" s="30" t="s">
        <v>151</v>
      </c>
      <c r="AX309" s="30" t="s">
        <v>151</v>
      </c>
      <c r="AY309" s="30" t="s">
        <v>6786</v>
      </c>
      <c r="AZ309" s="30" t="s">
        <v>151</v>
      </c>
      <c r="BA309" s="30" t="s">
        <v>151</v>
      </c>
      <c r="BB309" s="30" t="s">
        <v>2448</v>
      </c>
      <c r="BC309" s="30" t="s">
        <v>151</v>
      </c>
      <c r="BD309" s="30" t="s">
        <v>6787</v>
      </c>
      <c r="BE309" s="30" t="s">
        <v>6788</v>
      </c>
      <c r="BF309" s="30" t="s">
        <v>493</v>
      </c>
      <c r="BG309" s="30" t="s">
        <v>6789</v>
      </c>
      <c r="BH309" s="30" t="s">
        <v>6790</v>
      </c>
      <c r="BI309" s="30" t="s">
        <v>6791</v>
      </c>
      <c r="BJ309" s="30" t="s">
        <v>6792</v>
      </c>
      <c r="BK309" s="30" t="s">
        <v>320</v>
      </c>
      <c r="BL309" s="30" t="s">
        <v>6793</v>
      </c>
      <c r="BM309" s="30" t="s">
        <v>184</v>
      </c>
      <c r="BN309" s="29" t="s">
        <v>6794</v>
      </c>
      <c r="BO309" s="30" t="s">
        <v>186</v>
      </c>
      <c r="BP309" s="29" t="s">
        <v>6790</v>
      </c>
      <c r="BQ309" s="29" t="s">
        <v>151</v>
      </c>
      <c r="BR309" s="30" t="s">
        <v>6795</v>
      </c>
      <c r="BS309" s="30" t="s">
        <v>187</v>
      </c>
      <c r="BT309" s="30" t="s">
        <v>188</v>
      </c>
      <c r="BU309" s="35" t="s">
        <v>151</v>
      </c>
      <c r="BV309" s="37" t="s">
        <v>151</v>
      </c>
      <c r="BW309" s="30" t="s">
        <v>151</v>
      </c>
      <c r="BX309" s="37" t="s">
        <v>151</v>
      </c>
      <c r="BY309" s="30" t="s">
        <v>151</v>
      </c>
      <c r="BZ309" s="30" t="s">
        <v>1075</v>
      </c>
      <c r="CA309" s="30" t="s">
        <v>1075</v>
      </c>
      <c r="CB309" s="30" t="s">
        <v>151</v>
      </c>
      <c r="CC309" s="30" t="s">
        <v>585</v>
      </c>
      <c r="CD309" s="30" t="s">
        <v>151</v>
      </c>
      <c r="CE309" s="30" t="s">
        <v>191</v>
      </c>
      <c r="CF309" s="35">
        <v>45258</v>
      </c>
      <c r="CG309" s="37">
        <v>0.15</v>
      </c>
      <c r="CH309" s="30" t="s">
        <v>192</v>
      </c>
      <c r="CI309" s="37" t="s">
        <v>151</v>
      </c>
      <c r="CJ309" s="30" t="s">
        <v>151</v>
      </c>
      <c r="CK309" s="29" t="s">
        <v>151</v>
      </c>
      <c r="CL309" s="30" t="s">
        <v>527</v>
      </c>
      <c r="CM309" s="30" t="s">
        <v>151</v>
      </c>
      <c r="CN309" s="30" t="s">
        <v>151</v>
      </c>
      <c r="CO309" s="30" t="s">
        <v>439</v>
      </c>
      <c r="CP309" s="35">
        <v>45258</v>
      </c>
      <c r="CQ309" s="37">
        <v>0.15</v>
      </c>
      <c r="CR309" s="30" t="s">
        <v>6796</v>
      </c>
      <c r="CS309" s="30" t="s">
        <v>191</v>
      </c>
      <c r="CT309" s="29">
        <v>76</v>
      </c>
      <c r="CU309" s="30" t="s">
        <v>196</v>
      </c>
      <c r="CV309" s="32">
        <v>70</v>
      </c>
      <c r="CW309" s="32">
        <v>30</v>
      </c>
      <c r="CX309" s="30" t="s">
        <v>294</v>
      </c>
      <c r="CY309" s="32">
        <v>1</v>
      </c>
      <c r="CZ309" s="32">
        <v>69</v>
      </c>
      <c r="DA309" s="37" t="s">
        <v>151</v>
      </c>
      <c r="DB309" s="35" t="s">
        <v>151</v>
      </c>
      <c r="DC309" s="30" t="s">
        <v>151</v>
      </c>
      <c r="DD309" s="29" t="s">
        <v>151</v>
      </c>
      <c r="DE309" s="32">
        <v>0</v>
      </c>
      <c r="DF309" s="34">
        <v>11</v>
      </c>
      <c r="DG309" s="32">
        <v>0</v>
      </c>
      <c r="DH309" s="32">
        <v>0</v>
      </c>
      <c r="DI309" s="32">
        <v>0</v>
      </c>
      <c r="DJ309" s="34">
        <v>10</v>
      </c>
      <c r="DK309" s="32" t="s">
        <v>151</v>
      </c>
      <c r="DL309" s="34" t="s">
        <v>151</v>
      </c>
      <c r="DM309" s="32">
        <v>0</v>
      </c>
      <c r="DN309" s="34">
        <v>10</v>
      </c>
      <c r="DO309" s="36">
        <v>2.67</v>
      </c>
      <c r="DP309" s="34">
        <v>72</v>
      </c>
      <c r="DQ309" s="36">
        <v>0</v>
      </c>
      <c r="DR309" s="32">
        <v>0</v>
      </c>
      <c r="DS309" s="36">
        <v>2.11</v>
      </c>
      <c r="DT309" s="34">
        <v>67</v>
      </c>
      <c r="DU309" s="36" t="s">
        <v>151</v>
      </c>
      <c r="DV309" s="34" t="s">
        <v>151</v>
      </c>
      <c r="DW309" s="36">
        <v>2.11</v>
      </c>
      <c r="DX309" s="34">
        <v>67</v>
      </c>
      <c r="DY309" s="31">
        <v>6</v>
      </c>
      <c r="DZ309" s="35">
        <v>45510</v>
      </c>
      <c r="EA309" s="35" t="s">
        <v>6797</v>
      </c>
      <c r="EB309" s="34">
        <v>530</v>
      </c>
      <c r="EC309" s="33">
        <v>46</v>
      </c>
      <c r="ED309" s="32">
        <v>9.5</v>
      </c>
      <c r="EE309" s="34">
        <v>40</v>
      </c>
      <c r="EF309" s="33">
        <v>0</v>
      </c>
      <c r="EG309" s="32">
        <v>0</v>
      </c>
      <c r="EH309" s="29" t="s">
        <v>198</v>
      </c>
      <c r="EI309" s="30" t="s">
        <v>151</v>
      </c>
      <c r="EJ309" s="30" t="s">
        <v>151</v>
      </c>
      <c r="EK309" s="31" t="s">
        <v>151</v>
      </c>
      <c r="EL309" s="31" t="s">
        <v>151</v>
      </c>
      <c r="EM309" s="31" t="s">
        <v>151</v>
      </c>
      <c r="EN309" s="31" t="s">
        <v>151</v>
      </c>
      <c r="EO309" s="31" t="s">
        <v>151</v>
      </c>
      <c r="EP309" s="30" t="s">
        <v>151</v>
      </c>
      <c r="EQ309" s="29" t="s">
        <v>151</v>
      </c>
      <c r="ER309" s="29" t="s">
        <v>151</v>
      </c>
      <c r="ES309" s="4">
        <f>HYPERLINK("https://my.pitchbook.com?c=145527-13","View Company Online")</f>
      </c>
    </row>
    <row r="310">
      <c r="A310" s="17" t="s">
        <v>6798</v>
      </c>
      <c r="B310" s="17" t="s">
        <v>6799</v>
      </c>
      <c r="C310" s="18" t="s">
        <v>151</v>
      </c>
      <c r="D310" s="17" t="s">
        <v>6800</v>
      </c>
      <c r="E310" s="17" t="s">
        <v>151</v>
      </c>
      <c r="F310" s="17" t="s">
        <v>6801</v>
      </c>
      <c r="G310" s="17" t="s">
        <v>151</v>
      </c>
      <c r="H310" s="17" t="s">
        <v>151</v>
      </c>
      <c r="I310" s="17" t="s">
        <v>151</v>
      </c>
      <c r="J310" s="17" t="s">
        <v>6798</v>
      </c>
      <c r="K310" s="17" t="s">
        <v>6802</v>
      </c>
      <c r="L310" s="17" t="s">
        <v>1792</v>
      </c>
      <c r="M310" s="17" t="s">
        <v>2199</v>
      </c>
      <c r="N310" s="17" t="s">
        <v>2200</v>
      </c>
      <c r="O310" s="17" t="s">
        <v>6803</v>
      </c>
      <c r="P310" s="17" t="s">
        <v>6804</v>
      </c>
      <c r="Q310" s="17" t="s">
        <v>6805</v>
      </c>
      <c r="R310" s="17" t="s">
        <v>151</v>
      </c>
      <c r="S310" s="17" t="s">
        <v>162</v>
      </c>
      <c r="T310" s="24">
        <v>4.2</v>
      </c>
      <c r="U310" s="17" t="s">
        <v>163</v>
      </c>
      <c r="V310" s="17" t="s">
        <v>164</v>
      </c>
      <c r="W310" s="17" t="s">
        <v>165</v>
      </c>
      <c r="X310" s="15" t="s">
        <v>6806</v>
      </c>
      <c r="Y310" s="15" t="s">
        <v>6807</v>
      </c>
      <c r="Z310" s="27">
        <v>7</v>
      </c>
      <c r="AA310" s="17" t="s">
        <v>6808</v>
      </c>
      <c r="AB310" s="17" t="s">
        <v>151</v>
      </c>
      <c r="AC310" s="17" t="s">
        <v>151</v>
      </c>
      <c r="AD310" s="26">
        <v>2020</v>
      </c>
      <c r="AE310" s="17" t="s">
        <v>151</v>
      </c>
      <c r="AF310" s="22">
        <v>45595</v>
      </c>
      <c r="AG310" s="17" t="s">
        <v>151</v>
      </c>
      <c r="AH310" s="17" t="s">
        <v>151</v>
      </c>
      <c r="AI310" s="25" t="s">
        <v>151</v>
      </c>
      <c r="AJ310" s="19" t="s">
        <v>151</v>
      </c>
      <c r="AK310" s="25" t="s">
        <v>151</v>
      </c>
      <c r="AL310" s="25" t="s">
        <v>151</v>
      </c>
      <c r="AM310" s="25" t="s">
        <v>151</v>
      </c>
      <c r="AN310" s="25" t="s">
        <v>151</v>
      </c>
      <c r="AO310" s="25" t="s">
        <v>151</v>
      </c>
      <c r="AP310" s="25" t="s">
        <v>151</v>
      </c>
      <c r="AQ310" s="25" t="s">
        <v>151</v>
      </c>
      <c r="AR310" s="16" t="s">
        <v>151</v>
      </c>
      <c r="AS310" s="17" t="s">
        <v>6809</v>
      </c>
      <c r="AT310" s="17" t="s">
        <v>6810</v>
      </c>
      <c r="AU310" s="18">
        <v>5</v>
      </c>
      <c r="AV310" s="17" t="s">
        <v>151</v>
      </c>
      <c r="AW310" s="17" t="s">
        <v>151</v>
      </c>
      <c r="AX310" s="17" t="s">
        <v>151</v>
      </c>
      <c r="AY310" s="17" t="s">
        <v>6811</v>
      </c>
      <c r="AZ310" s="17" t="s">
        <v>151</v>
      </c>
      <c r="BA310" s="17" t="s">
        <v>151</v>
      </c>
      <c r="BB310" s="17" t="s">
        <v>151</v>
      </c>
      <c r="BC310" s="17" t="s">
        <v>151</v>
      </c>
      <c r="BD310" s="17" t="s">
        <v>6812</v>
      </c>
      <c r="BE310" s="17" t="s">
        <v>6813</v>
      </c>
      <c r="BF310" s="17" t="s">
        <v>221</v>
      </c>
      <c r="BG310" s="17" t="s">
        <v>6814</v>
      </c>
      <c r="BH310" s="17" t="s">
        <v>6815</v>
      </c>
      <c r="BI310" s="17" t="s">
        <v>906</v>
      </c>
      <c r="BJ310" s="17" t="s">
        <v>6816</v>
      </c>
      <c r="BK310" s="17" t="s">
        <v>6817</v>
      </c>
      <c r="BL310" s="17" t="s">
        <v>259</v>
      </c>
      <c r="BM310" s="17" t="s">
        <v>259</v>
      </c>
      <c r="BN310" s="16" t="s">
        <v>3738</v>
      </c>
      <c r="BO310" s="17" t="s">
        <v>186</v>
      </c>
      <c r="BP310" s="16" t="s">
        <v>6815</v>
      </c>
      <c r="BQ310" s="16" t="s">
        <v>151</v>
      </c>
      <c r="BR310" s="17" t="s">
        <v>6818</v>
      </c>
      <c r="BS310" s="17" t="s">
        <v>187</v>
      </c>
      <c r="BT310" s="17" t="s">
        <v>188</v>
      </c>
      <c r="BU310" s="22">
        <v>44562</v>
      </c>
      <c r="BV310" s="24" t="s">
        <v>151</v>
      </c>
      <c r="BW310" s="17" t="s">
        <v>151</v>
      </c>
      <c r="BX310" s="24" t="s">
        <v>151</v>
      </c>
      <c r="BY310" s="17" t="s">
        <v>151</v>
      </c>
      <c r="BZ310" s="17" t="s">
        <v>189</v>
      </c>
      <c r="CA310" s="17" t="s">
        <v>151</v>
      </c>
      <c r="CB310" s="17" t="s">
        <v>151</v>
      </c>
      <c r="CC310" s="17" t="s">
        <v>190</v>
      </c>
      <c r="CD310" s="17" t="s">
        <v>151</v>
      </c>
      <c r="CE310" s="17" t="s">
        <v>191</v>
      </c>
      <c r="CF310" s="22">
        <v>45005</v>
      </c>
      <c r="CG310" s="24">
        <v>4.2</v>
      </c>
      <c r="CH310" s="17" t="s">
        <v>192</v>
      </c>
      <c r="CI310" s="24">
        <v>11.2</v>
      </c>
      <c r="CJ310" s="17" t="s">
        <v>192</v>
      </c>
      <c r="CK310" s="16" t="s">
        <v>151</v>
      </c>
      <c r="CL310" s="17" t="s">
        <v>293</v>
      </c>
      <c r="CM310" s="17" t="s">
        <v>293</v>
      </c>
      <c r="CN310" s="17" t="s">
        <v>151</v>
      </c>
      <c r="CO310" s="17" t="s">
        <v>165</v>
      </c>
      <c r="CP310" s="22">
        <v>45005</v>
      </c>
      <c r="CQ310" s="24" t="s">
        <v>151</v>
      </c>
      <c r="CR310" s="17" t="s">
        <v>151</v>
      </c>
      <c r="CS310" s="17" t="s">
        <v>191</v>
      </c>
      <c r="CT310" s="16" t="s">
        <v>151</v>
      </c>
      <c r="CU310" s="17" t="s">
        <v>151</v>
      </c>
      <c r="CV310" s="19" t="s">
        <v>151</v>
      </c>
      <c r="CW310" s="19" t="s">
        <v>151</v>
      </c>
      <c r="CX310" s="17" t="s">
        <v>151</v>
      </c>
      <c r="CY310" s="19" t="s">
        <v>151</v>
      </c>
      <c r="CZ310" s="19" t="s">
        <v>151</v>
      </c>
      <c r="DA310" s="24">
        <v>11.2</v>
      </c>
      <c r="DB310" s="22">
        <v>45005</v>
      </c>
      <c r="DC310" s="17" t="s">
        <v>293</v>
      </c>
      <c r="DD310" s="16" t="s">
        <v>151</v>
      </c>
      <c r="DE310" s="19">
        <v>0</v>
      </c>
      <c r="DF310" s="21">
        <v>11</v>
      </c>
      <c r="DG310" s="19">
        <v>0</v>
      </c>
      <c r="DH310" s="19">
        <v>0</v>
      </c>
      <c r="DI310" s="19">
        <v>0</v>
      </c>
      <c r="DJ310" s="21">
        <v>10</v>
      </c>
      <c r="DK310" s="19" t="s">
        <v>151</v>
      </c>
      <c r="DL310" s="21" t="s">
        <v>151</v>
      </c>
      <c r="DM310" s="19">
        <v>0</v>
      </c>
      <c r="DN310" s="21">
        <v>10</v>
      </c>
      <c r="DO310" s="23">
        <v>0.85</v>
      </c>
      <c r="DP310" s="21">
        <v>47</v>
      </c>
      <c r="DQ310" s="23">
        <v>0</v>
      </c>
      <c r="DR310" s="19">
        <v>0</v>
      </c>
      <c r="DS310" s="23">
        <v>1.16</v>
      </c>
      <c r="DT310" s="21">
        <v>53</v>
      </c>
      <c r="DU310" s="23" t="s">
        <v>151</v>
      </c>
      <c r="DV310" s="21" t="s">
        <v>151</v>
      </c>
      <c r="DW310" s="23">
        <v>1.16</v>
      </c>
      <c r="DX310" s="21">
        <v>53</v>
      </c>
      <c r="DY310" s="18" t="s">
        <v>151</v>
      </c>
      <c r="DZ310" s="22" t="s">
        <v>151</v>
      </c>
      <c r="EA310" s="22" t="s">
        <v>151</v>
      </c>
      <c r="EB310" s="21">
        <v>205</v>
      </c>
      <c r="EC310" s="20">
        <v>0</v>
      </c>
      <c r="ED310" s="19">
        <v>0</v>
      </c>
      <c r="EE310" s="21">
        <v>22</v>
      </c>
      <c r="EF310" s="20">
        <v>0</v>
      </c>
      <c r="EG310" s="19">
        <v>0</v>
      </c>
      <c r="EH310" s="16" t="s">
        <v>198</v>
      </c>
      <c r="EI310" s="17" t="s">
        <v>151</v>
      </c>
      <c r="EJ310" s="17" t="s">
        <v>151</v>
      </c>
      <c r="EK310" s="18" t="s">
        <v>151</v>
      </c>
      <c r="EL310" s="18" t="s">
        <v>151</v>
      </c>
      <c r="EM310" s="18" t="s">
        <v>151</v>
      </c>
      <c r="EN310" s="18" t="s">
        <v>151</v>
      </c>
      <c r="EO310" s="18" t="s">
        <v>151</v>
      </c>
      <c r="EP310" s="17" t="s">
        <v>151</v>
      </c>
      <c r="EQ310" s="16" t="s">
        <v>151</v>
      </c>
      <c r="ER310" s="16" t="s">
        <v>151</v>
      </c>
      <c r="ES310" s="3">
        <f>HYPERLINK("https://my.pitchbook.com?c=491478-22","View Company Online")</f>
      </c>
    </row>
    <row r="311">
      <c r="A311" s="30" t="s">
        <v>6819</v>
      </c>
      <c r="B311" s="30" t="s">
        <v>6820</v>
      </c>
      <c r="C311" s="31" t="s">
        <v>151</v>
      </c>
      <c r="D311" s="30" t="s">
        <v>151</v>
      </c>
      <c r="E311" s="30" t="s">
        <v>151</v>
      </c>
      <c r="F311" s="30" t="s">
        <v>6821</v>
      </c>
      <c r="G311" s="30" t="s">
        <v>151</v>
      </c>
      <c r="H311" s="30" t="s">
        <v>151</v>
      </c>
      <c r="I311" s="30" t="s">
        <v>151</v>
      </c>
      <c r="J311" s="30" t="s">
        <v>6819</v>
      </c>
      <c r="K311" s="30" t="s">
        <v>6822</v>
      </c>
      <c r="L311" s="30" t="s">
        <v>205</v>
      </c>
      <c r="M311" s="30" t="s">
        <v>206</v>
      </c>
      <c r="N311" s="30" t="s">
        <v>269</v>
      </c>
      <c r="O311" s="30" t="s">
        <v>6823</v>
      </c>
      <c r="P311" s="30" t="s">
        <v>1153</v>
      </c>
      <c r="Q311" s="30" t="s">
        <v>6824</v>
      </c>
      <c r="R311" s="30" t="s">
        <v>151</v>
      </c>
      <c r="S311" s="30" t="s">
        <v>162</v>
      </c>
      <c r="T311" s="37">
        <v>2.28</v>
      </c>
      <c r="U311" s="30" t="s">
        <v>163</v>
      </c>
      <c r="V311" s="30" t="s">
        <v>164</v>
      </c>
      <c r="W311" s="30" t="s">
        <v>165</v>
      </c>
      <c r="X311" s="28" t="s">
        <v>6825</v>
      </c>
      <c r="Y311" s="28" t="s">
        <v>6826</v>
      </c>
      <c r="Z311" s="40">
        <v>7</v>
      </c>
      <c r="AA311" s="30" t="s">
        <v>6827</v>
      </c>
      <c r="AB311" s="30" t="s">
        <v>151</v>
      </c>
      <c r="AC311" s="30" t="s">
        <v>151</v>
      </c>
      <c r="AD311" s="39">
        <v>2020</v>
      </c>
      <c r="AE311" s="30" t="s">
        <v>151</v>
      </c>
      <c r="AF311" s="35">
        <v>45364</v>
      </c>
      <c r="AG311" s="30" t="s">
        <v>151</v>
      </c>
      <c r="AH311" s="30" t="s">
        <v>151</v>
      </c>
      <c r="AI311" s="38" t="s">
        <v>151</v>
      </c>
      <c r="AJ311" s="32" t="s">
        <v>151</v>
      </c>
      <c r="AK311" s="38" t="s">
        <v>151</v>
      </c>
      <c r="AL311" s="38" t="s">
        <v>151</v>
      </c>
      <c r="AM311" s="38" t="s">
        <v>151</v>
      </c>
      <c r="AN311" s="38" t="s">
        <v>151</v>
      </c>
      <c r="AO311" s="38" t="s">
        <v>151</v>
      </c>
      <c r="AP311" s="38" t="s">
        <v>151</v>
      </c>
      <c r="AQ311" s="38" t="s">
        <v>151</v>
      </c>
      <c r="AR311" s="29" t="s">
        <v>151</v>
      </c>
      <c r="AS311" s="30" t="s">
        <v>6828</v>
      </c>
      <c r="AT311" s="30" t="s">
        <v>6829</v>
      </c>
      <c r="AU311" s="31">
        <v>5</v>
      </c>
      <c r="AV311" s="30" t="s">
        <v>151</v>
      </c>
      <c r="AW311" s="30" t="s">
        <v>151</v>
      </c>
      <c r="AX311" s="30" t="s">
        <v>151</v>
      </c>
      <c r="AY311" s="30" t="s">
        <v>6830</v>
      </c>
      <c r="AZ311" s="30" t="s">
        <v>151</v>
      </c>
      <c r="BA311" s="30" t="s">
        <v>151</v>
      </c>
      <c r="BB311" s="30" t="s">
        <v>6831</v>
      </c>
      <c r="BC311" s="30" t="s">
        <v>6832</v>
      </c>
      <c r="BD311" s="30" t="s">
        <v>6833</v>
      </c>
      <c r="BE311" s="30" t="s">
        <v>6834</v>
      </c>
      <c r="BF311" s="30" t="s">
        <v>6835</v>
      </c>
      <c r="BG311" s="30" t="s">
        <v>6836</v>
      </c>
      <c r="BH311" s="30" t="s">
        <v>151</v>
      </c>
      <c r="BI311" s="30" t="s">
        <v>6837</v>
      </c>
      <c r="BJ311" s="30" t="s">
        <v>6838</v>
      </c>
      <c r="BK311" s="30" t="s">
        <v>151</v>
      </c>
      <c r="BL311" s="30" t="s">
        <v>6839</v>
      </c>
      <c r="BM311" s="30" t="s">
        <v>1388</v>
      </c>
      <c r="BN311" s="29" t="s">
        <v>6840</v>
      </c>
      <c r="BO311" s="30" t="s">
        <v>186</v>
      </c>
      <c r="BP311" s="29" t="s">
        <v>151</v>
      </c>
      <c r="BQ311" s="29" t="s">
        <v>151</v>
      </c>
      <c r="BR311" s="30" t="s">
        <v>151</v>
      </c>
      <c r="BS311" s="30" t="s">
        <v>187</v>
      </c>
      <c r="BT311" s="30" t="s">
        <v>188</v>
      </c>
      <c r="BU311" s="35">
        <v>44130</v>
      </c>
      <c r="BV311" s="37">
        <v>0.25</v>
      </c>
      <c r="BW311" s="30" t="s">
        <v>192</v>
      </c>
      <c r="BX311" s="37" t="s">
        <v>151</v>
      </c>
      <c r="BY311" s="30" t="s">
        <v>151</v>
      </c>
      <c r="BZ311" s="30" t="s">
        <v>1363</v>
      </c>
      <c r="CA311" s="30" t="s">
        <v>151</v>
      </c>
      <c r="CB311" s="30" t="s">
        <v>151</v>
      </c>
      <c r="CC311" s="30" t="s">
        <v>585</v>
      </c>
      <c r="CD311" s="30" t="s">
        <v>151</v>
      </c>
      <c r="CE311" s="30" t="s">
        <v>191</v>
      </c>
      <c r="CF311" s="35">
        <v>45107</v>
      </c>
      <c r="CG311" s="37">
        <v>0.72</v>
      </c>
      <c r="CH311" s="30" t="s">
        <v>192</v>
      </c>
      <c r="CI311" s="37">
        <v>2.87</v>
      </c>
      <c r="CJ311" s="30" t="s">
        <v>192</v>
      </c>
      <c r="CK311" s="29" t="s">
        <v>151</v>
      </c>
      <c r="CL311" s="30" t="s">
        <v>1363</v>
      </c>
      <c r="CM311" s="30" t="s">
        <v>151</v>
      </c>
      <c r="CN311" s="30" t="s">
        <v>151</v>
      </c>
      <c r="CO311" s="30" t="s">
        <v>585</v>
      </c>
      <c r="CP311" s="35">
        <v>45107</v>
      </c>
      <c r="CQ311" s="37" t="s">
        <v>151</v>
      </c>
      <c r="CR311" s="30" t="s">
        <v>151</v>
      </c>
      <c r="CS311" s="30" t="s">
        <v>191</v>
      </c>
      <c r="CT311" s="29">
        <v>52</v>
      </c>
      <c r="CU311" s="30" t="s">
        <v>263</v>
      </c>
      <c r="CV311" s="32">
        <v>50</v>
      </c>
      <c r="CW311" s="32">
        <v>50</v>
      </c>
      <c r="CX311" s="30" t="s">
        <v>263</v>
      </c>
      <c r="CY311" s="32">
        <v>1</v>
      </c>
      <c r="CZ311" s="32">
        <v>49</v>
      </c>
      <c r="DA311" s="37">
        <v>2.87</v>
      </c>
      <c r="DB311" s="35">
        <v>45107</v>
      </c>
      <c r="DC311" s="30" t="s">
        <v>1363</v>
      </c>
      <c r="DD311" s="29" t="s">
        <v>151</v>
      </c>
      <c r="DE311" s="32" t="s">
        <v>151</v>
      </c>
      <c r="DF311" s="34" t="s">
        <v>151</v>
      </c>
      <c r="DG311" s="32" t="s">
        <v>151</v>
      </c>
      <c r="DH311" s="32" t="s">
        <v>151</v>
      </c>
      <c r="DI311" s="32" t="s">
        <v>151</v>
      </c>
      <c r="DJ311" s="34" t="s">
        <v>151</v>
      </c>
      <c r="DK311" s="32" t="s">
        <v>151</v>
      </c>
      <c r="DL311" s="34" t="s">
        <v>151</v>
      </c>
      <c r="DM311" s="32" t="s">
        <v>151</v>
      </c>
      <c r="DN311" s="34" t="s">
        <v>151</v>
      </c>
      <c r="DO311" s="36" t="s">
        <v>151</v>
      </c>
      <c r="DP311" s="34" t="s">
        <v>151</v>
      </c>
      <c r="DQ311" s="36" t="s">
        <v>151</v>
      </c>
      <c r="DR311" s="32" t="s">
        <v>151</v>
      </c>
      <c r="DS311" s="36" t="s">
        <v>151</v>
      </c>
      <c r="DT311" s="34" t="s">
        <v>151</v>
      </c>
      <c r="DU311" s="36" t="s">
        <v>151</v>
      </c>
      <c r="DV311" s="34" t="s">
        <v>151</v>
      </c>
      <c r="DW311" s="36" t="s">
        <v>151</v>
      </c>
      <c r="DX311" s="34" t="s">
        <v>151</v>
      </c>
      <c r="DY311" s="31" t="s">
        <v>151</v>
      </c>
      <c r="DZ311" s="35" t="s">
        <v>151</v>
      </c>
      <c r="EA311" s="35" t="s">
        <v>151</v>
      </c>
      <c r="EB311" s="34" t="s">
        <v>151</v>
      </c>
      <c r="EC311" s="33" t="s">
        <v>151</v>
      </c>
      <c r="ED311" s="32" t="s">
        <v>151</v>
      </c>
      <c r="EE311" s="34" t="s">
        <v>151</v>
      </c>
      <c r="EF311" s="33" t="s">
        <v>151</v>
      </c>
      <c r="EG311" s="32" t="s">
        <v>151</v>
      </c>
      <c r="EH311" s="29" t="s">
        <v>198</v>
      </c>
      <c r="EI311" s="30" t="s">
        <v>151</v>
      </c>
      <c r="EJ311" s="30" t="s">
        <v>151</v>
      </c>
      <c r="EK311" s="31" t="s">
        <v>151</v>
      </c>
      <c r="EL311" s="31" t="s">
        <v>151</v>
      </c>
      <c r="EM311" s="31" t="s">
        <v>151</v>
      </c>
      <c r="EN311" s="31" t="s">
        <v>151</v>
      </c>
      <c r="EO311" s="31" t="s">
        <v>151</v>
      </c>
      <c r="EP311" s="30" t="s">
        <v>151</v>
      </c>
      <c r="EQ311" s="29" t="s">
        <v>151</v>
      </c>
      <c r="ER311" s="29" t="s">
        <v>151</v>
      </c>
      <c r="ES311" s="4">
        <f>HYPERLINK("https://my.pitchbook.com?c=438485-23","View Company Online")</f>
      </c>
    </row>
    <row r="312">
      <c r="A312" s="17" t="s">
        <v>6841</v>
      </c>
      <c r="B312" s="17" t="s">
        <v>6842</v>
      </c>
      <c r="C312" s="18" t="s">
        <v>151</v>
      </c>
      <c r="D312" s="17" t="s">
        <v>151</v>
      </c>
      <c r="E312" s="17" t="s">
        <v>151</v>
      </c>
      <c r="F312" s="17" t="s">
        <v>6843</v>
      </c>
      <c r="G312" s="17" t="s">
        <v>151</v>
      </c>
      <c r="H312" s="17" t="s">
        <v>151</v>
      </c>
      <c r="I312" s="17" t="s">
        <v>151</v>
      </c>
      <c r="J312" s="17" t="s">
        <v>6841</v>
      </c>
      <c r="K312" s="17" t="s">
        <v>6844</v>
      </c>
      <c r="L312" s="17" t="s">
        <v>205</v>
      </c>
      <c r="M312" s="17" t="s">
        <v>206</v>
      </c>
      <c r="N312" s="17" t="s">
        <v>776</v>
      </c>
      <c r="O312" s="17" t="s">
        <v>5507</v>
      </c>
      <c r="P312" s="17" t="s">
        <v>1107</v>
      </c>
      <c r="Q312" s="17" t="s">
        <v>6845</v>
      </c>
      <c r="R312" s="17" t="s">
        <v>6846</v>
      </c>
      <c r="S312" s="17" t="s">
        <v>162</v>
      </c>
      <c r="T312" s="24">
        <v>0.12</v>
      </c>
      <c r="U312" s="17" t="s">
        <v>163</v>
      </c>
      <c r="V312" s="17" t="s">
        <v>164</v>
      </c>
      <c r="W312" s="17" t="s">
        <v>165</v>
      </c>
      <c r="X312" s="15" t="s">
        <v>6847</v>
      </c>
      <c r="Y312" s="15" t="s">
        <v>6848</v>
      </c>
      <c r="Z312" s="27">
        <v>3</v>
      </c>
      <c r="AA312" s="17" t="s">
        <v>6849</v>
      </c>
      <c r="AB312" s="17" t="s">
        <v>151</v>
      </c>
      <c r="AC312" s="17" t="s">
        <v>151</v>
      </c>
      <c r="AD312" s="26">
        <v>2018</v>
      </c>
      <c r="AE312" s="17" t="s">
        <v>151</v>
      </c>
      <c r="AF312" s="22">
        <v>45412</v>
      </c>
      <c r="AG312" s="17" t="s">
        <v>151</v>
      </c>
      <c r="AH312" s="17" t="s">
        <v>151</v>
      </c>
      <c r="AI312" s="25" t="s">
        <v>151</v>
      </c>
      <c r="AJ312" s="19" t="s">
        <v>151</v>
      </c>
      <c r="AK312" s="25" t="s">
        <v>151</v>
      </c>
      <c r="AL312" s="25" t="s">
        <v>151</v>
      </c>
      <c r="AM312" s="25" t="s">
        <v>151</v>
      </c>
      <c r="AN312" s="25" t="s">
        <v>151</v>
      </c>
      <c r="AO312" s="25" t="s">
        <v>151</v>
      </c>
      <c r="AP312" s="25" t="s">
        <v>151</v>
      </c>
      <c r="AQ312" s="25" t="s">
        <v>151</v>
      </c>
      <c r="AR312" s="16" t="s">
        <v>151</v>
      </c>
      <c r="AS312" s="17" t="s">
        <v>6850</v>
      </c>
      <c r="AT312" s="17" t="s">
        <v>3905</v>
      </c>
      <c r="AU312" s="18">
        <v>1</v>
      </c>
      <c r="AV312" s="17" t="s">
        <v>151</v>
      </c>
      <c r="AW312" s="17" t="s">
        <v>151</v>
      </c>
      <c r="AX312" s="17" t="s">
        <v>151</v>
      </c>
      <c r="AY312" s="17" t="s">
        <v>3906</v>
      </c>
      <c r="AZ312" s="17" t="s">
        <v>151</v>
      </c>
      <c r="BA312" s="17" t="s">
        <v>151</v>
      </c>
      <c r="BB312" s="17" t="s">
        <v>151</v>
      </c>
      <c r="BC312" s="17" t="s">
        <v>151</v>
      </c>
      <c r="BD312" s="17" t="s">
        <v>6851</v>
      </c>
      <c r="BE312" s="17" t="s">
        <v>6852</v>
      </c>
      <c r="BF312" s="17" t="s">
        <v>403</v>
      </c>
      <c r="BG312" s="17" t="s">
        <v>6853</v>
      </c>
      <c r="BH312" s="17" t="s">
        <v>151</v>
      </c>
      <c r="BI312" s="17" t="s">
        <v>6854</v>
      </c>
      <c r="BJ312" s="17" t="s">
        <v>6855</v>
      </c>
      <c r="BK312" s="17" t="s">
        <v>6856</v>
      </c>
      <c r="BL312" s="17" t="s">
        <v>6857</v>
      </c>
      <c r="BM312" s="17" t="s">
        <v>322</v>
      </c>
      <c r="BN312" s="16" t="s">
        <v>6858</v>
      </c>
      <c r="BO312" s="17" t="s">
        <v>186</v>
      </c>
      <c r="BP312" s="16" t="s">
        <v>151</v>
      </c>
      <c r="BQ312" s="16" t="s">
        <v>151</v>
      </c>
      <c r="BR312" s="17" t="s">
        <v>6859</v>
      </c>
      <c r="BS312" s="17" t="s">
        <v>187</v>
      </c>
      <c r="BT312" s="17" t="s">
        <v>188</v>
      </c>
      <c r="BU312" s="22">
        <v>44915</v>
      </c>
      <c r="BV312" s="24">
        <v>0.03</v>
      </c>
      <c r="BW312" s="17" t="s">
        <v>192</v>
      </c>
      <c r="BX312" s="24" t="s">
        <v>151</v>
      </c>
      <c r="BY312" s="17" t="s">
        <v>151</v>
      </c>
      <c r="BZ312" s="17" t="s">
        <v>501</v>
      </c>
      <c r="CA312" s="17" t="s">
        <v>151</v>
      </c>
      <c r="CB312" s="17" t="s">
        <v>151</v>
      </c>
      <c r="CC312" s="17" t="s">
        <v>190</v>
      </c>
      <c r="CD312" s="17" t="s">
        <v>151</v>
      </c>
      <c r="CE312" s="17" t="s">
        <v>191</v>
      </c>
      <c r="CF312" s="22">
        <v>45376</v>
      </c>
      <c r="CG312" s="24">
        <v>0.12</v>
      </c>
      <c r="CH312" s="17" t="s">
        <v>192</v>
      </c>
      <c r="CI312" s="24" t="s">
        <v>151</v>
      </c>
      <c r="CJ312" s="17" t="s">
        <v>151</v>
      </c>
      <c r="CK312" s="16" t="s">
        <v>151</v>
      </c>
      <c r="CL312" s="17" t="s">
        <v>293</v>
      </c>
      <c r="CM312" s="17" t="s">
        <v>293</v>
      </c>
      <c r="CN312" s="17" t="s">
        <v>151</v>
      </c>
      <c r="CO312" s="17" t="s">
        <v>165</v>
      </c>
      <c r="CP312" s="22">
        <v>45376</v>
      </c>
      <c r="CQ312" s="24">
        <v>0.12</v>
      </c>
      <c r="CR312" s="17" t="s">
        <v>6860</v>
      </c>
      <c r="CS312" s="17" t="s">
        <v>191</v>
      </c>
      <c r="CT312" s="16" t="s">
        <v>151</v>
      </c>
      <c r="CU312" s="17" t="s">
        <v>151</v>
      </c>
      <c r="CV312" s="19" t="s">
        <v>151</v>
      </c>
      <c r="CW312" s="19" t="s">
        <v>151</v>
      </c>
      <c r="CX312" s="17" t="s">
        <v>151</v>
      </c>
      <c r="CY312" s="19" t="s">
        <v>151</v>
      </c>
      <c r="CZ312" s="19" t="s">
        <v>151</v>
      </c>
      <c r="DA312" s="24" t="s">
        <v>151</v>
      </c>
      <c r="DB312" s="22" t="s">
        <v>151</v>
      </c>
      <c r="DC312" s="17" t="s">
        <v>151</v>
      </c>
      <c r="DD312" s="16" t="s">
        <v>151</v>
      </c>
      <c r="DE312" s="19">
        <v>0</v>
      </c>
      <c r="DF312" s="21">
        <v>11</v>
      </c>
      <c r="DG312" s="19">
        <v>0</v>
      </c>
      <c r="DH312" s="19">
        <v>0</v>
      </c>
      <c r="DI312" s="19">
        <v>0</v>
      </c>
      <c r="DJ312" s="21">
        <v>10</v>
      </c>
      <c r="DK312" s="19" t="s">
        <v>151</v>
      </c>
      <c r="DL312" s="21" t="s">
        <v>151</v>
      </c>
      <c r="DM312" s="19">
        <v>0</v>
      </c>
      <c r="DN312" s="21">
        <v>10</v>
      </c>
      <c r="DO312" s="23">
        <v>0.83</v>
      </c>
      <c r="DP312" s="21">
        <v>45</v>
      </c>
      <c r="DQ312" s="23">
        <v>0</v>
      </c>
      <c r="DR312" s="19">
        <v>0</v>
      </c>
      <c r="DS312" s="23">
        <v>1.42</v>
      </c>
      <c r="DT312" s="21">
        <v>58</v>
      </c>
      <c r="DU312" s="23" t="s">
        <v>151</v>
      </c>
      <c r="DV312" s="21" t="s">
        <v>151</v>
      </c>
      <c r="DW312" s="23">
        <v>1.42</v>
      </c>
      <c r="DX312" s="21">
        <v>57</v>
      </c>
      <c r="DY312" s="18" t="s">
        <v>151</v>
      </c>
      <c r="DZ312" s="22" t="s">
        <v>151</v>
      </c>
      <c r="EA312" s="22" t="s">
        <v>151</v>
      </c>
      <c r="EB312" s="21">
        <v>4</v>
      </c>
      <c r="EC312" s="20">
        <v>-22</v>
      </c>
      <c r="ED312" s="19">
        <v>-84.62</v>
      </c>
      <c r="EE312" s="21">
        <v>27</v>
      </c>
      <c r="EF312" s="20">
        <v>0</v>
      </c>
      <c r="EG312" s="19">
        <v>0</v>
      </c>
      <c r="EH312" s="16" t="s">
        <v>198</v>
      </c>
      <c r="EI312" s="17" t="s">
        <v>151</v>
      </c>
      <c r="EJ312" s="17" t="s">
        <v>151</v>
      </c>
      <c r="EK312" s="18" t="s">
        <v>151</v>
      </c>
      <c r="EL312" s="18" t="s">
        <v>151</v>
      </c>
      <c r="EM312" s="18" t="s">
        <v>151</v>
      </c>
      <c r="EN312" s="18" t="s">
        <v>151</v>
      </c>
      <c r="EO312" s="18" t="s">
        <v>151</v>
      </c>
      <c r="EP312" s="17" t="s">
        <v>151</v>
      </c>
      <c r="EQ312" s="16" t="s">
        <v>151</v>
      </c>
      <c r="ER312" s="16" t="s">
        <v>151</v>
      </c>
      <c r="ES312" s="3">
        <f>HYPERLINK("https://my.pitchbook.com?c=557424-55","View Company Online")</f>
      </c>
    </row>
    <row r="313">
      <c r="A313" s="30" t="s">
        <v>6861</v>
      </c>
      <c r="B313" s="30" t="s">
        <v>6862</v>
      </c>
      <c r="C313" s="31" t="s">
        <v>151</v>
      </c>
      <c r="D313" s="30" t="s">
        <v>151</v>
      </c>
      <c r="E313" s="30" t="s">
        <v>151</v>
      </c>
      <c r="F313" s="30" t="s">
        <v>6863</v>
      </c>
      <c r="G313" s="30" t="s">
        <v>151</v>
      </c>
      <c r="H313" s="30" t="s">
        <v>151</v>
      </c>
      <c r="I313" s="30" t="s">
        <v>6864</v>
      </c>
      <c r="J313" s="30" t="s">
        <v>6861</v>
      </c>
      <c r="K313" s="30" t="s">
        <v>6865</v>
      </c>
      <c r="L313" s="30" t="s">
        <v>205</v>
      </c>
      <c r="M313" s="30" t="s">
        <v>206</v>
      </c>
      <c r="N313" s="30" t="s">
        <v>269</v>
      </c>
      <c r="O313" s="30" t="s">
        <v>1651</v>
      </c>
      <c r="P313" s="30" t="s">
        <v>1652</v>
      </c>
      <c r="Q313" s="30" t="s">
        <v>6866</v>
      </c>
      <c r="R313" s="30" t="s">
        <v>151</v>
      </c>
      <c r="S313" s="30" t="s">
        <v>162</v>
      </c>
      <c r="T313" s="37">
        <v>5</v>
      </c>
      <c r="U313" s="30" t="s">
        <v>1727</v>
      </c>
      <c r="V313" s="30" t="s">
        <v>164</v>
      </c>
      <c r="W313" s="30" t="s">
        <v>165</v>
      </c>
      <c r="X313" s="28" t="s">
        <v>6867</v>
      </c>
      <c r="Y313" s="28" t="s">
        <v>6868</v>
      </c>
      <c r="Z313" s="40">
        <v>11</v>
      </c>
      <c r="AA313" s="30" t="s">
        <v>6869</v>
      </c>
      <c r="AB313" s="30" t="s">
        <v>151</v>
      </c>
      <c r="AC313" s="30" t="s">
        <v>151</v>
      </c>
      <c r="AD313" s="39">
        <v>2020</v>
      </c>
      <c r="AE313" s="30" t="s">
        <v>151</v>
      </c>
      <c r="AF313" s="35">
        <v>45464</v>
      </c>
      <c r="AG313" s="30" t="s">
        <v>151</v>
      </c>
      <c r="AH313" s="30" t="s">
        <v>151</v>
      </c>
      <c r="AI313" s="38" t="s">
        <v>151</v>
      </c>
      <c r="AJ313" s="32" t="s">
        <v>151</v>
      </c>
      <c r="AK313" s="38" t="s">
        <v>151</v>
      </c>
      <c r="AL313" s="38" t="s">
        <v>151</v>
      </c>
      <c r="AM313" s="38" t="s">
        <v>151</v>
      </c>
      <c r="AN313" s="38" t="s">
        <v>151</v>
      </c>
      <c r="AO313" s="38" t="s">
        <v>151</v>
      </c>
      <c r="AP313" s="38" t="s">
        <v>151</v>
      </c>
      <c r="AQ313" s="38" t="s">
        <v>151</v>
      </c>
      <c r="AR313" s="29" t="s">
        <v>151</v>
      </c>
      <c r="AS313" s="30" t="s">
        <v>6870</v>
      </c>
      <c r="AT313" s="30" t="s">
        <v>6871</v>
      </c>
      <c r="AU313" s="31">
        <v>8</v>
      </c>
      <c r="AV313" s="30" t="s">
        <v>151</v>
      </c>
      <c r="AW313" s="30" t="s">
        <v>151</v>
      </c>
      <c r="AX313" s="30" t="s">
        <v>151</v>
      </c>
      <c r="AY313" s="30" t="s">
        <v>6872</v>
      </c>
      <c r="AZ313" s="30" t="s">
        <v>151</v>
      </c>
      <c r="BA313" s="30" t="s">
        <v>151</v>
      </c>
      <c r="BB313" s="30" t="s">
        <v>151</v>
      </c>
      <c r="BC313" s="30" t="s">
        <v>6873</v>
      </c>
      <c r="BD313" s="30" t="s">
        <v>6874</v>
      </c>
      <c r="BE313" s="30" t="s">
        <v>6875</v>
      </c>
      <c r="BF313" s="30" t="s">
        <v>282</v>
      </c>
      <c r="BG313" s="30" t="s">
        <v>6876</v>
      </c>
      <c r="BH313" s="30" t="s">
        <v>6877</v>
      </c>
      <c r="BI313" s="30" t="s">
        <v>6878</v>
      </c>
      <c r="BJ313" s="30" t="s">
        <v>6879</v>
      </c>
      <c r="BK313" s="30" t="s">
        <v>6880</v>
      </c>
      <c r="BL313" s="30" t="s">
        <v>6881</v>
      </c>
      <c r="BM313" s="30" t="s">
        <v>636</v>
      </c>
      <c r="BN313" s="29" t="s">
        <v>6882</v>
      </c>
      <c r="BO313" s="30" t="s">
        <v>186</v>
      </c>
      <c r="BP313" s="29" t="s">
        <v>6877</v>
      </c>
      <c r="BQ313" s="29" t="s">
        <v>151</v>
      </c>
      <c r="BR313" s="30" t="s">
        <v>151</v>
      </c>
      <c r="BS313" s="30" t="s">
        <v>187</v>
      </c>
      <c r="BT313" s="30" t="s">
        <v>188</v>
      </c>
      <c r="BU313" s="35">
        <v>44064</v>
      </c>
      <c r="BV313" s="37" t="s">
        <v>151</v>
      </c>
      <c r="BW313" s="30" t="s">
        <v>151</v>
      </c>
      <c r="BX313" s="37" t="s">
        <v>151</v>
      </c>
      <c r="BY313" s="30" t="s">
        <v>151</v>
      </c>
      <c r="BZ313" s="30" t="s">
        <v>189</v>
      </c>
      <c r="CA313" s="30" t="s">
        <v>151</v>
      </c>
      <c r="CB313" s="30" t="s">
        <v>151</v>
      </c>
      <c r="CC313" s="30" t="s">
        <v>190</v>
      </c>
      <c r="CD313" s="30" t="s">
        <v>151</v>
      </c>
      <c r="CE313" s="30" t="s">
        <v>191</v>
      </c>
      <c r="CF313" s="35">
        <v>45322</v>
      </c>
      <c r="CG313" s="37" t="s">
        <v>151</v>
      </c>
      <c r="CH313" s="30" t="s">
        <v>151</v>
      </c>
      <c r="CI313" s="37" t="s">
        <v>151</v>
      </c>
      <c r="CJ313" s="30" t="s">
        <v>151</v>
      </c>
      <c r="CK313" s="29" t="s">
        <v>151</v>
      </c>
      <c r="CL313" s="30" t="s">
        <v>231</v>
      </c>
      <c r="CM313" s="30" t="s">
        <v>151</v>
      </c>
      <c r="CN313" s="30" t="s">
        <v>151</v>
      </c>
      <c r="CO313" s="30" t="s">
        <v>165</v>
      </c>
      <c r="CP313" s="35">
        <v>45322</v>
      </c>
      <c r="CQ313" s="37" t="s">
        <v>151</v>
      </c>
      <c r="CR313" s="30" t="s">
        <v>151</v>
      </c>
      <c r="CS313" s="30" t="s">
        <v>191</v>
      </c>
      <c r="CT313" s="29">
        <v>73</v>
      </c>
      <c r="CU313" s="30" t="s">
        <v>196</v>
      </c>
      <c r="CV313" s="32">
        <v>68</v>
      </c>
      <c r="CW313" s="32">
        <v>32</v>
      </c>
      <c r="CX313" s="30" t="s">
        <v>294</v>
      </c>
      <c r="CY313" s="32">
        <v>1</v>
      </c>
      <c r="CZ313" s="32">
        <v>67</v>
      </c>
      <c r="DA313" s="37">
        <v>10.5</v>
      </c>
      <c r="DB313" s="35">
        <v>44673</v>
      </c>
      <c r="DC313" s="30" t="s">
        <v>293</v>
      </c>
      <c r="DD313" s="29" t="s">
        <v>151</v>
      </c>
      <c r="DE313" s="32">
        <v>0</v>
      </c>
      <c r="DF313" s="34">
        <v>11</v>
      </c>
      <c r="DG313" s="32">
        <v>0</v>
      </c>
      <c r="DH313" s="32">
        <v>0</v>
      </c>
      <c r="DI313" s="32">
        <v>0</v>
      </c>
      <c r="DJ313" s="34">
        <v>10</v>
      </c>
      <c r="DK313" s="32" t="s">
        <v>151</v>
      </c>
      <c r="DL313" s="34" t="s">
        <v>151</v>
      </c>
      <c r="DM313" s="32">
        <v>0</v>
      </c>
      <c r="DN313" s="34">
        <v>10</v>
      </c>
      <c r="DO313" s="36">
        <v>1.84</v>
      </c>
      <c r="DP313" s="34">
        <v>64</v>
      </c>
      <c r="DQ313" s="36">
        <v>0</v>
      </c>
      <c r="DR313" s="32">
        <v>0</v>
      </c>
      <c r="DS313" s="36">
        <v>2.84</v>
      </c>
      <c r="DT313" s="34">
        <v>73</v>
      </c>
      <c r="DU313" s="36" t="s">
        <v>151</v>
      </c>
      <c r="DV313" s="34" t="s">
        <v>151</v>
      </c>
      <c r="DW313" s="36">
        <v>2.84</v>
      </c>
      <c r="DX313" s="34">
        <v>73</v>
      </c>
      <c r="DY313" s="31" t="s">
        <v>151</v>
      </c>
      <c r="DZ313" s="35" t="s">
        <v>151</v>
      </c>
      <c r="EA313" s="35" t="s">
        <v>151</v>
      </c>
      <c r="EB313" s="34">
        <v>208</v>
      </c>
      <c r="EC313" s="33">
        <v>36</v>
      </c>
      <c r="ED313" s="32">
        <v>20.93</v>
      </c>
      <c r="EE313" s="34">
        <v>54</v>
      </c>
      <c r="EF313" s="33">
        <v>0</v>
      </c>
      <c r="EG313" s="32">
        <v>0</v>
      </c>
      <c r="EH313" s="29" t="s">
        <v>198</v>
      </c>
      <c r="EI313" s="30" t="s">
        <v>151</v>
      </c>
      <c r="EJ313" s="30" t="s">
        <v>151</v>
      </c>
      <c r="EK313" s="31" t="s">
        <v>151</v>
      </c>
      <c r="EL313" s="31" t="s">
        <v>151</v>
      </c>
      <c r="EM313" s="31" t="s">
        <v>151</v>
      </c>
      <c r="EN313" s="31" t="s">
        <v>151</v>
      </c>
      <c r="EO313" s="31" t="s">
        <v>151</v>
      </c>
      <c r="EP313" s="30" t="s">
        <v>151</v>
      </c>
      <c r="EQ313" s="29" t="s">
        <v>151</v>
      </c>
      <c r="ER313" s="29" t="s">
        <v>151</v>
      </c>
      <c r="ES313" s="4">
        <f>HYPERLINK("https://my.pitchbook.com?c=453376-54","View Company Online")</f>
      </c>
    </row>
    <row r="314">
      <c r="A314" s="17" t="s">
        <v>6883</v>
      </c>
      <c r="B314" s="17" t="s">
        <v>6884</v>
      </c>
      <c r="C314" s="18" t="s">
        <v>151</v>
      </c>
      <c r="D314" s="17" t="s">
        <v>151</v>
      </c>
      <c r="E314" s="17" t="s">
        <v>151</v>
      </c>
      <c r="F314" s="17" t="s">
        <v>6885</v>
      </c>
      <c r="G314" s="17" t="s">
        <v>151</v>
      </c>
      <c r="H314" s="17" t="s">
        <v>151</v>
      </c>
      <c r="I314" s="17" t="s">
        <v>151</v>
      </c>
      <c r="J314" s="17" t="s">
        <v>6883</v>
      </c>
      <c r="K314" s="17" t="s">
        <v>6886</v>
      </c>
      <c r="L314" s="17" t="s">
        <v>205</v>
      </c>
      <c r="M314" s="17" t="s">
        <v>206</v>
      </c>
      <c r="N314" s="17" t="s">
        <v>1940</v>
      </c>
      <c r="O314" s="17" t="s">
        <v>6692</v>
      </c>
      <c r="P314" s="17" t="s">
        <v>6887</v>
      </c>
      <c r="Q314" s="17" t="s">
        <v>6888</v>
      </c>
      <c r="R314" s="17" t="s">
        <v>151</v>
      </c>
      <c r="S314" s="17" t="s">
        <v>162</v>
      </c>
      <c r="T314" s="24">
        <v>4</v>
      </c>
      <c r="U314" s="17" t="s">
        <v>163</v>
      </c>
      <c r="V314" s="17" t="s">
        <v>164</v>
      </c>
      <c r="W314" s="17" t="s">
        <v>165</v>
      </c>
      <c r="X314" s="15" t="s">
        <v>6889</v>
      </c>
      <c r="Y314" s="15" t="s">
        <v>6890</v>
      </c>
      <c r="Z314" s="27">
        <v>9</v>
      </c>
      <c r="AA314" s="17" t="s">
        <v>6517</v>
      </c>
      <c r="AB314" s="17" t="s">
        <v>151</v>
      </c>
      <c r="AC314" s="17" t="s">
        <v>151</v>
      </c>
      <c r="AD314" s="26">
        <v>2023</v>
      </c>
      <c r="AE314" s="17" t="s">
        <v>151</v>
      </c>
      <c r="AF314" s="22">
        <v>45609</v>
      </c>
      <c r="AG314" s="17" t="s">
        <v>151</v>
      </c>
      <c r="AH314" s="17" t="s">
        <v>151</v>
      </c>
      <c r="AI314" s="25" t="s">
        <v>151</v>
      </c>
      <c r="AJ314" s="19" t="s">
        <v>151</v>
      </c>
      <c r="AK314" s="25" t="s">
        <v>151</v>
      </c>
      <c r="AL314" s="25" t="s">
        <v>151</v>
      </c>
      <c r="AM314" s="25" t="s">
        <v>151</v>
      </c>
      <c r="AN314" s="25" t="s">
        <v>151</v>
      </c>
      <c r="AO314" s="25" t="s">
        <v>151</v>
      </c>
      <c r="AP314" s="25" t="s">
        <v>151</v>
      </c>
      <c r="AQ314" s="25" t="s">
        <v>151</v>
      </c>
      <c r="AR314" s="16" t="s">
        <v>151</v>
      </c>
      <c r="AS314" s="17" t="s">
        <v>6891</v>
      </c>
      <c r="AT314" s="17" t="s">
        <v>6892</v>
      </c>
      <c r="AU314" s="18">
        <v>6</v>
      </c>
      <c r="AV314" s="17" t="s">
        <v>151</v>
      </c>
      <c r="AW314" s="17" t="s">
        <v>151</v>
      </c>
      <c r="AX314" s="17" t="s">
        <v>151</v>
      </c>
      <c r="AY314" s="17" t="s">
        <v>6893</v>
      </c>
      <c r="AZ314" s="17" t="s">
        <v>151</v>
      </c>
      <c r="BA314" s="17" t="s">
        <v>151</v>
      </c>
      <c r="BB314" s="17" t="s">
        <v>151</v>
      </c>
      <c r="BC314" s="17" t="s">
        <v>6894</v>
      </c>
      <c r="BD314" s="17" t="s">
        <v>6895</v>
      </c>
      <c r="BE314" s="17" t="s">
        <v>6896</v>
      </c>
      <c r="BF314" s="17" t="s">
        <v>221</v>
      </c>
      <c r="BG314" s="17" t="s">
        <v>6897</v>
      </c>
      <c r="BH314" s="17" t="s">
        <v>151</v>
      </c>
      <c r="BI314" s="17" t="s">
        <v>764</v>
      </c>
      <c r="BJ314" s="17" t="s">
        <v>6898</v>
      </c>
      <c r="BK314" s="17" t="s">
        <v>6899</v>
      </c>
      <c r="BL314" s="17" t="s">
        <v>767</v>
      </c>
      <c r="BM314" s="17" t="s">
        <v>184</v>
      </c>
      <c r="BN314" s="16" t="s">
        <v>6900</v>
      </c>
      <c r="BO314" s="17" t="s">
        <v>186</v>
      </c>
      <c r="BP314" s="16" t="s">
        <v>151</v>
      </c>
      <c r="BQ314" s="16" t="s">
        <v>151</v>
      </c>
      <c r="BR314" s="17" t="s">
        <v>151</v>
      </c>
      <c r="BS314" s="17" t="s">
        <v>187</v>
      </c>
      <c r="BT314" s="17" t="s">
        <v>188</v>
      </c>
      <c r="BU314" s="22">
        <v>45204</v>
      </c>
      <c r="BV314" s="24">
        <v>4</v>
      </c>
      <c r="BW314" s="17" t="s">
        <v>192</v>
      </c>
      <c r="BX314" s="24" t="s">
        <v>151</v>
      </c>
      <c r="BY314" s="17" t="s">
        <v>151</v>
      </c>
      <c r="BZ314" s="17" t="s">
        <v>293</v>
      </c>
      <c r="CA314" s="17" t="s">
        <v>293</v>
      </c>
      <c r="CB314" s="17" t="s">
        <v>151</v>
      </c>
      <c r="CC314" s="17" t="s">
        <v>165</v>
      </c>
      <c r="CD314" s="17" t="s">
        <v>151</v>
      </c>
      <c r="CE314" s="17" t="s">
        <v>191</v>
      </c>
      <c r="CF314" s="22">
        <v>45204</v>
      </c>
      <c r="CG314" s="24">
        <v>4</v>
      </c>
      <c r="CH314" s="17" t="s">
        <v>192</v>
      </c>
      <c r="CI314" s="24" t="s">
        <v>151</v>
      </c>
      <c r="CJ314" s="17" t="s">
        <v>151</v>
      </c>
      <c r="CK314" s="16" t="s">
        <v>151</v>
      </c>
      <c r="CL314" s="17" t="s">
        <v>293</v>
      </c>
      <c r="CM314" s="17" t="s">
        <v>293</v>
      </c>
      <c r="CN314" s="17" t="s">
        <v>151</v>
      </c>
      <c r="CO314" s="17" t="s">
        <v>165</v>
      </c>
      <c r="CP314" s="22">
        <v>45204</v>
      </c>
      <c r="CQ314" s="24" t="s">
        <v>151</v>
      </c>
      <c r="CR314" s="17" t="s">
        <v>151</v>
      </c>
      <c r="CS314" s="17" t="s">
        <v>191</v>
      </c>
      <c r="CT314" s="16" t="s">
        <v>151</v>
      </c>
      <c r="CU314" s="17" t="s">
        <v>151</v>
      </c>
      <c r="CV314" s="19" t="s">
        <v>151</v>
      </c>
      <c r="CW314" s="19" t="s">
        <v>151</v>
      </c>
      <c r="CX314" s="17" t="s">
        <v>151</v>
      </c>
      <c r="CY314" s="19" t="s">
        <v>151</v>
      </c>
      <c r="CZ314" s="19" t="s">
        <v>151</v>
      </c>
      <c r="DA314" s="24" t="s">
        <v>151</v>
      </c>
      <c r="DB314" s="22" t="s">
        <v>151</v>
      </c>
      <c r="DC314" s="17" t="s">
        <v>151</v>
      </c>
      <c r="DD314" s="16" t="s">
        <v>151</v>
      </c>
      <c r="DE314" s="19">
        <v>0.69</v>
      </c>
      <c r="DF314" s="21">
        <v>95</v>
      </c>
      <c r="DG314" s="19">
        <v>0</v>
      </c>
      <c r="DH314" s="19">
        <v>0</v>
      </c>
      <c r="DI314" s="19">
        <v>0</v>
      </c>
      <c r="DJ314" s="21">
        <v>10</v>
      </c>
      <c r="DK314" s="19" t="s">
        <v>151</v>
      </c>
      <c r="DL314" s="21" t="s">
        <v>151</v>
      </c>
      <c r="DM314" s="19">
        <v>0</v>
      </c>
      <c r="DN314" s="21">
        <v>10</v>
      </c>
      <c r="DO314" s="23">
        <v>2.88</v>
      </c>
      <c r="DP314" s="21">
        <v>74</v>
      </c>
      <c r="DQ314" s="23">
        <v>0</v>
      </c>
      <c r="DR314" s="19">
        <v>0</v>
      </c>
      <c r="DS314" s="23">
        <v>5</v>
      </c>
      <c r="DT314" s="21">
        <v>82</v>
      </c>
      <c r="DU314" s="23" t="s">
        <v>151</v>
      </c>
      <c r="DV314" s="21" t="s">
        <v>151</v>
      </c>
      <c r="DW314" s="23">
        <v>5</v>
      </c>
      <c r="DX314" s="21">
        <v>82</v>
      </c>
      <c r="DY314" s="18" t="s">
        <v>151</v>
      </c>
      <c r="DZ314" s="22" t="s">
        <v>151</v>
      </c>
      <c r="EA314" s="22" t="s">
        <v>151</v>
      </c>
      <c r="EB314" s="21">
        <v>33634</v>
      </c>
      <c r="EC314" s="20">
        <v>1502</v>
      </c>
      <c r="ED314" s="19">
        <v>4.67</v>
      </c>
      <c r="EE314" s="21">
        <v>95</v>
      </c>
      <c r="EF314" s="20">
        <v>1</v>
      </c>
      <c r="EG314" s="19">
        <v>1.06</v>
      </c>
      <c r="EH314" s="16" t="s">
        <v>198</v>
      </c>
      <c r="EI314" s="17" t="s">
        <v>151</v>
      </c>
      <c r="EJ314" s="17" t="s">
        <v>151</v>
      </c>
      <c r="EK314" s="18" t="s">
        <v>151</v>
      </c>
      <c r="EL314" s="18" t="s">
        <v>151</v>
      </c>
      <c r="EM314" s="18" t="s">
        <v>151</v>
      </c>
      <c r="EN314" s="18" t="s">
        <v>151</v>
      </c>
      <c r="EO314" s="18" t="s">
        <v>151</v>
      </c>
      <c r="EP314" s="17" t="s">
        <v>151</v>
      </c>
      <c r="EQ314" s="16" t="s">
        <v>151</v>
      </c>
      <c r="ER314" s="16" t="s">
        <v>151</v>
      </c>
      <c r="ES314" s="3">
        <f>HYPERLINK("https://my.pitchbook.com?c=530667-19","View Company Online")</f>
      </c>
    </row>
    <row r="315">
      <c r="A315" s="30" t="s">
        <v>6901</v>
      </c>
      <c r="B315" s="30" t="s">
        <v>6902</v>
      </c>
      <c r="C315" s="31" t="s">
        <v>151</v>
      </c>
      <c r="D315" s="30" t="s">
        <v>6903</v>
      </c>
      <c r="E315" s="30" t="s">
        <v>151</v>
      </c>
      <c r="F315" s="30" t="s">
        <v>6904</v>
      </c>
      <c r="G315" s="30" t="s">
        <v>151</v>
      </c>
      <c r="H315" s="30" t="s">
        <v>151</v>
      </c>
      <c r="I315" s="30" t="s">
        <v>151</v>
      </c>
      <c r="J315" s="30" t="s">
        <v>6901</v>
      </c>
      <c r="K315" s="30" t="s">
        <v>6905</v>
      </c>
      <c r="L315" s="30" t="s">
        <v>205</v>
      </c>
      <c r="M315" s="30" t="s">
        <v>206</v>
      </c>
      <c r="N315" s="30" t="s">
        <v>1940</v>
      </c>
      <c r="O315" s="30" t="s">
        <v>5396</v>
      </c>
      <c r="P315" s="30" t="s">
        <v>1942</v>
      </c>
      <c r="Q315" s="30" t="s">
        <v>6906</v>
      </c>
      <c r="R315" s="30" t="s">
        <v>151</v>
      </c>
      <c r="S315" s="30" t="s">
        <v>162</v>
      </c>
      <c r="T315" s="37">
        <v>1</v>
      </c>
      <c r="U315" s="30" t="s">
        <v>163</v>
      </c>
      <c r="V315" s="30" t="s">
        <v>164</v>
      </c>
      <c r="W315" s="30" t="s">
        <v>165</v>
      </c>
      <c r="X315" s="28" t="s">
        <v>6907</v>
      </c>
      <c r="Y315" s="28" t="s">
        <v>6908</v>
      </c>
      <c r="Z315" s="40">
        <v>3</v>
      </c>
      <c r="AA315" s="30" t="s">
        <v>6909</v>
      </c>
      <c r="AB315" s="30" t="s">
        <v>151</v>
      </c>
      <c r="AC315" s="30" t="s">
        <v>151</v>
      </c>
      <c r="AD315" s="39">
        <v>2021</v>
      </c>
      <c r="AE315" s="30" t="s">
        <v>151</v>
      </c>
      <c r="AF315" s="35">
        <v>45553</v>
      </c>
      <c r="AG315" s="30" t="s">
        <v>151</v>
      </c>
      <c r="AH315" s="30" t="s">
        <v>151</v>
      </c>
      <c r="AI315" s="38" t="s">
        <v>151</v>
      </c>
      <c r="AJ315" s="32" t="s">
        <v>151</v>
      </c>
      <c r="AK315" s="38" t="s">
        <v>151</v>
      </c>
      <c r="AL315" s="38" t="s">
        <v>151</v>
      </c>
      <c r="AM315" s="38" t="s">
        <v>151</v>
      </c>
      <c r="AN315" s="38" t="s">
        <v>151</v>
      </c>
      <c r="AO315" s="38" t="s">
        <v>151</v>
      </c>
      <c r="AP315" s="38" t="s">
        <v>151</v>
      </c>
      <c r="AQ315" s="38" t="s">
        <v>151</v>
      </c>
      <c r="AR315" s="29" t="s">
        <v>151</v>
      </c>
      <c r="AS315" s="30" t="s">
        <v>6910</v>
      </c>
      <c r="AT315" s="30" t="s">
        <v>6911</v>
      </c>
      <c r="AU315" s="31">
        <v>4</v>
      </c>
      <c r="AV315" s="30" t="s">
        <v>151</v>
      </c>
      <c r="AW315" s="30" t="s">
        <v>151</v>
      </c>
      <c r="AX315" s="30" t="s">
        <v>151</v>
      </c>
      <c r="AY315" s="30" t="s">
        <v>6912</v>
      </c>
      <c r="AZ315" s="30" t="s">
        <v>151</v>
      </c>
      <c r="BA315" s="30" t="s">
        <v>151</v>
      </c>
      <c r="BB315" s="30" t="s">
        <v>151</v>
      </c>
      <c r="BC315" s="30" t="s">
        <v>151</v>
      </c>
      <c r="BD315" s="30" t="s">
        <v>6913</v>
      </c>
      <c r="BE315" s="30" t="s">
        <v>6914</v>
      </c>
      <c r="BF315" s="30" t="s">
        <v>789</v>
      </c>
      <c r="BG315" s="30" t="s">
        <v>6915</v>
      </c>
      <c r="BH315" s="30" t="s">
        <v>151</v>
      </c>
      <c r="BI315" s="30" t="s">
        <v>6916</v>
      </c>
      <c r="BJ315" s="30" t="s">
        <v>6917</v>
      </c>
      <c r="BK315" s="30" t="s">
        <v>6918</v>
      </c>
      <c r="BL315" s="30" t="s">
        <v>6919</v>
      </c>
      <c r="BM315" s="30" t="s">
        <v>2190</v>
      </c>
      <c r="BN315" s="29" t="s">
        <v>6920</v>
      </c>
      <c r="BO315" s="30" t="s">
        <v>186</v>
      </c>
      <c r="BP315" s="29" t="s">
        <v>151</v>
      </c>
      <c r="BQ315" s="29" t="s">
        <v>151</v>
      </c>
      <c r="BR315" s="30" t="s">
        <v>6921</v>
      </c>
      <c r="BS315" s="30" t="s">
        <v>187</v>
      </c>
      <c r="BT315" s="30" t="s">
        <v>188</v>
      </c>
      <c r="BU315" s="35">
        <v>44691</v>
      </c>
      <c r="BV315" s="37">
        <v>0.01</v>
      </c>
      <c r="BW315" s="30" t="s">
        <v>192</v>
      </c>
      <c r="BX315" s="37" t="s">
        <v>151</v>
      </c>
      <c r="BY315" s="30" t="s">
        <v>151</v>
      </c>
      <c r="BZ315" s="30" t="s">
        <v>501</v>
      </c>
      <c r="CA315" s="30" t="s">
        <v>151</v>
      </c>
      <c r="CB315" s="30" t="s">
        <v>151</v>
      </c>
      <c r="CC315" s="30" t="s">
        <v>190</v>
      </c>
      <c r="CD315" s="30" t="s">
        <v>151</v>
      </c>
      <c r="CE315" s="30" t="s">
        <v>191</v>
      </c>
      <c r="CF315" s="35">
        <v>45552</v>
      </c>
      <c r="CG315" s="37">
        <v>1</v>
      </c>
      <c r="CH315" s="30" t="s">
        <v>192</v>
      </c>
      <c r="CI315" s="37" t="s">
        <v>151</v>
      </c>
      <c r="CJ315" s="30" t="s">
        <v>151</v>
      </c>
      <c r="CK315" s="29" t="s">
        <v>151</v>
      </c>
      <c r="CL315" s="30" t="s">
        <v>293</v>
      </c>
      <c r="CM315" s="30" t="s">
        <v>293</v>
      </c>
      <c r="CN315" s="30" t="s">
        <v>151</v>
      </c>
      <c r="CO315" s="30" t="s">
        <v>165</v>
      </c>
      <c r="CP315" s="35">
        <v>45552</v>
      </c>
      <c r="CQ315" s="37" t="s">
        <v>151</v>
      </c>
      <c r="CR315" s="30" t="s">
        <v>151</v>
      </c>
      <c r="CS315" s="30" t="s">
        <v>191</v>
      </c>
      <c r="CT315" s="29" t="s">
        <v>151</v>
      </c>
      <c r="CU315" s="30" t="s">
        <v>151</v>
      </c>
      <c r="CV315" s="32" t="s">
        <v>151</v>
      </c>
      <c r="CW315" s="32" t="s">
        <v>151</v>
      </c>
      <c r="CX315" s="30" t="s">
        <v>151</v>
      </c>
      <c r="CY315" s="32" t="s">
        <v>151</v>
      </c>
      <c r="CZ315" s="32" t="s">
        <v>151</v>
      </c>
      <c r="DA315" s="37" t="s">
        <v>151</v>
      </c>
      <c r="DB315" s="35" t="s">
        <v>151</v>
      </c>
      <c r="DC315" s="30" t="s">
        <v>151</v>
      </c>
      <c r="DD315" s="29" t="s">
        <v>151</v>
      </c>
      <c r="DE315" s="32">
        <v>-1.56</v>
      </c>
      <c r="DF315" s="34">
        <v>3</v>
      </c>
      <c r="DG315" s="32">
        <v>0</v>
      </c>
      <c r="DH315" s="32">
        <v>0</v>
      </c>
      <c r="DI315" s="32">
        <v>0</v>
      </c>
      <c r="DJ315" s="34">
        <v>10</v>
      </c>
      <c r="DK315" s="32" t="s">
        <v>151</v>
      </c>
      <c r="DL315" s="34" t="s">
        <v>151</v>
      </c>
      <c r="DM315" s="32">
        <v>0</v>
      </c>
      <c r="DN315" s="34">
        <v>10</v>
      </c>
      <c r="DO315" s="36">
        <v>1.38</v>
      </c>
      <c r="DP315" s="34">
        <v>58</v>
      </c>
      <c r="DQ315" s="36">
        <v>0</v>
      </c>
      <c r="DR315" s="32">
        <v>0</v>
      </c>
      <c r="DS315" s="36">
        <v>2.53</v>
      </c>
      <c r="DT315" s="34">
        <v>71</v>
      </c>
      <c r="DU315" s="36" t="s">
        <v>151</v>
      </c>
      <c r="DV315" s="34" t="s">
        <v>151</v>
      </c>
      <c r="DW315" s="36">
        <v>2.53</v>
      </c>
      <c r="DX315" s="34">
        <v>70</v>
      </c>
      <c r="DY315" s="31" t="s">
        <v>151</v>
      </c>
      <c r="DZ315" s="35" t="s">
        <v>151</v>
      </c>
      <c r="EA315" s="35" t="s">
        <v>151</v>
      </c>
      <c r="EB315" s="34" t="s">
        <v>151</v>
      </c>
      <c r="EC315" s="33" t="s">
        <v>151</v>
      </c>
      <c r="ED315" s="32" t="s">
        <v>151</v>
      </c>
      <c r="EE315" s="34">
        <v>48</v>
      </c>
      <c r="EF315" s="33">
        <v>1</v>
      </c>
      <c r="EG315" s="32">
        <v>2.13</v>
      </c>
      <c r="EH315" s="29" t="s">
        <v>198</v>
      </c>
      <c r="EI315" s="30" t="s">
        <v>151</v>
      </c>
      <c r="EJ315" s="30" t="s">
        <v>151</v>
      </c>
      <c r="EK315" s="31" t="s">
        <v>151</v>
      </c>
      <c r="EL315" s="31" t="s">
        <v>151</v>
      </c>
      <c r="EM315" s="31" t="s">
        <v>151</v>
      </c>
      <c r="EN315" s="31" t="s">
        <v>151</v>
      </c>
      <c r="EO315" s="31" t="s">
        <v>151</v>
      </c>
      <c r="EP315" s="30" t="s">
        <v>151</v>
      </c>
      <c r="EQ315" s="29" t="s">
        <v>151</v>
      </c>
      <c r="ER315" s="29" t="s">
        <v>151</v>
      </c>
      <c r="ES315" s="4">
        <f>HYPERLINK("https://my.pitchbook.com?c=512271-64","View Company Online")</f>
      </c>
    </row>
    <row r="316">
      <c r="A316" s="17" t="s">
        <v>6922</v>
      </c>
      <c r="B316" s="17" t="s">
        <v>6923</v>
      </c>
      <c r="C316" s="18" t="s">
        <v>151</v>
      </c>
      <c r="D316" s="17" t="s">
        <v>151</v>
      </c>
      <c r="E316" s="17" t="s">
        <v>151</v>
      </c>
      <c r="F316" s="17" t="s">
        <v>6924</v>
      </c>
      <c r="G316" s="17" t="s">
        <v>151</v>
      </c>
      <c r="H316" s="17" t="s">
        <v>151</v>
      </c>
      <c r="I316" s="17" t="s">
        <v>151</v>
      </c>
      <c r="J316" s="17" t="s">
        <v>6922</v>
      </c>
      <c r="K316" s="17" t="s">
        <v>6925</v>
      </c>
      <c r="L316" s="17" t="s">
        <v>205</v>
      </c>
      <c r="M316" s="17" t="s">
        <v>206</v>
      </c>
      <c r="N316" s="17" t="s">
        <v>1268</v>
      </c>
      <c r="O316" s="17" t="s">
        <v>2129</v>
      </c>
      <c r="P316" s="17" t="s">
        <v>1205</v>
      </c>
      <c r="Q316" s="17" t="s">
        <v>6926</v>
      </c>
      <c r="R316" s="17" t="s">
        <v>6927</v>
      </c>
      <c r="S316" s="17" t="s">
        <v>162</v>
      </c>
      <c r="T316" s="24">
        <v>2</v>
      </c>
      <c r="U316" s="17" t="s">
        <v>163</v>
      </c>
      <c r="V316" s="17" t="s">
        <v>164</v>
      </c>
      <c r="W316" s="17" t="s">
        <v>165</v>
      </c>
      <c r="X316" s="15" t="s">
        <v>6928</v>
      </c>
      <c r="Y316" s="15" t="s">
        <v>6929</v>
      </c>
      <c r="Z316" s="27">
        <v>24</v>
      </c>
      <c r="AA316" s="17" t="s">
        <v>6930</v>
      </c>
      <c r="AB316" s="17" t="s">
        <v>151</v>
      </c>
      <c r="AC316" s="17" t="s">
        <v>151</v>
      </c>
      <c r="AD316" s="26">
        <v>2023</v>
      </c>
      <c r="AE316" s="17" t="s">
        <v>151</v>
      </c>
      <c r="AF316" s="22">
        <v>45596</v>
      </c>
      <c r="AG316" s="17" t="s">
        <v>151</v>
      </c>
      <c r="AH316" s="17" t="s">
        <v>151</v>
      </c>
      <c r="AI316" s="25" t="s">
        <v>151</v>
      </c>
      <c r="AJ316" s="19" t="s">
        <v>151</v>
      </c>
      <c r="AK316" s="25" t="s">
        <v>151</v>
      </c>
      <c r="AL316" s="25" t="s">
        <v>151</v>
      </c>
      <c r="AM316" s="25" t="s">
        <v>151</v>
      </c>
      <c r="AN316" s="25" t="s">
        <v>151</v>
      </c>
      <c r="AO316" s="25" t="s">
        <v>151</v>
      </c>
      <c r="AP316" s="25" t="s">
        <v>151</v>
      </c>
      <c r="AQ316" s="25" t="s">
        <v>151</v>
      </c>
      <c r="AR316" s="16" t="s">
        <v>151</v>
      </c>
      <c r="AS316" s="17" t="s">
        <v>6931</v>
      </c>
      <c r="AT316" s="17" t="s">
        <v>6932</v>
      </c>
      <c r="AU316" s="18">
        <v>12</v>
      </c>
      <c r="AV316" s="17" t="s">
        <v>151</v>
      </c>
      <c r="AW316" s="17" t="s">
        <v>151</v>
      </c>
      <c r="AX316" s="17" t="s">
        <v>151</v>
      </c>
      <c r="AY316" s="17" t="s">
        <v>6933</v>
      </c>
      <c r="AZ316" s="17" t="s">
        <v>151</v>
      </c>
      <c r="BA316" s="17" t="s">
        <v>151</v>
      </c>
      <c r="BB316" s="17" t="s">
        <v>151</v>
      </c>
      <c r="BC316" s="17" t="s">
        <v>374</v>
      </c>
      <c r="BD316" s="17" t="s">
        <v>6934</v>
      </c>
      <c r="BE316" s="17" t="s">
        <v>6935</v>
      </c>
      <c r="BF316" s="17" t="s">
        <v>221</v>
      </c>
      <c r="BG316" s="17" t="s">
        <v>151</v>
      </c>
      <c r="BH316" s="17" t="s">
        <v>151</v>
      </c>
      <c r="BI316" s="17" t="s">
        <v>1384</v>
      </c>
      <c r="BJ316" s="17" t="s">
        <v>1385</v>
      </c>
      <c r="BK316" s="17" t="s">
        <v>1832</v>
      </c>
      <c r="BL316" s="17" t="s">
        <v>1387</v>
      </c>
      <c r="BM316" s="17" t="s">
        <v>1388</v>
      </c>
      <c r="BN316" s="16" t="s">
        <v>1389</v>
      </c>
      <c r="BO316" s="17" t="s">
        <v>186</v>
      </c>
      <c r="BP316" s="16" t="s">
        <v>151</v>
      </c>
      <c r="BQ316" s="16" t="s">
        <v>151</v>
      </c>
      <c r="BR316" s="17" t="s">
        <v>6936</v>
      </c>
      <c r="BS316" s="17" t="s">
        <v>187</v>
      </c>
      <c r="BT316" s="17" t="s">
        <v>188</v>
      </c>
      <c r="BU316" s="22">
        <v>45292</v>
      </c>
      <c r="BV316" s="24">
        <v>0.5</v>
      </c>
      <c r="BW316" s="17" t="s">
        <v>192</v>
      </c>
      <c r="BX316" s="24" t="s">
        <v>151</v>
      </c>
      <c r="BY316" s="17" t="s">
        <v>151</v>
      </c>
      <c r="BZ316" s="17" t="s">
        <v>189</v>
      </c>
      <c r="CA316" s="17" t="s">
        <v>151</v>
      </c>
      <c r="CB316" s="17" t="s">
        <v>151</v>
      </c>
      <c r="CC316" s="17" t="s">
        <v>190</v>
      </c>
      <c r="CD316" s="17" t="s">
        <v>151</v>
      </c>
      <c r="CE316" s="17" t="s">
        <v>191</v>
      </c>
      <c r="CF316" s="22">
        <v>45413</v>
      </c>
      <c r="CG316" s="24" t="s">
        <v>151</v>
      </c>
      <c r="CH316" s="17" t="s">
        <v>151</v>
      </c>
      <c r="CI316" s="24" t="s">
        <v>151</v>
      </c>
      <c r="CJ316" s="17" t="s">
        <v>151</v>
      </c>
      <c r="CK316" s="16" t="s">
        <v>151</v>
      </c>
      <c r="CL316" s="17" t="s">
        <v>189</v>
      </c>
      <c r="CM316" s="17" t="s">
        <v>151</v>
      </c>
      <c r="CN316" s="17" t="s">
        <v>151</v>
      </c>
      <c r="CO316" s="17" t="s">
        <v>190</v>
      </c>
      <c r="CP316" s="22">
        <v>45413</v>
      </c>
      <c r="CQ316" s="24" t="s">
        <v>151</v>
      </c>
      <c r="CR316" s="17" t="s">
        <v>151</v>
      </c>
      <c r="CS316" s="17" t="s">
        <v>191</v>
      </c>
      <c r="CT316" s="16" t="s">
        <v>151</v>
      </c>
      <c r="CU316" s="17" t="s">
        <v>151</v>
      </c>
      <c r="CV316" s="19" t="s">
        <v>151</v>
      </c>
      <c r="CW316" s="19" t="s">
        <v>151</v>
      </c>
      <c r="CX316" s="17" t="s">
        <v>151</v>
      </c>
      <c r="CY316" s="19" t="s">
        <v>151</v>
      </c>
      <c r="CZ316" s="19" t="s">
        <v>151</v>
      </c>
      <c r="DA316" s="24" t="s">
        <v>151</v>
      </c>
      <c r="DB316" s="22" t="s">
        <v>151</v>
      </c>
      <c r="DC316" s="17" t="s">
        <v>151</v>
      </c>
      <c r="DD316" s="16" t="s">
        <v>151</v>
      </c>
      <c r="DE316" s="19">
        <v>0.84</v>
      </c>
      <c r="DF316" s="21">
        <v>96</v>
      </c>
      <c r="DG316" s="19">
        <v>0</v>
      </c>
      <c r="DH316" s="19">
        <v>0</v>
      </c>
      <c r="DI316" s="19">
        <v>-2</v>
      </c>
      <c r="DJ316" s="21">
        <v>2</v>
      </c>
      <c r="DK316" s="19" t="s">
        <v>151</v>
      </c>
      <c r="DL316" s="21" t="s">
        <v>151</v>
      </c>
      <c r="DM316" s="19">
        <v>-2</v>
      </c>
      <c r="DN316" s="21">
        <v>2</v>
      </c>
      <c r="DO316" s="23">
        <v>4.03</v>
      </c>
      <c r="DP316" s="21">
        <v>79</v>
      </c>
      <c r="DQ316" s="23">
        <v>0</v>
      </c>
      <c r="DR316" s="19">
        <v>0</v>
      </c>
      <c r="DS316" s="23">
        <v>6.21</v>
      </c>
      <c r="DT316" s="21">
        <v>85</v>
      </c>
      <c r="DU316" s="23" t="s">
        <v>151</v>
      </c>
      <c r="DV316" s="21" t="s">
        <v>151</v>
      </c>
      <c r="DW316" s="23">
        <v>6.21</v>
      </c>
      <c r="DX316" s="21">
        <v>84</v>
      </c>
      <c r="DY316" s="18" t="s">
        <v>151</v>
      </c>
      <c r="DZ316" s="22" t="s">
        <v>151</v>
      </c>
      <c r="EA316" s="22" t="s">
        <v>151</v>
      </c>
      <c r="EB316" s="21">
        <v>9614</v>
      </c>
      <c r="EC316" s="20">
        <v>112</v>
      </c>
      <c r="ED316" s="19">
        <v>1.18</v>
      </c>
      <c r="EE316" s="21">
        <v>118</v>
      </c>
      <c r="EF316" s="20">
        <v>0</v>
      </c>
      <c r="EG316" s="19">
        <v>0</v>
      </c>
      <c r="EH316" s="16" t="s">
        <v>198</v>
      </c>
      <c r="EI316" s="17" t="s">
        <v>151</v>
      </c>
      <c r="EJ316" s="17" t="s">
        <v>151</v>
      </c>
      <c r="EK316" s="18" t="s">
        <v>151</v>
      </c>
      <c r="EL316" s="18" t="s">
        <v>151</v>
      </c>
      <c r="EM316" s="18" t="s">
        <v>151</v>
      </c>
      <c r="EN316" s="18" t="s">
        <v>151</v>
      </c>
      <c r="EO316" s="18" t="s">
        <v>151</v>
      </c>
      <c r="EP316" s="17" t="s">
        <v>151</v>
      </c>
      <c r="EQ316" s="16" t="s">
        <v>151</v>
      </c>
      <c r="ER316" s="16" t="s">
        <v>151</v>
      </c>
      <c r="ES316" s="3">
        <f>HYPERLINK("https://my.pitchbook.com?c=534702-88","View Company Online")</f>
      </c>
    </row>
    <row r="317">
      <c r="A317" s="30" t="s">
        <v>6937</v>
      </c>
      <c r="B317" s="30" t="s">
        <v>6938</v>
      </c>
      <c r="C317" s="31" t="s">
        <v>151</v>
      </c>
      <c r="D317" s="30" t="s">
        <v>6939</v>
      </c>
      <c r="E317" s="30" t="s">
        <v>151</v>
      </c>
      <c r="F317" s="30" t="s">
        <v>6940</v>
      </c>
      <c r="G317" s="30" t="s">
        <v>151</v>
      </c>
      <c r="H317" s="30" t="s">
        <v>151</v>
      </c>
      <c r="I317" s="30" t="s">
        <v>151</v>
      </c>
      <c r="J317" s="30" t="s">
        <v>6937</v>
      </c>
      <c r="K317" s="30" t="s">
        <v>6941</v>
      </c>
      <c r="L317" s="30" t="s">
        <v>205</v>
      </c>
      <c r="M317" s="30" t="s">
        <v>206</v>
      </c>
      <c r="N317" s="30" t="s">
        <v>917</v>
      </c>
      <c r="O317" s="30" t="s">
        <v>918</v>
      </c>
      <c r="P317" s="30" t="s">
        <v>2640</v>
      </c>
      <c r="Q317" s="30" t="s">
        <v>6942</v>
      </c>
      <c r="R317" s="30" t="s">
        <v>151</v>
      </c>
      <c r="S317" s="30" t="s">
        <v>162</v>
      </c>
      <c r="T317" s="37">
        <v>0.89</v>
      </c>
      <c r="U317" s="30" t="s">
        <v>163</v>
      </c>
      <c r="V317" s="30" t="s">
        <v>164</v>
      </c>
      <c r="W317" s="30" t="s">
        <v>165</v>
      </c>
      <c r="X317" s="28" t="s">
        <v>6943</v>
      </c>
      <c r="Y317" s="28" t="s">
        <v>6944</v>
      </c>
      <c r="Z317" s="40">
        <v>9</v>
      </c>
      <c r="AA317" s="30" t="s">
        <v>6945</v>
      </c>
      <c r="AB317" s="30" t="s">
        <v>151</v>
      </c>
      <c r="AC317" s="30" t="s">
        <v>151</v>
      </c>
      <c r="AD317" s="39">
        <v>2020</v>
      </c>
      <c r="AE317" s="30" t="s">
        <v>151</v>
      </c>
      <c r="AF317" s="35">
        <v>45464</v>
      </c>
      <c r="AG317" s="30" t="s">
        <v>151</v>
      </c>
      <c r="AH317" s="30" t="s">
        <v>151</v>
      </c>
      <c r="AI317" s="38" t="s">
        <v>151</v>
      </c>
      <c r="AJ317" s="32" t="s">
        <v>151</v>
      </c>
      <c r="AK317" s="38" t="s">
        <v>151</v>
      </c>
      <c r="AL317" s="38">
        <v>-0.07</v>
      </c>
      <c r="AM317" s="38" t="s">
        <v>151</v>
      </c>
      <c r="AN317" s="38" t="s">
        <v>151</v>
      </c>
      <c r="AO317" s="38" t="s">
        <v>151</v>
      </c>
      <c r="AP317" s="38" t="s">
        <v>151</v>
      </c>
      <c r="AQ317" s="38" t="s">
        <v>151</v>
      </c>
      <c r="AR317" s="29" t="s">
        <v>810</v>
      </c>
      <c r="AS317" s="30" t="s">
        <v>6946</v>
      </c>
      <c r="AT317" s="30" t="s">
        <v>2669</v>
      </c>
      <c r="AU317" s="31">
        <v>1</v>
      </c>
      <c r="AV317" s="30" t="s">
        <v>151</v>
      </c>
      <c r="AW317" s="30" t="s">
        <v>151</v>
      </c>
      <c r="AX317" s="30" t="s">
        <v>151</v>
      </c>
      <c r="AY317" s="30" t="s">
        <v>2671</v>
      </c>
      <c r="AZ317" s="30" t="s">
        <v>151</v>
      </c>
      <c r="BA317" s="30" t="s">
        <v>151</v>
      </c>
      <c r="BB317" s="30" t="s">
        <v>151</v>
      </c>
      <c r="BC317" s="30" t="s">
        <v>1214</v>
      </c>
      <c r="BD317" s="30" t="s">
        <v>6947</v>
      </c>
      <c r="BE317" s="30" t="s">
        <v>6948</v>
      </c>
      <c r="BF317" s="30" t="s">
        <v>4135</v>
      </c>
      <c r="BG317" s="30" t="s">
        <v>6949</v>
      </c>
      <c r="BH317" s="30" t="s">
        <v>6950</v>
      </c>
      <c r="BI317" s="30" t="s">
        <v>6951</v>
      </c>
      <c r="BJ317" s="30" t="s">
        <v>6952</v>
      </c>
      <c r="BK317" s="30" t="s">
        <v>151</v>
      </c>
      <c r="BL317" s="30" t="s">
        <v>6953</v>
      </c>
      <c r="BM317" s="30" t="s">
        <v>1957</v>
      </c>
      <c r="BN317" s="29" t="s">
        <v>6954</v>
      </c>
      <c r="BO317" s="30" t="s">
        <v>186</v>
      </c>
      <c r="BP317" s="29" t="s">
        <v>6955</v>
      </c>
      <c r="BQ317" s="29" t="s">
        <v>151</v>
      </c>
      <c r="BR317" s="30" t="s">
        <v>6956</v>
      </c>
      <c r="BS317" s="30" t="s">
        <v>187</v>
      </c>
      <c r="BT317" s="30" t="s">
        <v>188</v>
      </c>
      <c r="BU317" s="35">
        <v>44983</v>
      </c>
      <c r="BV317" s="37">
        <v>0.13</v>
      </c>
      <c r="BW317" s="30" t="s">
        <v>192</v>
      </c>
      <c r="BX317" s="37" t="s">
        <v>151</v>
      </c>
      <c r="BY317" s="30" t="s">
        <v>151</v>
      </c>
      <c r="BZ317" s="30" t="s">
        <v>1363</v>
      </c>
      <c r="CA317" s="30" t="s">
        <v>151</v>
      </c>
      <c r="CB317" s="30" t="s">
        <v>151</v>
      </c>
      <c r="CC317" s="30" t="s">
        <v>585</v>
      </c>
      <c r="CD317" s="30" t="s">
        <v>151</v>
      </c>
      <c r="CE317" s="30" t="s">
        <v>191</v>
      </c>
      <c r="CF317" s="35">
        <v>45107</v>
      </c>
      <c r="CG317" s="37">
        <v>0.76</v>
      </c>
      <c r="CH317" s="30" t="s">
        <v>192</v>
      </c>
      <c r="CI317" s="37" t="s">
        <v>151</v>
      </c>
      <c r="CJ317" s="30" t="s">
        <v>151</v>
      </c>
      <c r="CK317" s="29" t="s">
        <v>151</v>
      </c>
      <c r="CL317" s="30" t="s">
        <v>293</v>
      </c>
      <c r="CM317" s="30" t="s">
        <v>293</v>
      </c>
      <c r="CN317" s="30" t="s">
        <v>151</v>
      </c>
      <c r="CO317" s="30" t="s">
        <v>165</v>
      </c>
      <c r="CP317" s="35">
        <v>45107</v>
      </c>
      <c r="CQ317" s="37" t="s">
        <v>151</v>
      </c>
      <c r="CR317" s="30" t="s">
        <v>151</v>
      </c>
      <c r="CS317" s="30" t="s">
        <v>191</v>
      </c>
      <c r="CT317" s="29" t="s">
        <v>151</v>
      </c>
      <c r="CU317" s="30" t="s">
        <v>151</v>
      </c>
      <c r="CV317" s="32" t="s">
        <v>151</v>
      </c>
      <c r="CW317" s="32" t="s">
        <v>151</v>
      </c>
      <c r="CX317" s="30" t="s">
        <v>151</v>
      </c>
      <c r="CY317" s="32" t="s">
        <v>151</v>
      </c>
      <c r="CZ317" s="32" t="s">
        <v>151</v>
      </c>
      <c r="DA317" s="37" t="s">
        <v>151</v>
      </c>
      <c r="DB317" s="35" t="s">
        <v>151</v>
      </c>
      <c r="DC317" s="30" t="s">
        <v>151</v>
      </c>
      <c r="DD317" s="29" t="s">
        <v>151</v>
      </c>
      <c r="DE317" s="32">
        <v>0</v>
      </c>
      <c r="DF317" s="34">
        <v>11</v>
      </c>
      <c r="DG317" s="32">
        <v>0</v>
      </c>
      <c r="DH317" s="32">
        <v>0</v>
      </c>
      <c r="DI317" s="32">
        <v>0</v>
      </c>
      <c r="DJ317" s="34">
        <v>10</v>
      </c>
      <c r="DK317" s="32" t="s">
        <v>151</v>
      </c>
      <c r="DL317" s="34" t="s">
        <v>151</v>
      </c>
      <c r="DM317" s="32">
        <v>0</v>
      </c>
      <c r="DN317" s="34">
        <v>10</v>
      </c>
      <c r="DO317" s="36">
        <v>0.42</v>
      </c>
      <c r="DP317" s="34">
        <v>28</v>
      </c>
      <c r="DQ317" s="36">
        <v>0</v>
      </c>
      <c r="DR317" s="32">
        <v>0</v>
      </c>
      <c r="DS317" s="36">
        <v>0.42</v>
      </c>
      <c r="DT317" s="34">
        <v>29</v>
      </c>
      <c r="DU317" s="36" t="s">
        <v>151</v>
      </c>
      <c r="DV317" s="34" t="s">
        <v>151</v>
      </c>
      <c r="DW317" s="36">
        <v>0.42</v>
      </c>
      <c r="DX317" s="34">
        <v>29</v>
      </c>
      <c r="DY317" s="31" t="s">
        <v>151</v>
      </c>
      <c r="DZ317" s="35" t="s">
        <v>151</v>
      </c>
      <c r="EA317" s="35" t="s">
        <v>151</v>
      </c>
      <c r="EB317" s="34">
        <v>8</v>
      </c>
      <c r="EC317" s="33">
        <v>-40</v>
      </c>
      <c r="ED317" s="32">
        <v>-83.33</v>
      </c>
      <c r="EE317" s="34">
        <v>8</v>
      </c>
      <c r="EF317" s="33">
        <v>0</v>
      </c>
      <c r="EG317" s="32">
        <v>0</v>
      </c>
      <c r="EH317" s="29" t="s">
        <v>198</v>
      </c>
      <c r="EI317" s="30" t="s">
        <v>151</v>
      </c>
      <c r="EJ317" s="30" t="s">
        <v>151</v>
      </c>
      <c r="EK317" s="31" t="s">
        <v>151</v>
      </c>
      <c r="EL317" s="31" t="s">
        <v>151</v>
      </c>
      <c r="EM317" s="31" t="s">
        <v>151</v>
      </c>
      <c r="EN317" s="31" t="s">
        <v>151</v>
      </c>
      <c r="EO317" s="31" t="s">
        <v>151</v>
      </c>
      <c r="EP317" s="30" t="s">
        <v>151</v>
      </c>
      <c r="EQ317" s="29" t="s">
        <v>151</v>
      </c>
      <c r="ER317" s="29" t="s">
        <v>151</v>
      </c>
      <c r="ES317" s="4">
        <f>HYPERLINK("https://my.pitchbook.com?c=494238-34","View Company Online")</f>
      </c>
    </row>
    <row r="318">
      <c r="A318" s="17" t="s">
        <v>6957</v>
      </c>
      <c r="B318" s="17" t="s">
        <v>6958</v>
      </c>
      <c r="C318" s="18" t="s">
        <v>151</v>
      </c>
      <c r="D318" s="17" t="s">
        <v>6959</v>
      </c>
      <c r="E318" s="17" t="s">
        <v>151</v>
      </c>
      <c r="F318" s="17" t="s">
        <v>6960</v>
      </c>
      <c r="G318" s="17" t="s">
        <v>151</v>
      </c>
      <c r="H318" s="17" t="s">
        <v>151</v>
      </c>
      <c r="I318" s="17" t="s">
        <v>6961</v>
      </c>
      <c r="J318" s="17" t="s">
        <v>6957</v>
      </c>
      <c r="K318" s="17" t="s">
        <v>6962</v>
      </c>
      <c r="L318" s="17" t="s">
        <v>205</v>
      </c>
      <c r="M318" s="17" t="s">
        <v>206</v>
      </c>
      <c r="N318" s="17" t="s">
        <v>269</v>
      </c>
      <c r="O318" s="17" t="s">
        <v>563</v>
      </c>
      <c r="P318" s="17" t="s">
        <v>6963</v>
      </c>
      <c r="Q318" s="17" t="s">
        <v>6964</v>
      </c>
      <c r="R318" s="17" t="s">
        <v>151</v>
      </c>
      <c r="S318" s="17" t="s">
        <v>162</v>
      </c>
      <c r="T318" s="24">
        <v>24.7</v>
      </c>
      <c r="U318" s="17" t="s">
        <v>163</v>
      </c>
      <c r="V318" s="17" t="s">
        <v>164</v>
      </c>
      <c r="W318" s="17" t="s">
        <v>165</v>
      </c>
      <c r="X318" s="15" t="s">
        <v>6965</v>
      </c>
      <c r="Y318" s="15" t="s">
        <v>6966</v>
      </c>
      <c r="Z318" s="27">
        <v>41</v>
      </c>
      <c r="AA318" s="17" t="s">
        <v>6967</v>
      </c>
      <c r="AB318" s="17" t="s">
        <v>151</v>
      </c>
      <c r="AC318" s="17" t="s">
        <v>151</v>
      </c>
      <c r="AD318" s="26">
        <v>2019</v>
      </c>
      <c r="AE318" s="17" t="s">
        <v>151</v>
      </c>
      <c r="AF318" s="22">
        <v>45583</v>
      </c>
      <c r="AG318" s="17" t="s">
        <v>151</v>
      </c>
      <c r="AH318" s="17" t="s">
        <v>151</v>
      </c>
      <c r="AI318" s="25" t="s">
        <v>151</v>
      </c>
      <c r="AJ318" s="19" t="s">
        <v>151</v>
      </c>
      <c r="AK318" s="25" t="s">
        <v>151</v>
      </c>
      <c r="AL318" s="25" t="s">
        <v>151</v>
      </c>
      <c r="AM318" s="25" t="s">
        <v>151</v>
      </c>
      <c r="AN318" s="25" t="s">
        <v>151</v>
      </c>
      <c r="AO318" s="25" t="s">
        <v>151</v>
      </c>
      <c r="AP318" s="25" t="s">
        <v>151</v>
      </c>
      <c r="AQ318" s="25" t="s">
        <v>151</v>
      </c>
      <c r="AR318" s="16" t="s">
        <v>151</v>
      </c>
      <c r="AS318" s="17" t="s">
        <v>6968</v>
      </c>
      <c r="AT318" s="17" t="s">
        <v>6969</v>
      </c>
      <c r="AU318" s="18">
        <v>15</v>
      </c>
      <c r="AV318" s="17" t="s">
        <v>151</v>
      </c>
      <c r="AW318" s="17" t="s">
        <v>151</v>
      </c>
      <c r="AX318" s="17" t="s">
        <v>151</v>
      </c>
      <c r="AY318" s="17" t="s">
        <v>6970</v>
      </c>
      <c r="AZ318" s="17" t="s">
        <v>151</v>
      </c>
      <c r="BA318" s="17" t="s">
        <v>151</v>
      </c>
      <c r="BB318" s="17" t="s">
        <v>151</v>
      </c>
      <c r="BC318" s="17" t="s">
        <v>490</v>
      </c>
      <c r="BD318" s="17" t="s">
        <v>6971</v>
      </c>
      <c r="BE318" s="17" t="s">
        <v>6972</v>
      </c>
      <c r="BF318" s="17" t="s">
        <v>493</v>
      </c>
      <c r="BG318" s="17" t="s">
        <v>6973</v>
      </c>
      <c r="BH318" s="17" t="s">
        <v>6974</v>
      </c>
      <c r="BI318" s="17" t="s">
        <v>707</v>
      </c>
      <c r="BJ318" s="17" t="s">
        <v>6975</v>
      </c>
      <c r="BK318" s="17" t="s">
        <v>6976</v>
      </c>
      <c r="BL318" s="17" t="s">
        <v>709</v>
      </c>
      <c r="BM318" s="17" t="s">
        <v>184</v>
      </c>
      <c r="BN318" s="16" t="s">
        <v>6977</v>
      </c>
      <c r="BO318" s="17" t="s">
        <v>186</v>
      </c>
      <c r="BP318" s="16" t="s">
        <v>6978</v>
      </c>
      <c r="BQ318" s="16" t="s">
        <v>151</v>
      </c>
      <c r="BR318" s="17" t="s">
        <v>6979</v>
      </c>
      <c r="BS318" s="17" t="s">
        <v>187</v>
      </c>
      <c r="BT318" s="17" t="s">
        <v>188</v>
      </c>
      <c r="BU318" s="22">
        <v>44246</v>
      </c>
      <c r="BV318" s="24">
        <v>5.2</v>
      </c>
      <c r="BW318" s="17" t="s">
        <v>192</v>
      </c>
      <c r="BX318" s="24">
        <v>15.2</v>
      </c>
      <c r="BY318" s="17" t="s">
        <v>192</v>
      </c>
      <c r="BZ318" s="17" t="s">
        <v>293</v>
      </c>
      <c r="CA318" s="17" t="s">
        <v>472</v>
      </c>
      <c r="CB318" s="17" t="s">
        <v>151</v>
      </c>
      <c r="CC318" s="17" t="s">
        <v>165</v>
      </c>
      <c r="CD318" s="17" t="s">
        <v>151</v>
      </c>
      <c r="CE318" s="17" t="s">
        <v>191</v>
      </c>
      <c r="CF318" s="22" t="s">
        <v>151</v>
      </c>
      <c r="CG318" s="24" t="s">
        <v>151</v>
      </c>
      <c r="CH318" s="17" t="s">
        <v>151</v>
      </c>
      <c r="CI318" s="24" t="s">
        <v>151</v>
      </c>
      <c r="CJ318" s="17" t="s">
        <v>151</v>
      </c>
      <c r="CK318" s="16" t="s">
        <v>151</v>
      </c>
      <c r="CL318" s="17" t="s">
        <v>189</v>
      </c>
      <c r="CM318" s="17" t="s">
        <v>151</v>
      </c>
      <c r="CN318" s="17" t="s">
        <v>151</v>
      </c>
      <c r="CO318" s="17" t="s">
        <v>190</v>
      </c>
      <c r="CP318" s="22" t="s">
        <v>151</v>
      </c>
      <c r="CQ318" s="24" t="s">
        <v>151</v>
      </c>
      <c r="CR318" s="17" t="s">
        <v>151</v>
      </c>
      <c r="CS318" s="17" t="s">
        <v>191</v>
      </c>
      <c r="CT318" s="16">
        <v>97</v>
      </c>
      <c r="CU318" s="17" t="s">
        <v>196</v>
      </c>
      <c r="CV318" s="19">
        <v>92</v>
      </c>
      <c r="CW318" s="19">
        <v>8</v>
      </c>
      <c r="CX318" s="17" t="s">
        <v>294</v>
      </c>
      <c r="CY318" s="19">
        <v>3</v>
      </c>
      <c r="CZ318" s="19">
        <v>89</v>
      </c>
      <c r="DA318" s="24">
        <v>50.5</v>
      </c>
      <c r="DB318" s="22">
        <v>44789</v>
      </c>
      <c r="DC318" s="17" t="s">
        <v>231</v>
      </c>
      <c r="DD318" s="16">
        <v>3.03</v>
      </c>
      <c r="DE318" s="19">
        <v>0.89</v>
      </c>
      <c r="DF318" s="21">
        <v>96</v>
      </c>
      <c r="DG318" s="19">
        <v>-0.07</v>
      </c>
      <c r="DH318" s="19">
        <v>-7.63</v>
      </c>
      <c r="DI318" s="19">
        <v>1.78</v>
      </c>
      <c r="DJ318" s="21">
        <v>98</v>
      </c>
      <c r="DK318" s="19" t="s">
        <v>151</v>
      </c>
      <c r="DL318" s="21" t="s">
        <v>151</v>
      </c>
      <c r="DM318" s="19">
        <v>1.78</v>
      </c>
      <c r="DN318" s="21">
        <v>98</v>
      </c>
      <c r="DO318" s="23">
        <v>7.97</v>
      </c>
      <c r="DP318" s="21">
        <v>88</v>
      </c>
      <c r="DQ318" s="23">
        <v>0.03</v>
      </c>
      <c r="DR318" s="19">
        <v>0.33</v>
      </c>
      <c r="DS318" s="23">
        <v>12.79</v>
      </c>
      <c r="DT318" s="21">
        <v>92</v>
      </c>
      <c r="DU318" s="23" t="s">
        <v>151</v>
      </c>
      <c r="DV318" s="21" t="s">
        <v>151</v>
      </c>
      <c r="DW318" s="23">
        <v>12.79</v>
      </c>
      <c r="DX318" s="21">
        <v>92</v>
      </c>
      <c r="DY318" s="18" t="s">
        <v>151</v>
      </c>
      <c r="DZ318" s="22" t="s">
        <v>151</v>
      </c>
      <c r="EA318" s="22" t="s">
        <v>151</v>
      </c>
      <c r="EB318" s="21">
        <v>1211</v>
      </c>
      <c r="EC318" s="20">
        <v>118</v>
      </c>
      <c r="ED318" s="19">
        <v>10.8</v>
      </c>
      <c r="EE318" s="21">
        <v>243</v>
      </c>
      <c r="EF318" s="20">
        <v>3</v>
      </c>
      <c r="EG318" s="19">
        <v>1.25</v>
      </c>
      <c r="EH318" s="16" t="s">
        <v>198</v>
      </c>
      <c r="EI318" s="17" t="s">
        <v>151</v>
      </c>
      <c r="EJ318" s="17" t="s">
        <v>151</v>
      </c>
      <c r="EK318" s="18" t="s">
        <v>151</v>
      </c>
      <c r="EL318" s="18" t="s">
        <v>151</v>
      </c>
      <c r="EM318" s="18" t="s">
        <v>151</v>
      </c>
      <c r="EN318" s="18" t="s">
        <v>151</v>
      </c>
      <c r="EO318" s="18" t="s">
        <v>151</v>
      </c>
      <c r="EP318" s="17" t="s">
        <v>151</v>
      </c>
      <c r="EQ318" s="16" t="s">
        <v>151</v>
      </c>
      <c r="ER318" s="16" t="s">
        <v>151</v>
      </c>
      <c r="ES318" s="3">
        <f>HYPERLINK("https://my.pitchbook.com?c=463552-57","View Company Online")</f>
      </c>
    </row>
    <row r="319">
      <c r="A319" s="30" t="s">
        <v>6980</v>
      </c>
      <c r="B319" s="30" t="s">
        <v>6981</v>
      </c>
      <c r="C319" s="31" t="s">
        <v>151</v>
      </c>
      <c r="D319" s="30" t="s">
        <v>151</v>
      </c>
      <c r="E319" s="30" t="s">
        <v>151</v>
      </c>
      <c r="F319" s="30" t="s">
        <v>6982</v>
      </c>
      <c r="G319" s="30" t="s">
        <v>151</v>
      </c>
      <c r="H319" s="30" t="s">
        <v>151</v>
      </c>
      <c r="I319" s="30" t="s">
        <v>6983</v>
      </c>
      <c r="J319" s="30" t="s">
        <v>6980</v>
      </c>
      <c r="K319" s="30" t="s">
        <v>6984</v>
      </c>
      <c r="L319" s="30" t="s">
        <v>616</v>
      </c>
      <c r="M319" s="30" t="s">
        <v>834</v>
      </c>
      <c r="N319" s="30" t="s">
        <v>2059</v>
      </c>
      <c r="O319" s="30" t="s">
        <v>6985</v>
      </c>
      <c r="P319" s="30" t="s">
        <v>1608</v>
      </c>
      <c r="Q319" s="30" t="s">
        <v>6986</v>
      </c>
      <c r="R319" s="30" t="s">
        <v>151</v>
      </c>
      <c r="S319" s="30" t="s">
        <v>6286</v>
      </c>
      <c r="T319" s="37">
        <v>1.35</v>
      </c>
      <c r="U319" s="30" t="s">
        <v>163</v>
      </c>
      <c r="V319" s="30" t="s">
        <v>164</v>
      </c>
      <c r="W319" s="30" t="s">
        <v>1318</v>
      </c>
      <c r="X319" s="28" t="s">
        <v>6987</v>
      </c>
      <c r="Y319" s="28" t="s">
        <v>6988</v>
      </c>
      <c r="Z319" s="40">
        <v>22</v>
      </c>
      <c r="AA319" s="30" t="s">
        <v>6989</v>
      </c>
      <c r="AB319" s="30" t="s">
        <v>151</v>
      </c>
      <c r="AC319" s="30" t="s">
        <v>151</v>
      </c>
      <c r="AD319" s="39">
        <v>2018</v>
      </c>
      <c r="AE319" s="30" t="s">
        <v>151</v>
      </c>
      <c r="AF319" s="35">
        <v>45546</v>
      </c>
      <c r="AG319" s="30" t="s">
        <v>151</v>
      </c>
      <c r="AH319" s="30" t="s">
        <v>151</v>
      </c>
      <c r="AI319" s="38" t="s">
        <v>151</v>
      </c>
      <c r="AJ319" s="32" t="s">
        <v>151</v>
      </c>
      <c r="AK319" s="38" t="s">
        <v>151</v>
      </c>
      <c r="AL319" s="38" t="s">
        <v>151</v>
      </c>
      <c r="AM319" s="38" t="s">
        <v>151</v>
      </c>
      <c r="AN319" s="38" t="s">
        <v>151</v>
      </c>
      <c r="AO319" s="38" t="s">
        <v>151</v>
      </c>
      <c r="AP319" s="38" t="s">
        <v>151</v>
      </c>
      <c r="AQ319" s="38" t="s">
        <v>151</v>
      </c>
      <c r="AR319" s="29" t="s">
        <v>151</v>
      </c>
      <c r="AS319" s="30" t="s">
        <v>6990</v>
      </c>
      <c r="AT319" s="30" t="s">
        <v>6991</v>
      </c>
      <c r="AU319" s="31">
        <v>5</v>
      </c>
      <c r="AV319" s="30" t="s">
        <v>151</v>
      </c>
      <c r="AW319" s="30" t="s">
        <v>151</v>
      </c>
      <c r="AX319" s="30" t="s">
        <v>151</v>
      </c>
      <c r="AY319" s="30" t="s">
        <v>6992</v>
      </c>
      <c r="AZ319" s="30" t="s">
        <v>151</v>
      </c>
      <c r="BA319" s="30" t="s">
        <v>151</v>
      </c>
      <c r="BB319" s="30" t="s">
        <v>151</v>
      </c>
      <c r="BC319" s="30" t="s">
        <v>6993</v>
      </c>
      <c r="BD319" s="30" t="s">
        <v>6994</v>
      </c>
      <c r="BE319" s="30" t="s">
        <v>6995</v>
      </c>
      <c r="BF319" s="30" t="s">
        <v>221</v>
      </c>
      <c r="BG319" s="30" t="s">
        <v>6996</v>
      </c>
      <c r="BH319" s="30" t="s">
        <v>6997</v>
      </c>
      <c r="BI319" s="30" t="s">
        <v>5818</v>
      </c>
      <c r="BJ319" s="30" t="s">
        <v>6998</v>
      </c>
      <c r="BK319" s="30" t="s">
        <v>151</v>
      </c>
      <c r="BL319" s="30" t="s">
        <v>5820</v>
      </c>
      <c r="BM319" s="30" t="s">
        <v>5821</v>
      </c>
      <c r="BN319" s="29" t="s">
        <v>6999</v>
      </c>
      <c r="BO319" s="30" t="s">
        <v>186</v>
      </c>
      <c r="BP319" s="29" t="s">
        <v>7000</v>
      </c>
      <c r="BQ319" s="29" t="s">
        <v>151</v>
      </c>
      <c r="BR319" s="30" t="s">
        <v>7001</v>
      </c>
      <c r="BS319" s="30" t="s">
        <v>187</v>
      </c>
      <c r="BT319" s="30" t="s">
        <v>188</v>
      </c>
      <c r="BU319" s="35">
        <v>44599</v>
      </c>
      <c r="BV319" s="37">
        <v>1.35</v>
      </c>
      <c r="BW319" s="30" t="s">
        <v>192</v>
      </c>
      <c r="BX319" s="37" t="s">
        <v>151</v>
      </c>
      <c r="BY319" s="30" t="s">
        <v>151</v>
      </c>
      <c r="BZ319" s="30" t="s">
        <v>231</v>
      </c>
      <c r="CA319" s="30" t="s">
        <v>151</v>
      </c>
      <c r="CB319" s="30" t="s">
        <v>151</v>
      </c>
      <c r="CC319" s="30" t="s">
        <v>165</v>
      </c>
      <c r="CD319" s="30" t="s">
        <v>151</v>
      </c>
      <c r="CE319" s="30" t="s">
        <v>191</v>
      </c>
      <c r="CF319" s="35">
        <v>45352</v>
      </c>
      <c r="CG319" s="37" t="s">
        <v>151</v>
      </c>
      <c r="CH319" s="30" t="s">
        <v>151</v>
      </c>
      <c r="CI319" s="37" t="s">
        <v>151</v>
      </c>
      <c r="CJ319" s="30" t="s">
        <v>151</v>
      </c>
      <c r="CK319" s="29" t="s">
        <v>151</v>
      </c>
      <c r="CL319" s="30" t="s">
        <v>7002</v>
      </c>
      <c r="CM319" s="30" t="s">
        <v>151</v>
      </c>
      <c r="CN319" s="30" t="s">
        <v>151</v>
      </c>
      <c r="CO319" s="30" t="s">
        <v>6304</v>
      </c>
      <c r="CP319" s="35">
        <v>45352</v>
      </c>
      <c r="CQ319" s="37" t="s">
        <v>151</v>
      </c>
      <c r="CR319" s="30" t="s">
        <v>151</v>
      </c>
      <c r="CS319" s="30" t="s">
        <v>191</v>
      </c>
      <c r="CT319" s="29">
        <v>39</v>
      </c>
      <c r="CU319" s="30" t="s">
        <v>196</v>
      </c>
      <c r="CV319" s="32">
        <v>81</v>
      </c>
      <c r="CW319" s="32">
        <v>19</v>
      </c>
      <c r="CX319" s="30" t="s">
        <v>294</v>
      </c>
      <c r="CY319" s="32">
        <v>1</v>
      </c>
      <c r="CZ319" s="32">
        <v>80</v>
      </c>
      <c r="DA319" s="37" t="s">
        <v>151</v>
      </c>
      <c r="DB319" s="35" t="s">
        <v>151</v>
      </c>
      <c r="DC319" s="30" t="s">
        <v>151</v>
      </c>
      <c r="DD319" s="29" t="s">
        <v>151</v>
      </c>
      <c r="DE319" s="32">
        <v>0.44</v>
      </c>
      <c r="DF319" s="34">
        <v>93</v>
      </c>
      <c r="DG319" s="32">
        <v>0</v>
      </c>
      <c r="DH319" s="32">
        <v>0</v>
      </c>
      <c r="DI319" s="32">
        <v>0.29</v>
      </c>
      <c r="DJ319" s="34">
        <v>94</v>
      </c>
      <c r="DK319" s="32" t="s">
        <v>151</v>
      </c>
      <c r="DL319" s="34" t="s">
        <v>151</v>
      </c>
      <c r="DM319" s="32">
        <v>0.29</v>
      </c>
      <c r="DN319" s="34">
        <v>94</v>
      </c>
      <c r="DO319" s="36">
        <v>4.32</v>
      </c>
      <c r="DP319" s="34">
        <v>80</v>
      </c>
      <c r="DQ319" s="36">
        <v>0</v>
      </c>
      <c r="DR319" s="32">
        <v>0</v>
      </c>
      <c r="DS319" s="36">
        <v>6.95</v>
      </c>
      <c r="DT319" s="34">
        <v>86</v>
      </c>
      <c r="DU319" s="36" t="s">
        <v>151</v>
      </c>
      <c r="DV319" s="34" t="s">
        <v>151</v>
      </c>
      <c r="DW319" s="36">
        <v>6.95</v>
      </c>
      <c r="DX319" s="34">
        <v>86</v>
      </c>
      <c r="DY319" s="31">
        <v>3</v>
      </c>
      <c r="DZ319" s="35">
        <v>45350</v>
      </c>
      <c r="EA319" s="35" t="s">
        <v>151</v>
      </c>
      <c r="EB319" s="34">
        <v>1129</v>
      </c>
      <c r="EC319" s="33">
        <v>162</v>
      </c>
      <c r="ED319" s="32">
        <v>16.75</v>
      </c>
      <c r="EE319" s="34">
        <v>132</v>
      </c>
      <c r="EF319" s="33">
        <v>1</v>
      </c>
      <c r="EG319" s="32">
        <v>0.76</v>
      </c>
      <c r="EH319" s="29" t="s">
        <v>198</v>
      </c>
      <c r="EI319" s="30" t="s">
        <v>151</v>
      </c>
      <c r="EJ319" s="30" t="s">
        <v>151</v>
      </c>
      <c r="EK319" s="31" t="s">
        <v>151</v>
      </c>
      <c r="EL319" s="31" t="s">
        <v>151</v>
      </c>
      <c r="EM319" s="31" t="s">
        <v>151</v>
      </c>
      <c r="EN319" s="31" t="s">
        <v>151</v>
      </c>
      <c r="EO319" s="31" t="s">
        <v>151</v>
      </c>
      <c r="EP319" s="30" t="s">
        <v>151</v>
      </c>
      <c r="EQ319" s="29" t="s">
        <v>151</v>
      </c>
      <c r="ER319" s="29" t="s">
        <v>151</v>
      </c>
      <c r="ES319" s="4">
        <f>HYPERLINK("https://my.pitchbook.com?c=437501-26","View Company Online")</f>
      </c>
    </row>
    <row r="320">
      <c r="A320" s="17" t="s">
        <v>7003</v>
      </c>
      <c r="B320" s="17" t="s">
        <v>7004</v>
      </c>
      <c r="C320" s="18" t="s">
        <v>151</v>
      </c>
      <c r="D320" s="17" t="s">
        <v>151</v>
      </c>
      <c r="E320" s="17" t="s">
        <v>151</v>
      </c>
      <c r="F320" s="17" t="s">
        <v>7005</v>
      </c>
      <c r="G320" s="17" t="s">
        <v>151</v>
      </c>
      <c r="H320" s="17" t="s">
        <v>151</v>
      </c>
      <c r="I320" s="17" t="s">
        <v>7006</v>
      </c>
      <c r="J320" s="17" t="s">
        <v>7003</v>
      </c>
      <c r="K320" s="17" t="s">
        <v>7007</v>
      </c>
      <c r="L320" s="17" t="s">
        <v>205</v>
      </c>
      <c r="M320" s="17" t="s">
        <v>206</v>
      </c>
      <c r="N320" s="17" t="s">
        <v>269</v>
      </c>
      <c r="O320" s="17" t="s">
        <v>563</v>
      </c>
      <c r="P320" s="17" t="s">
        <v>1153</v>
      </c>
      <c r="Q320" s="17" t="s">
        <v>7008</v>
      </c>
      <c r="R320" s="17" t="s">
        <v>151</v>
      </c>
      <c r="S320" s="17" t="s">
        <v>162</v>
      </c>
      <c r="T320" s="24">
        <v>3.5</v>
      </c>
      <c r="U320" s="17" t="s">
        <v>163</v>
      </c>
      <c r="V320" s="17" t="s">
        <v>164</v>
      </c>
      <c r="W320" s="17" t="s">
        <v>165</v>
      </c>
      <c r="X320" s="15" t="s">
        <v>7009</v>
      </c>
      <c r="Y320" s="15" t="s">
        <v>7010</v>
      </c>
      <c r="Z320" s="27">
        <v>76</v>
      </c>
      <c r="AA320" s="17" t="s">
        <v>7011</v>
      </c>
      <c r="AB320" s="17" t="s">
        <v>151</v>
      </c>
      <c r="AC320" s="17" t="s">
        <v>151</v>
      </c>
      <c r="AD320" s="26">
        <v>2020</v>
      </c>
      <c r="AE320" s="17" t="s">
        <v>151</v>
      </c>
      <c r="AF320" s="22">
        <v>45513</v>
      </c>
      <c r="AG320" s="17" t="s">
        <v>151</v>
      </c>
      <c r="AH320" s="17" t="s">
        <v>151</v>
      </c>
      <c r="AI320" s="25" t="s">
        <v>151</v>
      </c>
      <c r="AJ320" s="19" t="s">
        <v>151</v>
      </c>
      <c r="AK320" s="25" t="s">
        <v>151</v>
      </c>
      <c r="AL320" s="25" t="s">
        <v>151</v>
      </c>
      <c r="AM320" s="25" t="s">
        <v>151</v>
      </c>
      <c r="AN320" s="25" t="s">
        <v>151</v>
      </c>
      <c r="AO320" s="25" t="s">
        <v>151</v>
      </c>
      <c r="AP320" s="25" t="s">
        <v>151</v>
      </c>
      <c r="AQ320" s="25" t="s">
        <v>151</v>
      </c>
      <c r="AR320" s="16" t="s">
        <v>151</v>
      </c>
      <c r="AS320" s="17" t="s">
        <v>7012</v>
      </c>
      <c r="AT320" s="17" t="s">
        <v>7013</v>
      </c>
      <c r="AU320" s="18">
        <v>14</v>
      </c>
      <c r="AV320" s="17" t="s">
        <v>151</v>
      </c>
      <c r="AW320" s="17" t="s">
        <v>151</v>
      </c>
      <c r="AX320" s="17" t="s">
        <v>151</v>
      </c>
      <c r="AY320" s="17" t="s">
        <v>7014</v>
      </c>
      <c r="AZ320" s="17" t="s">
        <v>151</v>
      </c>
      <c r="BA320" s="17" t="s">
        <v>151</v>
      </c>
      <c r="BB320" s="17" t="s">
        <v>151</v>
      </c>
      <c r="BC320" s="17" t="s">
        <v>151</v>
      </c>
      <c r="BD320" s="17" t="s">
        <v>7015</v>
      </c>
      <c r="BE320" s="17" t="s">
        <v>7016</v>
      </c>
      <c r="BF320" s="17" t="s">
        <v>221</v>
      </c>
      <c r="BG320" s="17" t="s">
        <v>7017</v>
      </c>
      <c r="BH320" s="17" t="s">
        <v>7018</v>
      </c>
      <c r="BI320" s="17" t="s">
        <v>707</v>
      </c>
      <c r="BJ320" s="17" t="s">
        <v>7019</v>
      </c>
      <c r="BK320" s="17" t="s">
        <v>151</v>
      </c>
      <c r="BL320" s="17" t="s">
        <v>709</v>
      </c>
      <c r="BM320" s="17" t="s">
        <v>184</v>
      </c>
      <c r="BN320" s="16" t="s">
        <v>710</v>
      </c>
      <c r="BO320" s="17" t="s">
        <v>186</v>
      </c>
      <c r="BP320" s="16" t="s">
        <v>7018</v>
      </c>
      <c r="BQ320" s="16" t="s">
        <v>151</v>
      </c>
      <c r="BR320" s="17" t="s">
        <v>7020</v>
      </c>
      <c r="BS320" s="17" t="s">
        <v>187</v>
      </c>
      <c r="BT320" s="17" t="s">
        <v>188</v>
      </c>
      <c r="BU320" s="22">
        <v>43831</v>
      </c>
      <c r="BV320" s="24" t="s">
        <v>151</v>
      </c>
      <c r="BW320" s="17" t="s">
        <v>151</v>
      </c>
      <c r="BX320" s="24" t="s">
        <v>151</v>
      </c>
      <c r="BY320" s="17" t="s">
        <v>151</v>
      </c>
      <c r="BZ320" s="17" t="s">
        <v>189</v>
      </c>
      <c r="CA320" s="17" t="s">
        <v>151</v>
      </c>
      <c r="CB320" s="17" t="s">
        <v>151</v>
      </c>
      <c r="CC320" s="17" t="s">
        <v>190</v>
      </c>
      <c r="CD320" s="17" t="s">
        <v>151</v>
      </c>
      <c r="CE320" s="17" t="s">
        <v>191</v>
      </c>
      <c r="CF320" s="22">
        <v>44927</v>
      </c>
      <c r="CG320" s="24" t="s">
        <v>151</v>
      </c>
      <c r="CH320" s="17" t="s">
        <v>151</v>
      </c>
      <c r="CI320" s="24" t="s">
        <v>151</v>
      </c>
      <c r="CJ320" s="17" t="s">
        <v>151</v>
      </c>
      <c r="CK320" s="16" t="s">
        <v>151</v>
      </c>
      <c r="CL320" s="17" t="s">
        <v>231</v>
      </c>
      <c r="CM320" s="17" t="s">
        <v>151</v>
      </c>
      <c r="CN320" s="17" t="s">
        <v>151</v>
      </c>
      <c r="CO320" s="17" t="s">
        <v>165</v>
      </c>
      <c r="CP320" s="22">
        <v>44927</v>
      </c>
      <c r="CQ320" s="24" t="s">
        <v>151</v>
      </c>
      <c r="CR320" s="17" t="s">
        <v>151</v>
      </c>
      <c r="CS320" s="17" t="s">
        <v>191</v>
      </c>
      <c r="CT320" s="16">
        <v>67</v>
      </c>
      <c r="CU320" s="17" t="s">
        <v>196</v>
      </c>
      <c r="CV320" s="19">
        <v>63</v>
      </c>
      <c r="CW320" s="19">
        <v>37</v>
      </c>
      <c r="CX320" s="17" t="s">
        <v>294</v>
      </c>
      <c r="CY320" s="19">
        <v>1</v>
      </c>
      <c r="CZ320" s="19">
        <v>62</v>
      </c>
      <c r="DA320" s="24" t="s">
        <v>151</v>
      </c>
      <c r="DB320" s="22" t="s">
        <v>151</v>
      </c>
      <c r="DC320" s="17" t="s">
        <v>151</v>
      </c>
      <c r="DD320" s="16" t="s">
        <v>151</v>
      </c>
      <c r="DE320" s="19">
        <v>0.13</v>
      </c>
      <c r="DF320" s="21">
        <v>91</v>
      </c>
      <c r="DG320" s="19">
        <v>0</v>
      </c>
      <c r="DH320" s="19">
        <v>0</v>
      </c>
      <c r="DI320" s="19">
        <v>-0.96</v>
      </c>
      <c r="DJ320" s="21">
        <v>4</v>
      </c>
      <c r="DK320" s="19" t="s">
        <v>151</v>
      </c>
      <c r="DL320" s="21" t="s">
        <v>151</v>
      </c>
      <c r="DM320" s="19">
        <v>-0.96</v>
      </c>
      <c r="DN320" s="21">
        <v>4</v>
      </c>
      <c r="DO320" s="23">
        <v>10.13</v>
      </c>
      <c r="DP320" s="21">
        <v>90</v>
      </c>
      <c r="DQ320" s="23">
        <v>0</v>
      </c>
      <c r="DR320" s="19">
        <v>0</v>
      </c>
      <c r="DS320" s="23">
        <v>14.42</v>
      </c>
      <c r="DT320" s="21">
        <v>93</v>
      </c>
      <c r="DU320" s="23" t="s">
        <v>151</v>
      </c>
      <c r="DV320" s="21" t="s">
        <v>151</v>
      </c>
      <c r="DW320" s="23">
        <v>14.42</v>
      </c>
      <c r="DX320" s="21">
        <v>93</v>
      </c>
      <c r="DY320" s="18" t="s">
        <v>151</v>
      </c>
      <c r="DZ320" s="22" t="s">
        <v>151</v>
      </c>
      <c r="EA320" s="22" t="s">
        <v>151</v>
      </c>
      <c r="EB320" s="21">
        <v>2400</v>
      </c>
      <c r="EC320" s="20">
        <v>104</v>
      </c>
      <c r="ED320" s="19">
        <v>4.53</v>
      </c>
      <c r="EE320" s="21">
        <v>274</v>
      </c>
      <c r="EF320" s="20">
        <v>-2</v>
      </c>
      <c r="EG320" s="19">
        <v>-0.72</v>
      </c>
      <c r="EH320" s="16" t="s">
        <v>198</v>
      </c>
      <c r="EI320" s="17" t="s">
        <v>151</v>
      </c>
      <c r="EJ320" s="17" t="s">
        <v>151</v>
      </c>
      <c r="EK320" s="18" t="s">
        <v>151</v>
      </c>
      <c r="EL320" s="18" t="s">
        <v>151</v>
      </c>
      <c r="EM320" s="18" t="s">
        <v>151</v>
      </c>
      <c r="EN320" s="18" t="s">
        <v>151</v>
      </c>
      <c r="EO320" s="18" t="s">
        <v>151</v>
      </c>
      <c r="EP320" s="17" t="s">
        <v>151</v>
      </c>
      <c r="EQ320" s="16" t="s">
        <v>151</v>
      </c>
      <c r="ER320" s="16" t="s">
        <v>151</v>
      </c>
      <c r="ES320" s="3">
        <f>HYPERLINK("https://my.pitchbook.com?c=437150-62","View Company Online")</f>
      </c>
    </row>
    <row r="321">
      <c r="A321" s="30" t="s">
        <v>7021</v>
      </c>
      <c r="B321" s="30" t="s">
        <v>7022</v>
      </c>
      <c r="C321" s="31" t="s">
        <v>151</v>
      </c>
      <c r="D321" s="30" t="s">
        <v>151</v>
      </c>
      <c r="E321" s="30" t="s">
        <v>151</v>
      </c>
      <c r="F321" s="30" t="s">
        <v>7023</v>
      </c>
      <c r="G321" s="30" t="s">
        <v>151</v>
      </c>
      <c r="H321" s="30" t="s">
        <v>151</v>
      </c>
      <c r="I321" s="30" t="s">
        <v>7024</v>
      </c>
      <c r="J321" s="30" t="s">
        <v>7021</v>
      </c>
      <c r="K321" s="30" t="s">
        <v>7025</v>
      </c>
      <c r="L321" s="30" t="s">
        <v>205</v>
      </c>
      <c r="M321" s="30" t="s">
        <v>206</v>
      </c>
      <c r="N321" s="30" t="s">
        <v>269</v>
      </c>
      <c r="O321" s="30" t="s">
        <v>7026</v>
      </c>
      <c r="P321" s="30" t="s">
        <v>2922</v>
      </c>
      <c r="Q321" s="30" t="s">
        <v>7027</v>
      </c>
      <c r="R321" s="30" t="s">
        <v>7028</v>
      </c>
      <c r="S321" s="30" t="s">
        <v>162</v>
      </c>
      <c r="T321" s="37">
        <v>95.03</v>
      </c>
      <c r="U321" s="30" t="s">
        <v>163</v>
      </c>
      <c r="V321" s="30" t="s">
        <v>164</v>
      </c>
      <c r="W321" s="30" t="s">
        <v>806</v>
      </c>
      <c r="X321" s="28" t="s">
        <v>7029</v>
      </c>
      <c r="Y321" s="28" t="s">
        <v>7030</v>
      </c>
      <c r="Z321" s="40">
        <v>68</v>
      </c>
      <c r="AA321" s="30" t="s">
        <v>7031</v>
      </c>
      <c r="AB321" s="30" t="s">
        <v>151</v>
      </c>
      <c r="AC321" s="30" t="s">
        <v>151</v>
      </c>
      <c r="AD321" s="39">
        <v>2020</v>
      </c>
      <c r="AE321" s="30" t="s">
        <v>151</v>
      </c>
      <c r="AF321" s="35">
        <v>45543</v>
      </c>
      <c r="AG321" s="30" t="s">
        <v>151</v>
      </c>
      <c r="AH321" s="30" t="s">
        <v>151</v>
      </c>
      <c r="AI321" s="38" t="s">
        <v>151</v>
      </c>
      <c r="AJ321" s="32" t="s">
        <v>151</v>
      </c>
      <c r="AK321" s="38" t="s">
        <v>151</v>
      </c>
      <c r="AL321" s="38" t="s">
        <v>151</v>
      </c>
      <c r="AM321" s="38" t="s">
        <v>151</v>
      </c>
      <c r="AN321" s="38" t="s">
        <v>151</v>
      </c>
      <c r="AO321" s="38" t="s">
        <v>151</v>
      </c>
      <c r="AP321" s="38" t="s">
        <v>151</v>
      </c>
      <c r="AQ321" s="38" t="s">
        <v>151</v>
      </c>
      <c r="AR321" s="29" t="s">
        <v>151</v>
      </c>
      <c r="AS321" s="30" t="s">
        <v>7032</v>
      </c>
      <c r="AT321" s="30" t="s">
        <v>7033</v>
      </c>
      <c r="AU321" s="31">
        <v>6</v>
      </c>
      <c r="AV321" s="30" t="s">
        <v>151</v>
      </c>
      <c r="AW321" s="30" t="s">
        <v>151</v>
      </c>
      <c r="AX321" s="30" t="s">
        <v>151</v>
      </c>
      <c r="AY321" s="30" t="s">
        <v>7034</v>
      </c>
      <c r="AZ321" s="30" t="s">
        <v>151</v>
      </c>
      <c r="BA321" s="30" t="s">
        <v>151</v>
      </c>
      <c r="BB321" s="30" t="s">
        <v>151</v>
      </c>
      <c r="BC321" s="30" t="s">
        <v>151</v>
      </c>
      <c r="BD321" s="30" t="s">
        <v>7035</v>
      </c>
      <c r="BE321" s="30" t="s">
        <v>7036</v>
      </c>
      <c r="BF321" s="30" t="s">
        <v>430</v>
      </c>
      <c r="BG321" s="30" t="s">
        <v>7037</v>
      </c>
      <c r="BH321" s="30" t="s">
        <v>151</v>
      </c>
      <c r="BI321" s="30" t="s">
        <v>707</v>
      </c>
      <c r="BJ321" s="30" t="s">
        <v>7038</v>
      </c>
      <c r="BK321" s="30" t="s">
        <v>151</v>
      </c>
      <c r="BL321" s="30" t="s">
        <v>709</v>
      </c>
      <c r="BM321" s="30" t="s">
        <v>184</v>
      </c>
      <c r="BN321" s="29" t="s">
        <v>710</v>
      </c>
      <c r="BO321" s="30" t="s">
        <v>186</v>
      </c>
      <c r="BP321" s="29" t="s">
        <v>7039</v>
      </c>
      <c r="BQ321" s="29" t="s">
        <v>151</v>
      </c>
      <c r="BR321" s="30" t="s">
        <v>7040</v>
      </c>
      <c r="BS321" s="30" t="s">
        <v>187</v>
      </c>
      <c r="BT321" s="30" t="s">
        <v>188</v>
      </c>
      <c r="BU321" s="35">
        <v>43952</v>
      </c>
      <c r="BV321" s="37" t="s">
        <v>151</v>
      </c>
      <c r="BW321" s="30" t="s">
        <v>151</v>
      </c>
      <c r="BX321" s="37" t="s">
        <v>151</v>
      </c>
      <c r="BY321" s="30" t="s">
        <v>151</v>
      </c>
      <c r="BZ321" s="30" t="s">
        <v>7041</v>
      </c>
      <c r="CA321" s="30" t="s">
        <v>151</v>
      </c>
      <c r="CB321" s="30" t="s">
        <v>151</v>
      </c>
      <c r="CC321" s="30" t="s">
        <v>190</v>
      </c>
      <c r="CD321" s="30" t="s">
        <v>151</v>
      </c>
      <c r="CE321" s="30" t="s">
        <v>191</v>
      </c>
      <c r="CF321" s="35">
        <v>45540</v>
      </c>
      <c r="CG321" s="37">
        <v>12</v>
      </c>
      <c r="CH321" s="30" t="s">
        <v>192</v>
      </c>
      <c r="CI321" s="37" t="s">
        <v>151</v>
      </c>
      <c r="CJ321" s="30" t="s">
        <v>151</v>
      </c>
      <c r="CK321" s="29" t="s">
        <v>151</v>
      </c>
      <c r="CL321" s="30" t="s">
        <v>231</v>
      </c>
      <c r="CM321" s="30" t="s">
        <v>326</v>
      </c>
      <c r="CN321" s="30" t="s">
        <v>151</v>
      </c>
      <c r="CO321" s="30" t="s">
        <v>165</v>
      </c>
      <c r="CP321" s="35">
        <v>45540</v>
      </c>
      <c r="CQ321" s="37" t="s">
        <v>151</v>
      </c>
      <c r="CR321" s="30" t="s">
        <v>151</v>
      </c>
      <c r="CS321" s="30" t="s">
        <v>191</v>
      </c>
      <c r="CT321" s="29">
        <v>68</v>
      </c>
      <c r="CU321" s="30" t="s">
        <v>196</v>
      </c>
      <c r="CV321" s="32">
        <v>78</v>
      </c>
      <c r="CW321" s="32">
        <v>22</v>
      </c>
      <c r="CX321" s="30" t="s">
        <v>294</v>
      </c>
      <c r="CY321" s="32">
        <v>10</v>
      </c>
      <c r="CZ321" s="32">
        <v>68</v>
      </c>
      <c r="DA321" s="37">
        <v>936.3</v>
      </c>
      <c r="DB321" s="35">
        <v>44017</v>
      </c>
      <c r="DC321" s="30" t="s">
        <v>231</v>
      </c>
      <c r="DD321" s="29" t="s">
        <v>151</v>
      </c>
      <c r="DE321" s="32">
        <v>-0.19</v>
      </c>
      <c r="DF321" s="34">
        <v>10</v>
      </c>
      <c r="DG321" s="32">
        <v>0</v>
      </c>
      <c r="DH321" s="32">
        <v>0</v>
      </c>
      <c r="DI321" s="32">
        <v>-0.19</v>
      </c>
      <c r="DJ321" s="34">
        <v>9</v>
      </c>
      <c r="DK321" s="32" t="s">
        <v>151</v>
      </c>
      <c r="DL321" s="34" t="s">
        <v>151</v>
      </c>
      <c r="DM321" s="32">
        <v>-0.19</v>
      </c>
      <c r="DN321" s="34">
        <v>9</v>
      </c>
      <c r="DO321" s="36">
        <v>17.05</v>
      </c>
      <c r="DP321" s="34">
        <v>94</v>
      </c>
      <c r="DQ321" s="36">
        <v>0</v>
      </c>
      <c r="DR321" s="32">
        <v>0</v>
      </c>
      <c r="DS321" s="36">
        <v>17.05</v>
      </c>
      <c r="DT321" s="34">
        <v>94</v>
      </c>
      <c r="DU321" s="36" t="s">
        <v>151</v>
      </c>
      <c r="DV321" s="34" t="s">
        <v>151</v>
      </c>
      <c r="DW321" s="36">
        <v>17.05</v>
      </c>
      <c r="DX321" s="34">
        <v>94</v>
      </c>
      <c r="DY321" s="31">
        <v>2</v>
      </c>
      <c r="DZ321" s="35">
        <v>44754</v>
      </c>
      <c r="EA321" s="35" t="s">
        <v>151</v>
      </c>
      <c r="EB321" s="34" t="s">
        <v>151</v>
      </c>
      <c r="EC321" s="33" t="s">
        <v>151</v>
      </c>
      <c r="ED321" s="32" t="s">
        <v>151</v>
      </c>
      <c r="EE321" s="34">
        <v>324</v>
      </c>
      <c r="EF321" s="33">
        <v>0</v>
      </c>
      <c r="EG321" s="32">
        <v>0</v>
      </c>
      <c r="EH321" s="29" t="s">
        <v>198</v>
      </c>
      <c r="EI321" s="30" t="s">
        <v>151</v>
      </c>
      <c r="EJ321" s="30" t="s">
        <v>151</v>
      </c>
      <c r="EK321" s="31" t="s">
        <v>151</v>
      </c>
      <c r="EL321" s="31" t="s">
        <v>151</v>
      </c>
      <c r="EM321" s="31" t="s">
        <v>151</v>
      </c>
      <c r="EN321" s="31" t="s">
        <v>151</v>
      </c>
      <c r="EO321" s="31" t="s">
        <v>151</v>
      </c>
      <c r="EP321" s="30" t="s">
        <v>151</v>
      </c>
      <c r="EQ321" s="29" t="s">
        <v>151</v>
      </c>
      <c r="ER321" s="29" t="s">
        <v>151</v>
      </c>
      <c r="ES321" s="4">
        <f>HYPERLINK("https://my.pitchbook.com?c=436797-55","View Company Online")</f>
      </c>
    </row>
    <row r="322">
      <c r="A322" s="17" t="s">
        <v>7042</v>
      </c>
      <c r="B322" s="17" t="s">
        <v>7043</v>
      </c>
      <c r="C322" s="18" t="s">
        <v>151</v>
      </c>
      <c r="D322" s="17" t="s">
        <v>7044</v>
      </c>
      <c r="E322" s="17" t="s">
        <v>7045</v>
      </c>
      <c r="F322" s="17" t="s">
        <v>7046</v>
      </c>
      <c r="G322" s="17" t="s">
        <v>151</v>
      </c>
      <c r="H322" s="17" t="s">
        <v>151</v>
      </c>
      <c r="I322" s="17" t="s">
        <v>7047</v>
      </c>
      <c r="J322" s="17" t="s">
        <v>7042</v>
      </c>
      <c r="K322" s="17" t="s">
        <v>7048</v>
      </c>
      <c r="L322" s="17" t="s">
        <v>155</v>
      </c>
      <c r="M322" s="17" t="s">
        <v>361</v>
      </c>
      <c r="N322" s="17" t="s">
        <v>3162</v>
      </c>
      <c r="O322" s="17" t="s">
        <v>7049</v>
      </c>
      <c r="P322" s="17" t="s">
        <v>2640</v>
      </c>
      <c r="Q322" s="17" t="s">
        <v>7050</v>
      </c>
      <c r="R322" s="17" t="s">
        <v>151</v>
      </c>
      <c r="S322" s="17" t="s">
        <v>2511</v>
      </c>
      <c r="T322" s="24">
        <v>2.11</v>
      </c>
      <c r="U322" s="17" t="s">
        <v>163</v>
      </c>
      <c r="V322" s="17" t="s">
        <v>164</v>
      </c>
      <c r="W322" s="17" t="s">
        <v>165</v>
      </c>
      <c r="X322" s="15" t="s">
        <v>7051</v>
      </c>
      <c r="Y322" s="15" t="s">
        <v>7052</v>
      </c>
      <c r="Z322" s="27">
        <v>4</v>
      </c>
      <c r="AA322" s="17" t="s">
        <v>7053</v>
      </c>
      <c r="AB322" s="17" t="s">
        <v>151</v>
      </c>
      <c r="AC322" s="17" t="s">
        <v>151</v>
      </c>
      <c r="AD322" s="26">
        <v>2019</v>
      </c>
      <c r="AE322" s="17" t="s">
        <v>151</v>
      </c>
      <c r="AF322" s="22">
        <v>45548</v>
      </c>
      <c r="AG322" s="17" t="s">
        <v>151</v>
      </c>
      <c r="AH322" s="17" t="s">
        <v>151</v>
      </c>
      <c r="AI322" s="25" t="s">
        <v>151</v>
      </c>
      <c r="AJ322" s="19" t="s">
        <v>151</v>
      </c>
      <c r="AK322" s="25" t="s">
        <v>151</v>
      </c>
      <c r="AL322" s="25" t="s">
        <v>151</v>
      </c>
      <c r="AM322" s="25" t="s">
        <v>151</v>
      </c>
      <c r="AN322" s="25" t="s">
        <v>151</v>
      </c>
      <c r="AO322" s="25" t="s">
        <v>151</v>
      </c>
      <c r="AP322" s="25" t="s">
        <v>151</v>
      </c>
      <c r="AQ322" s="25" t="s">
        <v>151</v>
      </c>
      <c r="AR322" s="16" t="s">
        <v>151</v>
      </c>
      <c r="AS322" s="17" t="s">
        <v>7054</v>
      </c>
      <c r="AT322" s="17" t="s">
        <v>7055</v>
      </c>
      <c r="AU322" s="18">
        <v>1</v>
      </c>
      <c r="AV322" s="17" t="s">
        <v>7056</v>
      </c>
      <c r="AW322" s="17" t="s">
        <v>7057</v>
      </c>
      <c r="AX322" s="17" t="s">
        <v>151</v>
      </c>
      <c r="AY322" s="17" t="s">
        <v>7058</v>
      </c>
      <c r="AZ322" s="17" t="s">
        <v>7059</v>
      </c>
      <c r="BA322" s="17" t="s">
        <v>151</v>
      </c>
      <c r="BB322" s="17" t="s">
        <v>7060</v>
      </c>
      <c r="BC322" s="17" t="s">
        <v>151</v>
      </c>
      <c r="BD322" s="17" t="s">
        <v>7061</v>
      </c>
      <c r="BE322" s="17" t="s">
        <v>7062</v>
      </c>
      <c r="BF322" s="17" t="s">
        <v>493</v>
      </c>
      <c r="BG322" s="17" t="s">
        <v>7063</v>
      </c>
      <c r="BH322" s="17" t="s">
        <v>7064</v>
      </c>
      <c r="BI322" s="17" t="s">
        <v>2289</v>
      </c>
      <c r="BJ322" s="17" t="s">
        <v>7065</v>
      </c>
      <c r="BK322" s="17" t="s">
        <v>7066</v>
      </c>
      <c r="BL322" s="17" t="s">
        <v>2291</v>
      </c>
      <c r="BM322" s="17" t="s">
        <v>1043</v>
      </c>
      <c r="BN322" s="16" t="s">
        <v>7067</v>
      </c>
      <c r="BO322" s="17" t="s">
        <v>186</v>
      </c>
      <c r="BP322" s="16" t="s">
        <v>7064</v>
      </c>
      <c r="BQ322" s="16" t="s">
        <v>151</v>
      </c>
      <c r="BR322" s="17" t="s">
        <v>7068</v>
      </c>
      <c r="BS322" s="17" t="s">
        <v>187</v>
      </c>
      <c r="BT322" s="17" t="s">
        <v>188</v>
      </c>
      <c r="BU322" s="22">
        <v>44197</v>
      </c>
      <c r="BV322" s="24">
        <v>0.1</v>
      </c>
      <c r="BW322" s="17" t="s">
        <v>192</v>
      </c>
      <c r="BX322" s="24">
        <v>0.5</v>
      </c>
      <c r="BY322" s="17" t="s">
        <v>192</v>
      </c>
      <c r="BZ322" s="17" t="s">
        <v>1075</v>
      </c>
      <c r="CA322" s="17" t="s">
        <v>1075</v>
      </c>
      <c r="CB322" s="17" t="s">
        <v>151</v>
      </c>
      <c r="CC322" s="17" t="s">
        <v>585</v>
      </c>
      <c r="CD322" s="17" t="s">
        <v>151</v>
      </c>
      <c r="CE322" s="17" t="s">
        <v>191</v>
      </c>
      <c r="CF322" s="22">
        <v>45499</v>
      </c>
      <c r="CG322" s="24" t="s">
        <v>151</v>
      </c>
      <c r="CH322" s="17" t="s">
        <v>151</v>
      </c>
      <c r="CI322" s="24" t="s">
        <v>151</v>
      </c>
      <c r="CJ322" s="17" t="s">
        <v>151</v>
      </c>
      <c r="CK322" s="16">
        <v>12.4</v>
      </c>
      <c r="CL322" s="17" t="s">
        <v>7069</v>
      </c>
      <c r="CM322" s="17" t="s">
        <v>151</v>
      </c>
      <c r="CN322" s="17" t="s">
        <v>151</v>
      </c>
      <c r="CO322" s="17" t="s">
        <v>385</v>
      </c>
      <c r="CP322" s="22">
        <v>45499</v>
      </c>
      <c r="CQ322" s="24" t="s">
        <v>151</v>
      </c>
      <c r="CR322" s="17" t="s">
        <v>151</v>
      </c>
      <c r="CS322" s="17" t="s">
        <v>191</v>
      </c>
      <c r="CT322" s="16" t="s">
        <v>151</v>
      </c>
      <c r="CU322" s="17" t="s">
        <v>151</v>
      </c>
      <c r="CV322" s="19" t="s">
        <v>151</v>
      </c>
      <c r="CW322" s="19" t="s">
        <v>151</v>
      </c>
      <c r="CX322" s="17" t="s">
        <v>151</v>
      </c>
      <c r="CY322" s="19" t="s">
        <v>151</v>
      </c>
      <c r="CZ322" s="19" t="s">
        <v>151</v>
      </c>
      <c r="DA322" s="24">
        <v>8</v>
      </c>
      <c r="DB322" s="22">
        <v>44778</v>
      </c>
      <c r="DC322" s="17" t="s">
        <v>293</v>
      </c>
      <c r="DD322" s="16">
        <v>12.4</v>
      </c>
      <c r="DE322" s="19" t="s">
        <v>151</v>
      </c>
      <c r="DF322" s="21" t="s">
        <v>151</v>
      </c>
      <c r="DG322" s="19" t="s">
        <v>151</v>
      </c>
      <c r="DH322" s="19" t="s">
        <v>151</v>
      </c>
      <c r="DI322" s="19" t="s">
        <v>151</v>
      </c>
      <c r="DJ322" s="21" t="s">
        <v>151</v>
      </c>
      <c r="DK322" s="19" t="s">
        <v>151</v>
      </c>
      <c r="DL322" s="21" t="s">
        <v>151</v>
      </c>
      <c r="DM322" s="19" t="s">
        <v>151</v>
      </c>
      <c r="DN322" s="21" t="s">
        <v>151</v>
      </c>
      <c r="DO322" s="23" t="s">
        <v>151</v>
      </c>
      <c r="DP322" s="21" t="s">
        <v>151</v>
      </c>
      <c r="DQ322" s="23" t="s">
        <v>151</v>
      </c>
      <c r="DR322" s="19" t="s">
        <v>151</v>
      </c>
      <c r="DS322" s="23" t="s">
        <v>151</v>
      </c>
      <c r="DT322" s="21" t="s">
        <v>151</v>
      </c>
      <c r="DU322" s="23" t="s">
        <v>151</v>
      </c>
      <c r="DV322" s="21" t="s">
        <v>151</v>
      </c>
      <c r="DW322" s="23" t="s">
        <v>151</v>
      </c>
      <c r="DX322" s="21" t="s">
        <v>151</v>
      </c>
      <c r="DY322" s="18" t="s">
        <v>151</v>
      </c>
      <c r="DZ322" s="22" t="s">
        <v>151</v>
      </c>
      <c r="EA322" s="22" t="s">
        <v>151</v>
      </c>
      <c r="EB322" s="21" t="s">
        <v>151</v>
      </c>
      <c r="EC322" s="20" t="s">
        <v>151</v>
      </c>
      <c r="ED322" s="19" t="s">
        <v>151</v>
      </c>
      <c r="EE322" s="21" t="s">
        <v>151</v>
      </c>
      <c r="EF322" s="20" t="s">
        <v>151</v>
      </c>
      <c r="EG322" s="19" t="s">
        <v>151</v>
      </c>
      <c r="EH322" s="16" t="s">
        <v>198</v>
      </c>
      <c r="EI322" s="17" t="s">
        <v>151</v>
      </c>
      <c r="EJ322" s="17" t="s">
        <v>151</v>
      </c>
      <c r="EK322" s="18" t="s">
        <v>151</v>
      </c>
      <c r="EL322" s="18" t="s">
        <v>151</v>
      </c>
      <c r="EM322" s="18" t="s">
        <v>151</v>
      </c>
      <c r="EN322" s="18" t="s">
        <v>151</v>
      </c>
      <c r="EO322" s="18" t="s">
        <v>151</v>
      </c>
      <c r="EP322" s="17" t="s">
        <v>151</v>
      </c>
      <c r="EQ322" s="16" t="s">
        <v>151</v>
      </c>
      <c r="ER322" s="16" t="s">
        <v>151</v>
      </c>
      <c r="ES322" s="3">
        <f>HYPERLINK("https://my.pitchbook.com?c=462021-76","View Company Online")</f>
      </c>
    </row>
    <row r="323">
      <c r="A323" s="30" t="s">
        <v>7070</v>
      </c>
      <c r="B323" s="30" t="s">
        <v>7071</v>
      </c>
      <c r="C323" s="31" t="s">
        <v>151</v>
      </c>
      <c r="D323" s="30" t="s">
        <v>151</v>
      </c>
      <c r="E323" s="30" t="s">
        <v>7045</v>
      </c>
      <c r="F323" s="30" t="s">
        <v>7072</v>
      </c>
      <c r="G323" s="30" t="s">
        <v>151</v>
      </c>
      <c r="H323" s="30" t="s">
        <v>151</v>
      </c>
      <c r="I323" s="30" t="s">
        <v>7073</v>
      </c>
      <c r="J323" s="30" t="s">
        <v>7070</v>
      </c>
      <c r="K323" s="30" t="s">
        <v>7074</v>
      </c>
      <c r="L323" s="30" t="s">
        <v>205</v>
      </c>
      <c r="M323" s="30" t="s">
        <v>206</v>
      </c>
      <c r="N323" s="30" t="s">
        <v>1268</v>
      </c>
      <c r="O323" s="30" t="s">
        <v>2129</v>
      </c>
      <c r="P323" s="30" t="s">
        <v>7075</v>
      </c>
      <c r="Q323" s="30" t="s">
        <v>7076</v>
      </c>
      <c r="R323" s="30" t="s">
        <v>211</v>
      </c>
      <c r="S323" s="30" t="s">
        <v>162</v>
      </c>
      <c r="T323" s="37">
        <v>0.8</v>
      </c>
      <c r="U323" s="30" t="s">
        <v>1727</v>
      </c>
      <c r="V323" s="30" t="s">
        <v>164</v>
      </c>
      <c r="W323" s="30" t="s">
        <v>165</v>
      </c>
      <c r="X323" s="28" t="s">
        <v>7077</v>
      </c>
      <c r="Y323" s="28" t="s">
        <v>7078</v>
      </c>
      <c r="Z323" s="40">
        <v>7</v>
      </c>
      <c r="AA323" s="30" t="s">
        <v>7079</v>
      </c>
      <c r="AB323" s="30" t="s">
        <v>151</v>
      </c>
      <c r="AC323" s="30" t="s">
        <v>151</v>
      </c>
      <c r="AD323" s="39">
        <v>2021</v>
      </c>
      <c r="AE323" s="30" t="s">
        <v>151</v>
      </c>
      <c r="AF323" s="35">
        <v>45596</v>
      </c>
      <c r="AG323" s="30" t="s">
        <v>151</v>
      </c>
      <c r="AH323" s="30" t="s">
        <v>151</v>
      </c>
      <c r="AI323" s="38" t="s">
        <v>151</v>
      </c>
      <c r="AJ323" s="32" t="s">
        <v>151</v>
      </c>
      <c r="AK323" s="38" t="s">
        <v>151</v>
      </c>
      <c r="AL323" s="38" t="s">
        <v>151</v>
      </c>
      <c r="AM323" s="38" t="s">
        <v>151</v>
      </c>
      <c r="AN323" s="38" t="s">
        <v>151</v>
      </c>
      <c r="AO323" s="38" t="s">
        <v>151</v>
      </c>
      <c r="AP323" s="38" t="s">
        <v>151</v>
      </c>
      <c r="AQ323" s="38" t="s">
        <v>151</v>
      </c>
      <c r="AR323" s="29" t="s">
        <v>151</v>
      </c>
      <c r="AS323" s="30" t="s">
        <v>7080</v>
      </c>
      <c r="AT323" s="30" t="s">
        <v>7081</v>
      </c>
      <c r="AU323" s="31">
        <v>4</v>
      </c>
      <c r="AV323" s="30" t="s">
        <v>151</v>
      </c>
      <c r="AW323" s="30" t="s">
        <v>151</v>
      </c>
      <c r="AX323" s="30" t="s">
        <v>151</v>
      </c>
      <c r="AY323" s="30" t="s">
        <v>7082</v>
      </c>
      <c r="AZ323" s="30" t="s">
        <v>151</v>
      </c>
      <c r="BA323" s="30" t="s">
        <v>151</v>
      </c>
      <c r="BB323" s="30" t="s">
        <v>151</v>
      </c>
      <c r="BC323" s="30" t="s">
        <v>151</v>
      </c>
      <c r="BD323" s="30" t="s">
        <v>7083</v>
      </c>
      <c r="BE323" s="30" t="s">
        <v>7084</v>
      </c>
      <c r="BF323" s="30" t="s">
        <v>221</v>
      </c>
      <c r="BG323" s="30" t="s">
        <v>7085</v>
      </c>
      <c r="BH323" s="30" t="s">
        <v>151</v>
      </c>
      <c r="BI323" s="30" t="s">
        <v>934</v>
      </c>
      <c r="BJ323" s="30" t="s">
        <v>7086</v>
      </c>
      <c r="BK323" s="30" t="s">
        <v>151</v>
      </c>
      <c r="BL323" s="30" t="s">
        <v>937</v>
      </c>
      <c r="BM323" s="30" t="s">
        <v>184</v>
      </c>
      <c r="BN323" s="29" t="s">
        <v>7087</v>
      </c>
      <c r="BO323" s="30" t="s">
        <v>186</v>
      </c>
      <c r="BP323" s="29" t="s">
        <v>151</v>
      </c>
      <c r="BQ323" s="29" t="s">
        <v>151</v>
      </c>
      <c r="BR323" s="30" t="s">
        <v>151</v>
      </c>
      <c r="BS323" s="30" t="s">
        <v>187</v>
      </c>
      <c r="BT323" s="30" t="s">
        <v>188</v>
      </c>
      <c r="BU323" s="35">
        <v>44593</v>
      </c>
      <c r="BV323" s="37">
        <v>0.8</v>
      </c>
      <c r="BW323" s="30" t="s">
        <v>192</v>
      </c>
      <c r="BX323" s="37" t="s">
        <v>151</v>
      </c>
      <c r="BY323" s="30" t="s">
        <v>151</v>
      </c>
      <c r="BZ323" s="30" t="s">
        <v>293</v>
      </c>
      <c r="CA323" s="30" t="s">
        <v>293</v>
      </c>
      <c r="CB323" s="30" t="s">
        <v>151</v>
      </c>
      <c r="CC323" s="30" t="s">
        <v>165</v>
      </c>
      <c r="CD323" s="30" t="s">
        <v>151</v>
      </c>
      <c r="CE323" s="30" t="s">
        <v>191</v>
      </c>
      <c r="CF323" s="35">
        <v>44593</v>
      </c>
      <c r="CG323" s="37">
        <v>0.8</v>
      </c>
      <c r="CH323" s="30" t="s">
        <v>192</v>
      </c>
      <c r="CI323" s="37" t="s">
        <v>151</v>
      </c>
      <c r="CJ323" s="30" t="s">
        <v>151</v>
      </c>
      <c r="CK323" s="29" t="s">
        <v>151</v>
      </c>
      <c r="CL323" s="30" t="s">
        <v>293</v>
      </c>
      <c r="CM323" s="30" t="s">
        <v>293</v>
      </c>
      <c r="CN323" s="30" t="s">
        <v>151</v>
      </c>
      <c r="CO323" s="30" t="s">
        <v>165</v>
      </c>
      <c r="CP323" s="35">
        <v>44593</v>
      </c>
      <c r="CQ323" s="37" t="s">
        <v>151</v>
      </c>
      <c r="CR323" s="30" t="s">
        <v>151</v>
      </c>
      <c r="CS323" s="30" t="s">
        <v>191</v>
      </c>
      <c r="CT323" s="29" t="s">
        <v>151</v>
      </c>
      <c r="CU323" s="30" t="s">
        <v>151</v>
      </c>
      <c r="CV323" s="32" t="s">
        <v>151</v>
      </c>
      <c r="CW323" s="32" t="s">
        <v>151</v>
      </c>
      <c r="CX323" s="30" t="s">
        <v>151</v>
      </c>
      <c r="CY323" s="32" t="s">
        <v>151</v>
      </c>
      <c r="CZ323" s="32" t="s">
        <v>151</v>
      </c>
      <c r="DA323" s="37" t="s">
        <v>151</v>
      </c>
      <c r="DB323" s="35" t="s">
        <v>151</v>
      </c>
      <c r="DC323" s="30" t="s">
        <v>151</v>
      </c>
      <c r="DD323" s="29" t="s">
        <v>151</v>
      </c>
      <c r="DE323" s="32">
        <v>0</v>
      </c>
      <c r="DF323" s="34">
        <v>11</v>
      </c>
      <c r="DG323" s="32">
        <v>0</v>
      </c>
      <c r="DH323" s="32">
        <v>0</v>
      </c>
      <c r="DI323" s="32">
        <v>0</v>
      </c>
      <c r="DJ323" s="34">
        <v>10</v>
      </c>
      <c r="DK323" s="32" t="s">
        <v>151</v>
      </c>
      <c r="DL323" s="34" t="s">
        <v>151</v>
      </c>
      <c r="DM323" s="32">
        <v>0</v>
      </c>
      <c r="DN323" s="34">
        <v>10</v>
      </c>
      <c r="DO323" s="36">
        <v>0.47</v>
      </c>
      <c r="DP323" s="34">
        <v>31</v>
      </c>
      <c r="DQ323" s="36">
        <v>0</v>
      </c>
      <c r="DR323" s="32">
        <v>0</v>
      </c>
      <c r="DS323" s="36">
        <v>0.47</v>
      </c>
      <c r="DT323" s="34">
        <v>31</v>
      </c>
      <c r="DU323" s="36" t="s">
        <v>151</v>
      </c>
      <c r="DV323" s="34" t="s">
        <v>151</v>
      </c>
      <c r="DW323" s="36">
        <v>0.47</v>
      </c>
      <c r="DX323" s="34">
        <v>31</v>
      </c>
      <c r="DY323" s="31" t="s">
        <v>151</v>
      </c>
      <c r="DZ323" s="35" t="s">
        <v>151</v>
      </c>
      <c r="EA323" s="35" t="s">
        <v>151</v>
      </c>
      <c r="EB323" s="34">
        <v>34</v>
      </c>
      <c r="EC323" s="33">
        <v>-18</v>
      </c>
      <c r="ED323" s="32">
        <v>-34.62</v>
      </c>
      <c r="EE323" s="34">
        <v>9</v>
      </c>
      <c r="EF323" s="33">
        <v>0</v>
      </c>
      <c r="EG323" s="32">
        <v>0</v>
      </c>
      <c r="EH323" s="29" t="s">
        <v>198</v>
      </c>
      <c r="EI323" s="30" t="s">
        <v>151</v>
      </c>
      <c r="EJ323" s="30" t="s">
        <v>151</v>
      </c>
      <c r="EK323" s="31" t="s">
        <v>151</v>
      </c>
      <c r="EL323" s="31" t="s">
        <v>151</v>
      </c>
      <c r="EM323" s="31" t="s">
        <v>151</v>
      </c>
      <c r="EN323" s="31" t="s">
        <v>151</v>
      </c>
      <c r="EO323" s="31" t="s">
        <v>151</v>
      </c>
      <c r="EP323" s="30" t="s">
        <v>151</v>
      </c>
      <c r="EQ323" s="29" t="s">
        <v>151</v>
      </c>
      <c r="ER323" s="29" t="s">
        <v>151</v>
      </c>
      <c r="ES323" s="4">
        <f>HYPERLINK("https://my.pitchbook.com?c=493272-82","View Company Online")</f>
      </c>
    </row>
    <row r="324">
      <c r="A324" s="17" t="s">
        <v>7088</v>
      </c>
      <c r="B324" s="17" t="s">
        <v>7089</v>
      </c>
      <c r="C324" s="18" t="s">
        <v>151</v>
      </c>
      <c r="D324" s="17" t="s">
        <v>151</v>
      </c>
      <c r="E324" s="17" t="s">
        <v>151</v>
      </c>
      <c r="F324" s="17" t="s">
        <v>7090</v>
      </c>
      <c r="G324" s="17" t="s">
        <v>151</v>
      </c>
      <c r="H324" s="17" t="s">
        <v>151</v>
      </c>
      <c r="I324" s="17" t="s">
        <v>151</v>
      </c>
      <c r="J324" s="17" t="s">
        <v>7088</v>
      </c>
      <c r="K324" s="17" t="s">
        <v>7091</v>
      </c>
      <c r="L324" s="17" t="s">
        <v>205</v>
      </c>
      <c r="M324" s="17" t="s">
        <v>206</v>
      </c>
      <c r="N324" s="17" t="s">
        <v>1940</v>
      </c>
      <c r="O324" s="17" t="s">
        <v>5396</v>
      </c>
      <c r="P324" s="17" t="s">
        <v>1942</v>
      </c>
      <c r="Q324" s="17" t="s">
        <v>7092</v>
      </c>
      <c r="R324" s="17" t="s">
        <v>151</v>
      </c>
      <c r="S324" s="17" t="s">
        <v>162</v>
      </c>
      <c r="T324" s="24">
        <v>0.5</v>
      </c>
      <c r="U324" s="17" t="s">
        <v>163</v>
      </c>
      <c r="V324" s="17" t="s">
        <v>164</v>
      </c>
      <c r="W324" s="17" t="s">
        <v>165</v>
      </c>
      <c r="X324" s="15" t="s">
        <v>7093</v>
      </c>
      <c r="Y324" s="15" t="s">
        <v>7094</v>
      </c>
      <c r="Z324" s="27">
        <v>6</v>
      </c>
      <c r="AA324" s="17" t="s">
        <v>7095</v>
      </c>
      <c r="AB324" s="17" t="s">
        <v>151</v>
      </c>
      <c r="AC324" s="17" t="s">
        <v>151</v>
      </c>
      <c r="AD324" s="26">
        <v>2018</v>
      </c>
      <c r="AE324" s="17" t="s">
        <v>151</v>
      </c>
      <c r="AF324" s="22">
        <v>45617</v>
      </c>
      <c r="AG324" s="17" t="s">
        <v>151</v>
      </c>
      <c r="AH324" s="17" t="s">
        <v>151</v>
      </c>
      <c r="AI324" s="25" t="s">
        <v>151</v>
      </c>
      <c r="AJ324" s="19" t="s">
        <v>151</v>
      </c>
      <c r="AK324" s="25" t="s">
        <v>151</v>
      </c>
      <c r="AL324" s="25" t="s">
        <v>151</v>
      </c>
      <c r="AM324" s="25" t="s">
        <v>151</v>
      </c>
      <c r="AN324" s="25" t="s">
        <v>151</v>
      </c>
      <c r="AO324" s="25" t="s">
        <v>151</v>
      </c>
      <c r="AP324" s="25" t="s">
        <v>151</v>
      </c>
      <c r="AQ324" s="25" t="s">
        <v>151</v>
      </c>
      <c r="AR324" s="16" t="s">
        <v>151</v>
      </c>
      <c r="AS324" s="17" t="s">
        <v>7096</v>
      </c>
      <c r="AT324" s="17" t="s">
        <v>7097</v>
      </c>
      <c r="AU324" s="18">
        <v>6</v>
      </c>
      <c r="AV324" s="17" t="s">
        <v>151</v>
      </c>
      <c r="AW324" s="17" t="s">
        <v>151</v>
      </c>
      <c r="AX324" s="17" t="s">
        <v>151</v>
      </c>
      <c r="AY324" s="17" t="s">
        <v>7098</v>
      </c>
      <c r="AZ324" s="17" t="s">
        <v>151</v>
      </c>
      <c r="BA324" s="17" t="s">
        <v>151</v>
      </c>
      <c r="BB324" s="17" t="s">
        <v>151</v>
      </c>
      <c r="BC324" s="17" t="s">
        <v>151</v>
      </c>
      <c r="BD324" s="17" t="s">
        <v>7099</v>
      </c>
      <c r="BE324" s="17" t="s">
        <v>7100</v>
      </c>
      <c r="BF324" s="17" t="s">
        <v>403</v>
      </c>
      <c r="BG324" s="17" t="s">
        <v>7101</v>
      </c>
      <c r="BH324" s="17" t="s">
        <v>151</v>
      </c>
      <c r="BI324" s="17" t="s">
        <v>2811</v>
      </c>
      <c r="BJ324" s="17" t="s">
        <v>2812</v>
      </c>
      <c r="BK324" s="17" t="s">
        <v>7102</v>
      </c>
      <c r="BL324" s="17" t="s">
        <v>2813</v>
      </c>
      <c r="BM324" s="17" t="s">
        <v>2814</v>
      </c>
      <c r="BN324" s="16" t="s">
        <v>2815</v>
      </c>
      <c r="BO324" s="17" t="s">
        <v>186</v>
      </c>
      <c r="BP324" s="16" t="s">
        <v>151</v>
      </c>
      <c r="BQ324" s="16" t="s">
        <v>151</v>
      </c>
      <c r="BR324" s="17" t="s">
        <v>7103</v>
      </c>
      <c r="BS324" s="17" t="s">
        <v>187</v>
      </c>
      <c r="BT324" s="17" t="s">
        <v>188</v>
      </c>
      <c r="BU324" s="22">
        <v>43831</v>
      </c>
      <c r="BV324" s="24" t="s">
        <v>151</v>
      </c>
      <c r="BW324" s="17" t="s">
        <v>151</v>
      </c>
      <c r="BX324" s="24" t="s">
        <v>151</v>
      </c>
      <c r="BY324" s="17" t="s">
        <v>151</v>
      </c>
      <c r="BZ324" s="17" t="s">
        <v>189</v>
      </c>
      <c r="CA324" s="17" t="s">
        <v>151</v>
      </c>
      <c r="CB324" s="17" t="s">
        <v>151</v>
      </c>
      <c r="CC324" s="17" t="s">
        <v>190</v>
      </c>
      <c r="CD324" s="17" t="s">
        <v>151</v>
      </c>
      <c r="CE324" s="17" t="s">
        <v>191</v>
      </c>
      <c r="CF324" s="22">
        <v>45210</v>
      </c>
      <c r="CG324" s="24">
        <v>0.38</v>
      </c>
      <c r="CH324" s="17" t="s">
        <v>192</v>
      </c>
      <c r="CI324" s="24" t="s">
        <v>151</v>
      </c>
      <c r="CJ324" s="17" t="s">
        <v>151</v>
      </c>
      <c r="CK324" s="16" t="s">
        <v>151</v>
      </c>
      <c r="CL324" s="17" t="s">
        <v>194</v>
      </c>
      <c r="CM324" s="17" t="s">
        <v>151</v>
      </c>
      <c r="CN324" s="17" t="s">
        <v>151</v>
      </c>
      <c r="CO324" s="17" t="s">
        <v>165</v>
      </c>
      <c r="CP324" s="22">
        <v>45210</v>
      </c>
      <c r="CQ324" s="24" t="s">
        <v>151</v>
      </c>
      <c r="CR324" s="17" t="s">
        <v>151</v>
      </c>
      <c r="CS324" s="17" t="s">
        <v>191</v>
      </c>
      <c r="CT324" s="16">
        <v>49</v>
      </c>
      <c r="CU324" s="17" t="s">
        <v>263</v>
      </c>
      <c r="CV324" s="19">
        <v>47</v>
      </c>
      <c r="CW324" s="19">
        <v>53</v>
      </c>
      <c r="CX324" s="17" t="s">
        <v>263</v>
      </c>
      <c r="CY324" s="19">
        <v>1</v>
      </c>
      <c r="CZ324" s="19">
        <v>46</v>
      </c>
      <c r="DA324" s="24">
        <v>0.33</v>
      </c>
      <c r="DB324" s="22">
        <v>44816</v>
      </c>
      <c r="DC324" s="17" t="s">
        <v>189</v>
      </c>
      <c r="DD324" s="16" t="s">
        <v>151</v>
      </c>
      <c r="DE324" s="19">
        <v>0</v>
      </c>
      <c r="DF324" s="21">
        <v>11</v>
      </c>
      <c r="DG324" s="19">
        <v>0</v>
      </c>
      <c r="DH324" s="19">
        <v>0</v>
      </c>
      <c r="DI324" s="19" t="s">
        <v>151</v>
      </c>
      <c r="DJ324" s="21" t="s">
        <v>151</v>
      </c>
      <c r="DK324" s="19" t="s">
        <v>151</v>
      </c>
      <c r="DL324" s="21" t="s">
        <v>151</v>
      </c>
      <c r="DM324" s="19" t="s">
        <v>151</v>
      </c>
      <c r="DN324" s="21" t="s">
        <v>151</v>
      </c>
      <c r="DO324" s="23">
        <v>0.46</v>
      </c>
      <c r="DP324" s="21">
        <v>31</v>
      </c>
      <c r="DQ324" s="23">
        <v>0</v>
      </c>
      <c r="DR324" s="19">
        <v>0</v>
      </c>
      <c r="DS324" s="23" t="s">
        <v>151</v>
      </c>
      <c r="DT324" s="21" t="s">
        <v>151</v>
      </c>
      <c r="DU324" s="23" t="s">
        <v>151</v>
      </c>
      <c r="DV324" s="21" t="s">
        <v>151</v>
      </c>
      <c r="DW324" s="23" t="s">
        <v>151</v>
      </c>
      <c r="DX324" s="21" t="s">
        <v>151</v>
      </c>
      <c r="DY324" s="18" t="s">
        <v>151</v>
      </c>
      <c r="DZ324" s="22" t="s">
        <v>151</v>
      </c>
      <c r="EA324" s="22" t="s">
        <v>151</v>
      </c>
      <c r="EB324" s="21">
        <v>393</v>
      </c>
      <c r="EC324" s="20">
        <v>-49</v>
      </c>
      <c r="ED324" s="19">
        <v>-11.09</v>
      </c>
      <c r="EE324" s="21" t="s">
        <v>151</v>
      </c>
      <c r="EF324" s="20" t="s">
        <v>151</v>
      </c>
      <c r="EG324" s="19" t="s">
        <v>151</v>
      </c>
      <c r="EH324" s="16" t="s">
        <v>198</v>
      </c>
      <c r="EI324" s="17" t="s">
        <v>151</v>
      </c>
      <c r="EJ324" s="17" t="s">
        <v>151</v>
      </c>
      <c r="EK324" s="18" t="s">
        <v>151</v>
      </c>
      <c r="EL324" s="18" t="s">
        <v>151</v>
      </c>
      <c r="EM324" s="18" t="s">
        <v>151</v>
      </c>
      <c r="EN324" s="18" t="s">
        <v>151</v>
      </c>
      <c r="EO324" s="18" t="s">
        <v>151</v>
      </c>
      <c r="EP324" s="17" t="s">
        <v>151</v>
      </c>
      <c r="EQ324" s="16" t="s">
        <v>151</v>
      </c>
      <c r="ER324" s="16" t="s">
        <v>151</v>
      </c>
      <c r="ES324" s="3">
        <f>HYPERLINK("https://my.pitchbook.com?c=472510-45","View Company Online")</f>
      </c>
    </row>
    <row r="325">
      <c r="A325" s="30" t="s">
        <v>7104</v>
      </c>
      <c r="B325" s="30" t="s">
        <v>7105</v>
      </c>
      <c r="C325" s="31" t="s">
        <v>151</v>
      </c>
      <c r="D325" s="30" t="s">
        <v>151</v>
      </c>
      <c r="E325" s="30" t="s">
        <v>151</v>
      </c>
      <c r="F325" s="30" t="s">
        <v>7106</v>
      </c>
      <c r="G325" s="30" t="s">
        <v>151</v>
      </c>
      <c r="H325" s="30" t="s">
        <v>151</v>
      </c>
      <c r="I325" s="30" t="s">
        <v>151</v>
      </c>
      <c r="J325" s="30" t="s">
        <v>7104</v>
      </c>
      <c r="K325" s="30" t="s">
        <v>7107</v>
      </c>
      <c r="L325" s="30" t="s">
        <v>205</v>
      </c>
      <c r="M325" s="30" t="s">
        <v>206</v>
      </c>
      <c r="N325" s="30" t="s">
        <v>269</v>
      </c>
      <c r="O325" s="30" t="s">
        <v>3056</v>
      </c>
      <c r="P325" s="30" t="s">
        <v>151</v>
      </c>
      <c r="Q325" s="30" t="s">
        <v>7108</v>
      </c>
      <c r="R325" s="30" t="s">
        <v>151</v>
      </c>
      <c r="S325" s="30" t="s">
        <v>162</v>
      </c>
      <c r="T325" s="37">
        <v>1.12</v>
      </c>
      <c r="U325" s="30" t="s">
        <v>163</v>
      </c>
      <c r="V325" s="30" t="s">
        <v>164</v>
      </c>
      <c r="W325" s="30" t="s">
        <v>165</v>
      </c>
      <c r="X325" s="28" t="s">
        <v>7109</v>
      </c>
      <c r="Y325" s="28" t="s">
        <v>7110</v>
      </c>
      <c r="Z325" s="40">
        <v>16</v>
      </c>
      <c r="AA325" s="30" t="s">
        <v>7111</v>
      </c>
      <c r="AB325" s="30" t="s">
        <v>151</v>
      </c>
      <c r="AC325" s="30" t="s">
        <v>151</v>
      </c>
      <c r="AD325" s="39">
        <v>2020</v>
      </c>
      <c r="AE325" s="30" t="s">
        <v>151</v>
      </c>
      <c r="AF325" s="35">
        <v>45596</v>
      </c>
      <c r="AG325" s="30" t="s">
        <v>151</v>
      </c>
      <c r="AH325" s="30" t="s">
        <v>151</v>
      </c>
      <c r="AI325" s="38" t="s">
        <v>151</v>
      </c>
      <c r="AJ325" s="32" t="s">
        <v>151</v>
      </c>
      <c r="AK325" s="38" t="s">
        <v>151</v>
      </c>
      <c r="AL325" s="38" t="s">
        <v>151</v>
      </c>
      <c r="AM325" s="38" t="s">
        <v>151</v>
      </c>
      <c r="AN325" s="38" t="s">
        <v>151</v>
      </c>
      <c r="AO325" s="38" t="s">
        <v>151</v>
      </c>
      <c r="AP325" s="38" t="s">
        <v>151</v>
      </c>
      <c r="AQ325" s="38" t="s">
        <v>151</v>
      </c>
      <c r="AR325" s="29" t="s">
        <v>151</v>
      </c>
      <c r="AS325" s="30" t="s">
        <v>7112</v>
      </c>
      <c r="AT325" s="30" t="s">
        <v>7113</v>
      </c>
      <c r="AU325" s="31">
        <v>4</v>
      </c>
      <c r="AV325" s="30" t="s">
        <v>151</v>
      </c>
      <c r="AW325" s="30" t="s">
        <v>151</v>
      </c>
      <c r="AX325" s="30" t="s">
        <v>151</v>
      </c>
      <c r="AY325" s="30" t="s">
        <v>7114</v>
      </c>
      <c r="AZ325" s="30" t="s">
        <v>151</v>
      </c>
      <c r="BA325" s="30" t="s">
        <v>151</v>
      </c>
      <c r="BB325" s="30" t="s">
        <v>151</v>
      </c>
      <c r="BC325" s="30" t="s">
        <v>151</v>
      </c>
      <c r="BD325" s="30" t="s">
        <v>7115</v>
      </c>
      <c r="BE325" s="30" t="s">
        <v>7116</v>
      </c>
      <c r="BF325" s="30" t="s">
        <v>493</v>
      </c>
      <c r="BG325" s="30" t="s">
        <v>7117</v>
      </c>
      <c r="BH325" s="30" t="s">
        <v>7118</v>
      </c>
      <c r="BI325" s="30" t="s">
        <v>7119</v>
      </c>
      <c r="BJ325" s="30" t="s">
        <v>7120</v>
      </c>
      <c r="BK325" s="30" t="s">
        <v>151</v>
      </c>
      <c r="BL325" s="30" t="s">
        <v>7121</v>
      </c>
      <c r="BM325" s="30" t="s">
        <v>184</v>
      </c>
      <c r="BN325" s="29" t="s">
        <v>7122</v>
      </c>
      <c r="BO325" s="30" t="s">
        <v>186</v>
      </c>
      <c r="BP325" s="29" t="s">
        <v>7123</v>
      </c>
      <c r="BQ325" s="29" t="s">
        <v>151</v>
      </c>
      <c r="BR325" s="30" t="s">
        <v>7124</v>
      </c>
      <c r="BS325" s="30" t="s">
        <v>187</v>
      </c>
      <c r="BT325" s="30" t="s">
        <v>188</v>
      </c>
      <c r="BU325" s="35">
        <v>44720</v>
      </c>
      <c r="BV325" s="37">
        <v>0.23</v>
      </c>
      <c r="BW325" s="30" t="s">
        <v>192</v>
      </c>
      <c r="BX325" s="37" t="s">
        <v>151</v>
      </c>
      <c r="BY325" s="30" t="s">
        <v>151</v>
      </c>
      <c r="BZ325" s="30" t="s">
        <v>501</v>
      </c>
      <c r="CA325" s="30" t="s">
        <v>151</v>
      </c>
      <c r="CB325" s="30" t="s">
        <v>151</v>
      </c>
      <c r="CC325" s="30" t="s">
        <v>190</v>
      </c>
      <c r="CD325" s="30" t="s">
        <v>151</v>
      </c>
      <c r="CE325" s="30" t="s">
        <v>191</v>
      </c>
      <c r="CF325" s="35">
        <v>45337</v>
      </c>
      <c r="CG325" s="37">
        <v>1</v>
      </c>
      <c r="CH325" s="30" t="s">
        <v>192</v>
      </c>
      <c r="CI325" s="37" t="s">
        <v>151</v>
      </c>
      <c r="CJ325" s="30" t="s">
        <v>151</v>
      </c>
      <c r="CK325" s="29" t="s">
        <v>151</v>
      </c>
      <c r="CL325" s="30" t="s">
        <v>231</v>
      </c>
      <c r="CM325" s="30" t="s">
        <v>151</v>
      </c>
      <c r="CN325" s="30" t="s">
        <v>151</v>
      </c>
      <c r="CO325" s="30" t="s">
        <v>165</v>
      </c>
      <c r="CP325" s="35">
        <v>45337</v>
      </c>
      <c r="CQ325" s="37" t="s">
        <v>151</v>
      </c>
      <c r="CR325" s="30" t="s">
        <v>7125</v>
      </c>
      <c r="CS325" s="30" t="s">
        <v>191</v>
      </c>
      <c r="CT325" s="29" t="s">
        <v>151</v>
      </c>
      <c r="CU325" s="30" t="s">
        <v>151</v>
      </c>
      <c r="CV325" s="32" t="s">
        <v>151</v>
      </c>
      <c r="CW325" s="32" t="s">
        <v>151</v>
      </c>
      <c r="CX325" s="30" t="s">
        <v>151</v>
      </c>
      <c r="CY325" s="32" t="s">
        <v>151</v>
      </c>
      <c r="CZ325" s="32" t="s">
        <v>151</v>
      </c>
      <c r="DA325" s="37" t="s">
        <v>151</v>
      </c>
      <c r="DB325" s="35" t="s">
        <v>151</v>
      </c>
      <c r="DC325" s="30" t="s">
        <v>151</v>
      </c>
      <c r="DD325" s="29" t="s">
        <v>151</v>
      </c>
      <c r="DE325" s="32">
        <v>0.83</v>
      </c>
      <c r="DF325" s="34">
        <v>95</v>
      </c>
      <c r="DG325" s="32">
        <v>0</v>
      </c>
      <c r="DH325" s="32">
        <v>0</v>
      </c>
      <c r="DI325" s="32" t="s">
        <v>151</v>
      </c>
      <c r="DJ325" s="34" t="s">
        <v>151</v>
      </c>
      <c r="DK325" s="32" t="s">
        <v>151</v>
      </c>
      <c r="DL325" s="34" t="s">
        <v>151</v>
      </c>
      <c r="DM325" s="32" t="s">
        <v>151</v>
      </c>
      <c r="DN325" s="34" t="s">
        <v>151</v>
      </c>
      <c r="DO325" s="36">
        <v>1.23</v>
      </c>
      <c r="DP325" s="34">
        <v>55</v>
      </c>
      <c r="DQ325" s="36">
        <v>0</v>
      </c>
      <c r="DR325" s="32">
        <v>0</v>
      </c>
      <c r="DS325" s="36" t="s">
        <v>151</v>
      </c>
      <c r="DT325" s="34" t="s">
        <v>151</v>
      </c>
      <c r="DU325" s="36" t="s">
        <v>151</v>
      </c>
      <c r="DV325" s="34" t="s">
        <v>151</v>
      </c>
      <c r="DW325" s="36" t="s">
        <v>151</v>
      </c>
      <c r="DX325" s="34" t="s">
        <v>151</v>
      </c>
      <c r="DY325" s="31" t="s">
        <v>151</v>
      </c>
      <c r="DZ325" s="35" t="s">
        <v>151</v>
      </c>
      <c r="EA325" s="35" t="s">
        <v>151</v>
      </c>
      <c r="EB325" s="34">
        <v>170</v>
      </c>
      <c r="EC325" s="33">
        <v>6</v>
      </c>
      <c r="ED325" s="32">
        <v>3.66</v>
      </c>
      <c r="EE325" s="34" t="s">
        <v>151</v>
      </c>
      <c r="EF325" s="33" t="s">
        <v>151</v>
      </c>
      <c r="EG325" s="32" t="s">
        <v>151</v>
      </c>
      <c r="EH325" s="29" t="s">
        <v>198</v>
      </c>
      <c r="EI325" s="30" t="s">
        <v>151</v>
      </c>
      <c r="EJ325" s="30" t="s">
        <v>151</v>
      </c>
      <c r="EK325" s="31" t="s">
        <v>151</v>
      </c>
      <c r="EL325" s="31" t="s">
        <v>151</v>
      </c>
      <c r="EM325" s="31" t="s">
        <v>151</v>
      </c>
      <c r="EN325" s="31" t="s">
        <v>151</v>
      </c>
      <c r="EO325" s="31" t="s">
        <v>151</v>
      </c>
      <c r="EP325" s="30" t="s">
        <v>151</v>
      </c>
      <c r="EQ325" s="29" t="s">
        <v>151</v>
      </c>
      <c r="ER325" s="29" t="s">
        <v>151</v>
      </c>
      <c r="ES325" s="4">
        <f>HYPERLINK("https://my.pitchbook.com?c=519783-94","View Company Online")</f>
      </c>
    </row>
    <row r="326">
      <c r="A326" s="17" t="s">
        <v>7126</v>
      </c>
      <c r="B326" s="17" t="s">
        <v>7127</v>
      </c>
      <c r="C326" s="18" t="s">
        <v>151</v>
      </c>
      <c r="D326" s="17" t="s">
        <v>151</v>
      </c>
      <c r="E326" s="17" t="s">
        <v>151</v>
      </c>
      <c r="F326" s="17" t="s">
        <v>7128</v>
      </c>
      <c r="G326" s="17" t="s">
        <v>151</v>
      </c>
      <c r="H326" s="17" t="s">
        <v>151</v>
      </c>
      <c r="I326" s="17" t="s">
        <v>151</v>
      </c>
      <c r="J326" s="17" t="s">
        <v>7126</v>
      </c>
      <c r="K326" s="17" t="s">
        <v>7129</v>
      </c>
      <c r="L326" s="17" t="s">
        <v>155</v>
      </c>
      <c r="M326" s="17" t="s">
        <v>2320</v>
      </c>
      <c r="N326" s="17" t="s">
        <v>2321</v>
      </c>
      <c r="O326" s="17" t="s">
        <v>7130</v>
      </c>
      <c r="P326" s="17" t="s">
        <v>151</v>
      </c>
      <c r="Q326" s="17" t="s">
        <v>7131</v>
      </c>
      <c r="R326" s="17" t="s">
        <v>151</v>
      </c>
      <c r="S326" s="17" t="s">
        <v>162</v>
      </c>
      <c r="T326" s="24">
        <v>25</v>
      </c>
      <c r="U326" s="17" t="s">
        <v>163</v>
      </c>
      <c r="V326" s="17" t="s">
        <v>164</v>
      </c>
      <c r="W326" s="17" t="s">
        <v>165</v>
      </c>
      <c r="X326" s="15" t="s">
        <v>7132</v>
      </c>
      <c r="Y326" s="15" t="s">
        <v>7133</v>
      </c>
      <c r="Z326" s="27">
        <v>16</v>
      </c>
      <c r="AA326" s="17" t="s">
        <v>7134</v>
      </c>
      <c r="AB326" s="17" t="s">
        <v>151</v>
      </c>
      <c r="AC326" s="17" t="s">
        <v>151</v>
      </c>
      <c r="AD326" s="26">
        <v>2022</v>
      </c>
      <c r="AE326" s="17" t="s">
        <v>151</v>
      </c>
      <c r="AF326" s="22">
        <v>45596</v>
      </c>
      <c r="AG326" s="17" t="s">
        <v>151</v>
      </c>
      <c r="AH326" s="17" t="s">
        <v>151</v>
      </c>
      <c r="AI326" s="25" t="s">
        <v>151</v>
      </c>
      <c r="AJ326" s="19" t="s">
        <v>151</v>
      </c>
      <c r="AK326" s="25" t="s">
        <v>151</v>
      </c>
      <c r="AL326" s="25" t="s">
        <v>151</v>
      </c>
      <c r="AM326" s="25" t="s">
        <v>151</v>
      </c>
      <c r="AN326" s="25" t="s">
        <v>151</v>
      </c>
      <c r="AO326" s="25" t="s">
        <v>151</v>
      </c>
      <c r="AP326" s="25" t="s">
        <v>151</v>
      </c>
      <c r="AQ326" s="25" t="s">
        <v>151</v>
      </c>
      <c r="AR326" s="16" t="s">
        <v>151</v>
      </c>
      <c r="AS326" s="17" t="s">
        <v>7135</v>
      </c>
      <c r="AT326" s="17" t="s">
        <v>7136</v>
      </c>
      <c r="AU326" s="18">
        <v>14</v>
      </c>
      <c r="AV326" s="17" t="s">
        <v>151</v>
      </c>
      <c r="AW326" s="17" t="s">
        <v>151</v>
      </c>
      <c r="AX326" s="17" t="s">
        <v>151</v>
      </c>
      <c r="AY326" s="17" t="s">
        <v>7137</v>
      </c>
      <c r="AZ326" s="17" t="s">
        <v>151</v>
      </c>
      <c r="BA326" s="17" t="s">
        <v>151</v>
      </c>
      <c r="BB326" s="17" t="s">
        <v>151</v>
      </c>
      <c r="BC326" s="17" t="s">
        <v>1115</v>
      </c>
      <c r="BD326" s="17" t="s">
        <v>7138</v>
      </c>
      <c r="BE326" s="17" t="s">
        <v>7139</v>
      </c>
      <c r="BF326" s="17" t="s">
        <v>221</v>
      </c>
      <c r="BG326" s="17" t="s">
        <v>7140</v>
      </c>
      <c r="BH326" s="17" t="s">
        <v>7141</v>
      </c>
      <c r="BI326" s="17" t="s">
        <v>433</v>
      </c>
      <c r="BJ326" s="17" t="s">
        <v>151</v>
      </c>
      <c r="BK326" s="17" t="s">
        <v>151</v>
      </c>
      <c r="BL326" s="17" t="s">
        <v>436</v>
      </c>
      <c r="BM326" s="17" t="s">
        <v>184</v>
      </c>
      <c r="BN326" s="16" t="s">
        <v>151</v>
      </c>
      <c r="BO326" s="17" t="s">
        <v>186</v>
      </c>
      <c r="BP326" s="16" t="s">
        <v>151</v>
      </c>
      <c r="BQ326" s="16" t="s">
        <v>151</v>
      </c>
      <c r="BR326" s="17" t="s">
        <v>7142</v>
      </c>
      <c r="BS326" s="17" t="s">
        <v>187</v>
      </c>
      <c r="BT326" s="17" t="s">
        <v>188</v>
      </c>
      <c r="BU326" s="22">
        <v>44691</v>
      </c>
      <c r="BV326" s="24">
        <v>25</v>
      </c>
      <c r="BW326" s="17" t="s">
        <v>192</v>
      </c>
      <c r="BX326" s="24" t="s">
        <v>151</v>
      </c>
      <c r="BY326" s="17" t="s">
        <v>151</v>
      </c>
      <c r="BZ326" s="17" t="s">
        <v>293</v>
      </c>
      <c r="CA326" s="17" t="s">
        <v>293</v>
      </c>
      <c r="CB326" s="17" t="s">
        <v>151</v>
      </c>
      <c r="CC326" s="17" t="s">
        <v>165</v>
      </c>
      <c r="CD326" s="17" t="s">
        <v>151</v>
      </c>
      <c r="CE326" s="17" t="s">
        <v>191</v>
      </c>
      <c r="CF326" s="22">
        <v>44691</v>
      </c>
      <c r="CG326" s="24">
        <v>25</v>
      </c>
      <c r="CH326" s="17" t="s">
        <v>192</v>
      </c>
      <c r="CI326" s="24" t="s">
        <v>151</v>
      </c>
      <c r="CJ326" s="17" t="s">
        <v>151</v>
      </c>
      <c r="CK326" s="16" t="s">
        <v>151</v>
      </c>
      <c r="CL326" s="17" t="s">
        <v>293</v>
      </c>
      <c r="CM326" s="17" t="s">
        <v>293</v>
      </c>
      <c r="CN326" s="17" t="s">
        <v>151</v>
      </c>
      <c r="CO326" s="17" t="s">
        <v>165</v>
      </c>
      <c r="CP326" s="22">
        <v>44691</v>
      </c>
      <c r="CQ326" s="24" t="s">
        <v>151</v>
      </c>
      <c r="CR326" s="17" t="s">
        <v>151</v>
      </c>
      <c r="CS326" s="17" t="s">
        <v>191</v>
      </c>
      <c r="CT326" s="16" t="s">
        <v>151</v>
      </c>
      <c r="CU326" s="17" t="s">
        <v>151</v>
      </c>
      <c r="CV326" s="19" t="s">
        <v>151</v>
      </c>
      <c r="CW326" s="19" t="s">
        <v>151</v>
      </c>
      <c r="CX326" s="17" t="s">
        <v>151</v>
      </c>
      <c r="CY326" s="19" t="s">
        <v>151</v>
      </c>
      <c r="CZ326" s="19" t="s">
        <v>151</v>
      </c>
      <c r="DA326" s="24" t="s">
        <v>151</v>
      </c>
      <c r="DB326" s="22" t="s">
        <v>151</v>
      </c>
      <c r="DC326" s="17" t="s">
        <v>151</v>
      </c>
      <c r="DD326" s="16" t="s">
        <v>151</v>
      </c>
      <c r="DE326" s="19">
        <v>0.45</v>
      </c>
      <c r="DF326" s="21">
        <v>94</v>
      </c>
      <c r="DG326" s="19">
        <v>0</v>
      </c>
      <c r="DH326" s="19">
        <v>0</v>
      </c>
      <c r="DI326" s="19">
        <v>0.91</v>
      </c>
      <c r="DJ326" s="21">
        <v>96</v>
      </c>
      <c r="DK326" s="19" t="s">
        <v>151</v>
      </c>
      <c r="DL326" s="21" t="s">
        <v>151</v>
      </c>
      <c r="DM326" s="19">
        <v>0.91</v>
      </c>
      <c r="DN326" s="21">
        <v>96</v>
      </c>
      <c r="DO326" s="23">
        <v>4.77</v>
      </c>
      <c r="DP326" s="21">
        <v>82</v>
      </c>
      <c r="DQ326" s="23">
        <v>0</v>
      </c>
      <c r="DR326" s="19">
        <v>0</v>
      </c>
      <c r="DS326" s="23">
        <v>8.32</v>
      </c>
      <c r="DT326" s="21">
        <v>88</v>
      </c>
      <c r="DU326" s="23" t="s">
        <v>151</v>
      </c>
      <c r="DV326" s="21" t="s">
        <v>151</v>
      </c>
      <c r="DW326" s="23">
        <v>8.32</v>
      </c>
      <c r="DX326" s="21">
        <v>88</v>
      </c>
      <c r="DY326" s="18" t="s">
        <v>151</v>
      </c>
      <c r="DZ326" s="22" t="s">
        <v>151</v>
      </c>
      <c r="EA326" s="22" t="s">
        <v>151</v>
      </c>
      <c r="EB326" s="21">
        <v>1904</v>
      </c>
      <c r="EC326" s="20">
        <v>-15</v>
      </c>
      <c r="ED326" s="19">
        <v>-0.78</v>
      </c>
      <c r="EE326" s="21">
        <v>158</v>
      </c>
      <c r="EF326" s="20">
        <v>1</v>
      </c>
      <c r="EG326" s="19">
        <v>0.64</v>
      </c>
      <c r="EH326" s="16" t="s">
        <v>198</v>
      </c>
      <c r="EI326" s="17" t="s">
        <v>151</v>
      </c>
      <c r="EJ326" s="17" t="s">
        <v>151</v>
      </c>
      <c r="EK326" s="18" t="s">
        <v>151</v>
      </c>
      <c r="EL326" s="18" t="s">
        <v>151</v>
      </c>
      <c r="EM326" s="18" t="s">
        <v>151</v>
      </c>
      <c r="EN326" s="18" t="s">
        <v>151</v>
      </c>
      <c r="EO326" s="18" t="s">
        <v>151</v>
      </c>
      <c r="EP326" s="17" t="s">
        <v>151</v>
      </c>
      <c r="EQ326" s="16" t="s">
        <v>151</v>
      </c>
      <c r="ER326" s="16" t="s">
        <v>151</v>
      </c>
      <c r="ES326" s="3">
        <f>HYPERLINK("https://my.pitchbook.com?c=496348-03","View Company Online")</f>
      </c>
    </row>
    <row r="327">
      <c r="A327" s="30" t="s">
        <v>7143</v>
      </c>
      <c r="B327" s="30" t="s">
        <v>7144</v>
      </c>
      <c r="C327" s="31" t="s">
        <v>151</v>
      </c>
      <c r="D327" s="30" t="s">
        <v>151</v>
      </c>
      <c r="E327" s="30" t="s">
        <v>7145</v>
      </c>
      <c r="F327" s="30" t="s">
        <v>7146</v>
      </c>
      <c r="G327" s="30" t="s">
        <v>151</v>
      </c>
      <c r="H327" s="30" t="s">
        <v>151</v>
      </c>
      <c r="I327" s="30" t="s">
        <v>151</v>
      </c>
      <c r="J327" s="30" t="s">
        <v>7143</v>
      </c>
      <c r="K327" s="30" t="s">
        <v>7147</v>
      </c>
      <c r="L327" s="30" t="s">
        <v>205</v>
      </c>
      <c r="M327" s="30" t="s">
        <v>206</v>
      </c>
      <c r="N327" s="30" t="s">
        <v>1268</v>
      </c>
      <c r="O327" s="30" t="s">
        <v>1269</v>
      </c>
      <c r="P327" s="30" t="s">
        <v>892</v>
      </c>
      <c r="Q327" s="30" t="s">
        <v>7148</v>
      </c>
      <c r="R327" s="30" t="s">
        <v>151</v>
      </c>
      <c r="S327" s="30" t="s">
        <v>162</v>
      </c>
      <c r="T327" s="37">
        <v>4</v>
      </c>
      <c r="U327" s="30" t="s">
        <v>163</v>
      </c>
      <c r="V327" s="30" t="s">
        <v>164</v>
      </c>
      <c r="W327" s="30" t="s">
        <v>165</v>
      </c>
      <c r="X327" s="28" t="s">
        <v>7149</v>
      </c>
      <c r="Y327" s="28" t="s">
        <v>7150</v>
      </c>
      <c r="Z327" s="40">
        <v>12</v>
      </c>
      <c r="AA327" s="30" t="s">
        <v>7151</v>
      </c>
      <c r="AB327" s="30" t="s">
        <v>151</v>
      </c>
      <c r="AC327" s="30" t="s">
        <v>151</v>
      </c>
      <c r="AD327" s="39">
        <v>2019</v>
      </c>
      <c r="AE327" s="30" t="s">
        <v>151</v>
      </c>
      <c r="AF327" s="35">
        <v>45468</v>
      </c>
      <c r="AG327" s="30" t="s">
        <v>151</v>
      </c>
      <c r="AH327" s="30" t="s">
        <v>151</v>
      </c>
      <c r="AI327" s="38" t="s">
        <v>151</v>
      </c>
      <c r="AJ327" s="32" t="s">
        <v>151</v>
      </c>
      <c r="AK327" s="38" t="s">
        <v>151</v>
      </c>
      <c r="AL327" s="38" t="s">
        <v>151</v>
      </c>
      <c r="AM327" s="38" t="s">
        <v>151</v>
      </c>
      <c r="AN327" s="38" t="s">
        <v>151</v>
      </c>
      <c r="AO327" s="38" t="s">
        <v>151</v>
      </c>
      <c r="AP327" s="38" t="s">
        <v>151</v>
      </c>
      <c r="AQ327" s="38" t="s">
        <v>151</v>
      </c>
      <c r="AR327" s="29" t="s">
        <v>151</v>
      </c>
      <c r="AS327" s="30" t="s">
        <v>7152</v>
      </c>
      <c r="AT327" s="30" t="s">
        <v>7153</v>
      </c>
      <c r="AU327" s="31">
        <v>2</v>
      </c>
      <c r="AV327" s="30" t="s">
        <v>151</v>
      </c>
      <c r="AW327" s="30" t="s">
        <v>151</v>
      </c>
      <c r="AX327" s="30" t="s">
        <v>151</v>
      </c>
      <c r="AY327" s="30" t="s">
        <v>7154</v>
      </c>
      <c r="AZ327" s="30" t="s">
        <v>151</v>
      </c>
      <c r="BA327" s="30" t="s">
        <v>151</v>
      </c>
      <c r="BB327" s="30" t="s">
        <v>151</v>
      </c>
      <c r="BC327" s="30" t="s">
        <v>151</v>
      </c>
      <c r="BD327" s="30" t="s">
        <v>7155</v>
      </c>
      <c r="BE327" s="30" t="s">
        <v>7156</v>
      </c>
      <c r="BF327" s="30" t="s">
        <v>2427</v>
      </c>
      <c r="BG327" s="30" t="s">
        <v>151</v>
      </c>
      <c r="BH327" s="30" t="s">
        <v>151</v>
      </c>
      <c r="BI327" s="30" t="s">
        <v>2720</v>
      </c>
      <c r="BJ327" s="30" t="s">
        <v>7157</v>
      </c>
      <c r="BK327" s="30" t="s">
        <v>7158</v>
      </c>
      <c r="BL327" s="30" t="s">
        <v>2722</v>
      </c>
      <c r="BM327" s="30" t="s">
        <v>184</v>
      </c>
      <c r="BN327" s="29" t="s">
        <v>2723</v>
      </c>
      <c r="BO327" s="30" t="s">
        <v>186</v>
      </c>
      <c r="BP327" s="29" t="s">
        <v>151</v>
      </c>
      <c r="BQ327" s="29" t="s">
        <v>151</v>
      </c>
      <c r="BR327" s="30" t="s">
        <v>7159</v>
      </c>
      <c r="BS327" s="30" t="s">
        <v>187</v>
      </c>
      <c r="BT327" s="30" t="s">
        <v>188</v>
      </c>
      <c r="BU327" s="35">
        <v>44837</v>
      </c>
      <c r="BV327" s="37">
        <v>4</v>
      </c>
      <c r="BW327" s="30" t="s">
        <v>193</v>
      </c>
      <c r="BX327" s="37">
        <v>14</v>
      </c>
      <c r="BY327" s="30" t="s">
        <v>192</v>
      </c>
      <c r="BZ327" s="30" t="s">
        <v>293</v>
      </c>
      <c r="CA327" s="30" t="s">
        <v>293</v>
      </c>
      <c r="CB327" s="30" t="s">
        <v>151</v>
      </c>
      <c r="CC327" s="30" t="s">
        <v>165</v>
      </c>
      <c r="CD327" s="30" t="s">
        <v>151</v>
      </c>
      <c r="CE327" s="30" t="s">
        <v>191</v>
      </c>
      <c r="CF327" s="35">
        <v>44837</v>
      </c>
      <c r="CG327" s="37">
        <v>4</v>
      </c>
      <c r="CH327" s="30" t="s">
        <v>193</v>
      </c>
      <c r="CI327" s="37">
        <v>14</v>
      </c>
      <c r="CJ327" s="30" t="s">
        <v>192</v>
      </c>
      <c r="CK327" s="29" t="s">
        <v>151</v>
      </c>
      <c r="CL327" s="30" t="s">
        <v>293</v>
      </c>
      <c r="CM327" s="30" t="s">
        <v>293</v>
      </c>
      <c r="CN327" s="30" t="s">
        <v>151</v>
      </c>
      <c r="CO327" s="30" t="s">
        <v>165</v>
      </c>
      <c r="CP327" s="35">
        <v>44837</v>
      </c>
      <c r="CQ327" s="37" t="s">
        <v>151</v>
      </c>
      <c r="CR327" s="30" t="s">
        <v>151</v>
      </c>
      <c r="CS327" s="30" t="s">
        <v>191</v>
      </c>
      <c r="CT327" s="29" t="s">
        <v>151</v>
      </c>
      <c r="CU327" s="30" t="s">
        <v>151</v>
      </c>
      <c r="CV327" s="32" t="s">
        <v>151</v>
      </c>
      <c r="CW327" s="32" t="s">
        <v>151</v>
      </c>
      <c r="CX327" s="30" t="s">
        <v>151</v>
      </c>
      <c r="CY327" s="32" t="s">
        <v>151</v>
      </c>
      <c r="CZ327" s="32" t="s">
        <v>151</v>
      </c>
      <c r="DA327" s="37">
        <v>14</v>
      </c>
      <c r="DB327" s="35">
        <v>44837</v>
      </c>
      <c r="DC327" s="30" t="s">
        <v>293</v>
      </c>
      <c r="DD327" s="29" t="s">
        <v>151</v>
      </c>
      <c r="DE327" s="32">
        <v>-0.48</v>
      </c>
      <c r="DF327" s="34">
        <v>7</v>
      </c>
      <c r="DG327" s="32">
        <v>0</v>
      </c>
      <c r="DH327" s="32">
        <v>0</v>
      </c>
      <c r="DI327" s="32">
        <v>0</v>
      </c>
      <c r="DJ327" s="34">
        <v>10</v>
      </c>
      <c r="DK327" s="32" t="s">
        <v>151</v>
      </c>
      <c r="DL327" s="34" t="s">
        <v>151</v>
      </c>
      <c r="DM327" s="32">
        <v>0</v>
      </c>
      <c r="DN327" s="34">
        <v>10</v>
      </c>
      <c r="DO327" s="36">
        <v>1.01</v>
      </c>
      <c r="DP327" s="34">
        <v>51</v>
      </c>
      <c r="DQ327" s="36">
        <v>0</v>
      </c>
      <c r="DR327" s="32">
        <v>0</v>
      </c>
      <c r="DS327" s="36">
        <v>1.11</v>
      </c>
      <c r="DT327" s="34">
        <v>52</v>
      </c>
      <c r="DU327" s="36" t="s">
        <v>151</v>
      </c>
      <c r="DV327" s="34" t="s">
        <v>151</v>
      </c>
      <c r="DW327" s="36">
        <v>1.11</v>
      </c>
      <c r="DX327" s="34">
        <v>52</v>
      </c>
      <c r="DY327" s="31" t="s">
        <v>151</v>
      </c>
      <c r="DZ327" s="35" t="s">
        <v>151</v>
      </c>
      <c r="EA327" s="35" t="s">
        <v>151</v>
      </c>
      <c r="EB327" s="34">
        <v>151</v>
      </c>
      <c r="EC327" s="33">
        <v>51</v>
      </c>
      <c r="ED327" s="32">
        <v>51</v>
      </c>
      <c r="EE327" s="34">
        <v>21</v>
      </c>
      <c r="EF327" s="33">
        <v>0</v>
      </c>
      <c r="EG327" s="32">
        <v>0</v>
      </c>
      <c r="EH327" s="29" t="s">
        <v>198</v>
      </c>
      <c r="EI327" s="30" t="s">
        <v>151</v>
      </c>
      <c r="EJ327" s="30" t="s">
        <v>151</v>
      </c>
      <c r="EK327" s="31" t="s">
        <v>151</v>
      </c>
      <c r="EL327" s="31" t="s">
        <v>151</v>
      </c>
      <c r="EM327" s="31" t="s">
        <v>151</v>
      </c>
      <c r="EN327" s="31" t="s">
        <v>151</v>
      </c>
      <c r="EO327" s="31" t="s">
        <v>151</v>
      </c>
      <c r="EP327" s="30" t="s">
        <v>151</v>
      </c>
      <c r="EQ327" s="29" t="s">
        <v>151</v>
      </c>
      <c r="ER327" s="29" t="s">
        <v>151</v>
      </c>
      <c r="ES327" s="4">
        <f>HYPERLINK("https://my.pitchbook.com?c=509508-55","View Company Online")</f>
      </c>
    </row>
    <row r="328">
      <c r="A328" s="17" t="s">
        <v>7160</v>
      </c>
      <c r="B328" s="17" t="s">
        <v>7161</v>
      </c>
      <c r="C328" s="18" t="s">
        <v>151</v>
      </c>
      <c r="D328" s="17" t="s">
        <v>151</v>
      </c>
      <c r="E328" s="17" t="s">
        <v>7162</v>
      </c>
      <c r="F328" s="17" t="s">
        <v>7163</v>
      </c>
      <c r="G328" s="17" t="s">
        <v>151</v>
      </c>
      <c r="H328" s="17" t="s">
        <v>151</v>
      </c>
      <c r="I328" s="17" t="s">
        <v>151</v>
      </c>
      <c r="J328" s="17" t="s">
        <v>7160</v>
      </c>
      <c r="K328" s="17" t="s">
        <v>7164</v>
      </c>
      <c r="L328" s="17" t="s">
        <v>205</v>
      </c>
      <c r="M328" s="17" t="s">
        <v>206</v>
      </c>
      <c r="N328" s="17" t="s">
        <v>269</v>
      </c>
      <c r="O328" s="17" t="s">
        <v>4805</v>
      </c>
      <c r="P328" s="17" t="s">
        <v>1652</v>
      </c>
      <c r="Q328" s="17" t="s">
        <v>7165</v>
      </c>
      <c r="R328" s="17" t="s">
        <v>151</v>
      </c>
      <c r="S328" s="17" t="s">
        <v>162</v>
      </c>
      <c r="T328" s="24">
        <v>26</v>
      </c>
      <c r="U328" s="17" t="s">
        <v>163</v>
      </c>
      <c r="V328" s="17" t="s">
        <v>164</v>
      </c>
      <c r="W328" s="17" t="s">
        <v>165</v>
      </c>
      <c r="X328" s="15" t="s">
        <v>7166</v>
      </c>
      <c r="Y328" s="15" t="s">
        <v>7167</v>
      </c>
      <c r="Z328" s="27">
        <v>157</v>
      </c>
      <c r="AA328" s="17" t="s">
        <v>7168</v>
      </c>
      <c r="AB328" s="17" t="s">
        <v>151</v>
      </c>
      <c r="AC328" s="17" t="s">
        <v>151</v>
      </c>
      <c r="AD328" s="26">
        <v>2020</v>
      </c>
      <c r="AE328" s="17" t="s">
        <v>151</v>
      </c>
      <c r="AF328" s="22">
        <v>45616</v>
      </c>
      <c r="AG328" s="17" t="s">
        <v>151</v>
      </c>
      <c r="AH328" s="17" t="s">
        <v>151</v>
      </c>
      <c r="AI328" s="25" t="s">
        <v>151</v>
      </c>
      <c r="AJ328" s="19" t="s">
        <v>151</v>
      </c>
      <c r="AK328" s="25" t="s">
        <v>151</v>
      </c>
      <c r="AL328" s="25" t="s">
        <v>151</v>
      </c>
      <c r="AM328" s="25" t="s">
        <v>151</v>
      </c>
      <c r="AN328" s="25" t="s">
        <v>151</v>
      </c>
      <c r="AO328" s="25" t="s">
        <v>151</v>
      </c>
      <c r="AP328" s="25" t="s">
        <v>151</v>
      </c>
      <c r="AQ328" s="25" t="s">
        <v>151</v>
      </c>
      <c r="AR328" s="16" t="s">
        <v>151</v>
      </c>
      <c r="AS328" s="17" t="s">
        <v>7169</v>
      </c>
      <c r="AT328" s="17" t="s">
        <v>7170</v>
      </c>
      <c r="AU328" s="18">
        <v>11</v>
      </c>
      <c r="AV328" s="17" t="s">
        <v>151</v>
      </c>
      <c r="AW328" s="17" t="s">
        <v>151</v>
      </c>
      <c r="AX328" s="17" t="s">
        <v>151</v>
      </c>
      <c r="AY328" s="17" t="s">
        <v>7171</v>
      </c>
      <c r="AZ328" s="17" t="s">
        <v>151</v>
      </c>
      <c r="BA328" s="17" t="s">
        <v>151</v>
      </c>
      <c r="BB328" s="17" t="s">
        <v>151</v>
      </c>
      <c r="BC328" s="17" t="s">
        <v>1115</v>
      </c>
      <c r="BD328" s="17" t="s">
        <v>7172</v>
      </c>
      <c r="BE328" s="17" t="s">
        <v>7173</v>
      </c>
      <c r="BF328" s="17" t="s">
        <v>221</v>
      </c>
      <c r="BG328" s="17" t="s">
        <v>7174</v>
      </c>
      <c r="BH328" s="17" t="s">
        <v>7175</v>
      </c>
      <c r="BI328" s="17" t="s">
        <v>764</v>
      </c>
      <c r="BJ328" s="17" t="s">
        <v>7176</v>
      </c>
      <c r="BK328" s="17" t="s">
        <v>7177</v>
      </c>
      <c r="BL328" s="17" t="s">
        <v>767</v>
      </c>
      <c r="BM328" s="17" t="s">
        <v>184</v>
      </c>
      <c r="BN328" s="16" t="s">
        <v>7178</v>
      </c>
      <c r="BO328" s="17" t="s">
        <v>186</v>
      </c>
      <c r="BP328" s="16" t="s">
        <v>7175</v>
      </c>
      <c r="BQ328" s="16" t="s">
        <v>151</v>
      </c>
      <c r="BR328" s="17" t="s">
        <v>7179</v>
      </c>
      <c r="BS328" s="17" t="s">
        <v>187</v>
      </c>
      <c r="BT328" s="17" t="s">
        <v>188</v>
      </c>
      <c r="BU328" s="22">
        <v>44166</v>
      </c>
      <c r="BV328" s="24">
        <v>5.5</v>
      </c>
      <c r="BW328" s="17" t="s">
        <v>192</v>
      </c>
      <c r="BX328" s="24">
        <v>31.5</v>
      </c>
      <c r="BY328" s="17" t="s">
        <v>192</v>
      </c>
      <c r="BZ328" s="17" t="s">
        <v>293</v>
      </c>
      <c r="CA328" s="17" t="s">
        <v>293</v>
      </c>
      <c r="CB328" s="17" t="s">
        <v>151</v>
      </c>
      <c r="CC328" s="17" t="s">
        <v>165</v>
      </c>
      <c r="CD328" s="17" t="s">
        <v>151</v>
      </c>
      <c r="CE328" s="17" t="s">
        <v>191</v>
      </c>
      <c r="CF328" s="22">
        <v>45202</v>
      </c>
      <c r="CG328" s="24" t="s">
        <v>151</v>
      </c>
      <c r="CH328" s="17" t="s">
        <v>151</v>
      </c>
      <c r="CI328" s="24" t="s">
        <v>151</v>
      </c>
      <c r="CJ328" s="17" t="s">
        <v>151</v>
      </c>
      <c r="CK328" s="16" t="s">
        <v>151</v>
      </c>
      <c r="CL328" s="17" t="s">
        <v>231</v>
      </c>
      <c r="CM328" s="17" t="s">
        <v>151</v>
      </c>
      <c r="CN328" s="17" t="s">
        <v>151</v>
      </c>
      <c r="CO328" s="17" t="s">
        <v>385</v>
      </c>
      <c r="CP328" s="22">
        <v>45202</v>
      </c>
      <c r="CQ328" s="24" t="s">
        <v>151</v>
      </c>
      <c r="CR328" s="17" t="s">
        <v>151</v>
      </c>
      <c r="CS328" s="17" t="s">
        <v>191</v>
      </c>
      <c r="CT328" s="16">
        <v>86</v>
      </c>
      <c r="CU328" s="17" t="s">
        <v>196</v>
      </c>
      <c r="CV328" s="19">
        <v>78</v>
      </c>
      <c r="CW328" s="19">
        <v>22</v>
      </c>
      <c r="CX328" s="17" t="s">
        <v>294</v>
      </c>
      <c r="CY328" s="19">
        <v>1</v>
      </c>
      <c r="CZ328" s="19">
        <v>77</v>
      </c>
      <c r="DA328" s="24">
        <v>170</v>
      </c>
      <c r="DB328" s="22">
        <v>44468</v>
      </c>
      <c r="DC328" s="17" t="s">
        <v>231</v>
      </c>
      <c r="DD328" s="16">
        <v>4.76</v>
      </c>
      <c r="DE328" s="19">
        <v>0.91</v>
      </c>
      <c r="DF328" s="21">
        <v>96</v>
      </c>
      <c r="DG328" s="19">
        <v>0</v>
      </c>
      <c r="DH328" s="19">
        <v>0</v>
      </c>
      <c r="DI328" s="19">
        <v>-1.33</v>
      </c>
      <c r="DJ328" s="21">
        <v>3</v>
      </c>
      <c r="DK328" s="19" t="s">
        <v>151</v>
      </c>
      <c r="DL328" s="21" t="s">
        <v>151</v>
      </c>
      <c r="DM328" s="19">
        <v>-1.33</v>
      </c>
      <c r="DN328" s="21">
        <v>3</v>
      </c>
      <c r="DO328" s="23">
        <v>18.17</v>
      </c>
      <c r="DP328" s="21">
        <v>94</v>
      </c>
      <c r="DQ328" s="23">
        <v>0</v>
      </c>
      <c r="DR328" s="19">
        <v>0</v>
      </c>
      <c r="DS328" s="23">
        <v>24.26</v>
      </c>
      <c r="DT328" s="21">
        <v>96</v>
      </c>
      <c r="DU328" s="23" t="s">
        <v>151</v>
      </c>
      <c r="DV328" s="21" t="s">
        <v>151</v>
      </c>
      <c r="DW328" s="23">
        <v>24.26</v>
      </c>
      <c r="DX328" s="21">
        <v>96</v>
      </c>
      <c r="DY328" s="18" t="s">
        <v>151</v>
      </c>
      <c r="DZ328" s="22" t="s">
        <v>151</v>
      </c>
      <c r="EA328" s="22" t="s">
        <v>151</v>
      </c>
      <c r="EB328" s="21">
        <v>2937</v>
      </c>
      <c r="EC328" s="20">
        <v>7</v>
      </c>
      <c r="ED328" s="19">
        <v>0.24</v>
      </c>
      <c r="EE328" s="21">
        <v>461</v>
      </c>
      <c r="EF328" s="20">
        <v>-4</v>
      </c>
      <c r="EG328" s="19">
        <v>-0.86</v>
      </c>
      <c r="EH328" s="16" t="s">
        <v>198</v>
      </c>
      <c r="EI328" s="17" t="s">
        <v>151</v>
      </c>
      <c r="EJ328" s="17" t="s">
        <v>151</v>
      </c>
      <c r="EK328" s="18" t="s">
        <v>151</v>
      </c>
      <c r="EL328" s="18" t="s">
        <v>151</v>
      </c>
      <c r="EM328" s="18" t="s">
        <v>151</v>
      </c>
      <c r="EN328" s="18" t="s">
        <v>151</v>
      </c>
      <c r="EO328" s="18" t="s">
        <v>151</v>
      </c>
      <c r="EP328" s="17" t="s">
        <v>151</v>
      </c>
      <c r="EQ328" s="16" t="s">
        <v>151</v>
      </c>
      <c r="ER328" s="16" t="s">
        <v>151</v>
      </c>
      <c r="ES328" s="3">
        <f>HYPERLINK("https://my.pitchbook.com?c=459104-41","View Company Online")</f>
      </c>
    </row>
    <row r="329">
      <c r="A329" s="30" t="s">
        <v>7180</v>
      </c>
      <c r="B329" s="30" t="s">
        <v>7181</v>
      </c>
      <c r="C329" s="31" t="s">
        <v>151</v>
      </c>
      <c r="D329" s="30" t="s">
        <v>7182</v>
      </c>
      <c r="E329" s="30" t="s">
        <v>151</v>
      </c>
      <c r="F329" s="30" t="s">
        <v>7183</v>
      </c>
      <c r="G329" s="30" t="s">
        <v>151</v>
      </c>
      <c r="H329" s="30" t="s">
        <v>151</v>
      </c>
      <c r="I329" s="30" t="s">
        <v>7184</v>
      </c>
      <c r="J329" s="30" t="s">
        <v>7180</v>
      </c>
      <c r="K329" s="30" t="s">
        <v>7185</v>
      </c>
      <c r="L329" s="30" t="s">
        <v>155</v>
      </c>
      <c r="M329" s="30" t="s">
        <v>361</v>
      </c>
      <c r="N329" s="30" t="s">
        <v>362</v>
      </c>
      <c r="O329" s="30" t="s">
        <v>363</v>
      </c>
      <c r="P329" s="30" t="s">
        <v>2174</v>
      </c>
      <c r="Q329" s="30" t="s">
        <v>7186</v>
      </c>
      <c r="R329" s="30" t="s">
        <v>151</v>
      </c>
      <c r="S329" s="30" t="s">
        <v>162</v>
      </c>
      <c r="T329" s="37">
        <v>1.02</v>
      </c>
      <c r="U329" s="30" t="s">
        <v>163</v>
      </c>
      <c r="V329" s="30" t="s">
        <v>164</v>
      </c>
      <c r="W329" s="30" t="s">
        <v>165</v>
      </c>
      <c r="X329" s="28" t="s">
        <v>7187</v>
      </c>
      <c r="Y329" s="28" t="s">
        <v>7188</v>
      </c>
      <c r="Z329" s="40">
        <v>21</v>
      </c>
      <c r="AA329" s="30" t="s">
        <v>7189</v>
      </c>
      <c r="AB329" s="30" t="s">
        <v>151</v>
      </c>
      <c r="AC329" s="30" t="s">
        <v>151</v>
      </c>
      <c r="AD329" s="39">
        <v>2018</v>
      </c>
      <c r="AE329" s="30" t="s">
        <v>151</v>
      </c>
      <c r="AF329" s="35">
        <v>45470</v>
      </c>
      <c r="AG329" s="30" t="s">
        <v>151</v>
      </c>
      <c r="AH329" s="30" t="s">
        <v>151</v>
      </c>
      <c r="AI329" s="38">
        <v>0.07</v>
      </c>
      <c r="AJ329" s="32" t="s">
        <v>151</v>
      </c>
      <c r="AK329" s="38" t="s">
        <v>151</v>
      </c>
      <c r="AL329" s="38" t="s">
        <v>151</v>
      </c>
      <c r="AM329" s="38" t="s">
        <v>151</v>
      </c>
      <c r="AN329" s="38" t="s">
        <v>151</v>
      </c>
      <c r="AO329" s="38" t="s">
        <v>151</v>
      </c>
      <c r="AP329" s="38" t="s">
        <v>151</v>
      </c>
      <c r="AQ329" s="38" t="s">
        <v>151</v>
      </c>
      <c r="AR329" s="29" t="s">
        <v>7190</v>
      </c>
      <c r="AS329" s="30" t="s">
        <v>7191</v>
      </c>
      <c r="AT329" s="30" t="s">
        <v>7192</v>
      </c>
      <c r="AU329" s="31">
        <v>4</v>
      </c>
      <c r="AV329" s="30" t="s">
        <v>151</v>
      </c>
      <c r="AW329" s="30" t="s">
        <v>151</v>
      </c>
      <c r="AX329" s="30" t="s">
        <v>151</v>
      </c>
      <c r="AY329" s="30" t="s">
        <v>7193</v>
      </c>
      <c r="AZ329" s="30" t="s">
        <v>151</v>
      </c>
      <c r="BA329" s="30" t="s">
        <v>151</v>
      </c>
      <c r="BB329" s="30" t="s">
        <v>151</v>
      </c>
      <c r="BC329" s="30" t="s">
        <v>6678</v>
      </c>
      <c r="BD329" s="30" t="s">
        <v>7194</v>
      </c>
      <c r="BE329" s="30" t="s">
        <v>7195</v>
      </c>
      <c r="BF329" s="30" t="s">
        <v>1280</v>
      </c>
      <c r="BG329" s="30" t="s">
        <v>7196</v>
      </c>
      <c r="BH329" s="30" t="s">
        <v>7197</v>
      </c>
      <c r="BI329" s="30" t="s">
        <v>1040</v>
      </c>
      <c r="BJ329" s="30" t="s">
        <v>7198</v>
      </c>
      <c r="BK329" s="30" t="s">
        <v>7199</v>
      </c>
      <c r="BL329" s="30" t="s">
        <v>1042</v>
      </c>
      <c r="BM329" s="30" t="s">
        <v>1043</v>
      </c>
      <c r="BN329" s="29" t="s">
        <v>7200</v>
      </c>
      <c r="BO329" s="30" t="s">
        <v>186</v>
      </c>
      <c r="BP329" s="29" t="s">
        <v>7201</v>
      </c>
      <c r="BQ329" s="29" t="s">
        <v>151</v>
      </c>
      <c r="BR329" s="30" t="s">
        <v>151</v>
      </c>
      <c r="BS329" s="30" t="s">
        <v>187</v>
      </c>
      <c r="BT329" s="30" t="s">
        <v>188</v>
      </c>
      <c r="BU329" s="35">
        <v>43213</v>
      </c>
      <c r="BV329" s="37">
        <v>0.1</v>
      </c>
      <c r="BW329" s="30" t="s">
        <v>192</v>
      </c>
      <c r="BX329" s="37" t="s">
        <v>151</v>
      </c>
      <c r="BY329" s="30" t="s">
        <v>151</v>
      </c>
      <c r="BZ329" s="30" t="s">
        <v>1075</v>
      </c>
      <c r="CA329" s="30" t="s">
        <v>1075</v>
      </c>
      <c r="CB329" s="30" t="s">
        <v>151</v>
      </c>
      <c r="CC329" s="30" t="s">
        <v>585</v>
      </c>
      <c r="CD329" s="30" t="s">
        <v>151</v>
      </c>
      <c r="CE329" s="30" t="s">
        <v>191</v>
      </c>
      <c r="CF329" s="35">
        <v>44927</v>
      </c>
      <c r="CG329" s="37" t="s">
        <v>151</v>
      </c>
      <c r="CH329" s="30" t="s">
        <v>151</v>
      </c>
      <c r="CI329" s="37" t="s">
        <v>151</v>
      </c>
      <c r="CJ329" s="30" t="s">
        <v>151</v>
      </c>
      <c r="CK329" s="29" t="s">
        <v>151</v>
      </c>
      <c r="CL329" s="30" t="s">
        <v>189</v>
      </c>
      <c r="CM329" s="30" t="s">
        <v>151</v>
      </c>
      <c r="CN329" s="30" t="s">
        <v>151</v>
      </c>
      <c r="CO329" s="30" t="s">
        <v>190</v>
      </c>
      <c r="CP329" s="35">
        <v>44927</v>
      </c>
      <c r="CQ329" s="37" t="s">
        <v>151</v>
      </c>
      <c r="CR329" s="30" t="s">
        <v>151</v>
      </c>
      <c r="CS329" s="30" t="s">
        <v>191</v>
      </c>
      <c r="CT329" s="29">
        <v>42</v>
      </c>
      <c r="CU329" s="30" t="s">
        <v>263</v>
      </c>
      <c r="CV329" s="32">
        <v>41</v>
      </c>
      <c r="CW329" s="32">
        <v>59</v>
      </c>
      <c r="CX329" s="30" t="s">
        <v>263</v>
      </c>
      <c r="CY329" s="32">
        <v>1</v>
      </c>
      <c r="CZ329" s="32">
        <v>40</v>
      </c>
      <c r="DA329" s="37" t="s">
        <v>151</v>
      </c>
      <c r="DB329" s="35" t="s">
        <v>151</v>
      </c>
      <c r="DC329" s="30" t="s">
        <v>151</v>
      </c>
      <c r="DD329" s="29" t="s">
        <v>151</v>
      </c>
      <c r="DE329" s="32">
        <v>0.3</v>
      </c>
      <c r="DF329" s="34">
        <v>92</v>
      </c>
      <c r="DG329" s="32">
        <v>0</v>
      </c>
      <c r="DH329" s="32">
        <v>0</v>
      </c>
      <c r="DI329" s="32">
        <v>0.3</v>
      </c>
      <c r="DJ329" s="34">
        <v>94</v>
      </c>
      <c r="DK329" s="32" t="s">
        <v>151</v>
      </c>
      <c r="DL329" s="34" t="s">
        <v>151</v>
      </c>
      <c r="DM329" s="32">
        <v>0.3</v>
      </c>
      <c r="DN329" s="34">
        <v>94</v>
      </c>
      <c r="DO329" s="36">
        <v>13.47</v>
      </c>
      <c r="DP329" s="34">
        <v>93</v>
      </c>
      <c r="DQ329" s="36">
        <v>0</v>
      </c>
      <c r="DR329" s="32">
        <v>0</v>
      </c>
      <c r="DS329" s="36">
        <v>13.47</v>
      </c>
      <c r="DT329" s="34">
        <v>92</v>
      </c>
      <c r="DU329" s="36" t="s">
        <v>151</v>
      </c>
      <c r="DV329" s="34" t="s">
        <v>151</v>
      </c>
      <c r="DW329" s="36">
        <v>13.47</v>
      </c>
      <c r="DX329" s="34">
        <v>92</v>
      </c>
      <c r="DY329" s="31" t="s">
        <v>151</v>
      </c>
      <c r="DZ329" s="35" t="s">
        <v>151</v>
      </c>
      <c r="EA329" s="35" t="s">
        <v>151</v>
      </c>
      <c r="EB329" s="34">
        <v>1032</v>
      </c>
      <c r="EC329" s="33">
        <v>-130</v>
      </c>
      <c r="ED329" s="32">
        <v>-11.19</v>
      </c>
      <c r="EE329" s="34">
        <v>256</v>
      </c>
      <c r="EF329" s="33">
        <v>0</v>
      </c>
      <c r="EG329" s="32">
        <v>0</v>
      </c>
      <c r="EH329" s="29" t="s">
        <v>198</v>
      </c>
      <c r="EI329" s="30" t="s">
        <v>151</v>
      </c>
      <c r="EJ329" s="30" t="s">
        <v>151</v>
      </c>
      <c r="EK329" s="31" t="s">
        <v>151</v>
      </c>
      <c r="EL329" s="31" t="s">
        <v>151</v>
      </c>
      <c r="EM329" s="31" t="s">
        <v>151</v>
      </c>
      <c r="EN329" s="31" t="s">
        <v>151</v>
      </c>
      <c r="EO329" s="31" t="s">
        <v>151</v>
      </c>
      <c r="EP329" s="30" t="s">
        <v>151</v>
      </c>
      <c r="EQ329" s="29" t="s">
        <v>151</v>
      </c>
      <c r="ER329" s="29" t="s">
        <v>151</v>
      </c>
      <c r="ES329" s="4">
        <f>HYPERLINK("https://my.pitchbook.com?c=278849-44","View Company Online")</f>
      </c>
    </row>
    <row r="330">
      <c r="A330" s="17" t="s">
        <v>7202</v>
      </c>
      <c r="B330" s="17" t="s">
        <v>7203</v>
      </c>
      <c r="C330" s="18" t="s">
        <v>151</v>
      </c>
      <c r="D330" s="17" t="s">
        <v>151</v>
      </c>
      <c r="E330" s="17" t="s">
        <v>151</v>
      </c>
      <c r="F330" s="17" t="s">
        <v>7204</v>
      </c>
      <c r="G330" s="17" t="s">
        <v>151</v>
      </c>
      <c r="H330" s="17" t="s">
        <v>151</v>
      </c>
      <c r="I330" s="17" t="s">
        <v>7205</v>
      </c>
      <c r="J330" s="17" t="s">
        <v>7202</v>
      </c>
      <c r="K330" s="17" t="s">
        <v>7206</v>
      </c>
      <c r="L330" s="17" t="s">
        <v>205</v>
      </c>
      <c r="M330" s="17" t="s">
        <v>206</v>
      </c>
      <c r="N330" s="17" t="s">
        <v>269</v>
      </c>
      <c r="O330" s="17" t="s">
        <v>7207</v>
      </c>
      <c r="P330" s="17" t="s">
        <v>7208</v>
      </c>
      <c r="Q330" s="17" t="s">
        <v>7209</v>
      </c>
      <c r="R330" s="17" t="s">
        <v>151</v>
      </c>
      <c r="S330" s="17" t="s">
        <v>162</v>
      </c>
      <c r="T330" s="24">
        <v>26.69</v>
      </c>
      <c r="U330" s="17" t="s">
        <v>163</v>
      </c>
      <c r="V330" s="17" t="s">
        <v>164</v>
      </c>
      <c r="W330" s="17" t="s">
        <v>165</v>
      </c>
      <c r="X330" s="15" t="s">
        <v>7210</v>
      </c>
      <c r="Y330" s="15" t="s">
        <v>7211</v>
      </c>
      <c r="Z330" s="27">
        <v>21</v>
      </c>
      <c r="AA330" s="17" t="s">
        <v>7212</v>
      </c>
      <c r="AB330" s="17" t="s">
        <v>151</v>
      </c>
      <c r="AC330" s="17" t="s">
        <v>151</v>
      </c>
      <c r="AD330" s="26">
        <v>2020</v>
      </c>
      <c r="AE330" s="17" t="s">
        <v>151</v>
      </c>
      <c r="AF330" s="22">
        <v>45607</v>
      </c>
      <c r="AG330" s="17" t="s">
        <v>151</v>
      </c>
      <c r="AH330" s="17" t="s">
        <v>151</v>
      </c>
      <c r="AI330" s="25" t="s">
        <v>151</v>
      </c>
      <c r="AJ330" s="19" t="s">
        <v>151</v>
      </c>
      <c r="AK330" s="25" t="s">
        <v>151</v>
      </c>
      <c r="AL330" s="25" t="s">
        <v>151</v>
      </c>
      <c r="AM330" s="25" t="s">
        <v>151</v>
      </c>
      <c r="AN330" s="25" t="s">
        <v>151</v>
      </c>
      <c r="AO330" s="25" t="s">
        <v>151</v>
      </c>
      <c r="AP330" s="25" t="s">
        <v>151</v>
      </c>
      <c r="AQ330" s="25" t="s">
        <v>151</v>
      </c>
      <c r="AR330" s="16" t="s">
        <v>151</v>
      </c>
      <c r="AS330" s="17" t="s">
        <v>7213</v>
      </c>
      <c r="AT330" s="17" t="s">
        <v>7214</v>
      </c>
      <c r="AU330" s="18">
        <v>14</v>
      </c>
      <c r="AV330" s="17" t="s">
        <v>151</v>
      </c>
      <c r="AW330" s="17" t="s">
        <v>151</v>
      </c>
      <c r="AX330" s="17" t="s">
        <v>151</v>
      </c>
      <c r="AY330" s="17" t="s">
        <v>7215</v>
      </c>
      <c r="AZ330" s="17" t="s">
        <v>151</v>
      </c>
      <c r="BA330" s="17" t="s">
        <v>151</v>
      </c>
      <c r="BB330" s="17" t="s">
        <v>151</v>
      </c>
      <c r="BC330" s="17" t="s">
        <v>7216</v>
      </c>
      <c r="BD330" s="17" t="s">
        <v>7217</v>
      </c>
      <c r="BE330" s="17" t="s">
        <v>7218</v>
      </c>
      <c r="BF330" s="17" t="s">
        <v>4135</v>
      </c>
      <c r="BG330" s="17" t="s">
        <v>7219</v>
      </c>
      <c r="BH330" s="17" t="s">
        <v>7220</v>
      </c>
      <c r="BI330" s="17" t="s">
        <v>906</v>
      </c>
      <c r="BJ330" s="17" t="s">
        <v>4138</v>
      </c>
      <c r="BK330" s="17" t="s">
        <v>7221</v>
      </c>
      <c r="BL330" s="17" t="s">
        <v>259</v>
      </c>
      <c r="BM330" s="17" t="s">
        <v>259</v>
      </c>
      <c r="BN330" s="16" t="s">
        <v>4140</v>
      </c>
      <c r="BO330" s="17" t="s">
        <v>186</v>
      </c>
      <c r="BP330" s="16" t="s">
        <v>7220</v>
      </c>
      <c r="BQ330" s="16" t="s">
        <v>151</v>
      </c>
      <c r="BR330" s="17" t="s">
        <v>7222</v>
      </c>
      <c r="BS330" s="17" t="s">
        <v>187</v>
      </c>
      <c r="BT330" s="17" t="s">
        <v>188</v>
      </c>
      <c r="BU330" s="22">
        <v>44562</v>
      </c>
      <c r="BV330" s="24">
        <v>0.5</v>
      </c>
      <c r="BW330" s="17" t="s">
        <v>192</v>
      </c>
      <c r="BX330" s="24" t="s">
        <v>151</v>
      </c>
      <c r="BY330" s="17" t="s">
        <v>151</v>
      </c>
      <c r="BZ330" s="17" t="s">
        <v>189</v>
      </c>
      <c r="CA330" s="17" t="s">
        <v>151</v>
      </c>
      <c r="CB330" s="17" t="s">
        <v>151</v>
      </c>
      <c r="CC330" s="17" t="s">
        <v>190</v>
      </c>
      <c r="CD330" s="17" t="s">
        <v>151</v>
      </c>
      <c r="CE330" s="17" t="s">
        <v>191</v>
      </c>
      <c r="CF330" s="22">
        <v>45579</v>
      </c>
      <c r="CG330" s="24">
        <v>17.21</v>
      </c>
      <c r="CH330" s="17" t="s">
        <v>192</v>
      </c>
      <c r="CI330" s="24">
        <v>81</v>
      </c>
      <c r="CJ330" s="17" t="s">
        <v>192</v>
      </c>
      <c r="CK330" s="16">
        <v>2.55</v>
      </c>
      <c r="CL330" s="17" t="s">
        <v>231</v>
      </c>
      <c r="CM330" s="17" t="s">
        <v>232</v>
      </c>
      <c r="CN330" s="17" t="s">
        <v>151</v>
      </c>
      <c r="CO330" s="17" t="s">
        <v>165</v>
      </c>
      <c r="CP330" s="22">
        <v>45579</v>
      </c>
      <c r="CQ330" s="24" t="s">
        <v>151</v>
      </c>
      <c r="CR330" s="17" t="s">
        <v>151</v>
      </c>
      <c r="CS330" s="17" t="s">
        <v>191</v>
      </c>
      <c r="CT330" s="16">
        <v>96</v>
      </c>
      <c r="CU330" s="17" t="s">
        <v>196</v>
      </c>
      <c r="CV330" s="19">
        <v>89</v>
      </c>
      <c r="CW330" s="19">
        <v>11</v>
      </c>
      <c r="CX330" s="17" t="s">
        <v>294</v>
      </c>
      <c r="CY330" s="19">
        <v>3</v>
      </c>
      <c r="CZ330" s="19">
        <v>86</v>
      </c>
      <c r="DA330" s="24">
        <v>81</v>
      </c>
      <c r="DB330" s="22">
        <v>45579</v>
      </c>
      <c r="DC330" s="17" t="s">
        <v>231</v>
      </c>
      <c r="DD330" s="16">
        <v>2.55</v>
      </c>
      <c r="DE330" s="19">
        <v>-0.63</v>
      </c>
      <c r="DF330" s="21">
        <v>6</v>
      </c>
      <c r="DG330" s="19">
        <v>0</v>
      </c>
      <c r="DH330" s="19">
        <v>0</v>
      </c>
      <c r="DI330" s="19">
        <v>-1.88</v>
      </c>
      <c r="DJ330" s="21">
        <v>2</v>
      </c>
      <c r="DK330" s="19">
        <v>-3.76</v>
      </c>
      <c r="DL330" s="21">
        <v>4</v>
      </c>
      <c r="DM330" s="19">
        <v>0</v>
      </c>
      <c r="DN330" s="21">
        <v>10</v>
      </c>
      <c r="DO330" s="23">
        <v>2.8</v>
      </c>
      <c r="DP330" s="21">
        <v>73</v>
      </c>
      <c r="DQ330" s="23">
        <v>0</v>
      </c>
      <c r="DR330" s="19">
        <v>0</v>
      </c>
      <c r="DS330" s="23">
        <v>3.99</v>
      </c>
      <c r="DT330" s="21">
        <v>79</v>
      </c>
      <c r="DU330" s="23">
        <v>3.99</v>
      </c>
      <c r="DV330" s="21">
        <v>79</v>
      </c>
      <c r="DW330" s="23">
        <v>4</v>
      </c>
      <c r="DX330" s="21">
        <v>79</v>
      </c>
      <c r="DY330" s="18" t="s">
        <v>151</v>
      </c>
      <c r="DZ330" s="22" t="s">
        <v>151</v>
      </c>
      <c r="EA330" s="22" t="s">
        <v>151</v>
      </c>
      <c r="EB330" s="21">
        <v>814</v>
      </c>
      <c r="EC330" s="20">
        <v>18</v>
      </c>
      <c r="ED330" s="19">
        <v>2.26</v>
      </c>
      <c r="EE330" s="21">
        <v>76</v>
      </c>
      <c r="EF330" s="20">
        <v>1</v>
      </c>
      <c r="EG330" s="19">
        <v>1.33</v>
      </c>
      <c r="EH330" s="16" t="s">
        <v>198</v>
      </c>
      <c r="EI330" s="17" t="s">
        <v>151</v>
      </c>
      <c r="EJ330" s="17" t="s">
        <v>151</v>
      </c>
      <c r="EK330" s="18" t="s">
        <v>151</v>
      </c>
      <c r="EL330" s="18" t="s">
        <v>151</v>
      </c>
      <c r="EM330" s="18" t="s">
        <v>151</v>
      </c>
      <c r="EN330" s="18" t="s">
        <v>151</v>
      </c>
      <c r="EO330" s="18" t="s">
        <v>151</v>
      </c>
      <c r="EP330" s="17" t="s">
        <v>151</v>
      </c>
      <c r="EQ330" s="16" t="s">
        <v>151</v>
      </c>
      <c r="ER330" s="16" t="s">
        <v>151</v>
      </c>
      <c r="ES330" s="3">
        <f>HYPERLINK("https://my.pitchbook.com?c=471935-26","View Company Online")</f>
      </c>
    </row>
    <row r="331">
      <c r="A331" s="30" t="s">
        <v>7223</v>
      </c>
      <c r="B331" s="30" t="s">
        <v>7224</v>
      </c>
      <c r="C331" s="31" t="s">
        <v>151</v>
      </c>
      <c r="D331" s="30" t="s">
        <v>151</v>
      </c>
      <c r="E331" s="30" t="s">
        <v>7225</v>
      </c>
      <c r="F331" s="30" t="s">
        <v>7226</v>
      </c>
      <c r="G331" s="30" t="s">
        <v>151</v>
      </c>
      <c r="H331" s="30" t="s">
        <v>151</v>
      </c>
      <c r="I331" s="30" t="s">
        <v>151</v>
      </c>
      <c r="J331" s="30" t="s">
        <v>7223</v>
      </c>
      <c r="K331" s="30" t="s">
        <v>7227</v>
      </c>
      <c r="L331" s="30" t="s">
        <v>205</v>
      </c>
      <c r="M331" s="30" t="s">
        <v>206</v>
      </c>
      <c r="N331" s="30" t="s">
        <v>269</v>
      </c>
      <c r="O331" s="30" t="s">
        <v>4250</v>
      </c>
      <c r="P331" s="30" t="s">
        <v>919</v>
      </c>
      <c r="Q331" s="30" t="s">
        <v>7228</v>
      </c>
      <c r="R331" s="30" t="s">
        <v>151</v>
      </c>
      <c r="S331" s="30" t="s">
        <v>162</v>
      </c>
      <c r="T331" s="37">
        <v>89</v>
      </c>
      <c r="U331" s="30" t="s">
        <v>163</v>
      </c>
      <c r="V331" s="30" t="s">
        <v>164</v>
      </c>
      <c r="W331" s="30" t="s">
        <v>165</v>
      </c>
      <c r="X331" s="28" t="s">
        <v>7229</v>
      </c>
      <c r="Y331" s="28" t="s">
        <v>7230</v>
      </c>
      <c r="Z331" s="40">
        <v>180</v>
      </c>
      <c r="AA331" s="30" t="s">
        <v>7231</v>
      </c>
      <c r="AB331" s="30" t="s">
        <v>151</v>
      </c>
      <c r="AC331" s="30" t="s">
        <v>151</v>
      </c>
      <c r="AD331" s="39">
        <v>2018</v>
      </c>
      <c r="AE331" s="30" t="s">
        <v>151</v>
      </c>
      <c r="AF331" s="35">
        <v>45617</v>
      </c>
      <c r="AG331" s="30" t="s">
        <v>151</v>
      </c>
      <c r="AH331" s="30" t="s">
        <v>151</v>
      </c>
      <c r="AI331" s="38" t="s">
        <v>151</v>
      </c>
      <c r="AJ331" s="32" t="s">
        <v>151</v>
      </c>
      <c r="AK331" s="38" t="s">
        <v>151</v>
      </c>
      <c r="AL331" s="38" t="s">
        <v>151</v>
      </c>
      <c r="AM331" s="38" t="s">
        <v>151</v>
      </c>
      <c r="AN331" s="38" t="s">
        <v>151</v>
      </c>
      <c r="AO331" s="38" t="s">
        <v>151</v>
      </c>
      <c r="AP331" s="38" t="s">
        <v>151</v>
      </c>
      <c r="AQ331" s="38" t="s">
        <v>151</v>
      </c>
      <c r="AR331" s="29" t="s">
        <v>151</v>
      </c>
      <c r="AS331" s="30" t="s">
        <v>7232</v>
      </c>
      <c r="AT331" s="30" t="s">
        <v>7233</v>
      </c>
      <c r="AU331" s="31">
        <v>8</v>
      </c>
      <c r="AV331" s="30" t="s">
        <v>151</v>
      </c>
      <c r="AW331" s="30" t="s">
        <v>151</v>
      </c>
      <c r="AX331" s="30" t="s">
        <v>151</v>
      </c>
      <c r="AY331" s="30" t="s">
        <v>7234</v>
      </c>
      <c r="AZ331" s="30" t="s">
        <v>151</v>
      </c>
      <c r="BA331" s="30" t="s">
        <v>151</v>
      </c>
      <c r="BB331" s="30" t="s">
        <v>151</v>
      </c>
      <c r="BC331" s="30" t="s">
        <v>7235</v>
      </c>
      <c r="BD331" s="30" t="s">
        <v>7236</v>
      </c>
      <c r="BE331" s="30" t="s">
        <v>7237</v>
      </c>
      <c r="BF331" s="30" t="s">
        <v>221</v>
      </c>
      <c r="BG331" s="30" t="s">
        <v>7238</v>
      </c>
      <c r="BH331" s="30" t="s">
        <v>7239</v>
      </c>
      <c r="BI331" s="30" t="s">
        <v>906</v>
      </c>
      <c r="BJ331" s="30" t="s">
        <v>7240</v>
      </c>
      <c r="BK331" s="30" t="s">
        <v>151</v>
      </c>
      <c r="BL331" s="30" t="s">
        <v>259</v>
      </c>
      <c r="BM331" s="30" t="s">
        <v>259</v>
      </c>
      <c r="BN331" s="29" t="s">
        <v>4398</v>
      </c>
      <c r="BO331" s="30" t="s">
        <v>186</v>
      </c>
      <c r="BP331" s="29" t="s">
        <v>151</v>
      </c>
      <c r="BQ331" s="29" t="s">
        <v>151</v>
      </c>
      <c r="BR331" s="30" t="s">
        <v>7241</v>
      </c>
      <c r="BS331" s="30" t="s">
        <v>187</v>
      </c>
      <c r="BT331" s="30" t="s">
        <v>188</v>
      </c>
      <c r="BU331" s="35">
        <v>44145</v>
      </c>
      <c r="BV331" s="37">
        <v>14</v>
      </c>
      <c r="BW331" s="30" t="s">
        <v>192</v>
      </c>
      <c r="BX331" s="37" t="s">
        <v>151</v>
      </c>
      <c r="BY331" s="30" t="s">
        <v>151</v>
      </c>
      <c r="BZ331" s="30" t="s">
        <v>231</v>
      </c>
      <c r="CA331" s="30" t="s">
        <v>232</v>
      </c>
      <c r="CB331" s="30" t="s">
        <v>151</v>
      </c>
      <c r="CC331" s="30" t="s">
        <v>165</v>
      </c>
      <c r="CD331" s="30" t="s">
        <v>151</v>
      </c>
      <c r="CE331" s="30" t="s">
        <v>191</v>
      </c>
      <c r="CF331" s="35">
        <v>44672</v>
      </c>
      <c r="CG331" s="37">
        <v>75</v>
      </c>
      <c r="CH331" s="30" t="s">
        <v>192</v>
      </c>
      <c r="CI331" s="37" t="s">
        <v>151</v>
      </c>
      <c r="CJ331" s="30" t="s">
        <v>151</v>
      </c>
      <c r="CK331" s="29" t="s">
        <v>151</v>
      </c>
      <c r="CL331" s="30" t="s">
        <v>231</v>
      </c>
      <c r="CM331" s="30" t="s">
        <v>326</v>
      </c>
      <c r="CN331" s="30" t="s">
        <v>151</v>
      </c>
      <c r="CO331" s="30" t="s">
        <v>165</v>
      </c>
      <c r="CP331" s="35">
        <v>44672</v>
      </c>
      <c r="CQ331" s="37" t="s">
        <v>151</v>
      </c>
      <c r="CR331" s="30" t="s">
        <v>151</v>
      </c>
      <c r="CS331" s="30" t="s">
        <v>191</v>
      </c>
      <c r="CT331" s="29">
        <v>80</v>
      </c>
      <c r="CU331" s="30" t="s">
        <v>196</v>
      </c>
      <c r="CV331" s="32">
        <v>87</v>
      </c>
      <c r="CW331" s="32">
        <v>13</v>
      </c>
      <c r="CX331" s="30" t="s">
        <v>294</v>
      </c>
      <c r="CY331" s="32">
        <v>22</v>
      </c>
      <c r="CZ331" s="32">
        <v>65</v>
      </c>
      <c r="DA331" s="37" t="s">
        <v>151</v>
      </c>
      <c r="DB331" s="35" t="s">
        <v>151</v>
      </c>
      <c r="DC331" s="30" t="s">
        <v>151</v>
      </c>
      <c r="DD331" s="29" t="s">
        <v>151</v>
      </c>
      <c r="DE331" s="32">
        <v>-0.09</v>
      </c>
      <c r="DF331" s="34">
        <v>11</v>
      </c>
      <c r="DG331" s="32">
        <v>0.03</v>
      </c>
      <c r="DH331" s="32">
        <v>28.67</v>
      </c>
      <c r="DI331" s="32">
        <v>-0.38</v>
      </c>
      <c r="DJ331" s="34">
        <v>8</v>
      </c>
      <c r="DK331" s="32" t="s">
        <v>151</v>
      </c>
      <c r="DL331" s="34" t="s">
        <v>151</v>
      </c>
      <c r="DM331" s="32">
        <v>-0.38</v>
      </c>
      <c r="DN331" s="34">
        <v>8</v>
      </c>
      <c r="DO331" s="36">
        <v>11.82</v>
      </c>
      <c r="DP331" s="34">
        <v>92</v>
      </c>
      <c r="DQ331" s="36">
        <v>0</v>
      </c>
      <c r="DR331" s="32">
        <v>0</v>
      </c>
      <c r="DS331" s="36">
        <v>9.79</v>
      </c>
      <c r="DT331" s="34">
        <v>90</v>
      </c>
      <c r="DU331" s="36" t="s">
        <v>151</v>
      </c>
      <c r="DV331" s="34" t="s">
        <v>151</v>
      </c>
      <c r="DW331" s="36">
        <v>9.79</v>
      </c>
      <c r="DX331" s="34">
        <v>90</v>
      </c>
      <c r="DY331" s="31" t="s">
        <v>151</v>
      </c>
      <c r="DZ331" s="35" t="s">
        <v>151</v>
      </c>
      <c r="EA331" s="35" t="s">
        <v>151</v>
      </c>
      <c r="EB331" s="34">
        <v>1309</v>
      </c>
      <c r="EC331" s="33">
        <v>-69</v>
      </c>
      <c r="ED331" s="32">
        <v>-5.01</v>
      </c>
      <c r="EE331" s="34">
        <v>186</v>
      </c>
      <c r="EF331" s="33">
        <v>2</v>
      </c>
      <c r="EG331" s="32">
        <v>1.09</v>
      </c>
      <c r="EH331" s="29" t="s">
        <v>198</v>
      </c>
      <c r="EI331" s="30" t="s">
        <v>151</v>
      </c>
      <c r="EJ331" s="30" t="s">
        <v>151</v>
      </c>
      <c r="EK331" s="31" t="s">
        <v>151</v>
      </c>
      <c r="EL331" s="31" t="s">
        <v>151</v>
      </c>
      <c r="EM331" s="31" t="s">
        <v>151</v>
      </c>
      <c r="EN331" s="31" t="s">
        <v>151</v>
      </c>
      <c r="EO331" s="31" t="s">
        <v>151</v>
      </c>
      <c r="EP331" s="30" t="s">
        <v>151</v>
      </c>
      <c r="EQ331" s="29" t="s">
        <v>151</v>
      </c>
      <c r="ER331" s="29" t="s">
        <v>151</v>
      </c>
      <c r="ES331" s="4">
        <f>HYPERLINK("https://my.pitchbook.com?c=452781-64","View Company Online")</f>
      </c>
    </row>
    <row r="332">
      <c r="A332" s="17" t="s">
        <v>7242</v>
      </c>
      <c r="B332" s="17" t="s">
        <v>7243</v>
      </c>
      <c r="C332" s="18" t="s">
        <v>151</v>
      </c>
      <c r="D332" s="17" t="s">
        <v>151</v>
      </c>
      <c r="E332" s="17" t="s">
        <v>7244</v>
      </c>
      <c r="F332" s="17" t="s">
        <v>7245</v>
      </c>
      <c r="G332" s="17" t="s">
        <v>151</v>
      </c>
      <c r="H332" s="17" t="s">
        <v>151</v>
      </c>
      <c r="I332" s="17" t="s">
        <v>151</v>
      </c>
      <c r="J332" s="17" t="s">
        <v>7242</v>
      </c>
      <c r="K332" s="17" t="s">
        <v>7246</v>
      </c>
      <c r="L332" s="17" t="s">
        <v>205</v>
      </c>
      <c r="M332" s="17" t="s">
        <v>206</v>
      </c>
      <c r="N332" s="17" t="s">
        <v>269</v>
      </c>
      <c r="O332" s="17" t="s">
        <v>7247</v>
      </c>
      <c r="P332" s="17" t="s">
        <v>7248</v>
      </c>
      <c r="Q332" s="17" t="s">
        <v>7249</v>
      </c>
      <c r="R332" s="17" t="s">
        <v>151</v>
      </c>
      <c r="S332" s="17" t="s">
        <v>162</v>
      </c>
      <c r="T332" s="24">
        <v>3</v>
      </c>
      <c r="U332" s="17" t="s">
        <v>163</v>
      </c>
      <c r="V332" s="17" t="s">
        <v>164</v>
      </c>
      <c r="W332" s="17" t="s">
        <v>165</v>
      </c>
      <c r="X332" s="15" t="s">
        <v>7250</v>
      </c>
      <c r="Y332" s="15" t="s">
        <v>7251</v>
      </c>
      <c r="Z332" s="27">
        <v>15</v>
      </c>
      <c r="AA332" s="17" t="s">
        <v>7252</v>
      </c>
      <c r="AB332" s="17" t="s">
        <v>151</v>
      </c>
      <c r="AC332" s="17" t="s">
        <v>151</v>
      </c>
      <c r="AD332" s="26">
        <v>2016</v>
      </c>
      <c r="AE332" s="17" t="s">
        <v>151</v>
      </c>
      <c r="AF332" s="22">
        <v>45601</v>
      </c>
      <c r="AG332" s="17" t="s">
        <v>151</v>
      </c>
      <c r="AH332" s="17" t="s">
        <v>151</v>
      </c>
      <c r="AI332" s="25">
        <v>0.19</v>
      </c>
      <c r="AJ332" s="19">
        <v>-47.52</v>
      </c>
      <c r="AK332" s="25" t="s">
        <v>151</v>
      </c>
      <c r="AL332" s="25">
        <v>-0.79</v>
      </c>
      <c r="AM332" s="25" t="s">
        <v>151</v>
      </c>
      <c r="AN332" s="25" t="s">
        <v>151</v>
      </c>
      <c r="AO332" s="25" t="s">
        <v>151</v>
      </c>
      <c r="AP332" s="25" t="s">
        <v>151</v>
      </c>
      <c r="AQ332" s="25" t="s">
        <v>151</v>
      </c>
      <c r="AR332" s="16" t="s">
        <v>2328</v>
      </c>
      <c r="AS332" s="17" t="s">
        <v>7253</v>
      </c>
      <c r="AT332" s="17" t="s">
        <v>7254</v>
      </c>
      <c r="AU332" s="18">
        <v>14</v>
      </c>
      <c r="AV332" s="17" t="s">
        <v>151</v>
      </c>
      <c r="AW332" s="17" t="s">
        <v>4564</v>
      </c>
      <c r="AX332" s="17" t="s">
        <v>151</v>
      </c>
      <c r="AY332" s="17" t="s">
        <v>7255</v>
      </c>
      <c r="AZ332" s="17" t="s">
        <v>4566</v>
      </c>
      <c r="BA332" s="17" t="s">
        <v>151</v>
      </c>
      <c r="BB332" s="17" t="s">
        <v>151</v>
      </c>
      <c r="BC332" s="17" t="s">
        <v>7256</v>
      </c>
      <c r="BD332" s="17" t="s">
        <v>7257</v>
      </c>
      <c r="BE332" s="17" t="s">
        <v>7258</v>
      </c>
      <c r="BF332" s="17" t="s">
        <v>7259</v>
      </c>
      <c r="BG332" s="17" t="s">
        <v>7260</v>
      </c>
      <c r="BH332" s="17" t="s">
        <v>7261</v>
      </c>
      <c r="BI332" s="17" t="s">
        <v>5541</v>
      </c>
      <c r="BJ332" s="17" t="s">
        <v>5542</v>
      </c>
      <c r="BK332" s="17" t="s">
        <v>151</v>
      </c>
      <c r="BL332" s="17" t="s">
        <v>5544</v>
      </c>
      <c r="BM332" s="17" t="s">
        <v>823</v>
      </c>
      <c r="BN332" s="16" t="s">
        <v>5545</v>
      </c>
      <c r="BO332" s="17" t="s">
        <v>186</v>
      </c>
      <c r="BP332" s="16" t="s">
        <v>7261</v>
      </c>
      <c r="BQ332" s="16" t="s">
        <v>151</v>
      </c>
      <c r="BR332" s="17" t="s">
        <v>7262</v>
      </c>
      <c r="BS332" s="17" t="s">
        <v>187</v>
      </c>
      <c r="BT332" s="17" t="s">
        <v>188</v>
      </c>
      <c r="BU332" s="22">
        <v>42370</v>
      </c>
      <c r="BV332" s="24" t="s">
        <v>151</v>
      </c>
      <c r="BW332" s="17" t="s">
        <v>151</v>
      </c>
      <c r="BX332" s="24" t="s">
        <v>151</v>
      </c>
      <c r="BY332" s="17" t="s">
        <v>151</v>
      </c>
      <c r="BZ332" s="17" t="s">
        <v>189</v>
      </c>
      <c r="CA332" s="17" t="s">
        <v>151</v>
      </c>
      <c r="CB332" s="17" t="s">
        <v>151</v>
      </c>
      <c r="CC332" s="17" t="s">
        <v>190</v>
      </c>
      <c r="CD332" s="17" t="s">
        <v>151</v>
      </c>
      <c r="CE332" s="17" t="s">
        <v>191</v>
      </c>
      <c r="CF332" s="22">
        <v>45534</v>
      </c>
      <c r="CG332" s="24">
        <v>0.22</v>
      </c>
      <c r="CH332" s="17" t="s">
        <v>192</v>
      </c>
      <c r="CI332" s="24" t="s">
        <v>151</v>
      </c>
      <c r="CJ332" s="17" t="s">
        <v>151</v>
      </c>
      <c r="CK332" s="16" t="s">
        <v>151</v>
      </c>
      <c r="CL332" s="17" t="s">
        <v>194</v>
      </c>
      <c r="CM332" s="17" t="s">
        <v>151</v>
      </c>
      <c r="CN332" s="17" t="s">
        <v>151</v>
      </c>
      <c r="CO332" s="17" t="s">
        <v>165</v>
      </c>
      <c r="CP332" s="22">
        <v>45534</v>
      </c>
      <c r="CQ332" s="24">
        <v>0.1</v>
      </c>
      <c r="CR332" s="17" t="s">
        <v>355</v>
      </c>
      <c r="CS332" s="17" t="s">
        <v>191</v>
      </c>
      <c r="CT332" s="16">
        <v>70</v>
      </c>
      <c r="CU332" s="17" t="s">
        <v>196</v>
      </c>
      <c r="CV332" s="19">
        <v>65</v>
      </c>
      <c r="CW332" s="19">
        <v>35</v>
      </c>
      <c r="CX332" s="17" t="s">
        <v>294</v>
      </c>
      <c r="CY332" s="19">
        <v>1</v>
      </c>
      <c r="CZ332" s="19">
        <v>64</v>
      </c>
      <c r="DA332" s="24" t="s">
        <v>151</v>
      </c>
      <c r="DB332" s="22" t="s">
        <v>151</v>
      </c>
      <c r="DC332" s="17" t="s">
        <v>151</v>
      </c>
      <c r="DD332" s="16" t="s">
        <v>151</v>
      </c>
      <c r="DE332" s="19">
        <v>-0.39</v>
      </c>
      <c r="DF332" s="21">
        <v>8</v>
      </c>
      <c r="DG332" s="19">
        <v>0</v>
      </c>
      <c r="DH332" s="19">
        <v>0</v>
      </c>
      <c r="DI332" s="19">
        <v>0</v>
      </c>
      <c r="DJ332" s="21">
        <v>10</v>
      </c>
      <c r="DK332" s="19">
        <v>0</v>
      </c>
      <c r="DL332" s="21">
        <v>11</v>
      </c>
      <c r="DM332" s="19">
        <v>0</v>
      </c>
      <c r="DN332" s="21">
        <v>10</v>
      </c>
      <c r="DO332" s="23">
        <v>1.28</v>
      </c>
      <c r="DP332" s="21">
        <v>56</v>
      </c>
      <c r="DQ332" s="23">
        <v>0</v>
      </c>
      <c r="DR332" s="19">
        <v>0</v>
      </c>
      <c r="DS332" s="23">
        <v>1.4</v>
      </c>
      <c r="DT332" s="21">
        <v>58</v>
      </c>
      <c r="DU332" s="23">
        <v>0.8</v>
      </c>
      <c r="DV332" s="21">
        <v>44</v>
      </c>
      <c r="DW332" s="23">
        <v>2</v>
      </c>
      <c r="DX332" s="21">
        <v>65</v>
      </c>
      <c r="DY332" s="18" t="s">
        <v>151</v>
      </c>
      <c r="DZ332" s="22" t="s">
        <v>151</v>
      </c>
      <c r="EA332" s="22" t="s">
        <v>151</v>
      </c>
      <c r="EB332" s="21">
        <v>167</v>
      </c>
      <c r="EC332" s="20">
        <v>-6</v>
      </c>
      <c r="ED332" s="19">
        <v>-3.47</v>
      </c>
      <c r="EE332" s="21">
        <v>38</v>
      </c>
      <c r="EF332" s="20">
        <v>0</v>
      </c>
      <c r="EG332" s="19">
        <v>0</v>
      </c>
      <c r="EH332" s="16" t="s">
        <v>198</v>
      </c>
      <c r="EI332" s="17" t="s">
        <v>151</v>
      </c>
      <c r="EJ332" s="17" t="s">
        <v>151</v>
      </c>
      <c r="EK332" s="18" t="s">
        <v>151</v>
      </c>
      <c r="EL332" s="18" t="s">
        <v>151</v>
      </c>
      <c r="EM332" s="18" t="s">
        <v>151</v>
      </c>
      <c r="EN332" s="18" t="s">
        <v>151</v>
      </c>
      <c r="EO332" s="18" t="s">
        <v>151</v>
      </c>
      <c r="EP332" s="17" t="s">
        <v>151</v>
      </c>
      <c r="EQ332" s="16" t="s">
        <v>151</v>
      </c>
      <c r="ER332" s="16" t="s">
        <v>151</v>
      </c>
      <c r="ES332" s="3">
        <f>HYPERLINK("https://my.pitchbook.com?c=227780-56","View Company Online")</f>
      </c>
    </row>
    <row r="333">
      <c r="A333" s="30" t="s">
        <v>7263</v>
      </c>
      <c r="B333" s="30" t="s">
        <v>7264</v>
      </c>
      <c r="C333" s="31" t="s">
        <v>151</v>
      </c>
      <c r="D333" s="30" t="s">
        <v>151</v>
      </c>
      <c r="E333" s="30" t="s">
        <v>7265</v>
      </c>
      <c r="F333" s="30" t="s">
        <v>7266</v>
      </c>
      <c r="G333" s="30" t="s">
        <v>151</v>
      </c>
      <c r="H333" s="30" t="s">
        <v>151</v>
      </c>
      <c r="I333" s="30" t="s">
        <v>151</v>
      </c>
      <c r="J333" s="30" t="s">
        <v>7263</v>
      </c>
      <c r="K333" s="30" t="s">
        <v>7267</v>
      </c>
      <c r="L333" s="30" t="s">
        <v>1178</v>
      </c>
      <c r="M333" s="30" t="s">
        <v>1179</v>
      </c>
      <c r="N333" s="30" t="s">
        <v>1179</v>
      </c>
      <c r="O333" s="30" t="s">
        <v>7268</v>
      </c>
      <c r="P333" s="30" t="s">
        <v>7269</v>
      </c>
      <c r="Q333" s="30" t="s">
        <v>7270</v>
      </c>
      <c r="R333" s="30" t="s">
        <v>151</v>
      </c>
      <c r="S333" s="30" t="s">
        <v>162</v>
      </c>
      <c r="T333" s="37">
        <v>2.13</v>
      </c>
      <c r="U333" s="30" t="s">
        <v>163</v>
      </c>
      <c r="V333" s="30" t="s">
        <v>164</v>
      </c>
      <c r="W333" s="30" t="s">
        <v>165</v>
      </c>
      <c r="X333" s="28" t="s">
        <v>7271</v>
      </c>
      <c r="Y333" s="28" t="s">
        <v>7272</v>
      </c>
      <c r="Z333" s="40">
        <v>4</v>
      </c>
      <c r="AA333" s="30" t="s">
        <v>3707</v>
      </c>
      <c r="AB333" s="30" t="s">
        <v>151</v>
      </c>
      <c r="AC333" s="30" t="s">
        <v>151</v>
      </c>
      <c r="AD333" s="39">
        <v>2021</v>
      </c>
      <c r="AE333" s="30" t="s">
        <v>151</v>
      </c>
      <c r="AF333" s="35">
        <v>45600</v>
      </c>
      <c r="AG333" s="30" t="s">
        <v>151</v>
      </c>
      <c r="AH333" s="30" t="s">
        <v>151</v>
      </c>
      <c r="AI333" s="38" t="s">
        <v>151</v>
      </c>
      <c r="AJ333" s="32" t="s">
        <v>151</v>
      </c>
      <c r="AK333" s="38" t="s">
        <v>151</v>
      </c>
      <c r="AL333" s="38" t="s">
        <v>151</v>
      </c>
      <c r="AM333" s="38" t="s">
        <v>151</v>
      </c>
      <c r="AN333" s="38" t="s">
        <v>151</v>
      </c>
      <c r="AO333" s="38" t="s">
        <v>151</v>
      </c>
      <c r="AP333" s="38" t="s">
        <v>151</v>
      </c>
      <c r="AQ333" s="38" t="s">
        <v>151</v>
      </c>
      <c r="AR333" s="29" t="s">
        <v>151</v>
      </c>
      <c r="AS333" s="30" t="s">
        <v>7273</v>
      </c>
      <c r="AT333" s="30" t="s">
        <v>7274</v>
      </c>
      <c r="AU333" s="31">
        <v>6</v>
      </c>
      <c r="AV333" s="30" t="s">
        <v>151</v>
      </c>
      <c r="AW333" s="30" t="s">
        <v>7275</v>
      </c>
      <c r="AX333" s="30" t="s">
        <v>151</v>
      </c>
      <c r="AY333" s="30" t="s">
        <v>7276</v>
      </c>
      <c r="AZ333" s="30" t="s">
        <v>151</v>
      </c>
      <c r="BA333" s="30" t="s">
        <v>151</v>
      </c>
      <c r="BB333" s="30" t="s">
        <v>151</v>
      </c>
      <c r="BC333" s="30" t="s">
        <v>151</v>
      </c>
      <c r="BD333" s="30" t="s">
        <v>7277</v>
      </c>
      <c r="BE333" s="30" t="s">
        <v>7278</v>
      </c>
      <c r="BF333" s="30" t="s">
        <v>221</v>
      </c>
      <c r="BG333" s="30" t="s">
        <v>7279</v>
      </c>
      <c r="BH333" s="30" t="s">
        <v>151</v>
      </c>
      <c r="BI333" s="30" t="s">
        <v>764</v>
      </c>
      <c r="BJ333" s="30" t="s">
        <v>7280</v>
      </c>
      <c r="BK333" s="30" t="s">
        <v>320</v>
      </c>
      <c r="BL333" s="30" t="s">
        <v>767</v>
      </c>
      <c r="BM333" s="30" t="s">
        <v>184</v>
      </c>
      <c r="BN333" s="29" t="s">
        <v>7281</v>
      </c>
      <c r="BO333" s="30" t="s">
        <v>186</v>
      </c>
      <c r="BP333" s="29" t="s">
        <v>151</v>
      </c>
      <c r="BQ333" s="29" t="s">
        <v>151</v>
      </c>
      <c r="BR333" s="30" t="s">
        <v>7282</v>
      </c>
      <c r="BS333" s="30" t="s">
        <v>187</v>
      </c>
      <c r="BT333" s="30" t="s">
        <v>188</v>
      </c>
      <c r="BU333" s="35">
        <v>44440</v>
      </c>
      <c r="BV333" s="37">
        <v>0.13</v>
      </c>
      <c r="BW333" s="30" t="s">
        <v>192</v>
      </c>
      <c r="BX333" s="37">
        <v>1.79</v>
      </c>
      <c r="BY333" s="30" t="s">
        <v>192</v>
      </c>
      <c r="BZ333" s="30" t="s">
        <v>189</v>
      </c>
      <c r="CA333" s="30" t="s">
        <v>151</v>
      </c>
      <c r="CB333" s="30" t="s">
        <v>151</v>
      </c>
      <c r="CC333" s="30" t="s">
        <v>190</v>
      </c>
      <c r="CD333" s="30" t="s">
        <v>151</v>
      </c>
      <c r="CE333" s="30" t="s">
        <v>191</v>
      </c>
      <c r="CF333" s="35" t="s">
        <v>151</v>
      </c>
      <c r="CG333" s="37" t="s">
        <v>151</v>
      </c>
      <c r="CH333" s="30" t="s">
        <v>151</v>
      </c>
      <c r="CI333" s="37" t="s">
        <v>151</v>
      </c>
      <c r="CJ333" s="30" t="s">
        <v>151</v>
      </c>
      <c r="CK333" s="29" t="s">
        <v>151</v>
      </c>
      <c r="CL333" s="30" t="s">
        <v>911</v>
      </c>
      <c r="CM333" s="30" t="s">
        <v>151</v>
      </c>
      <c r="CN333" s="30" t="s">
        <v>151</v>
      </c>
      <c r="CO333" s="30" t="s">
        <v>165</v>
      </c>
      <c r="CP333" s="35" t="s">
        <v>151</v>
      </c>
      <c r="CQ333" s="37" t="s">
        <v>151</v>
      </c>
      <c r="CR333" s="30" t="s">
        <v>151</v>
      </c>
      <c r="CS333" s="30" t="s">
        <v>191</v>
      </c>
      <c r="CT333" s="29" t="s">
        <v>151</v>
      </c>
      <c r="CU333" s="30" t="s">
        <v>151</v>
      </c>
      <c r="CV333" s="32" t="s">
        <v>151</v>
      </c>
      <c r="CW333" s="32" t="s">
        <v>151</v>
      </c>
      <c r="CX333" s="30" t="s">
        <v>151</v>
      </c>
      <c r="CY333" s="32" t="s">
        <v>151</v>
      </c>
      <c r="CZ333" s="32" t="s">
        <v>151</v>
      </c>
      <c r="DA333" s="37">
        <v>1.79</v>
      </c>
      <c r="DB333" s="35">
        <v>44440</v>
      </c>
      <c r="DC333" s="30" t="s">
        <v>189</v>
      </c>
      <c r="DD333" s="29" t="s">
        <v>151</v>
      </c>
      <c r="DE333" s="32">
        <v>0</v>
      </c>
      <c r="DF333" s="34">
        <v>11</v>
      </c>
      <c r="DG333" s="32">
        <v>0</v>
      </c>
      <c r="DH333" s="32">
        <v>0</v>
      </c>
      <c r="DI333" s="32" t="s">
        <v>151</v>
      </c>
      <c r="DJ333" s="34" t="s">
        <v>151</v>
      </c>
      <c r="DK333" s="32" t="s">
        <v>151</v>
      </c>
      <c r="DL333" s="34" t="s">
        <v>151</v>
      </c>
      <c r="DM333" s="32" t="s">
        <v>151</v>
      </c>
      <c r="DN333" s="34" t="s">
        <v>151</v>
      </c>
      <c r="DO333" s="36">
        <v>0.31</v>
      </c>
      <c r="DP333" s="34">
        <v>21</v>
      </c>
      <c r="DQ333" s="36">
        <v>0</v>
      </c>
      <c r="DR333" s="32">
        <v>0</v>
      </c>
      <c r="DS333" s="36" t="s">
        <v>151</v>
      </c>
      <c r="DT333" s="34" t="s">
        <v>151</v>
      </c>
      <c r="DU333" s="36" t="s">
        <v>151</v>
      </c>
      <c r="DV333" s="34" t="s">
        <v>151</v>
      </c>
      <c r="DW333" s="36" t="s">
        <v>151</v>
      </c>
      <c r="DX333" s="34" t="s">
        <v>151</v>
      </c>
      <c r="DY333" s="31" t="s">
        <v>151</v>
      </c>
      <c r="DZ333" s="35" t="s">
        <v>151</v>
      </c>
      <c r="EA333" s="35" t="s">
        <v>151</v>
      </c>
      <c r="EB333" s="34">
        <v>4300</v>
      </c>
      <c r="EC333" s="33">
        <v>102</v>
      </c>
      <c r="ED333" s="32">
        <v>2.43</v>
      </c>
      <c r="EE333" s="34" t="s">
        <v>151</v>
      </c>
      <c r="EF333" s="33" t="s">
        <v>151</v>
      </c>
      <c r="EG333" s="32" t="s">
        <v>151</v>
      </c>
      <c r="EH333" s="29" t="s">
        <v>198</v>
      </c>
      <c r="EI333" s="30" t="s">
        <v>151</v>
      </c>
      <c r="EJ333" s="30" t="s">
        <v>151</v>
      </c>
      <c r="EK333" s="31" t="s">
        <v>151</v>
      </c>
      <c r="EL333" s="31" t="s">
        <v>151</v>
      </c>
      <c r="EM333" s="31" t="s">
        <v>151</v>
      </c>
      <c r="EN333" s="31" t="s">
        <v>151</v>
      </c>
      <c r="EO333" s="31" t="s">
        <v>151</v>
      </c>
      <c r="EP333" s="30" t="s">
        <v>151</v>
      </c>
      <c r="EQ333" s="29" t="s">
        <v>151</v>
      </c>
      <c r="ER333" s="29" t="s">
        <v>151</v>
      </c>
      <c r="ES333" s="4">
        <f>HYPERLINK("https://my.pitchbook.com?c=489049-03","View Company Online")</f>
      </c>
    </row>
    <row r="334">
      <c r="A334" s="17" t="s">
        <v>7283</v>
      </c>
      <c r="B334" s="17" t="s">
        <v>7284</v>
      </c>
      <c r="C334" s="18" t="s">
        <v>151</v>
      </c>
      <c r="D334" s="17" t="s">
        <v>7285</v>
      </c>
      <c r="E334" s="17" t="s">
        <v>151</v>
      </c>
      <c r="F334" s="17" t="s">
        <v>7286</v>
      </c>
      <c r="G334" s="17" t="s">
        <v>151</v>
      </c>
      <c r="H334" s="17" t="s">
        <v>151</v>
      </c>
      <c r="I334" s="17" t="s">
        <v>7287</v>
      </c>
      <c r="J334" s="17" t="s">
        <v>7283</v>
      </c>
      <c r="K334" s="17" t="s">
        <v>7288</v>
      </c>
      <c r="L334" s="17" t="s">
        <v>205</v>
      </c>
      <c r="M334" s="17" t="s">
        <v>206</v>
      </c>
      <c r="N334" s="17" t="s">
        <v>269</v>
      </c>
      <c r="O334" s="17" t="s">
        <v>1819</v>
      </c>
      <c r="P334" s="17" t="s">
        <v>1153</v>
      </c>
      <c r="Q334" s="17" t="s">
        <v>7289</v>
      </c>
      <c r="R334" s="17" t="s">
        <v>151</v>
      </c>
      <c r="S334" s="17" t="s">
        <v>162</v>
      </c>
      <c r="T334" s="24">
        <v>1.2</v>
      </c>
      <c r="U334" s="17" t="s">
        <v>1727</v>
      </c>
      <c r="V334" s="17" t="s">
        <v>164</v>
      </c>
      <c r="W334" s="17" t="s">
        <v>165</v>
      </c>
      <c r="X334" s="15" t="s">
        <v>7290</v>
      </c>
      <c r="Y334" s="15" t="s">
        <v>7291</v>
      </c>
      <c r="Z334" s="27">
        <v>10</v>
      </c>
      <c r="AA334" s="17" t="s">
        <v>7292</v>
      </c>
      <c r="AB334" s="17" t="s">
        <v>151</v>
      </c>
      <c r="AC334" s="17" t="s">
        <v>151</v>
      </c>
      <c r="AD334" s="26">
        <v>2019</v>
      </c>
      <c r="AE334" s="17" t="s">
        <v>151</v>
      </c>
      <c r="AF334" s="22">
        <v>45485</v>
      </c>
      <c r="AG334" s="17" t="s">
        <v>151</v>
      </c>
      <c r="AH334" s="17" t="s">
        <v>151</v>
      </c>
      <c r="AI334" s="25" t="s">
        <v>151</v>
      </c>
      <c r="AJ334" s="19" t="s">
        <v>151</v>
      </c>
      <c r="AK334" s="25" t="s">
        <v>151</v>
      </c>
      <c r="AL334" s="25" t="s">
        <v>151</v>
      </c>
      <c r="AM334" s="25" t="s">
        <v>151</v>
      </c>
      <c r="AN334" s="25" t="s">
        <v>151</v>
      </c>
      <c r="AO334" s="25" t="s">
        <v>151</v>
      </c>
      <c r="AP334" s="25" t="s">
        <v>151</v>
      </c>
      <c r="AQ334" s="25" t="s">
        <v>151</v>
      </c>
      <c r="AR334" s="16" t="s">
        <v>151</v>
      </c>
      <c r="AS334" s="17" t="s">
        <v>7293</v>
      </c>
      <c r="AT334" s="17" t="s">
        <v>7294</v>
      </c>
      <c r="AU334" s="18">
        <v>6</v>
      </c>
      <c r="AV334" s="17" t="s">
        <v>151</v>
      </c>
      <c r="AW334" s="17" t="s">
        <v>151</v>
      </c>
      <c r="AX334" s="17" t="s">
        <v>151</v>
      </c>
      <c r="AY334" s="17" t="s">
        <v>7295</v>
      </c>
      <c r="AZ334" s="17" t="s">
        <v>151</v>
      </c>
      <c r="BA334" s="17" t="s">
        <v>151</v>
      </c>
      <c r="BB334" s="17" t="s">
        <v>2781</v>
      </c>
      <c r="BC334" s="17" t="s">
        <v>2424</v>
      </c>
      <c r="BD334" s="17" t="s">
        <v>7296</v>
      </c>
      <c r="BE334" s="17" t="s">
        <v>7297</v>
      </c>
      <c r="BF334" s="17" t="s">
        <v>221</v>
      </c>
      <c r="BG334" s="17" t="s">
        <v>7298</v>
      </c>
      <c r="BH334" s="17" t="s">
        <v>151</v>
      </c>
      <c r="BI334" s="17" t="s">
        <v>7299</v>
      </c>
      <c r="BJ334" s="17" t="s">
        <v>7300</v>
      </c>
      <c r="BK334" s="17" t="s">
        <v>151</v>
      </c>
      <c r="BL334" s="17" t="s">
        <v>5723</v>
      </c>
      <c r="BM334" s="17" t="s">
        <v>184</v>
      </c>
      <c r="BN334" s="16" t="s">
        <v>7301</v>
      </c>
      <c r="BO334" s="17" t="s">
        <v>186</v>
      </c>
      <c r="BP334" s="16" t="s">
        <v>151</v>
      </c>
      <c r="BQ334" s="16" t="s">
        <v>151</v>
      </c>
      <c r="BR334" s="17" t="s">
        <v>151</v>
      </c>
      <c r="BS334" s="17" t="s">
        <v>187</v>
      </c>
      <c r="BT334" s="17" t="s">
        <v>188</v>
      </c>
      <c r="BU334" s="22">
        <v>44562</v>
      </c>
      <c r="BV334" s="24">
        <v>1.2</v>
      </c>
      <c r="BW334" s="17" t="s">
        <v>192</v>
      </c>
      <c r="BX334" s="24" t="s">
        <v>151</v>
      </c>
      <c r="BY334" s="17" t="s">
        <v>151</v>
      </c>
      <c r="BZ334" s="17" t="s">
        <v>231</v>
      </c>
      <c r="CA334" s="17" t="s">
        <v>151</v>
      </c>
      <c r="CB334" s="17" t="s">
        <v>151</v>
      </c>
      <c r="CC334" s="17" t="s">
        <v>165</v>
      </c>
      <c r="CD334" s="17" t="s">
        <v>7302</v>
      </c>
      <c r="CE334" s="17" t="s">
        <v>191</v>
      </c>
      <c r="CF334" s="22">
        <v>44562</v>
      </c>
      <c r="CG334" s="24">
        <v>1.2</v>
      </c>
      <c r="CH334" s="17" t="s">
        <v>192</v>
      </c>
      <c r="CI334" s="24" t="s">
        <v>151</v>
      </c>
      <c r="CJ334" s="17" t="s">
        <v>151</v>
      </c>
      <c r="CK334" s="16" t="s">
        <v>151</v>
      </c>
      <c r="CL334" s="17" t="s">
        <v>231</v>
      </c>
      <c r="CM334" s="17" t="s">
        <v>151</v>
      </c>
      <c r="CN334" s="17" t="s">
        <v>151</v>
      </c>
      <c r="CO334" s="17" t="s">
        <v>165</v>
      </c>
      <c r="CP334" s="22">
        <v>44562</v>
      </c>
      <c r="CQ334" s="24">
        <v>1.2</v>
      </c>
      <c r="CR334" s="17" t="s">
        <v>7302</v>
      </c>
      <c r="CS334" s="17" t="s">
        <v>191</v>
      </c>
      <c r="CT334" s="16" t="s">
        <v>151</v>
      </c>
      <c r="CU334" s="17" t="s">
        <v>151</v>
      </c>
      <c r="CV334" s="19" t="s">
        <v>151</v>
      </c>
      <c r="CW334" s="19" t="s">
        <v>151</v>
      </c>
      <c r="CX334" s="17" t="s">
        <v>151</v>
      </c>
      <c r="CY334" s="19" t="s">
        <v>151</v>
      </c>
      <c r="CZ334" s="19" t="s">
        <v>151</v>
      </c>
      <c r="DA334" s="24" t="s">
        <v>151</v>
      </c>
      <c r="DB334" s="22" t="s">
        <v>151</v>
      </c>
      <c r="DC334" s="17" t="s">
        <v>151</v>
      </c>
      <c r="DD334" s="16" t="s">
        <v>151</v>
      </c>
      <c r="DE334" s="19">
        <v>0</v>
      </c>
      <c r="DF334" s="21">
        <v>11</v>
      </c>
      <c r="DG334" s="19">
        <v>0</v>
      </c>
      <c r="DH334" s="19">
        <v>0</v>
      </c>
      <c r="DI334" s="19">
        <v>0</v>
      </c>
      <c r="DJ334" s="21">
        <v>10</v>
      </c>
      <c r="DK334" s="19" t="s">
        <v>151</v>
      </c>
      <c r="DL334" s="21" t="s">
        <v>151</v>
      </c>
      <c r="DM334" s="19">
        <v>0</v>
      </c>
      <c r="DN334" s="21">
        <v>10</v>
      </c>
      <c r="DO334" s="23">
        <v>0.26</v>
      </c>
      <c r="DP334" s="21">
        <v>17</v>
      </c>
      <c r="DQ334" s="23">
        <v>0</v>
      </c>
      <c r="DR334" s="19">
        <v>0</v>
      </c>
      <c r="DS334" s="23">
        <v>0.26</v>
      </c>
      <c r="DT334" s="21">
        <v>18</v>
      </c>
      <c r="DU334" s="23" t="s">
        <v>151</v>
      </c>
      <c r="DV334" s="21" t="s">
        <v>151</v>
      </c>
      <c r="DW334" s="23">
        <v>0.26</v>
      </c>
      <c r="DX334" s="21">
        <v>18</v>
      </c>
      <c r="DY334" s="18" t="s">
        <v>151</v>
      </c>
      <c r="DZ334" s="22" t="s">
        <v>151</v>
      </c>
      <c r="EA334" s="22" t="s">
        <v>151</v>
      </c>
      <c r="EB334" s="21">
        <v>175</v>
      </c>
      <c r="EC334" s="20">
        <v>30</v>
      </c>
      <c r="ED334" s="19">
        <v>20.69</v>
      </c>
      <c r="EE334" s="21">
        <v>5</v>
      </c>
      <c r="EF334" s="20">
        <v>0</v>
      </c>
      <c r="EG334" s="19">
        <v>0</v>
      </c>
      <c r="EH334" s="16" t="s">
        <v>198</v>
      </c>
      <c r="EI334" s="17" t="s">
        <v>151</v>
      </c>
      <c r="EJ334" s="17" t="s">
        <v>151</v>
      </c>
      <c r="EK334" s="18" t="s">
        <v>151</v>
      </c>
      <c r="EL334" s="18" t="s">
        <v>151</v>
      </c>
      <c r="EM334" s="18" t="s">
        <v>151</v>
      </c>
      <c r="EN334" s="18" t="s">
        <v>151</v>
      </c>
      <c r="EO334" s="18" t="s">
        <v>151</v>
      </c>
      <c r="EP334" s="17" t="s">
        <v>151</v>
      </c>
      <c r="EQ334" s="16" t="s">
        <v>151</v>
      </c>
      <c r="ER334" s="16" t="s">
        <v>151</v>
      </c>
      <c r="ES334" s="3">
        <f>HYPERLINK("https://my.pitchbook.com?c=494832-79","View Company Online")</f>
      </c>
    </row>
    <row r="335">
      <c r="A335" s="30" t="s">
        <v>7303</v>
      </c>
      <c r="B335" s="30" t="s">
        <v>7304</v>
      </c>
      <c r="C335" s="31" t="s">
        <v>151</v>
      </c>
      <c r="D335" s="30" t="s">
        <v>151</v>
      </c>
      <c r="E335" s="30" t="s">
        <v>151</v>
      </c>
      <c r="F335" s="30" t="s">
        <v>7305</v>
      </c>
      <c r="G335" s="30" t="s">
        <v>151</v>
      </c>
      <c r="H335" s="30" t="s">
        <v>151</v>
      </c>
      <c r="I335" s="30" t="s">
        <v>7306</v>
      </c>
      <c r="J335" s="30" t="s">
        <v>7303</v>
      </c>
      <c r="K335" s="30" t="s">
        <v>7307</v>
      </c>
      <c r="L335" s="30" t="s">
        <v>205</v>
      </c>
      <c r="M335" s="30" t="s">
        <v>206</v>
      </c>
      <c r="N335" s="30" t="s">
        <v>269</v>
      </c>
      <c r="O335" s="30" t="s">
        <v>563</v>
      </c>
      <c r="P335" s="30" t="s">
        <v>7308</v>
      </c>
      <c r="Q335" s="30" t="s">
        <v>7309</v>
      </c>
      <c r="R335" s="30" t="s">
        <v>151</v>
      </c>
      <c r="S335" s="30" t="s">
        <v>162</v>
      </c>
      <c r="T335" s="37">
        <v>55.77</v>
      </c>
      <c r="U335" s="30" t="s">
        <v>163</v>
      </c>
      <c r="V335" s="30" t="s">
        <v>164</v>
      </c>
      <c r="W335" s="30" t="s">
        <v>165</v>
      </c>
      <c r="X335" s="28" t="s">
        <v>7310</v>
      </c>
      <c r="Y335" s="28" t="s">
        <v>7311</v>
      </c>
      <c r="Z335" s="40">
        <v>93</v>
      </c>
      <c r="AA335" s="30" t="s">
        <v>7312</v>
      </c>
      <c r="AB335" s="30" t="s">
        <v>151</v>
      </c>
      <c r="AC335" s="30" t="s">
        <v>151</v>
      </c>
      <c r="AD335" s="39">
        <v>2020</v>
      </c>
      <c r="AE335" s="30" t="s">
        <v>151</v>
      </c>
      <c r="AF335" s="35">
        <v>45510</v>
      </c>
      <c r="AG335" s="30" t="s">
        <v>151</v>
      </c>
      <c r="AH335" s="30" t="s">
        <v>151</v>
      </c>
      <c r="AI335" s="38" t="s">
        <v>151</v>
      </c>
      <c r="AJ335" s="32" t="s">
        <v>151</v>
      </c>
      <c r="AK335" s="38" t="s">
        <v>151</v>
      </c>
      <c r="AL335" s="38" t="s">
        <v>151</v>
      </c>
      <c r="AM335" s="38" t="s">
        <v>151</v>
      </c>
      <c r="AN335" s="38" t="s">
        <v>151</v>
      </c>
      <c r="AO335" s="38" t="s">
        <v>151</v>
      </c>
      <c r="AP335" s="38" t="s">
        <v>151</v>
      </c>
      <c r="AQ335" s="38" t="s">
        <v>151</v>
      </c>
      <c r="AR335" s="29" t="s">
        <v>151</v>
      </c>
      <c r="AS335" s="30" t="s">
        <v>7313</v>
      </c>
      <c r="AT335" s="30" t="s">
        <v>7314</v>
      </c>
      <c r="AU335" s="31">
        <v>7</v>
      </c>
      <c r="AV335" s="30" t="s">
        <v>151</v>
      </c>
      <c r="AW335" s="30" t="s">
        <v>151</v>
      </c>
      <c r="AX335" s="30" t="s">
        <v>151</v>
      </c>
      <c r="AY335" s="30" t="s">
        <v>7315</v>
      </c>
      <c r="AZ335" s="30" t="s">
        <v>151</v>
      </c>
      <c r="BA335" s="30" t="s">
        <v>151</v>
      </c>
      <c r="BB335" s="30" t="s">
        <v>151</v>
      </c>
      <c r="BC335" s="30" t="s">
        <v>343</v>
      </c>
      <c r="BD335" s="30" t="s">
        <v>7316</v>
      </c>
      <c r="BE335" s="30" t="s">
        <v>7317</v>
      </c>
      <c r="BF335" s="30" t="s">
        <v>221</v>
      </c>
      <c r="BG335" s="30" t="s">
        <v>7318</v>
      </c>
      <c r="BH335" s="30" t="s">
        <v>151</v>
      </c>
      <c r="BI335" s="30" t="s">
        <v>285</v>
      </c>
      <c r="BJ335" s="30" t="s">
        <v>151</v>
      </c>
      <c r="BK335" s="30" t="s">
        <v>151</v>
      </c>
      <c r="BL335" s="30" t="s">
        <v>288</v>
      </c>
      <c r="BM335" s="30" t="s">
        <v>289</v>
      </c>
      <c r="BN335" s="29" t="s">
        <v>151</v>
      </c>
      <c r="BO335" s="30" t="s">
        <v>186</v>
      </c>
      <c r="BP335" s="29" t="s">
        <v>151</v>
      </c>
      <c r="BQ335" s="29" t="s">
        <v>151</v>
      </c>
      <c r="BR335" s="30" t="s">
        <v>7319</v>
      </c>
      <c r="BS335" s="30" t="s">
        <v>187</v>
      </c>
      <c r="BT335" s="30" t="s">
        <v>188</v>
      </c>
      <c r="BU335" s="35">
        <v>43902</v>
      </c>
      <c r="BV335" s="37">
        <v>19.2</v>
      </c>
      <c r="BW335" s="30" t="s">
        <v>192</v>
      </c>
      <c r="BX335" s="37">
        <v>68.11</v>
      </c>
      <c r="BY335" s="30" t="s">
        <v>192</v>
      </c>
      <c r="BZ335" s="30" t="s">
        <v>231</v>
      </c>
      <c r="CA335" s="30" t="s">
        <v>232</v>
      </c>
      <c r="CB335" s="30" t="s">
        <v>151</v>
      </c>
      <c r="CC335" s="30" t="s">
        <v>165</v>
      </c>
      <c r="CD335" s="30" t="s">
        <v>7320</v>
      </c>
      <c r="CE335" s="30" t="s">
        <v>191</v>
      </c>
      <c r="CF335" s="35">
        <v>44287</v>
      </c>
      <c r="CG335" s="37">
        <v>32.3</v>
      </c>
      <c r="CH335" s="30" t="s">
        <v>192</v>
      </c>
      <c r="CI335" s="37">
        <v>322.3</v>
      </c>
      <c r="CJ335" s="30" t="s">
        <v>192</v>
      </c>
      <c r="CK335" s="29">
        <v>11.48</v>
      </c>
      <c r="CL335" s="30" t="s">
        <v>231</v>
      </c>
      <c r="CM335" s="30" t="s">
        <v>326</v>
      </c>
      <c r="CN335" s="30" t="s">
        <v>151</v>
      </c>
      <c r="CO335" s="30" t="s">
        <v>165</v>
      </c>
      <c r="CP335" s="35">
        <v>44287</v>
      </c>
      <c r="CQ335" s="37" t="s">
        <v>151</v>
      </c>
      <c r="CR335" s="30" t="s">
        <v>151</v>
      </c>
      <c r="CS335" s="30" t="s">
        <v>191</v>
      </c>
      <c r="CT335" s="29">
        <v>57</v>
      </c>
      <c r="CU335" s="30" t="s">
        <v>196</v>
      </c>
      <c r="CV335" s="32">
        <v>68</v>
      </c>
      <c r="CW335" s="32">
        <v>32</v>
      </c>
      <c r="CX335" s="30" t="s">
        <v>294</v>
      </c>
      <c r="CY335" s="32">
        <v>2</v>
      </c>
      <c r="CZ335" s="32">
        <v>66</v>
      </c>
      <c r="DA335" s="37">
        <v>322.3</v>
      </c>
      <c r="DB335" s="35">
        <v>44287</v>
      </c>
      <c r="DC335" s="30" t="s">
        <v>231</v>
      </c>
      <c r="DD335" s="29">
        <v>11.48</v>
      </c>
      <c r="DE335" s="32">
        <v>1.48</v>
      </c>
      <c r="DF335" s="34">
        <v>97</v>
      </c>
      <c r="DG335" s="32">
        <v>0</v>
      </c>
      <c r="DH335" s="32">
        <v>0</v>
      </c>
      <c r="DI335" s="32">
        <v>1.98</v>
      </c>
      <c r="DJ335" s="34">
        <v>98</v>
      </c>
      <c r="DK335" s="32">
        <v>2.4</v>
      </c>
      <c r="DL335" s="34">
        <v>95</v>
      </c>
      <c r="DM335" s="32">
        <v>1.55</v>
      </c>
      <c r="DN335" s="34">
        <v>98</v>
      </c>
      <c r="DO335" s="36">
        <v>25.3</v>
      </c>
      <c r="DP335" s="34">
        <v>96</v>
      </c>
      <c r="DQ335" s="36">
        <v>0</v>
      </c>
      <c r="DR335" s="32">
        <v>0</v>
      </c>
      <c r="DS335" s="36">
        <v>43.44</v>
      </c>
      <c r="DT335" s="34">
        <v>98</v>
      </c>
      <c r="DU335" s="36">
        <v>60.99</v>
      </c>
      <c r="DV335" s="34">
        <v>95</v>
      </c>
      <c r="DW335" s="36">
        <v>25.89</v>
      </c>
      <c r="DX335" s="34">
        <v>96</v>
      </c>
      <c r="DY335" s="31">
        <v>1</v>
      </c>
      <c r="DZ335" s="35">
        <v>44880</v>
      </c>
      <c r="EA335" s="35" t="s">
        <v>151</v>
      </c>
      <c r="EB335" s="34">
        <v>12536</v>
      </c>
      <c r="EC335" s="33">
        <v>242</v>
      </c>
      <c r="ED335" s="32">
        <v>1.97</v>
      </c>
      <c r="EE335" s="34">
        <v>492</v>
      </c>
      <c r="EF335" s="33">
        <v>5</v>
      </c>
      <c r="EG335" s="32">
        <v>1.03</v>
      </c>
      <c r="EH335" s="29" t="s">
        <v>198</v>
      </c>
      <c r="EI335" s="30" t="s">
        <v>151</v>
      </c>
      <c r="EJ335" s="30" t="s">
        <v>151</v>
      </c>
      <c r="EK335" s="31" t="s">
        <v>151</v>
      </c>
      <c r="EL335" s="31" t="s">
        <v>151</v>
      </c>
      <c r="EM335" s="31" t="s">
        <v>151</v>
      </c>
      <c r="EN335" s="31" t="s">
        <v>151</v>
      </c>
      <c r="EO335" s="31" t="s">
        <v>151</v>
      </c>
      <c r="EP335" s="30" t="s">
        <v>151</v>
      </c>
      <c r="EQ335" s="29" t="s">
        <v>151</v>
      </c>
      <c r="ER335" s="29" t="s">
        <v>151</v>
      </c>
      <c r="ES335" s="4">
        <f>HYPERLINK("https://my.pitchbook.com?c=437780-35","View Company Online")</f>
      </c>
    </row>
    <row r="336">
      <c r="A336" s="17" t="s">
        <v>7321</v>
      </c>
      <c r="B336" s="17" t="s">
        <v>7322</v>
      </c>
      <c r="C336" s="18" t="s">
        <v>151</v>
      </c>
      <c r="D336" s="17" t="s">
        <v>151</v>
      </c>
      <c r="E336" s="17" t="s">
        <v>151</v>
      </c>
      <c r="F336" s="17" t="s">
        <v>7323</v>
      </c>
      <c r="G336" s="17" t="s">
        <v>151</v>
      </c>
      <c r="H336" s="17" t="s">
        <v>151</v>
      </c>
      <c r="I336" s="17" t="s">
        <v>151</v>
      </c>
      <c r="J336" s="17" t="s">
        <v>7321</v>
      </c>
      <c r="K336" s="17" t="s">
        <v>7324</v>
      </c>
      <c r="L336" s="17" t="s">
        <v>616</v>
      </c>
      <c r="M336" s="17" t="s">
        <v>834</v>
      </c>
      <c r="N336" s="17" t="s">
        <v>1723</v>
      </c>
      <c r="O336" s="17" t="s">
        <v>7325</v>
      </c>
      <c r="P336" s="17" t="s">
        <v>1153</v>
      </c>
      <c r="Q336" s="17" t="s">
        <v>7326</v>
      </c>
      <c r="R336" s="17" t="s">
        <v>151</v>
      </c>
      <c r="S336" s="17" t="s">
        <v>162</v>
      </c>
      <c r="T336" s="24">
        <v>6.28</v>
      </c>
      <c r="U336" s="17" t="s">
        <v>163</v>
      </c>
      <c r="V336" s="17" t="s">
        <v>164</v>
      </c>
      <c r="W336" s="17" t="s">
        <v>165</v>
      </c>
      <c r="X336" s="15" t="s">
        <v>7327</v>
      </c>
      <c r="Y336" s="15" t="s">
        <v>7328</v>
      </c>
      <c r="Z336" s="27">
        <v>8</v>
      </c>
      <c r="AA336" s="17" t="s">
        <v>7329</v>
      </c>
      <c r="AB336" s="17" t="s">
        <v>151</v>
      </c>
      <c r="AC336" s="17" t="s">
        <v>151</v>
      </c>
      <c r="AD336" s="26">
        <v>2021</v>
      </c>
      <c r="AE336" s="17" t="s">
        <v>151</v>
      </c>
      <c r="AF336" s="22">
        <v>45588</v>
      </c>
      <c r="AG336" s="17" t="s">
        <v>151</v>
      </c>
      <c r="AH336" s="17" t="s">
        <v>151</v>
      </c>
      <c r="AI336" s="25" t="s">
        <v>151</v>
      </c>
      <c r="AJ336" s="19" t="s">
        <v>151</v>
      </c>
      <c r="AK336" s="25" t="s">
        <v>151</v>
      </c>
      <c r="AL336" s="25" t="s">
        <v>151</v>
      </c>
      <c r="AM336" s="25" t="s">
        <v>151</v>
      </c>
      <c r="AN336" s="25" t="s">
        <v>151</v>
      </c>
      <c r="AO336" s="25" t="s">
        <v>151</v>
      </c>
      <c r="AP336" s="25" t="s">
        <v>151</v>
      </c>
      <c r="AQ336" s="25" t="s">
        <v>151</v>
      </c>
      <c r="AR336" s="16" t="s">
        <v>151</v>
      </c>
      <c r="AS336" s="17" t="s">
        <v>7330</v>
      </c>
      <c r="AT336" s="17" t="s">
        <v>7331</v>
      </c>
      <c r="AU336" s="18">
        <v>6</v>
      </c>
      <c r="AV336" s="17" t="s">
        <v>151</v>
      </c>
      <c r="AW336" s="17" t="s">
        <v>151</v>
      </c>
      <c r="AX336" s="17" t="s">
        <v>151</v>
      </c>
      <c r="AY336" s="17" t="s">
        <v>7332</v>
      </c>
      <c r="AZ336" s="17" t="s">
        <v>151</v>
      </c>
      <c r="BA336" s="17" t="s">
        <v>151</v>
      </c>
      <c r="BB336" s="17" t="s">
        <v>151</v>
      </c>
      <c r="BC336" s="17" t="s">
        <v>1115</v>
      </c>
      <c r="BD336" s="17" t="s">
        <v>7333</v>
      </c>
      <c r="BE336" s="17" t="s">
        <v>7334</v>
      </c>
      <c r="BF336" s="17" t="s">
        <v>2585</v>
      </c>
      <c r="BG336" s="17" t="s">
        <v>7335</v>
      </c>
      <c r="BH336" s="17" t="s">
        <v>7336</v>
      </c>
      <c r="BI336" s="17" t="s">
        <v>764</v>
      </c>
      <c r="BJ336" s="17" t="s">
        <v>7337</v>
      </c>
      <c r="BK336" s="17" t="s">
        <v>7338</v>
      </c>
      <c r="BL336" s="17" t="s">
        <v>767</v>
      </c>
      <c r="BM336" s="17" t="s">
        <v>184</v>
      </c>
      <c r="BN336" s="16" t="s">
        <v>3001</v>
      </c>
      <c r="BO336" s="17" t="s">
        <v>186</v>
      </c>
      <c r="BP336" s="16" t="s">
        <v>7336</v>
      </c>
      <c r="BQ336" s="16" t="s">
        <v>151</v>
      </c>
      <c r="BR336" s="17" t="s">
        <v>151</v>
      </c>
      <c r="BS336" s="17" t="s">
        <v>187</v>
      </c>
      <c r="BT336" s="17" t="s">
        <v>188</v>
      </c>
      <c r="BU336" s="22">
        <v>45156</v>
      </c>
      <c r="BV336" s="24">
        <v>6.28</v>
      </c>
      <c r="BW336" s="17" t="s">
        <v>192</v>
      </c>
      <c r="BX336" s="24">
        <v>14.5</v>
      </c>
      <c r="BY336" s="17" t="s">
        <v>192</v>
      </c>
      <c r="BZ336" s="17" t="s">
        <v>293</v>
      </c>
      <c r="CA336" s="17" t="s">
        <v>293</v>
      </c>
      <c r="CB336" s="17" t="s">
        <v>151</v>
      </c>
      <c r="CC336" s="17" t="s">
        <v>165</v>
      </c>
      <c r="CD336" s="17" t="s">
        <v>151</v>
      </c>
      <c r="CE336" s="17" t="s">
        <v>191</v>
      </c>
      <c r="CF336" s="22">
        <v>45398</v>
      </c>
      <c r="CG336" s="24" t="s">
        <v>151</v>
      </c>
      <c r="CH336" s="17" t="s">
        <v>151</v>
      </c>
      <c r="CI336" s="24" t="s">
        <v>151</v>
      </c>
      <c r="CJ336" s="17" t="s">
        <v>151</v>
      </c>
      <c r="CK336" s="16" t="s">
        <v>151</v>
      </c>
      <c r="CL336" s="17" t="s">
        <v>231</v>
      </c>
      <c r="CM336" s="17" t="s">
        <v>151</v>
      </c>
      <c r="CN336" s="17" t="s">
        <v>151</v>
      </c>
      <c r="CO336" s="17" t="s">
        <v>165</v>
      </c>
      <c r="CP336" s="22">
        <v>45398</v>
      </c>
      <c r="CQ336" s="24" t="s">
        <v>151</v>
      </c>
      <c r="CR336" s="17" t="s">
        <v>151</v>
      </c>
      <c r="CS336" s="17" t="s">
        <v>191</v>
      </c>
      <c r="CT336" s="16">
        <v>68</v>
      </c>
      <c r="CU336" s="17" t="s">
        <v>196</v>
      </c>
      <c r="CV336" s="19">
        <v>63</v>
      </c>
      <c r="CW336" s="19">
        <v>37</v>
      </c>
      <c r="CX336" s="17" t="s">
        <v>294</v>
      </c>
      <c r="CY336" s="19">
        <v>1</v>
      </c>
      <c r="CZ336" s="19">
        <v>62</v>
      </c>
      <c r="DA336" s="24">
        <v>14.5</v>
      </c>
      <c r="DB336" s="22">
        <v>45156</v>
      </c>
      <c r="DC336" s="17" t="s">
        <v>293</v>
      </c>
      <c r="DD336" s="16" t="s">
        <v>151</v>
      </c>
      <c r="DE336" s="19">
        <v>1.67</v>
      </c>
      <c r="DF336" s="21">
        <v>98</v>
      </c>
      <c r="DG336" s="19">
        <v>0</v>
      </c>
      <c r="DH336" s="19">
        <v>0</v>
      </c>
      <c r="DI336" s="19">
        <v>0</v>
      </c>
      <c r="DJ336" s="21">
        <v>10</v>
      </c>
      <c r="DK336" s="19" t="s">
        <v>151</v>
      </c>
      <c r="DL336" s="21" t="s">
        <v>151</v>
      </c>
      <c r="DM336" s="19">
        <v>0</v>
      </c>
      <c r="DN336" s="21">
        <v>10</v>
      </c>
      <c r="DO336" s="23">
        <v>0.69</v>
      </c>
      <c r="DP336" s="21">
        <v>42</v>
      </c>
      <c r="DQ336" s="23">
        <v>0</v>
      </c>
      <c r="DR336" s="19">
        <v>0</v>
      </c>
      <c r="DS336" s="23">
        <v>0.68</v>
      </c>
      <c r="DT336" s="21">
        <v>41</v>
      </c>
      <c r="DU336" s="23" t="s">
        <v>151</v>
      </c>
      <c r="DV336" s="21" t="s">
        <v>151</v>
      </c>
      <c r="DW336" s="23">
        <v>0.68</v>
      </c>
      <c r="DX336" s="21">
        <v>40</v>
      </c>
      <c r="DY336" s="18" t="s">
        <v>151</v>
      </c>
      <c r="DZ336" s="22" t="s">
        <v>151</v>
      </c>
      <c r="EA336" s="22" t="s">
        <v>151</v>
      </c>
      <c r="EB336" s="21">
        <v>289</v>
      </c>
      <c r="EC336" s="20">
        <v>63</v>
      </c>
      <c r="ED336" s="19">
        <v>27.88</v>
      </c>
      <c r="EE336" s="21">
        <v>13</v>
      </c>
      <c r="EF336" s="20">
        <v>0</v>
      </c>
      <c r="EG336" s="19">
        <v>0</v>
      </c>
      <c r="EH336" s="16" t="s">
        <v>198</v>
      </c>
      <c r="EI336" s="17" t="s">
        <v>151</v>
      </c>
      <c r="EJ336" s="17" t="s">
        <v>151</v>
      </c>
      <c r="EK336" s="18" t="s">
        <v>151</v>
      </c>
      <c r="EL336" s="18" t="s">
        <v>151</v>
      </c>
      <c r="EM336" s="18" t="s">
        <v>151</v>
      </c>
      <c r="EN336" s="18" t="s">
        <v>151</v>
      </c>
      <c r="EO336" s="18" t="s">
        <v>151</v>
      </c>
      <c r="EP336" s="17" t="s">
        <v>151</v>
      </c>
      <c r="EQ336" s="16" t="s">
        <v>151</v>
      </c>
      <c r="ER336" s="16" t="s">
        <v>151</v>
      </c>
      <c r="ES336" s="3">
        <f>HYPERLINK("https://my.pitchbook.com?c=531014-23","View Company Online")</f>
      </c>
    </row>
    <row r="337">
      <c r="A337" s="30" t="s">
        <v>7339</v>
      </c>
      <c r="B337" s="30" t="s">
        <v>7340</v>
      </c>
      <c r="C337" s="31" t="s">
        <v>151</v>
      </c>
      <c r="D337" s="30" t="s">
        <v>151</v>
      </c>
      <c r="E337" s="30" t="s">
        <v>7341</v>
      </c>
      <c r="F337" s="30" t="s">
        <v>7342</v>
      </c>
      <c r="G337" s="30" t="s">
        <v>151</v>
      </c>
      <c r="H337" s="30" t="s">
        <v>151</v>
      </c>
      <c r="I337" s="30" t="s">
        <v>7343</v>
      </c>
      <c r="J337" s="30" t="s">
        <v>7339</v>
      </c>
      <c r="K337" s="30" t="s">
        <v>7344</v>
      </c>
      <c r="L337" s="30" t="s">
        <v>205</v>
      </c>
      <c r="M337" s="30" t="s">
        <v>206</v>
      </c>
      <c r="N337" s="30" t="s">
        <v>917</v>
      </c>
      <c r="O337" s="30" t="s">
        <v>7345</v>
      </c>
      <c r="P337" s="30" t="s">
        <v>151</v>
      </c>
      <c r="Q337" s="30" t="s">
        <v>7346</v>
      </c>
      <c r="R337" s="30" t="s">
        <v>151</v>
      </c>
      <c r="S337" s="30" t="s">
        <v>162</v>
      </c>
      <c r="T337" s="37">
        <v>2.59</v>
      </c>
      <c r="U337" s="30" t="s">
        <v>163</v>
      </c>
      <c r="V337" s="30" t="s">
        <v>164</v>
      </c>
      <c r="W337" s="30" t="s">
        <v>165</v>
      </c>
      <c r="X337" s="28" t="s">
        <v>7347</v>
      </c>
      <c r="Y337" s="28" t="s">
        <v>7348</v>
      </c>
      <c r="Z337" s="40">
        <v>5</v>
      </c>
      <c r="AA337" s="30" t="s">
        <v>7349</v>
      </c>
      <c r="AB337" s="30" t="s">
        <v>151</v>
      </c>
      <c r="AC337" s="30" t="s">
        <v>151</v>
      </c>
      <c r="AD337" s="39">
        <v>2018</v>
      </c>
      <c r="AE337" s="30" t="s">
        <v>151</v>
      </c>
      <c r="AF337" s="35">
        <v>45510</v>
      </c>
      <c r="AG337" s="30" t="s">
        <v>151</v>
      </c>
      <c r="AH337" s="30" t="s">
        <v>151</v>
      </c>
      <c r="AI337" s="38" t="s">
        <v>151</v>
      </c>
      <c r="AJ337" s="32" t="s">
        <v>151</v>
      </c>
      <c r="AK337" s="38" t="s">
        <v>151</v>
      </c>
      <c r="AL337" s="38">
        <v>-0.09</v>
      </c>
      <c r="AM337" s="38" t="s">
        <v>151</v>
      </c>
      <c r="AN337" s="38" t="s">
        <v>151</v>
      </c>
      <c r="AO337" s="38" t="s">
        <v>151</v>
      </c>
      <c r="AP337" s="38" t="s">
        <v>151</v>
      </c>
      <c r="AQ337" s="38" t="s">
        <v>151</v>
      </c>
      <c r="AR337" s="29" t="s">
        <v>2328</v>
      </c>
      <c r="AS337" s="30" t="s">
        <v>7350</v>
      </c>
      <c r="AT337" s="30" t="s">
        <v>7351</v>
      </c>
      <c r="AU337" s="31">
        <v>10</v>
      </c>
      <c r="AV337" s="30" t="s">
        <v>151</v>
      </c>
      <c r="AW337" s="30" t="s">
        <v>151</v>
      </c>
      <c r="AX337" s="30" t="s">
        <v>151</v>
      </c>
      <c r="AY337" s="30" t="s">
        <v>7352</v>
      </c>
      <c r="AZ337" s="30" t="s">
        <v>151</v>
      </c>
      <c r="BA337" s="30" t="s">
        <v>151</v>
      </c>
      <c r="BB337" s="30" t="s">
        <v>151</v>
      </c>
      <c r="BC337" s="30" t="s">
        <v>1354</v>
      </c>
      <c r="BD337" s="30" t="s">
        <v>7353</v>
      </c>
      <c r="BE337" s="30" t="s">
        <v>7354</v>
      </c>
      <c r="BF337" s="30" t="s">
        <v>493</v>
      </c>
      <c r="BG337" s="30" t="s">
        <v>151</v>
      </c>
      <c r="BH337" s="30" t="s">
        <v>7355</v>
      </c>
      <c r="BI337" s="30" t="s">
        <v>934</v>
      </c>
      <c r="BJ337" s="30" t="s">
        <v>7356</v>
      </c>
      <c r="BK337" s="30" t="s">
        <v>7357</v>
      </c>
      <c r="BL337" s="30" t="s">
        <v>937</v>
      </c>
      <c r="BM337" s="30" t="s">
        <v>184</v>
      </c>
      <c r="BN337" s="29" t="s">
        <v>7358</v>
      </c>
      <c r="BO337" s="30" t="s">
        <v>186</v>
      </c>
      <c r="BP337" s="29" t="s">
        <v>151</v>
      </c>
      <c r="BQ337" s="29" t="s">
        <v>151</v>
      </c>
      <c r="BR337" s="30" t="s">
        <v>7359</v>
      </c>
      <c r="BS337" s="30" t="s">
        <v>187</v>
      </c>
      <c r="BT337" s="30" t="s">
        <v>188</v>
      </c>
      <c r="BU337" s="35">
        <v>43320</v>
      </c>
      <c r="BV337" s="37">
        <v>0.1</v>
      </c>
      <c r="BW337" s="30" t="s">
        <v>192</v>
      </c>
      <c r="BX337" s="37" t="s">
        <v>151</v>
      </c>
      <c r="BY337" s="30" t="s">
        <v>151</v>
      </c>
      <c r="BZ337" s="30" t="s">
        <v>1391</v>
      </c>
      <c r="CA337" s="30" t="s">
        <v>151</v>
      </c>
      <c r="CB337" s="30" t="s">
        <v>151</v>
      </c>
      <c r="CC337" s="30" t="s">
        <v>585</v>
      </c>
      <c r="CD337" s="30" t="s">
        <v>151</v>
      </c>
      <c r="CE337" s="30" t="s">
        <v>191</v>
      </c>
      <c r="CF337" s="35">
        <v>44973</v>
      </c>
      <c r="CG337" s="37">
        <v>2</v>
      </c>
      <c r="CH337" s="30" t="s">
        <v>192</v>
      </c>
      <c r="CI337" s="37">
        <v>6</v>
      </c>
      <c r="CJ337" s="30" t="s">
        <v>192</v>
      </c>
      <c r="CK337" s="29" t="s">
        <v>151</v>
      </c>
      <c r="CL337" s="30" t="s">
        <v>293</v>
      </c>
      <c r="CM337" s="30" t="s">
        <v>293</v>
      </c>
      <c r="CN337" s="30" t="s">
        <v>151</v>
      </c>
      <c r="CO337" s="30" t="s">
        <v>165</v>
      </c>
      <c r="CP337" s="35">
        <v>44973</v>
      </c>
      <c r="CQ337" s="37" t="s">
        <v>151</v>
      </c>
      <c r="CR337" s="30" t="s">
        <v>151</v>
      </c>
      <c r="CS337" s="30" t="s">
        <v>191</v>
      </c>
      <c r="CT337" s="29" t="s">
        <v>151</v>
      </c>
      <c r="CU337" s="30" t="s">
        <v>151</v>
      </c>
      <c r="CV337" s="32" t="s">
        <v>151</v>
      </c>
      <c r="CW337" s="32" t="s">
        <v>151</v>
      </c>
      <c r="CX337" s="30" t="s">
        <v>151</v>
      </c>
      <c r="CY337" s="32" t="s">
        <v>151</v>
      </c>
      <c r="CZ337" s="32" t="s">
        <v>151</v>
      </c>
      <c r="DA337" s="37">
        <v>6</v>
      </c>
      <c r="DB337" s="35">
        <v>44973</v>
      </c>
      <c r="DC337" s="30" t="s">
        <v>293</v>
      </c>
      <c r="DD337" s="29" t="s">
        <v>151</v>
      </c>
      <c r="DE337" s="32">
        <v>-1.35</v>
      </c>
      <c r="DF337" s="34">
        <v>3</v>
      </c>
      <c r="DG337" s="32">
        <v>0</v>
      </c>
      <c r="DH337" s="32">
        <v>0</v>
      </c>
      <c r="DI337" s="32">
        <v>-0.61</v>
      </c>
      <c r="DJ337" s="34">
        <v>6</v>
      </c>
      <c r="DK337" s="32" t="s">
        <v>151</v>
      </c>
      <c r="DL337" s="34" t="s">
        <v>151</v>
      </c>
      <c r="DM337" s="32">
        <v>-0.61</v>
      </c>
      <c r="DN337" s="34">
        <v>6</v>
      </c>
      <c r="DO337" s="36">
        <v>2.43</v>
      </c>
      <c r="DP337" s="34">
        <v>70</v>
      </c>
      <c r="DQ337" s="36">
        <v>0</v>
      </c>
      <c r="DR337" s="32">
        <v>0</v>
      </c>
      <c r="DS337" s="36">
        <v>4.47</v>
      </c>
      <c r="DT337" s="34">
        <v>81</v>
      </c>
      <c r="DU337" s="36" t="s">
        <v>151</v>
      </c>
      <c r="DV337" s="34" t="s">
        <v>151</v>
      </c>
      <c r="DW337" s="36">
        <v>4.47</v>
      </c>
      <c r="DX337" s="34">
        <v>80</v>
      </c>
      <c r="DY337" s="31" t="s">
        <v>151</v>
      </c>
      <c r="DZ337" s="35" t="s">
        <v>151</v>
      </c>
      <c r="EA337" s="35" t="s">
        <v>151</v>
      </c>
      <c r="EB337" s="34">
        <v>0</v>
      </c>
      <c r="EC337" s="33">
        <v>0</v>
      </c>
      <c r="ED337" s="32">
        <v>0</v>
      </c>
      <c r="EE337" s="34">
        <v>85</v>
      </c>
      <c r="EF337" s="33">
        <v>-2</v>
      </c>
      <c r="EG337" s="32">
        <v>-2.3</v>
      </c>
      <c r="EH337" s="29" t="s">
        <v>198</v>
      </c>
      <c r="EI337" s="30" t="s">
        <v>151</v>
      </c>
      <c r="EJ337" s="30" t="s">
        <v>151</v>
      </c>
      <c r="EK337" s="31" t="s">
        <v>151</v>
      </c>
      <c r="EL337" s="31" t="s">
        <v>151</v>
      </c>
      <c r="EM337" s="31" t="s">
        <v>151</v>
      </c>
      <c r="EN337" s="31" t="s">
        <v>151</v>
      </c>
      <c r="EO337" s="31" t="s">
        <v>151</v>
      </c>
      <c r="EP337" s="30" t="s">
        <v>151</v>
      </c>
      <c r="EQ337" s="29" t="s">
        <v>151</v>
      </c>
      <c r="ER337" s="29" t="s">
        <v>151</v>
      </c>
      <c r="ES337" s="4">
        <f>HYPERLINK("https://my.pitchbook.com?c=438738-49","View Company Online")</f>
      </c>
    </row>
    <row r="338">
      <c r="A338" s="17" t="s">
        <v>7360</v>
      </c>
      <c r="B338" s="17" t="s">
        <v>7361</v>
      </c>
      <c r="C338" s="18" t="s">
        <v>151</v>
      </c>
      <c r="D338" s="17" t="s">
        <v>151</v>
      </c>
      <c r="E338" s="17" t="s">
        <v>151</v>
      </c>
      <c r="F338" s="17" t="s">
        <v>7362</v>
      </c>
      <c r="G338" s="17" t="s">
        <v>151</v>
      </c>
      <c r="H338" s="17" t="s">
        <v>151</v>
      </c>
      <c r="I338" s="17" t="s">
        <v>7363</v>
      </c>
      <c r="J338" s="17" t="s">
        <v>7360</v>
      </c>
      <c r="K338" s="17" t="s">
        <v>7364</v>
      </c>
      <c r="L338" s="17" t="s">
        <v>205</v>
      </c>
      <c r="M338" s="17" t="s">
        <v>206</v>
      </c>
      <c r="N338" s="17" t="s">
        <v>269</v>
      </c>
      <c r="O338" s="17" t="s">
        <v>7365</v>
      </c>
      <c r="P338" s="17" t="s">
        <v>1652</v>
      </c>
      <c r="Q338" s="17" t="s">
        <v>7366</v>
      </c>
      <c r="R338" s="17" t="s">
        <v>151</v>
      </c>
      <c r="S338" s="17" t="s">
        <v>162</v>
      </c>
      <c r="T338" s="24">
        <v>4.5</v>
      </c>
      <c r="U338" s="17" t="s">
        <v>163</v>
      </c>
      <c r="V338" s="17" t="s">
        <v>164</v>
      </c>
      <c r="W338" s="17" t="s">
        <v>165</v>
      </c>
      <c r="X338" s="15" t="s">
        <v>7367</v>
      </c>
      <c r="Y338" s="15" t="s">
        <v>7368</v>
      </c>
      <c r="Z338" s="27">
        <v>11</v>
      </c>
      <c r="AA338" s="17" t="s">
        <v>7369</v>
      </c>
      <c r="AB338" s="17" t="s">
        <v>151</v>
      </c>
      <c r="AC338" s="17" t="s">
        <v>151</v>
      </c>
      <c r="AD338" s="26">
        <v>2021</v>
      </c>
      <c r="AE338" s="17" t="s">
        <v>151</v>
      </c>
      <c r="AF338" s="22">
        <v>45576</v>
      </c>
      <c r="AG338" s="17" t="s">
        <v>151</v>
      </c>
      <c r="AH338" s="17" t="s">
        <v>151</v>
      </c>
      <c r="AI338" s="25" t="s">
        <v>151</v>
      </c>
      <c r="AJ338" s="19" t="s">
        <v>151</v>
      </c>
      <c r="AK338" s="25" t="s">
        <v>151</v>
      </c>
      <c r="AL338" s="25" t="s">
        <v>151</v>
      </c>
      <c r="AM338" s="25" t="s">
        <v>151</v>
      </c>
      <c r="AN338" s="25" t="s">
        <v>151</v>
      </c>
      <c r="AO338" s="25" t="s">
        <v>151</v>
      </c>
      <c r="AP338" s="25" t="s">
        <v>151</v>
      </c>
      <c r="AQ338" s="25" t="s">
        <v>151</v>
      </c>
      <c r="AR338" s="16" t="s">
        <v>151</v>
      </c>
      <c r="AS338" s="17" t="s">
        <v>7370</v>
      </c>
      <c r="AT338" s="17" t="s">
        <v>7371</v>
      </c>
      <c r="AU338" s="18">
        <v>4</v>
      </c>
      <c r="AV338" s="17" t="s">
        <v>151</v>
      </c>
      <c r="AW338" s="17" t="s">
        <v>151</v>
      </c>
      <c r="AX338" s="17" t="s">
        <v>151</v>
      </c>
      <c r="AY338" s="17" t="s">
        <v>7372</v>
      </c>
      <c r="AZ338" s="17" t="s">
        <v>151</v>
      </c>
      <c r="BA338" s="17" t="s">
        <v>151</v>
      </c>
      <c r="BB338" s="17" t="s">
        <v>151</v>
      </c>
      <c r="BC338" s="17" t="s">
        <v>151</v>
      </c>
      <c r="BD338" s="17" t="s">
        <v>7373</v>
      </c>
      <c r="BE338" s="17" t="s">
        <v>7374</v>
      </c>
      <c r="BF338" s="17" t="s">
        <v>221</v>
      </c>
      <c r="BG338" s="17" t="s">
        <v>7375</v>
      </c>
      <c r="BH338" s="17" t="s">
        <v>151</v>
      </c>
      <c r="BI338" s="17" t="s">
        <v>764</v>
      </c>
      <c r="BJ338" s="17" t="s">
        <v>151</v>
      </c>
      <c r="BK338" s="17" t="s">
        <v>151</v>
      </c>
      <c r="BL338" s="17" t="s">
        <v>767</v>
      </c>
      <c r="BM338" s="17" t="s">
        <v>184</v>
      </c>
      <c r="BN338" s="16" t="s">
        <v>151</v>
      </c>
      <c r="BO338" s="17" t="s">
        <v>186</v>
      </c>
      <c r="BP338" s="16" t="s">
        <v>151</v>
      </c>
      <c r="BQ338" s="16" t="s">
        <v>151</v>
      </c>
      <c r="BR338" s="17" t="s">
        <v>151</v>
      </c>
      <c r="BS338" s="17" t="s">
        <v>187</v>
      </c>
      <c r="BT338" s="17" t="s">
        <v>188</v>
      </c>
      <c r="BU338" s="22">
        <v>44603</v>
      </c>
      <c r="BV338" s="24">
        <v>0.5</v>
      </c>
      <c r="BW338" s="17" t="s">
        <v>192</v>
      </c>
      <c r="BX338" s="24" t="s">
        <v>151</v>
      </c>
      <c r="BY338" s="17" t="s">
        <v>151</v>
      </c>
      <c r="BZ338" s="17" t="s">
        <v>189</v>
      </c>
      <c r="CA338" s="17" t="s">
        <v>151</v>
      </c>
      <c r="CB338" s="17" t="s">
        <v>151</v>
      </c>
      <c r="CC338" s="17" t="s">
        <v>190</v>
      </c>
      <c r="CD338" s="17" t="s">
        <v>151</v>
      </c>
      <c r="CE338" s="17" t="s">
        <v>191</v>
      </c>
      <c r="CF338" s="22">
        <v>44795</v>
      </c>
      <c r="CG338" s="24">
        <v>4</v>
      </c>
      <c r="CH338" s="17" t="s">
        <v>192</v>
      </c>
      <c r="CI338" s="24" t="s">
        <v>151</v>
      </c>
      <c r="CJ338" s="17" t="s">
        <v>151</v>
      </c>
      <c r="CK338" s="16" t="s">
        <v>151</v>
      </c>
      <c r="CL338" s="17" t="s">
        <v>293</v>
      </c>
      <c r="CM338" s="17" t="s">
        <v>293</v>
      </c>
      <c r="CN338" s="17" t="s">
        <v>151</v>
      </c>
      <c r="CO338" s="17" t="s">
        <v>165</v>
      </c>
      <c r="CP338" s="22">
        <v>44795</v>
      </c>
      <c r="CQ338" s="24" t="s">
        <v>151</v>
      </c>
      <c r="CR338" s="17" t="s">
        <v>151</v>
      </c>
      <c r="CS338" s="17" t="s">
        <v>191</v>
      </c>
      <c r="CT338" s="16" t="s">
        <v>151</v>
      </c>
      <c r="CU338" s="17" t="s">
        <v>151</v>
      </c>
      <c r="CV338" s="19" t="s">
        <v>151</v>
      </c>
      <c r="CW338" s="19" t="s">
        <v>151</v>
      </c>
      <c r="CX338" s="17" t="s">
        <v>151</v>
      </c>
      <c r="CY338" s="19" t="s">
        <v>151</v>
      </c>
      <c r="CZ338" s="19" t="s">
        <v>151</v>
      </c>
      <c r="DA338" s="24" t="s">
        <v>151</v>
      </c>
      <c r="DB338" s="22" t="s">
        <v>151</v>
      </c>
      <c r="DC338" s="17" t="s">
        <v>151</v>
      </c>
      <c r="DD338" s="16" t="s">
        <v>151</v>
      </c>
      <c r="DE338" s="19">
        <v>0</v>
      </c>
      <c r="DF338" s="21">
        <v>11</v>
      </c>
      <c r="DG338" s="19">
        <v>0</v>
      </c>
      <c r="DH338" s="19">
        <v>0</v>
      </c>
      <c r="DI338" s="19" t="s">
        <v>151</v>
      </c>
      <c r="DJ338" s="21" t="s">
        <v>151</v>
      </c>
      <c r="DK338" s="19" t="s">
        <v>151</v>
      </c>
      <c r="DL338" s="21" t="s">
        <v>151</v>
      </c>
      <c r="DM338" s="19" t="s">
        <v>151</v>
      </c>
      <c r="DN338" s="21" t="s">
        <v>151</v>
      </c>
      <c r="DO338" s="23">
        <v>0.85</v>
      </c>
      <c r="DP338" s="21">
        <v>47</v>
      </c>
      <c r="DQ338" s="23">
        <v>0</v>
      </c>
      <c r="DR338" s="19">
        <v>0</v>
      </c>
      <c r="DS338" s="23" t="s">
        <v>151</v>
      </c>
      <c r="DT338" s="21" t="s">
        <v>151</v>
      </c>
      <c r="DU338" s="23" t="s">
        <v>151</v>
      </c>
      <c r="DV338" s="21" t="s">
        <v>151</v>
      </c>
      <c r="DW338" s="23" t="s">
        <v>151</v>
      </c>
      <c r="DX338" s="21" t="s">
        <v>151</v>
      </c>
      <c r="DY338" s="18" t="s">
        <v>151</v>
      </c>
      <c r="DZ338" s="22" t="s">
        <v>151</v>
      </c>
      <c r="EA338" s="22" t="s">
        <v>151</v>
      </c>
      <c r="EB338" s="21">
        <v>0</v>
      </c>
      <c r="EC338" s="20">
        <v>0</v>
      </c>
      <c r="ED338" s="19">
        <v>0</v>
      </c>
      <c r="EE338" s="21" t="s">
        <v>151</v>
      </c>
      <c r="EF338" s="20" t="s">
        <v>151</v>
      </c>
      <c r="EG338" s="19" t="s">
        <v>151</v>
      </c>
      <c r="EH338" s="16" t="s">
        <v>198</v>
      </c>
      <c r="EI338" s="17" t="s">
        <v>151</v>
      </c>
      <c r="EJ338" s="17" t="s">
        <v>151</v>
      </c>
      <c r="EK338" s="18" t="s">
        <v>151</v>
      </c>
      <c r="EL338" s="18" t="s">
        <v>151</v>
      </c>
      <c r="EM338" s="18" t="s">
        <v>151</v>
      </c>
      <c r="EN338" s="18" t="s">
        <v>151</v>
      </c>
      <c r="EO338" s="18" t="s">
        <v>151</v>
      </c>
      <c r="EP338" s="17" t="s">
        <v>151</v>
      </c>
      <c r="EQ338" s="16" t="s">
        <v>151</v>
      </c>
      <c r="ER338" s="16" t="s">
        <v>151</v>
      </c>
      <c r="ES338" s="3">
        <f>HYPERLINK("https://my.pitchbook.com?c=503898-31","View Company Online")</f>
      </c>
    </row>
    <row r="339">
      <c r="A339" s="30" t="s">
        <v>7376</v>
      </c>
      <c r="B339" s="30" t="s">
        <v>7377</v>
      </c>
      <c r="C339" s="31" t="s">
        <v>151</v>
      </c>
      <c r="D339" s="30" t="s">
        <v>151</v>
      </c>
      <c r="E339" s="30" t="s">
        <v>151</v>
      </c>
      <c r="F339" s="30" t="s">
        <v>7378</v>
      </c>
      <c r="G339" s="30" t="s">
        <v>151</v>
      </c>
      <c r="H339" s="30" t="s">
        <v>151</v>
      </c>
      <c r="I339" s="30" t="s">
        <v>151</v>
      </c>
      <c r="J339" s="30" t="s">
        <v>7376</v>
      </c>
      <c r="K339" s="30" t="s">
        <v>7379</v>
      </c>
      <c r="L339" s="30" t="s">
        <v>205</v>
      </c>
      <c r="M339" s="30" t="s">
        <v>206</v>
      </c>
      <c r="N339" s="30" t="s">
        <v>1268</v>
      </c>
      <c r="O339" s="30" t="s">
        <v>2129</v>
      </c>
      <c r="P339" s="30" t="s">
        <v>892</v>
      </c>
      <c r="Q339" s="30" t="s">
        <v>7380</v>
      </c>
      <c r="R339" s="30" t="s">
        <v>151</v>
      </c>
      <c r="S339" s="30" t="s">
        <v>162</v>
      </c>
      <c r="T339" s="37">
        <v>11.23</v>
      </c>
      <c r="U339" s="30" t="s">
        <v>163</v>
      </c>
      <c r="V339" s="30" t="s">
        <v>164</v>
      </c>
      <c r="W339" s="30" t="s">
        <v>165</v>
      </c>
      <c r="X339" s="28" t="s">
        <v>7381</v>
      </c>
      <c r="Y339" s="28" t="s">
        <v>7382</v>
      </c>
      <c r="Z339" s="40">
        <v>47</v>
      </c>
      <c r="AA339" s="30" t="s">
        <v>7383</v>
      </c>
      <c r="AB339" s="30" t="s">
        <v>151</v>
      </c>
      <c r="AC339" s="30" t="s">
        <v>151</v>
      </c>
      <c r="AD339" s="39">
        <v>2019</v>
      </c>
      <c r="AE339" s="30" t="s">
        <v>151</v>
      </c>
      <c r="AF339" s="35">
        <v>45596</v>
      </c>
      <c r="AG339" s="30" t="s">
        <v>151</v>
      </c>
      <c r="AH339" s="30" t="s">
        <v>151</v>
      </c>
      <c r="AI339" s="38" t="s">
        <v>151</v>
      </c>
      <c r="AJ339" s="32" t="s">
        <v>151</v>
      </c>
      <c r="AK339" s="38" t="s">
        <v>151</v>
      </c>
      <c r="AL339" s="38" t="s">
        <v>151</v>
      </c>
      <c r="AM339" s="38" t="s">
        <v>151</v>
      </c>
      <c r="AN339" s="38" t="s">
        <v>151</v>
      </c>
      <c r="AO339" s="38" t="s">
        <v>151</v>
      </c>
      <c r="AP339" s="38" t="s">
        <v>151</v>
      </c>
      <c r="AQ339" s="38" t="s">
        <v>151</v>
      </c>
      <c r="AR339" s="29" t="s">
        <v>151</v>
      </c>
      <c r="AS339" s="30" t="s">
        <v>7384</v>
      </c>
      <c r="AT339" s="30" t="s">
        <v>7385</v>
      </c>
      <c r="AU339" s="31">
        <v>9</v>
      </c>
      <c r="AV339" s="30" t="s">
        <v>151</v>
      </c>
      <c r="AW339" s="30" t="s">
        <v>151</v>
      </c>
      <c r="AX339" s="30" t="s">
        <v>151</v>
      </c>
      <c r="AY339" s="30" t="s">
        <v>7386</v>
      </c>
      <c r="AZ339" s="30" t="s">
        <v>151</v>
      </c>
      <c r="BA339" s="30" t="s">
        <v>151</v>
      </c>
      <c r="BB339" s="30" t="s">
        <v>151</v>
      </c>
      <c r="BC339" s="30" t="s">
        <v>490</v>
      </c>
      <c r="BD339" s="30" t="s">
        <v>7387</v>
      </c>
      <c r="BE339" s="30" t="s">
        <v>7388</v>
      </c>
      <c r="BF339" s="30" t="s">
        <v>403</v>
      </c>
      <c r="BG339" s="30" t="s">
        <v>7389</v>
      </c>
      <c r="BH339" s="30" t="s">
        <v>7390</v>
      </c>
      <c r="BI339" s="30" t="s">
        <v>934</v>
      </c>
      <c r="BJ339" s="30" t="s">
        <v>7391</v>
      </c>
      <c r="BK339" s="30" t="s">
        <v>7392</v>
      </c>
      <c r="BL339" s="30" t="s">
        <v>937</v>
      </c>
      <c r="BM339" s="30" t="s">
        <v>184</v>
      </c>
      <c r="BN339" s="29" t="s">
        <v>5500</v>
      </c>
      <c r="BO339" s="30" t="s">
        <v>186</v>
      </c>
      <c r="BP339" s="29" t="s">
        <v>7390</v>
      </c>
      <c r="BQ339" s="29" t="s">
        <v>151</v>
      </c>
      <c r="BR339" s="30" t="s">
        <v>7393</v>
      </c>
      <c r="BS339" s="30" t="s">
        <v>187</v>
      </c>
      <c r="BT339" s="30" t="s">
        <v>188</v>
      </c>
      <c r="BU339" s="35">
        <v>43831</v>
      </c>
      <c r="BV339" s="37" t="s">
        <v>151</v>
      </c>
      <c r="BW339" s="30" t="s">
        <v>151</v>
      </c>
      <c r="BX339" s="37" t="s">
        <v>151</v>
      </c>
      <c r="BY339" s="30" t="s">
        <v>151</v>
      </c>
      <c r="BZ339" s="30" t="s">
        <v>189</v>
      </c>
      <c r="CA339" s="30" t="s">
        <v>151</v>
      </c>
      <c r="CB339" s="30" t="s">
        <v>151</v>
      </c>
      <c r="CC339" s="30" t="s">
        <v>190</v>
      </c>
      <c r="CD339" s="30" t="s">
        <v>151</v>
      </c>
      <c r="CE339" s="30" t="s">
        <v>191</v>
      </c>
      <c r="CF339" s="35">
        <v>44927</v>
      </c>
      <c r="CG339" s="37" t="s">
        <v>151</v>
      </c>
      <c r="CH339" s="30" t="s">
        <v>151</v>
      </c>
      <c r="CI339" s="37" t="s">
        <v>151</v>
      </c>
      <c r="CJ339" s="30" t="s">
        <v>151</v>
      </c>
      <c r="CK339" s="29" t="s">
        <v>151</v>
      </c>
      <c r="CL339" s="30" t="s">
        <v>231</v>
      </c>
      <c r="CM339" s="30" t="s">
        <v>151</v>
      </c>
      <c r="CN339" s="30" t="s">
        <v>151</v>
      </c>
      <c r="CO339" s="30" t="s">
        <v>165</v>
      </c>
      <c r="CP339" s="35">
        <v>44927</v>
      </c>
      <c r="CQ339" s="37" t="s">
        <v>151</v>
      </c>
      <c r="CR339" s="30" t="s">
        <v>151</v>
      </c>
      <c r="CS339" s="30" t="s">
        <v>191</v>
      </c>
      <c r="CT339" s="29">
        <v>68</v>
      </c>
      <c r="CU339" s="30" t="s">
        <v>196</v>
      </c>
      <c r="CV339" s="32">
        <v>64</v>
      </c>
      <c r="CW339" s="32">
        <v>36</v>
      </c>
      <c r="CX339" s="30" t="s">
        <v>294</v>
      </c>
      <c r="CY339" s="32">
        <v>1</v>
      </c>
      <c r="CZ339" s="32">
        <v>63</v>
      </c>
      <c r="DA339" s="37" t="s">
        <v>151</v>
      </c>
      <c r="DB339" s="35" t="s">
        <v>151</v>
      </c>
      <c r="DC339" s="30" t="s">
        <v>151</v>
      </c>
      <c r="DD339" s="29" t="s">
        <v>151</v>
      </c>
      <c r="DE339" s="32">
        <v>2.5</v>
      </c>
      <c r="DF339" s="34">
        <v>99</v>
      </c>
      <c r="DG339" s="32">
        <v>0</v>
      </c>
      <c r="DH339" s="32">
        <v>0</v>
      </c>
      <c r="DI339" s="32">
        <v>2.5</v>
      </c>
      <c r="DJ339" s="34">
        <v>99</v>
      </c>
      <c r="DK339" s="32" t="s">
        <v>151</v>
      </c>
      <c r="DL339" s="34" t="s">
        <v>151</v>
      </c>
      <c r="DM339" s="32">
        <v>2.5</v>
      </c>
      <c r="DN339" s="34">
        <v>99</v>
      </c>
      <c r="DO339" s="36">
        <v>10.58</v>
      </c>
      <c r="DP339" s="34">
        <v>91</v>
      </c>
      <c r="DQ339" s="36">
        <v>0</v>
      </c>
      <c r="DR339" s="32">
        <v>0</v>
      </c>
      <c r="DS339" s="36">
        <v>10.58</v>
      </c>
      <c r="DT339" s="34">
        <v>90</v>
      </c>
      <c r="DU339" s="36" t="s">
        <v>151</v>
      </c>
      <c r="DV339" s="34" t="s">
        <v>151</v>
      </c>
      <c r="DW339" s="36">
        <v>10.58</v>
      </c>
      <c r="DX339" s="34">
        <v>90</v>
      </c>
      <c r="DY339" s="31" t="s">
        <v>151</v>
      </c>
      <c r="DZ339" s="35" t="s">
        <v>151</v>
      </c>
      <c r="EA339" s="35" t="s">
        <v>151</v>
      </c>
      <c r="EB339" s="34">
        <v>0</v>
      </c>
      <c r="EC339" s="33">
        <v>0</v>
      </c>
      <c r="ED339" s="32">
        <v>0</v>
      </c>
      <c r="EE339" s="34">
        <v>201</v>
      </c>
      <c r="EF339" s="33">
        <v>2</v>
      </c>
      <c r="EG339" s="32">
        <v>1.01</v>
      </c>
      <c r="EH339" s="29" t="s">
        <v>198</v>
      </c>
      <c r="EI339" s="30" t="s">
        <v>151</v>
      </c>
      <c r="EJ339" s="30" t="s">
        <v>151</v>
      </c>
      <c r="EK339" s="31" t="s">
        <v>151</v>
      </c>
      <c r="EL339" s="31" t="s">
        <v>151</v>
      </c>
      <c r="EM339" s="31" t="s">
        <v>151</v>
      </c>
      <c r="EN339" s="31" t="s">
        <v>151</v>
      </c>
      <c r="EO339" s="31" t="s">
        <v>151</v>
      </c>
      <c r="EP339" s="30" t="s">
        <v>151</v>
      </c>
      <c r="EQ339" s="29" t="s">
        <v>151</v>
      </c>
      <c r="ER339" s="29" t="s">
        <v>151</v>
      </c>
      <c r="ES339" s="4">
        <f>HYPERLINK("https://my.pitchbook.com?c=482418-37","View Company Online")</f>
      </c>
    </row>
    <row r="340">
      <c r="A340" s="17" t="s">
        <v>7394</v>
      </c>
      <c r="B340" s="17" t="s">
        <v>7395</v>
      </c>
      <c r="C340" s="18" t="s">
        <v>151</v>
      </c>
      <c r="D340" s="17" t="s">
        <v>151</v>
      </c>
      <c r="E340" s="17" t="s">
        <v>151</v>
      </c>
      <c r="F340" s="17" t="s">
        <v>7396</v>
      </c>
      <c r="G340" s="17" t="s">
        <v>151</v>
      </c>
      <c r="H340" s="17" t="s">
        <v>151</v>
      </c>
      <c r="I340" s="17" t="s">
        <v>151</v>
      </c>
      <c r="J340" s="17" t="s">
        <v>7394</v>
      </c>
      <c r="K340" s="17" t="s">
        <v>7397</v>
      </c>
      <c r="L340" s="17" t="s">
        <v>205</v>
      </c>
      <c r="M340" s="17" t="s">
        <v>206</v>
      </c>
      <c r="N340" s="17" t="s">
        <v>269</v>
      </c>
      <c r="O340" s="17" t="s">
        <v>1651</v>
      </c>
      <c r="P340" s="17" t="s">
        <v>7398</v>
      </c>
      <c r="Q340" s="17" t="s">
        <v>7399</v>
      </c>
      <c r="R340" s="17" t="s">
        <v>151</v>
      </c>
      <c r="S340" s="17" t="s">
        <v>162</v>
      </c>
      <c r="T340" s="24">
        <v>16.49</v>
      </c>
      <c r="U340" s="17" t="s">
        <v>163</v>
      </c>
      <c r="V340" s="17" t="s">
        <v>164</v>
      </c>
      <c r="W340" s="17" t="s">
        <v>165</v>
      </c>
      <c r="X340" s="15" t="s">
        <v>7400</v>
      </c>
      <c r="Y340" s="15" t="s">
        <v>7401</v>
      </c>
      <c r="Z340" s="27">
        <v>39</v>
      </c>
      <c r="AA340" s="17" t="s">
        <v>7402</v>
      </c>
      <c r="AB340" s="17" t="s">
        <v>151</v>
      </c>
      <c r="AC340" s="17" t="s">
        <v>151</v>
      </c>
      <c r="AD340" s="26">
        <v>2018</v>
      </c>
      <c r="AE340" s="17" t="s">
        <v>151</v>
      </c>
      <c r="AF340" s="22">
        <v>45510</v>
      </c>
      <c r="AG340" s="17" t="s">
        <v>151</v>
      </c>
      <c r="AH340" s="17" t="s">
        <v>151</v>
      </c>
      <c r="AI340" s="25">
        <v>0.24</v>
      </c>
      <c r="AJ340" s="19" t="s">
        <v>151</v>
      </c>
      <c r="AK340" s="25" t="s">
        <v>151</v>
      </c>
      <c r="AL340" s="25" t="s">
        <v>151</v>
      </c>
      <c r="AM340" s="25" t="s">
        <v>151</v>
      </c>
      <c r="AN340" s="25" t="s">
        <v>151</v>
      </c>
      <c r="AO340" s="25" t="s">
        <v>151</v>
      </c>
      <c r="AP340" s="25" t="s">
        <v>151</v>
      </c>
      <c r="AQ340" s="25" t="s">
        <v>151</v>
      </c>
      <c r="AR340" s="16" t="s">
        <v>3435</v>
      </c>
      <c r="AS340" s="17" t="s">
        <v>7403</v>
      </c>
      <c r="AT340" s="17" t="s">
        <v>7404</v>
      </c>
      <c r="AU340" s="18">
        <v>10</v>
      </c>
      <c r="AV340" s="17" t="s">
        <v>151</v>
      </c>
      <c r="AW340" s="17" t="s">
        <v>7405</v>
      </c>
      <c r="AX340" s="17" t="s">
        <v>151</v>
      </c>
      <c r="AY340" s="17" t="s">
        <v>7406</v>
      </c>
      <c r="AZ340" s="17" t="s">
        <v>151</v>
      </c>
      <c r="BA340" s="17" t="s">
        <v>151</v>
      </c>
      <c r="BB340" s="17" t="s">
        <v>151</v>
      </c>
      <c r="BC340" s="17" t="s">
        <v>151</v>
      </c>
      <c r="BD340" s="17" t="s">
        <v>7407</v>
      </c>
      <c r="BE340" s="17" t="s">
        <v>7408</v>
      </c>
      <c r="BF340" s="17" t="s">
        <v>5979</v>
      </c>
      <c r="BG340" s="17" t="s">
        <v>7409</v>
      </c>
      <c r="BH340" s="17" t="s">
        <v>7410</v>
      </c>
      <c r="BI340" s="17" t="s">
        <v>1572</v>
      </c>
      <c r="BJ340" s="17" t="s">
        <v>7411</v>
      </c>
      <c r="BK340" s="17" t="s">
        <v>7412</v>
      </c>
      <c r="BL340" s="17" t="s">
        <v>1575</v>
      </c>
      <c r="BM340" s="17" t="s">
        <v>1576</v>
      </c>
      <c r="BN340" s="16" t="s">
        <v>7413</v>
      </c>
      <c r="BO340" s="17" t="s">
        <v>186</v>
      </c>
      <c r="BP340" s="16" t="s">
        <v>7410</v>
      </c>
      <c r="BQ340" s="16" t="s">
        <v>151</v>
      </c>
      <c r="BR340" s="17" t="s">
        <v>151</v>
      </c>
      <c r="BS340" s="17" t="s">
        <v>187</v>
      </c>
      <c r="BT340" s="17" t="s">
        <v>188</v>
      </c>
      <c r="BU340" s="22">
        <v>43944</v>
      </c>
      <c r="BV340" s="24">
        <v>2.49</v>
      </c>
      <c r="BW340" s="17" t="s">
        <v>192</v>
      </c>
      <c r="BX340" s="24">
        <v>6.49</v>
      </c>
      <c r="BY340" s="17" t="s">
        <v>193</v>
      </c>
      <c r="BZ340" s="17" t="s">
        <v>293</v>
      </c>
      <c r="CA340" s="17" t="s">
        <v>293</v>
      </c>
      <c r="CB340" s="17" t="s">
        <v>151</v>
      </c>
      <c r="CC340" s="17" t="s">
        <v>165</v>
      </c>
      <c r="CD340" s="17" t="s">
        <v>151</v>
      </c>
      <c r="CE340" s="17" t="s">
        <v>191</v>
      </c>
      <c r="CF340" s="22">
        <v>44652</v>
      </c>
      <c r="CG340" s="24">
        <v>13</v>
      </c>
      <c r="CH340" s="17" t="s">
        <v>193</v>
      </c>
      <c r="CI340" s="24">
        <v>60</v>
      </c>
      <c r="CJ340" s="17" t="s">
        <v>193</v>
      </c>
      <c r="CK340" s="16">
        <v>3.62</v>
      </c>
      <c r="CL340" s="17" t="s">
        <v>194</v>
      </c>
      <c r="CM340" s="17" t="s">
        <v>232</v>
      </c>
      <c r="CN340" s="17" t="s">
        <v>151</v>
      </c>
      <c r="CO340" s="17" t="s">
        <v>165</v>
      </c>
      <c r="CP340" s="22">
        <v>44652</v>
      </c>
      <c r="CQ340" s="24" t="s">
        <v>151</v>
      </c>
      <c r="CR340" s="17" t="s">
        <v>151</v>
      </c>
      <c r="CS340" s="17" t="s">
        <v>191</v>
      </c>
      <c r="CT340" s="16">
        <v>97</v>
      </c>
      <c r="CU340" s="17" t="s">
        <v>196</v>
      </c>
      <c r="CV340" s="19">
        <v>92</v>
      </c>
      <c r="CW340" s="19">
        <v>8</v>
      </c>
      <c r="CX340" s="17" t="s">
        <v>294</v>
      </c>
      <c r="CY340" s="19">
        <v>1</v>
      </c>
      <c r="CZ340" s="19">
        <v>91</v>
      </c>
      <c r="DA340" s="24">
        <v>60</v>
      </c>
      <c r="DB340" s="22">
        <v>44652</v>
      </c>
      <c r="DC340" s="17" t="s">
        <v>194</v>
      </c>
      <c r="DD340" s="16">
        <v>3.62</v>
      </c>
      <c r="DE340" s="19">
        <v>-0.07</v>
      </c>
      <c r="DF340" s="21">
        <v>11</v>
      </c>
      <c r="DG340" s="19">
        <v>0</v>
      </c>
      <c r="DH340" s="19">
        <v>0</v>
      </c>
      <c r="DI340" s="19">
        <v>0.16</v>
      </c>
      <c r="DJ340" s="21">
        <v>93</v>
      </c>
      <c r="DK340" s="19" t="s">
        <v>151</v>
      </c>
      <c r="DL340" s="21" t="s">
        <v>151</v>
      </c>
      <c r="DM340" s="19">
        <v>0.16</v>
      </c>
      <c r="DN340" s="21">
        <v>93</v>
      </c>
      <c r="DO340" s="23">
        <v>23.66</v>
      </c>
      <c r="DP340" s="21">
        <v>96</v>
      </c>
      <c r="DQ340" s="23">
        <v>0</v>
      </c>
      <c r="DR340" s="19">
        <v>0</v>
      </c>
      <c r="DS340" s="23">
        <v>44.32</v>
      </c>
      <c r="DT340" s="21">
        <v>98</v>
      </c>
      <c r="DU340" s="23" t="s">
        <v>151</v>
      </c>
      <c r="DV340" s="21" t="s">
        <v>151</v>
      </c>
      <c r="DW340" s="23">
        <v>44.32</v>
      </c>
      <c r="DX340" s="21">
        <v>98</v>
      </c>
      <c r="DY340" s="18" t="s">
        <v>151</v>
      </c>
      <c r="DZ340" s="22" t="s">
        <v>151</v>
      </c>
      <c r="EA340" s="22" t="s">
        <v>151</v>
      </c>
      <c r="EB340" s="21">
        <v>5042</v>
      </c>
      <c r="EC340" s="20">
        <v>-676</v>
      </c>
      <c r="ED340" s="19">
        <v>-11.82</v>
      </c>
      <c r="EE340" s="21">
        <v>842</v>
      </c>
      <c r="EF340" s="20">
        <v>0</v>
      </c>
      <c r="EG340" s="19">
        <v>0</v>
      </c>
      <c r="EH340" s="16" t="s">
        <v>198</v>
      </c>
      <c r="EI340" s="17" t="s">
        <v>151</v>
      </c>
      <c r="EJ340" s="17" t="s">
        <v>151</v>
      </c>
      <c r="EK340" s="18" t="s">
        <v>151</v>
      </c>
      <c r="EL340" s="18" t="s">
        <v>151</v>
      </c>
      <c r="EM340" s="18" t="s">
        <v>151</v>
      </c>
      <c r="EN340" s="18" t="s">
        <v>151</v>
      </c>
      <c r="EO340" s="18" t="s">
        <v>151</v>
      </c>
      <c r="EP340" s="17" t="s">
        <v>151</v>
      </c>
      <c r="EQ340" s="16" t="s">
        <v>151</v>
      </c>
      <c r="ER340" s="16" t="s">
        <v>151</v>
      </c>
      <c r="ES340" s="3">
        <f>HYPERLINK("https://my.pitchbook.com?c=235211-95","View Company Online")</f>
      </c>
    </row>
    <row r="341">
      <c r="A341" s="30" t="s">
        <v>7414</v>
      </c>
      <c r="B341" s="30" t="s">
        <v>7415</v>
      </c>
      <c r="C341" s="31" t="s">
        <v>151</v>
      </c>
      <c r="D341" s="30" t="s">
        <v>151</v>
      </c>
      <c r="E341" s="30" t="s">
        <v>151</v>
      </c>
      <c r="F341" s="30" t="s">
        <v>7416</v>
      </c>
      <c r="G341" s="30" t="s">
        <v>151</v>
      </c>
      <c r="H341" s="30" t="s">
        <v>151</v>
      </c>
      <c r="I341" s="30" t="s">
        <v>151</v>
      </c>
      <c r="J341" s="30" t="s">
        <v>7414</v>
      </c>
      <c r="K341" s="30" t="s">
        <v>7417</v>
      </c>
      <c r="L341" s="30" t="s">
        <v>205</v>
      </c>
      <c r="M341" s="30" t="s">
        <v>206</v>
      </c>
      <c r="N341" s="30" t="s">
        <v>1268</v>
      </c>
      <c r="O341" s="30" t="s">
        <v>2129</v>
      </c>
      <c r="P341" s="30" t="s">
        <v>209</v>
      </c>
      <c r="Q341" s="30" t="s">
        <v>7418</v>
      </c>
      <c r="R341" s="30" t="s">
        <v>151</v>
      </c>
      <c r="S341" s="30" t="s">
        <v>162</v>
      </c>
      <c r="T341" s="37">
        <v>0.15</v>
      </c>
      <c r="U341" s="30" t="s">
        <v>163</v>
      </c>
      <c r="V341" s="30" t="s">
        <v>164</v>
      </c>
      <c r="W341" s="30" t="s">
        <v>165</v>
      </c>
      <c r="X341" s="28" t="s">
        <v>7419</v>
      </c>
      <c r="Y341" s="28" t="s">
        <v>7420</v>
      </c>
      <c r="Z341" s="40">
        <v>6</v>
      </c>
      <c r="AA341" s="30" t="s">
        <v>7421</v>
      </c>
      <c r="AB341" s="30" t="s">
        <v>151</v>
      </c>
      <c r="AC341" s="30" t="s">
        <v>151</v>
      </c>
      <c r="AD341" s="39">
        <v>2019</v>
      </c>
      <c r="AE341" s="30" t="s">
        <v>151</v>
      </c>
      <c r="AF341" s="35">
        <v>45425</v>
      </c>
      <c r="AG341" s="30" t="s">
        <v>151</v>
      </c>
      <c r="AH341" s="30" t="s">
        <v>151</v>
      </c>
      <c r="AI341" s="38" t="s">
        <v>151</v>
      </c>
      <c r="AJ341" s="32" t="s">
        <v>151</v>
      </c>
      <c r="AK341" s="38" t="s">
        <v>151</v>
      </c>
      <c r="AL341" s="38" t="s">
        <v>151</v>
      </c>
      <c r="AM341" s="38" t="s">
        <v>151</v>
      </c>
      <c r="AN341" s="38" t="s">
        <v>151</v>
      </c>
      <c r="AO341" s="38" t="s">
        <v>151</v>
      </c>
      <c r="AP341" s="38" t="s">
        <v>151</v>
      </c>
      <c r="AQ341" s="38" t="s">
        <v>151</v>
      </c>
      <c r="AR341" s="29" t="s">
        <v>151</v>
      </c>
      <c r="AS341" s="30" t="s">
        <v>7422</v>
      </c>
      <c r="AT341" s="30" t="s">
        <v>7423</v>
      </c>
      <c r="AU341" s="31">
        <v>1</v>
      </c>
      <c r="AV341" s="30" t="s">
        <v>151</v>
      </c>
      <c r="AW341" s="30" t="s">
        <v>151</v>
      </c>
      <c r="AX341" s="30" t="s">
        <v>151</v>
      </c>
      <c r="AY341" s="30" t="s">
        <v>7424</v>
      </c>
      <c r="AZ341" s="30" t="s">
        <v>151</v>
      </c>
      <c r="BA341" s="30" t="s">
        <v>151</v>
      </c>
      <c r="BB341" s="30" t="s">
        <v>151</v>
      </c>
      <c r="BC341" s="30" t="s">
        <v>151</v>
      </c>
      <c r="BD341" s="30" t="s">
        <v>7425</v>
      </c>
      <c r="BE341" s="30" t="s">
        <v>7426</v>
      </c>
      <c r="BF341" s="30" t="s">
        <v>221</v>
      </c>
      <c r="BG341" s="30" t="s">
        <v>7427</v>
      </c>
      <c r="BH341" s="30" t="s">
        <v>151</v>
      </c>
      <c r="BI341" s="30" t="s">
        <v>7428</v>
      </c>
      <c r="BJ341" s="30" t="s">
        <v>7429</v>
      </c>
      <c r="BK341" s="30" t="s">
        <v>7430</v>
      </c>
      <c r="BL341" s="30" t="s">
        <v>7431</v>
      </c>
      <c r="BM341" s="30" t="s">
        <v>1072</v>
      </c>
      <c r="BN341" s="29" t="s">
        <v>7432</v>
      </c>
      <c r="BO341" s="30" t="s">
        <v>186</v>
      </c>
      <c r="BP341" s="29" t="s">
        <v>151</v>
      </c>
      <c r="BQ341" s="29" t="s">
        <v>151</v>
      </c>
      <c r="BR341" s="30" t="s">
        <v>7433</v>
      </c>
      <c r="BS341" s="30" t="s">
        <v>187</v>
      </c>
      <c r="BT341" s="30" t="s">
        <v>188</v>
      </c>
      <c r="BU341" s="35">
        <v>44048</v>
      </c>
      <c r="BV341" s="37">
        <v>0.15</v>
      </c>
      <c r="BW341" s="30" t="s">
        <v>192</v>
      </c>
      <c r="BX341" s="37" t="s">
        <v>151</v>
      </c>
      <c r="BY341" s="30" t="s">
        <v>151</v>
      </c>
      <c r="BZ341" s="30" t="s">
        <v>293</v>
      </c>
      <c r="CA341" s="30" t="s">
        <v>293</v>
      </c>
      <c r="CB341" s="30" t="s">
        <v>151</v>
      </c>
      <c r="CC341" s="30" t="s">
        <v>165</v>
      </c>
      <c r="CD341" s="30" t="s">
        <v>151</v>
      </c>
      <c r="CE341" s="30" t="s">
        <v>191</v>
      </c>
      <c r="CF341" s="35" t="s">
        <v>151</v>
      </c>
      <c r="CG341" s="37" t="s">
        <v>151</v>
      </c>
      <c r="CH341" s="30" t="s">
        <v>151</v>
      </c>
      <c r="CI341" s="37" t="s">
        <v>151</v>
      </c>
      <c r="CJ341" s="30" t="s">
        <v>151</v>
      </c>
      <c r="CK341" s="29" t="s">
        <v>151</v>
      </c>
      <c r="CL341" s="30" t="s">
        <v>293</v>
      </c>
      <c r="CM341" s="30" t="s">
        <v>293</v>
      </c>
      <c r="CN341" s="30" t="s">
        <v>151</v>
      </c>
      <c r="CO341" s="30" t="s">
        <v>165</v>
      </c>
      <c r="CP341" s="35" t="s">
        <v>151</v>
      </c>
      <c r="CQ341" s="37" t="s">
        <v>151</v>
      </c>
      <c r="CR341" s="30" t="s">
        <v>151</v>
      </c>
      <c r="CS341" s="30" t="s">
        <v>1887</v>
      </c>
      <c r="CT341" s="29" t="s">
        <v>151</v>
      </c>
      <c r="CU341" s="30" t="s">
        <v>151</v>
      </c>
      <c r="CV341" s="32" t="s">
        <v>151</v>
      </c>
      <c r="CW341" s="32" t="s">
        <v>151</v>
      </c>
      <c r="CX341" s="30" t="s">
        <v>151</v>
      </c>
      <c r="CY341" s="32" t="s">
        <v>151</v>
      </c>
      <c r="CZ341" s="32" t="s">
        <v>151</v>
      </c>
      <c r="DA341" s="37" t="s">
        <v>151</v>
      </c>
      <c r="DB341" s="35" t="s">
        <v>151</v>
      </c>
      <c r="DC341" s="30" t="s">
        <v>151</v>
      </c>
      <c r="DD341" s="29" t="s">
        <v>151</v>
      </c>
      <c r="DE341" s="32">
        <v>2.5</v>
      </c>
      <c r="DF341" s="34">
        <v>99</v>
      </c>
      <c r="DG341" s="32">
        <v>0</v>
      </c>
      <c r="DH341" s="32">
        <v>0</v>
      </c>
      <c r="DI341" s="32" t="s">
        <v>151</v>
      </c>
      <c r="DJ341" s="34" t="s">
        <v>151</v>
      </c>
      <c r="DK341" s="32" t="s">
        <v>151</v>
      </c>
      <c r="DL341" s="34" t="s">
        <v>151</v>
      </c>
      <c r="DM341" s="32" t="s">
        <v>151</v>
      </c>
      <c r="DN341" s="34" t="s">
        <v>151</v>
      </c>
      <c r="DO341" s="36">
        <v>0.46</v>
      </c>
      <c r="DP341" s="34">
        <v>31</v>
      </c>
      <c r="DQ341" s="36">
        <v>0</v>
      </c>
      <c r="DR341" s="32">
        <v>0</v>
      </c>
      <c r="DS341" s="36" t="s">
        <v>151</v>
      </c>
      <c r="DT341" s="34" t="s">
        <v>151</v>
      </c>
      <c r="DU341" s="36" t="s">
        <v>151</v>
      </c>
      <c r="DV341" s="34" t="s">
        <v>151</v>
      </c>
      <c r="DW341" s="36" t="s">
        <v>151</v>
      </c>
      <c r="DX341" s="34" t="s">
        <v>151</v>
      </c>
      <c r="DY341" s="31" t="s">
        <v>151</v>
      </c>
      <c r="DZ341" s="35" t="s">
        <v>151</v>
      </c>
      <c r="EA341" s="35" t="s">
        <v>151</v>
      </c>
      <c r="EB341" s="34">
        <v>0</v>
      </c>
      <c r="EC341" s="33">
        <v>0</v>
      </c>
      <c r="ED341" s="32">
        <v>0</v>
      </c>
      <c r="EE341" s="34" t="s">
        <v>151</v>
      </c>
      <c r="EF341" s="33" t="s">
        <v>151</v>
      </c>
      <c r="EG341" s="32" t="s">
        <v>151</v>
      </c>
      <c r="EH341" s="29" t="s">
        <v>198</v>
      </c>
      <c r="EI341" s="30" t="s">
        <v>151</v>
      </c>
      <c r="EJ341" s="30" t="s">
        <v>151</v>
      </c>
      <c r="EK341" s="31" t="s">
        <v>151</v>
      </c>
      <c r="EL341" s="31" t="s">
        <v>151</v>
      </c>
      <c r="EM341" s="31" t="s">
        <v>151</v>
      </c>
      <c r="EN341" s="31" t="s">
        <v>151</v>
      </c>
      <c r="EO341" s="31" t="s">
        <v>151</v>
      </c>
      <c r="EP341" s="30" t="s">
        <v>151</v>
      </c>
      <c r="EQ341" s="29" t="s">
        <v>151</v>
      </c>
      <c r="ER341" s="29" t="s">
        <v>151</v>
      </c>
      <c r="ES341" s="4">
        <f>HYPERLINK("https://my.pitchbook.com?c=442470-25","View Company Online")</f>
      </c>
    </row>
    <row r="342">
      <c r="A342" s="17" t="s">
        <v>7434</v>
      </c>
      <c r="B342" s="17" t="s">
        <v>7435</v>
      </c>
      <c r="C342" s="18" t="s">
        <v>151</v>
      </c>
      <c r="D342" s="17" t="s">
        <v>151</v>
      </c>
      <c r="E342" s="17" t="s">
        <v>7436</v>
      </c>
      <c r="F342" s="17" t="s">
        <v>7437</v>
      </c>
      <c r="G342" s="17" t="s">
        <v>151</v>
      </c>
      <c r="H342" s="17" t="s">
        <v>151</v>
      </c>
      <c r="I342" s="17" t="s">
        <v>151</v>
      </c>
      <c r="J342" s="17" t="s">
        <v>7434</v>
      </c>
      <c r="K342" s="17" t="s">
        <v>7438</v>
      </c>
      <c r="L342" s="17" t="s">
        <v>205</v>
      </c>
      <c r="M342" s="17" t="s">
        <v>206</v>
      </c>
      <c r="N342" s="17" t="s">
        <v>1268</v>
      </c>
      <c r="O342" s="17" t="s">
        <v>7439</v>
      </c>
      <c r="P342" s="17" t="s">
        <v>892</v>
      </c>
      <c r="Q342" s="17" t="s">
        <v>7440</v>
      </c>
      <c r="R342" s="17" t="s">
        <v>151</v>
      </c>
      <c r="S342" s="17" t="s">
        <v>162</v>
      </c>
      <c r="T342" s="24">
        <v>0.18</v>
      </c>
      <c r="U342" s="17" t="s">
        <v>163</v>
      </c>
      <c r="V342" s="17" t="s">
        <v>164</v>
      </c>
      <c r="W342" s="17" t="s">
        <v>165</v>
      </c>
      <c r="X342" s="15" t="s">
        <v>7441</v>
      </c>
      <c r="Y342" s="15" t="s">
        <v>7442</v>
      </c>
      <c r="Z342" s="27">
        <v>43</v>
      </c>
      <c r="AA342" s="17" t="s">
        <v>7443</v>
      </c>
      <c r="AB342" s="17" t="s">
        <v>151</v>
      </c>
      <c r="AC342" s="17" t="s">
        <v>151</v>
      </c>
      <c r="AD342" s="26">
        <v>2020</v>
      </c>
      <c r="AE342" s="17" t="s">
        <v>151</v>
      </c>
      <c r="AF342" s="22">
        <v>45498</v>
      </c>
      <c r="AG342" s="17" t="s">
        <v>151</v>
      </c>
      <c r="AH342" s="17" t="s">
        <v>151</v>
      </c>
      <c r="AI342" s="25" t="s">
        <v>151</v>
      </c>
      <c r="AJ342" s="19" t="s">
        <v>151</v>
      </c>
      <c r="AK342" s="25" t="s">
        <v>151</v>
      </c>
      <c r="AL342" s="25" t="s">
        <v>151</v>
      </c>
      <c r="AM342" s="25" t="s">
        <v>151</v>
      </c>
      <c r="AN342" s="25" t="s">
        <v>151</v>
      </c>
      <c r="AO342" s="25" t="s">
        <v>151</v>
      </c>
      <c r="AP342" s="25" t="s">
        <v>151</v>
      </c>
      <c r="AQ342" s="25" t="s">
        <v>151</v>
      </c>
      <c r="AR342" s="16" t="s">
        <v>151</v>
      </c>
      <c r="AS342" s="17" t="s">
        <v>7444</v>
      </c>
      <c r="AT342" s="17" t="s">
        <v>7445</v>
      </c>
      <c r="AU342" s="18">
        <v>11</v>
      </c>
      <c r="AV342" s="17" t="s">
        <v>151</v>
      </c>
      <c r="AW342" s="17" t="s">
        <v>151</v>
      </c>
      <c r="AX342" s="17" t="s">
        <v>151</v>
      </c>
      <c r="AY342" s="17" t="s">
        <v>7446</v>
      </c>
      <c r="AZ342" s="17" t="s">
        <v>151</v>
      </c>
      <c r="BA342" s="17" t="s">
        <v>151</v>
      </c>
      <c r="BB342" s="17" t="s">
        <v>151</v>
      </c>
      <c r="BC342" s="17" t="s">
        <v>374</v>
      </c>
      <c r="BD342" s="17" t="s">
        <v>7447</v>
      </c>
      <c r="BE342" s="17" t="s">
        <v>7448</v>
      </c>
      <c r="BF342" s="17" t="s">
        <v>221</v>
      </c>
      <c r="BG342" s="17" t="s">
        <v>7449</v>
      </c>
      <c r="BH342" s="17" t="s">
        <v>7450</v>
      </c>
      <c r="BI342" s="17" t="s">
        <v>1144</v>
      </c>
      <c r="BJ342" s="17" t="s">
        <v>7451</v>
      </c>
      <c r="BK342" s="17" t="s">
        <v>1597</v>
      </c>
      <c r="BL342" s="17" t="s">
        <v>1145</v>
      </c>
      <c r="BM342" s="17" t="s">
        <v>184</v>
      </c>
      <c r="BN342" s="16" t="s">
        <v>7452</v>
      </c>
      <c r="BO342" s="17" t="s">
        <v>186</v>
      </c>
      <c r="BP342" s="16" t="s">
        <v>7450</v>
      </c>
      <c r="BQ342" s="16" t="s">
        <v>151</v>
      </c>
      <c r="BR342" s="17" t="s">
        <v>7453</v>
      </c>
      <c r="BS342" s="17" t="s">
        <v>187</v>
      </c>
      <c r="BT342" s="17" t="s">
        <v>188</v>
      </c>
      <c r="BU342" s="22" t="s">
        <v>151</v>
      </c>
      <c r="BV342" s="24" t="s">
        <v>151</v>
      </c>
      <c r="BW342" s="17" t="s">
        <v>151</v>
      </c>
      <c r="BX342" s="24" t="s">
        <v>151</v>
      </c>
      <c r="BY342" s="17" t="s">
        <v>151</v>
      </c>
      <c r="BZ342" s="17" t="s">
        <v>189</v>
      </c>
      <c r="CA342" s="17" t="s">
        <v>151</v>
      </c>
      <c r="CB342" s="17" t="s">
        <v>151</v>
      </c>
      <c r="CC342" s="17" t="s">
        <v>190</v>
      </c>
      <c r="CD342" s="17" t="s">
        <v>151</v>
      </c>
      <c r="CE342" s="17" t="s">
        <v>191</v>
      </c>
      <c r="CF342" s="22">
        <v>44637</v>
      </c>
      <c r="CG342" s="24">
        <v>0.18</v>
      </c>
      <c r="CH342" s="17" t="s">
        <v>192</v>
      </c>
      <c r="CI342" s="24">
        <v>6</v>
      </c>
      <c r="CJ342" s="17" t="s">
        <v>192</v>
      </c>
      <c r="CK342" s="16" t="s">
        <v>151</v>
      </c>
      <c r="CL342" s="17" t="s">
        <v>293</v>
      </c>
      <c r="CM342" s="17" t="s">
        <v>472</v>
      </c>
      <c r="CN342" s="17" t="s">
        <v>151</v>
      </c>
      <c r="CO342" s="17" t="s">
        <v>165</v>
      </c>
      <c r="CP342" s="22">
        <v>44637</v>
      </c>
      <c r="CQ342" s="24" t="s">
        <v>151</v>
      </c>
      <c r="CR342" s="17" t="s">
        <v>151</v>
      </c>
      <c r="CS342" s="17" t="s">
        <v>191</v>
      </c>
      <c r="CT342" s="16" t="s">
        <v>151</v>
      </c>
      <c r="CU342" s="17" t="s">
        <v>151</v>
      </c>
      <c r="CV342" s="19" t="s">
        <v>151</v>
      </c>
      <c r="CW342" s="19" t="s">
        <v>151</v>
      </c>
      <c r="CX342" s="17" t="s">
        <v>151</v>
      </c>
      <c r="CY342" s="19" t="s">
        <v>151</v>
      </c>
      <c r="CZ342" s="19" t="s">
        <v>151</v>
      </c>
      <c r="DA342" s="24">
        <v>6</v>
      </c>
      <c r="DB342" s="22">
        <v>44637</v>
      </c>
      <c r="DC342" s="17" t="s">
        <v>293</v>
      </c>
      <c r="DD342" s="16" t="s">
        <v>151</v>
      </c>
      <c r="DE342" s="19">
        <v>0.62</v>
      </c>
      <c r="DF342" s="21">
        <v>95</v>
      </c>
      <c r="DG342" s="19">
        <v>0</v>
      </c>
      <c r="DH342" s="19">
        <v>0</v>
      </c>
      <c r="DI342" s="19">
        <v>0</v>
      </c>
      <c r="DJ342" s="21">
        <v>10</v>
      </c>
      <c r="DK342" s="19" t="s">
        <v>151</v>
      </c>
      <c r="DL342" s="21" t="s">
        <v>151</v>
      </c>
      <c r="DM342" s="19">
        <v>0</v>
      </c>
      <c r="DN342" s="21">
        <v>10</v>
      </c>
      <c r="DO342" s="23">
        <v>2.29</v>
      </c>
      <c r="DP342" s="21">
        <v>69</v>
      </c>
      <c r="DQ342" s="23">
        <v>0</v>
      </c>
      <c r="DR342" s="19">
        <v>0</v>
      </c>
      <c r="DS342" s="23">
        <v>1.26</v>
      </c>
      <c r="DT342" s="21">
        <v>55</v>
      </c>
      <c r="DU342" s="23" t="s">
        <v>151</v>
      </c>
      <c r="DV342" s="21" t="s">
        <v>151</v>
      </c>
      <c r="DW342" s="23">
        <v>1.26</v>
      </c>
      <c r="DX342" s="21">
        <v>55</v>
      </c>
      <c r="DY342" s="18" t="s">
        <v>151</v>
      </c>
      <c r="DZ342" s="22" t="s">
        <v>151</v>
      </c>
      <c r="EA342" s="22" t="s">
        <v>151</v>
      </c>
      <c r="EB342" s="21">
        <v>260</v>
      </c>
      <c r="EC342" s="20">
        <v>147</v>
      </c>
      <c r="ED342" s="19">
        <v>130.09</v>
      </c>
      <c r="EE342" s="21">
        <v>24</v>
      </c>
      <c r="EF342" s="20">
        <v>0</v>
      </c>
      <c r="EG342" s="19">
        <v>0</v>
      </c>
      <c r="EH342" s="16" t="s">
        <v>198</v>
      </c>
      <c r="EI342" s="17" t="s">
        <v>151</v>
      </c>
      <c r="EJ342" s="17" t="s">
        <v>151</v>
      </c>
      <c r="EK342" s="18" t="s">
        <v>151</v>
      </c>
      <c r="EL342" s="18" t="s">
        <v>151</v>
      </c>
      <c r="EM342" s="18" t="s">
        <v>151</v>
      </c>
      <c r="EN342" s="18" t="s">
        <v>151</v>
      </c>
      <c r="EO342" s="18" t="s">
        <v>151</v>
      </c>
      <c r="EP342" s="17" t="s">
        <v>151</v>
      </c>
      <c r="EQ342" s="16" t="s">
        <v>151</v>
      </c>
      <c r="ER342" s="16" t="s">
        <v>151</v>
      </c>
      <c r="ES342" s="3">
        <f>HYPERLINK("https://my.pitchbook.com?c=468049-78","View Company Online")</f>
      </c>
    </row>
    <row r="343">
      <c r="A343" s="30" t="s">
        <v>7454</v>
      </c>
      <c r="B343" s="30" t="s">
        <v>7455</v>
      </c>
      <c r="C343" s="31" t="s">
        <v>151</v>
      </c>
      <c r="D343" s="30" t="s">
        <v>151</v>
      </c>
      <c r="E343" s="30" t="s">
        <v>151</v>
      </c>
      <c r="F343" s="30" t="s">
        <v>7456</v>
      </c>
      <c r="G343" s="30" t="s">
        <v>151</v>
      </c>
      <c r="H343" s="30" t="s">
        <v>151</v>
      </c>
      <c r="I343" s="30" t="s">
        <v>151</v>
      </c>
      <c r="J343" s="30" t="s">
        <v>7454</v>
      </c>
      <c r="K343" s="30" t="s">
        <v>7457</v>
      </c>
      <c r="L343" s="30" t="s">
        <v>205</v>
      </c>
      <c r="M343" s="30" t="s">
        <v>206</v>
      </c>
      <c r="N343" s="30" t="s">
        <v>269</v>
      </c>
      <c r="O343" s="30" t="s">
        <v>1819</v>
      </c>
      <c r="P343" s="30" t="s">
        <v>1153</v>
      </c>
      <c r="Q343" s="30" t="s">
        <v>7458</v>
      </c>
      <c r="R343" s="30" t="s">
        <v>151</v>
      </c>
      <c r="S343" s="30" t="s">
        <v>162</v>
      </c>
      <c r="T343" s="37">
        <v>1.75</v>
      </c>
      <c r="U343" s="30" t="s">
        <v>4045</v>
      </c>
      <c r="V343" s="30" t="s">
        <v>164</v>
      </c>
      <c r="W343" s="30" t="s">
        <v>165</v>
      </c>
      <c r="X343" s="28" t="s">
        <v>7459</v>
      </c>
      <c r="Y343" s="28" t="s">
        <v>7460</v>
      </c>
      <c r="Z343" s="40">
        <v>2</v>
      </c>
      <c r="AA343" s="30" t="s">
        <v>6077</v>
      </c>
      <c r="AB343" s="30" t="s">
        <v>151</v>
      </c>
      <c r="AC343" s="30" t="s">
        <v>151</v>
      </c>
      <c r="AD343" s="39">
        <v>2023</v>
      </c>
      <c r="AE343" s="30" t="s">
        <v>151</v>
      </c>
      <c r="AF343" s="35">
        <v>45609</v>
      </c>
      <c r="AG343" s="30" t="s">
        <v>151</v>
      </c>
      <c r="AH343" s="30" t="s">
        <v>151</v>
      </c>
      <c r="AI343" s="38" t="s">
        <v>151</v>
      </c>
      <c r="AJ343" s="32" t="s">
        <v>151</v>
      </c>
      <c r="AK343" s="38" t="s">
        <v>151</v>
      </c>
      <c r="AL343" s="38" t="s">
        <v>151</v>
      </c>
      <c r="AM343" s="38" t="s">
        <v>151</v>
      </c>
      <c r="AN343" s="38" t="s">
        <v>151</v>
      </c>
      <c r="AO343" s="38" t="s">
        <v>151</v>
      </c>
      <c r="AP343" s="38" t="s">
        <v>151</v>
      </c>
      <c r="AQ343" s="38" t="s">
        <v>151</v>
      </c>
      <c r="AR343" s="29" t="s">
        <v>151</v>
      </c>
      <c r="AS343" s="30" t="s">
        <v>7461</v>
      </c>
      <c r="AT343" s="30" t="s">
        <v>7462</v>
      </c>
      <c r="AU343" s="31">
        <v>4</v>
      </c>
      <c r="AV343" s="30" t="s">
        <v>151</v>
      </c>
      <c r="AW343" s="30" t="s">
        <v>151</v>
      </c>
      <c r="AX343" s="30" t="s">
        <v>151</v>
      </c>
      <c r="AY343" s="30" t="s">
        <v>7463</v>
      </c>
      <c r="AZ343" s="30" t="s">
        <v>151</v>
      </c>
      <c r="BA343" s="30" t="s">
        <v>151</v>
      </c>
      <c r="BB343" s="30" t="s">
        <v>151</v>
      </c>
      <c r="BC343" s="30" t="s">
        <v>151</v>
      </c>
      <c r="BD343" s="30" t="s">
        <v>7464</v>
      </c>
      <c r="BE343" s="30" t="s">
        <v>7465</v>
      </c>
      <c r="BF343" s="30" t="s">
        <v>2115</v>
      </c>
      <c r="BG343" s="30" t="s">
        <v>7466</v>
      </c>
      <c r="BH343" s="30" t="s">
        <v>151</v>
      </c>
      <c r="BI343" s="30" t="s">
        <v>764</v>
      </c>
      <c r="BJ343" s="30" t="s">
        <v>7467</v>
      </c>
      <c r="BK343" s="30" t="s">
        <v>7468</v>
      </c>
      <c r="BL343" s="30" t="s">
        <v>767</v>
      </c>
      <c r="BM343" s="30" t="s">
        <v>184</v>
      </c>
      <c r="BN343" s="29" t="s">
        <v>1170</v>
      </c>
      <c r="BO343" s="30" t="s">
        <v>186</v>
      </c>
      <c r="BP343" s="29" t="s">
        <v>151</v>
      </c>
      <c r="BQ343" s="29" t="s">
        <v>151</v>
      </c>
      <c r="BR343" s="30" t="s">
        <v>7469</v>
      </c>
      <c r="BS343" s="30" t="s">
        <v>187</v>
      </c>
      <c r="BT343" s="30" t="s">
        <v>188</v>
      </c>
      <c r="BU343" s="35">
        <v>45573</v>
      </c>
      <c r="BV343" s="37">
        <v>1.75</v>
      </c>
      <c r="BW343" s="30" t="s">
        <v>192</v>
      </c>
      <c r="BX343" s="37">
        <v>8.75</v>
      </c>
      <c r="BY343" s="30" t="s">
        <v>192</v>
      </c>
      <c r="BZ343" s="30" t="s">
        <v>293</v>
      </c>
      <c r="CA343" s="30" t="s">
        <v>293</v>
      </c>
      <c r="CB343" s="30" t="s">
        <v>151</v>
      </c>
      <c r="CC343" s="30" t="s">
        <v>165</v>
      </c>
      <c r="CD343" s="30" t="s">
        <v>151</v>
      </c>
      <c r="CE343" s="30" t="s">
        <v>191</v>
      </c>
      <c r="CF343" s="35">
        <v>45573</v>
      </c>
      <c r="CG343" s="37">
        <v>1.75</v>
      </c>
      <c r="CH343" s="30" t="s">
        <v>192</v>
      </c>
      <c r="CI343" s="37">
        <v>8.75</v>
      </c>
      <c r="CJ343" s="30" t="s">
        <v>192</v>
      </c>
      <c r="CK343" s="29" t="s">
        <v>151</v>
      </c>
      <c r="CL343" s="30" t="s">
        <v>293</v>
      </c>
      <c r="CM343" s="30" t="s">
        <v>293</v>
      </c>
      <c r="CN343" s="30" t="s">
        <v>151</v>
      </c>
      <c r="CO343" s="30" t="s">
        <v>165</v>
      </c>
      <c r="CP343" s="35">
        <v>45573</v>
      </c>
      <c r="CQ343" s="37" t="s">
        <v>151</v>
      </c>
      <c r="CR343" s="30" t="s">
        <v>151</v>
      </c>
      <c r="CS343" s="30" t="s">
        <v>191</v>
      </c>
      <c r="CT343" s="29" t="s">
        <v>151</v>
      </c>
      <c r="CU343" s="30" t="s">
        <v>151</v>
      </c>
      <c r="CV343" s="32" t="s">
        <v>151</v>
      </c>
      <c r="CW343" s="32" t="s">
        <v>151</v>
      </c>
      <c r="CX343" s="30" t="s">
        <v>151</v>
      </c>
      <c r="CY343" s="32" t="s">
        <v>151</v>
      </c>
      <c r="CZ343" s="32" t="s">
        <v>151</v>
      </c>
      <c r="DA343" s="37">
        <v>8.75</v>
      </c>
      <c r="DB343" s="35">
        <v>45573</v>
      </c>
      <c r="DC343" s="30" t="s">
        <v>293</v>
      </c>
      <c r="DD343" s="29" t="s">
        <v>151</v>
      </c>
      <c r="DE343" s="32">
        <v>0</v>
      </c>
      <c r="DF343" s="34">
        <v>11</v>
      </c>
      <c r="DG343" s="32">
        <v>0</v>
      </c>
      <c r="DH343" s="32">
        <v>0</v>
      </c>
      <c r="DI343" s="32">
        <v>0</v>
      </c>
      <c r="DJ343" s="34">
        <v>10</v>
      </c>
      <c r="DK343" s="32" t="s">
        <v>151</v>
      </c>
      <c r="DL343" s="34" t="s">
        <v>151</v>
      </c>
      <c r="DM343" s="32">
        <v>0</v>
      </c>
      <c r="DN343" s="34">
        <v>10</v>
      </c>
      <c r="DO343" s="36">
        <v>0.11</v>
      </c>
      <c r="DP343" s="34">
        <v>5</v>
      </c>
      <c r="DQ343" s="36">
        <v>0</v>
      </c>
      <c r="DR343" s="32">
        <v>0</v>
      </c>
      <c r="DS343" s="36">
        <v>0.11</v>
      </c>
      <c r="DT343" s="34">
        <v>5</v>
      </c>
      <c r="DU343" s="36" t="s">
        <v>151</v>
      </c>
      <c r="DV343" s="34" t="s">
        <v>151</v>
      </c>
      <c r="DW343" s="36">
        <v>0.11</v>
      </c>
      <c r="DX343" s="34">
        <v>5</v>
      </c>
      <c r="DY343" s="31" t="s">
        <v>151</v>
      </c>
      <c r="DZ343" s="35" t="s">
        <v>151</v>
      </c>
      <c r="EA343" s="35" t="s">
        <v>151</v>
      </c>
      <c r="EB343" s="34" t="s">
        <v>151</v>
      </c>
      <c r="EC343" s="33" t="s">
        <v>151</v>
      </c>
      <c r="ED343" s="32" t="s">
        <v>151</v>
      </c>
      <c r="EE343" s="34">
        <v>2</v>
      </c>
      <c r="EF343" s="33">
        <v>0</v>
      </c>
      <c r="EG343" s="32">
        <v>0</v>
      </c>
      <c r="EH343" s="29" t="s">
        <v>198</v>
      </c>
      <c r="EI343" s="30" t="s">
        <v>151</v>
      </c>
      <c r="EJ343" s="30" t="s">
        <v>151</v>
      </c>
      <c r="EK343" s="31" t="s">
        <v>151</v>
      </c>
      <c r="EL343" s="31" t="s">
        <v>151</v>
      </c>
      <c r="EM343" s="31" t="s">
        <v>151</v>
      </c>
      <c r="EN343" s="31" t="s">
        <v>151</v>
      </c>
      <c r="EO343" s="31" t="s">
        <v>151</v>
      </c>
      <c r="EP343" s="30" t="s">
        <v>151</v>
      </c>
      <c r="EQ343" s="29" t="s">
        <v>151</v>
      </c>
      <c r="ER343" s="29" t="s">
        <v>151</v>
      </c>
      <c r="ES343" s="4">
        <f>HYPERLINK("https://my.pitchbook.com?c=630582-85","View Company Online")</f>
      </c>
    </row>
    <row r="344">
      <c r="A344" s="17" t="s">
        <v>7470</v>
      </c>
      <c r="B344" s="17" t="s">
        <v>7471</v>
      </c>
      <c r="C344" s="18" t="s">
        <v>151</v>
      </c>
      <c r="D344" s="17" t="s">
        <v>151</v>
      </c>
      <c r="E344" s="17" t="s">
        <v>151</v>
      </c>
      <c r="F344" s="17" t="s">
        <v>7472</v>
      </c>
      <c r="G344" s="17" t="s">
        <v>151</v>
      </c>
      <c r="H344" s="17" t="s">
        <v>151</v>
      </c>
      <c r="I344" s="17" t="s">
        <v>151</v>
      </c>
      <c r="J344" s="17" t="s">
        <v>7470</v>
      </c>
      <c r="K344" s="17" t="s">
        <v>7473</v>
      </c>
      <c r="L344" s="17" t="s">
        <v>155</v>
      </c>
      <c r="M344" s="17" t="s">
        <v>7474</v>
      </c>
      <c r="N344" s="17" t="s">
        <v>7475</v>
      </c>
      <c r="O344" s="17" t="s">
        <v>7476</v>
      </c>
      <c r="P344" s="17" t="s">
        <v>7477</v>
      </c>
      <c r="Q344" s="17" t="s">
        <v>7478</v>
      </c>
      <c r="R344" s="17" t="s">
        <v>151</v>
      </c>
      <c r="S344" s="17" t="s">
        <v>162</v>
      </c>
      <c r="T344" s="24">
        <v>2</v>
      </c>
      <c r="U344" s="17" t="s">
        <v>163</v>
      </c>
      <c r="V344" s="17" t="s">
        <v>164</v>
      </c>
      <c r="W344" s="17" t="s">
        <v>165</v>
      </c>
      <c r="X344" s="15" t="s">
        <v>7479</v>
      </c>
      <c r="Y344" s="15" t="s">
        <v>7480</v>
      </c>
      <c r="Z344" s="27">
        <v>8</v>
      </c>
      <c r="AA344" s="17" t="s">
        <v>7481</v>
      </c>
      <c r="AB344" s="17" t="s">
        <v>151</v>
      </c>
      <c r="AC344" s="17" t="s">
        <v>151</v>
      </c>
      <c r="AD344" s="26">
        <v>2019</v>
      </c>
      <c r="AE344" s="17" t="s">
        <v>151</v>
      </c>
      <c r="AF344" s="22">
        <v>45596</v>
      </c>
      <c r="AG344" s="17" t="s">
        <v>151</v>
      </c>
      <c r="AH344" s="17" t="s">
        <v>151</v>
      </c>
      <c r="AI344" s="25" t="s">
        <v>151</v>
      </c>
      <c r="AJ344" s="19" t="s">
        <v>151</v>
      </c>
      <c r="AK344" s="25" t="s">
        <v>151</v>
      </c>
      <c r="AL344" s="25" t="s">
        <v>151</v>
      </c>
      <c r="AM344" s="25" t="s">
        <v>151</v>
      </c>
      <c r="AN344" s="25" t="s">
        <v>151</v>
      </c>
      <c r="AO344" s="25" t="s">
        <v>151</v>
      </c>
      <c r="AP344" s="25" t="s">
        <v>151</v>
      </c>
      <c r="AQ344" s="25" t="s">
        <v>151</v>
      </c>
      <c r="AR344" s="16" t="s">
        <v>151</v>
      </c>
      <c r="AS344" s="17" t="s">
        <v>7482</v>
      </c>
      <c r="AT344" s="17" t="s">
        <v>7483</v>
      </c>
      <c r="AU344" s="18">
        <v>1</v>
      </c>
      <c r="AV344" s="17" t="s">
        <v>151</v>
      </c>
      <c r="AW344" s="17" t="s">
        <v>151</v>
      </c>
      <c r="AX344" s="17" t="s">
        <v>151</v>
      </c>
      <c r="AY344" s="17" t="s">
        <v>7484</v>
      </c>
      <c r="AZ344" s="17" t="s">
        <v>151</v>
      </c>
      <c r="BA344" s="17" t="s">
        <v>151</v>
      </c>
      <c r="BB344" s="17" t="s">
        <v>151</v>
      </c>
      <c r="BC344" s="17" t="s">
        <v>151</v>
      </c>
      <c r="BD344" s="17" t="s">
        <v>7485</v>
      </c>
      <c r="BE344" s="17" t="s">
        <v>7486</v>
      </c>
      <c r="BF344" s="17" t="s">
        <v>7487</v>
      </c>
      <c r="BG344" s="17" t="s">
        <v>7488</v>
      </c>
      <c r="BH344" s="17" t="s">
        <v>7489</v>
      </c>
      <c r="BI344" s="17" t="s">
        <v>7490</v>
      </c>
      <c r="BJ344" s="17" t="s">
        <v>7491</v>
      </c>
      <c r="BK344" s="17" t="s">
        <v>1014</v>
      </c>
      <c r="BL344" s="17" t="s">
        <v>6630</v>
      </c>
      <c r="BM344" s="17" t="s">
        <v>1337</v>
      </c>
      <c r="BN344" s="16" t="s">
        <v>7492</v>
      </c>
      <c r="BO344" s="17" t="s">
        <v>186</v>
      </c>
      <c r="BP344" s="16" t="s">
        <v>7489</v>
      </c>
      <c r="BQ344" s="16" t="s">
        <v>151</v>
      </c>
      <c r="BR344" s="17" t="s">
        <v>151</v>
      </c>
      <c r="BS344" s="17" t="s">
        <v>187</v>
      </c>
      <c r="BT344" s="17" t="s">
        <v>188</v>
      </c>
      <c r="BU344" s="22">
        <v>44741</v>
      </c>
      <c r="BV344" s="24">
        <v>2</v>
      </c>
      <c r="BW344" s="17" t="s">
        <v>192</v>
      </c>
      <c r="BX344" s="24" t="s">
        <v>151</v>
      </c>
      <c r="BY344" s="17" t="s">
        <v>151</v>
      </c>
      <c r="BZ344" s="17" t="s">
        <v>293</v>
      </c>
      <c r="CA344" s="17" t="s">
        <v>293</v>
      </c>
      <c r="CB344" s="17" t="s">
        <v>151</v>
      </c>
      <c r="CC344" s="17" t="s">
        <v>165</v>
      </c>
      <c r="CD344" s="17" t="s">
        <v>151</v>
      </c>
      <c r="CE344" s="17" t="s">
        <v>191</v>
      </c>
      <c r="CF344" s="22">
        <v>44741</v>
      </c>
      <c r="CG344" s="24">
        <v>2</v>
      </c>
      <c r="CH344" s="17" t="s">
        <v>192</v>
      </c>
      <c r="CI344" s="24" t="s">
        <v>151</v>
      </c>
      <c r="CJ344" s="17" t="s">
        <v>151</v>
      </c>
      <c r="CK344" s="16" t="s">
        <v>151</v>
      </c>
      <c r="CL344" s="17" t="s">
        <v>293</v>
      </c>
      <c r="CM344" s="17" t="s">
        <v>293</v>
      </c>
      <c r="CN344" s="17" t="s">
        <v>151</v>
      </c>
      <c r="CO344" s="17" t="s">
        <v>165</v>
      </c>
      <c r="CP344" s="22">
        <v>44741</v>
      </c>
      <c r="CQ344" s="24" t="s">
        <v>151</v>
      </c>
      <c r="CR344" s="17" t="s">
        <v>151</v>
      </c>
      <c r="CS344" s="17" t="s">
        <v>191</v>
      </c>
      <c r="CT344" s="16" t="s">
        <v>151</v>
      </c>
      <c r="CU344" s="17" t="s">
        <v>151</v>
      </c>
      <c r="CV344" s="19" t="s">
        <v>151</v>
      </c>
      <c r="CW344" s="19" t="s">
        <v>151</v>
      </c>
      <c r="CX344" s="17" t="s">
        <v>151</v>
      </c>
      <c r="CY344" s="19" t="s">
        <v>151</v>
      </c>
      <c r="CZ344" s="19" t="s">
        <v>151</v>
      </c>
      <c r="DA344" s="24" t="s">
        <v>151</v>
      </c>
      <c r="DB344" s="22" t="s">
        <v>151</v>
      </c>
      <c r="DC344" s="17" t="s">
        <v>151</v>
      </c>
      <c r="DD344" s="16" t="s">
        <v>151</v>
      </c>
      <c r="DE344" s="19">
        <v>0.89</v>
      </c>
      <c r="DF344" s="21">
        <v>96</v>
      </c>
      <c r="DG344" s="19">
        <v>0</v>
      </c>
      <c r="DH344" s="19">
        <v>0</v>
      </c>
      <c r="DI344" s="19">
        <v>1.77</v>
      </c>
      <c r="DJ344" s="21">
        <v>98</v>
      </c>
      <c r="DK344" s="19" t="s">
        <v>151</v>
      </c>
      <c r="DL344" s="21" t="s">
        <v>151</v>
      </c>
      <c r="DM344" s="19">
        <v>1.77</v>
      </c>
      <c r="DN344" s="21">
        <v>98</v>
      </c>
      <c r="DO344" s="23">
        <v>27.39</v>
      </c>
      <c r="DP344" s="21">
        <v>96</v>
      </c>
      <c r="DQ344" s="23">
        <v>0</v>
      </c>
      <c r="DR344" s="19">
        <v>0</v>
      </c>
      <c r="DS344" s="23">
        <v>54.16</v>
      </c>
      <c r="DT344" s="21">
        <v>98</v>
      </c>
      <c r="DU344" s="23" t="s">
        <v>151</v>
      </c>
      <c r="DV344" s="21" t="s">
        <v>151</v>
      </c>
      <c r="DW344" s="23">
        <v>54.16</v>
      </c>
      <c r="DX344" s="21">
        <v>98</v>
      </c>
      <c r="DY344" s="18" t="s">
        <v>151</v>
      </c>
      <c r="DZ344" s="22" t="s">
        <v>151</v>
      </c>
      <c r="EA344" s="22" t="s">
        <v>151</v>
      </c>
      <c r="EB344" s="21">
        <v>2387</v>
      </c>
      <c r="EC344" s="20">
        <v>-24</v>
      </c>
      <c r="ED344" s="19">
        <v>-1</v>
      </c>
      <c r="EE344" s="21">
        <v>1029</v>
      </c>
      <c r="EF344" s="20">
        <v>9</v>
      </c>
      <c r="EG344" s="19">
        <v>0.88</v>
      </c>
      <c r="EH344" s="16" t="s">
        <v>198</v>
      </c>
      <c r="EI344" s="17" t="s">
        <v>151</v>
      </c>
      <c r="EJ344" s="17" t="s">
        <v>151</v>
      </c>
      <c r="EK344" s="18" t="s">
        <v>151</v>
      </c>
      <c r="EL344" s="18" t="s">
        <v>151</v>
      </c>
      <c r="EM344" s="18" t="s">
        <v>151</v>
      </c>
      <c r="EN344" s="18" t="s">
        <v>151</v>
      </c>
      <c r="EO344" s="18" t="s">
        <v>151</v>
      </c>
      <c r="EP344" s="17" t="s">
        <v>151</v>
      </c>
      <c r="EQ344" s="16" t="s">
        <v>151</v>
      </c>
      <c r="ER344" s="16" t="s">
        <v>151</v>
      </c>
      <c r="ES344" s="3">
        <f>HYPERLINK("https://my.pitchbook.com?c=458101-54","View Company Online")</f>
      </c>
    </row>
    <row r="345">
      <c r="A345" s="30" t="s">
        <v>7493</v>
      </c>
      <c r="B345" s="30" t="s">
        <v>7494</v>
      </c>
      <c r="C345" s="31" t="s">
        <v>151</v>
      </c>
      <c r="D345" s="30" t="s">
        <v>151</v>
      </c>
      <c r="E345" s="30" t="s">
        <v>7495</v>
      </c>
      <c r="F345" s="30" t="s">
        <v>7496</v>
      </c>
      <c r="G345" s="30" t="s">
        <v>151</v>
      </c>
      <c r="H345" s="30" t="s">
        <v>151</v>
      </c>
      <c r="I345" s="30" t="s">
        <v>151</v>
      </c>
      <c r="J345" s="30" t="s">
        <v>7493</v>
      </c>
      <c r="K345" s="30" t="s">
        <v>7497</v>
      </c>
      <c r="L345" s="30" t="s">
        <v>155</v>
      </c>
      <c r="M345" s="30" t="s">
        <v>361</v>
      </c>
      <c r="N345" s="30" t="s">
        <v>3162</v>
      </c>
      <c r="O345" s="30" t="s">
        <v>3163</v>
      </c>
      <c r="P345" s="30" t="s">
        <v>151</v>
      </c>
      <c r="Q345" s="30" t="s">
        <v>7498</v>
      </c>
      <c r="R345" s="30" t="s">
        <v>151</v>
      </c>
      <c r="S345" s="30" t="s">
        <v>162</v>
      </c>
      <c r="T345" s="37">
        <v>2</v>
      </c>
      <c r="U345" s="30" t="s">
        <v>163</v>
      </c>
      <c r="V345" s="30" t="s">
        <v>164</v>
      </c>
      <c r="W345" s="30" t="s">
        <v>165</v>
      </c>
      <c r="X345" s="28" t="s">
        <v>7499</v>
      </c>
      <c r="Y345" s="28" t="s">
        <v>7500</v>
      </c>
      <c r="Z345" s="40">
        <v>7</v>
      </c>
      <c r="AA345" s="30" t="s">
        <v>7501</v>
      </c>
      <c r="AB345" s="30" t="s">
        <v>151</v>
      </c>
      <c r="AC345" s="30" t="s">
        <v>151</v>
      </c>
      <c r="AD345" s="39">
        <v>2021</v>
      </c>
      <c r="AE345" s="30" t="s">
        <v>151</v>
      </c>
      <c r="AF345" s="35">
        <v>45405</v>
      </c>
      <c r="AG345" s="30" t="s">
        <v>151</v>
      </c>
      <c r="AH345" s="30" t="s">
        <v>151</v>
      </c>
      <c r="AI345" s="38" t="s">
        <v>151</v>
      </c>
      <c r="AJ345" s="32" t="s">
        <v>151</v>
      </c>
      <c r="AK345" s="38" t="s">
        <v>151</v>
      </c>
      <c r="AL345" s="38" t="s">
        <v>151</v>
      </c>
      <c r="AM345" s="38" t="s">
        <v>151</v>
      </c>
      <c r="AN345" s="38" t="s">
        <v>151</v>
      </c>
      <c r="AO345" s="38" t="s">
        <v>151</v>
      </c>
      <c r="AP345" s="38" t="s">
        <v>151</v>
      </c>
      <c r="AQ345" s="38" t="s">
        <v>151</v>
      </c>
      <c r="AR345" s="29" t="s">
        <v>151</v>
      </c>
      <c r="AS345" s="30" t="s">
        <v>7502</v>
      </c>
      <c r="AT345" s="30" t="s">
        <v>7503</v>
      </c>
      <c r="AU345" s="31">
        <v>2</v>
      </c>
      <c r="AV345" s="30" t="s">
        <v>151</v>
      </c>
      <c r="AW345" s="30" t="s">
        <v>151</v>
      </c>
      <c r="AX345" s="30" t="s">
        <v>151</v>
      </c>
      <c r="AY345" s="30" t="s">
        <v>7504</v>
      </c>
      <c r="AZ345" s="30" t="s">
        <v>151</v>
      </c>
      <c r="BA345" s="30" t="s">
        <v>151</v>
      </c>
      <c r="BB345" s="30" t="s">
        <v>151</v>
      </c>
      <c r="BC345" s="30" t="s">
        <v>151</v>
      </c>
      <c r="BD345" s="30" t="s">
        <v>7505</v>
      </c>
      <c r="BE345" s="30" t="s">
        <v>7506</v>
      </c>
      <c r="BF345" s="30" t="s">
        <v>221</v>
      </c>
      <c r="BG345" s="30" t="s">
        <v>7507</v>
      </c>
      <c r="BH345" s="30" t="s">
        <v>7508</v>
      </c>
      <c r="BI345" s="30" t="s">
        <v>906</v>
      </c>
      <c r="BJ345" s="30" t="s">
        <v>151</v>
      </c>
      <c r="BK345" s="30" t="s">
        <v>151</v>
      </c>
      <c r="BL345" s="30" t="s">
        <v>259</v>
      </c>
      <c r="BM345" s="30" t="s">
        <v>259</v>
      </c>
      <c r="BN345" s="29" t="s">
        <v>151</v>
      </c>
      <c r="BO345" s="30" t="s">
        <v>186</v>
      </c>
      <c r="BP345" s="29" t="s">
        <v>151</v>
      </c>
      <c r="BQ345" s="29" t="s">
        <v>151</v>
      </c>
      <c r="BR345" s="30" t="s">
        <v>151</v>
      </c>
      <c r="BS345" s="30" t="s">
        <v>187</v>
      </c>
      <c r="BT345" s="30" t="s">
        <v>188</v>
      </c>
      <c r="BU345" s="35">
        <v>44866</v>
      </c>
      <c r="BV345" s="37">
        <v>2</v>
      </c>
      <c r="BW345" s="30" t="s">
        <v>193</v>
      </c>
      <c r="BX345" s="37">
        <v>8</v>
      </c>
      <c r="BY345" s="30" t="s">
        <v>192</v>
      </c>
      <c r="BZ345" s="30" t="s">
        <v>293</v>
      </c>
      <c r="CA345" s="30" t="s">
        <v>293</v>
      </c>
      <c r="CB345" s="30" t="s">
        <v>151</v>
      </c>
      <c r="CC345" s="30" t="s">
        <v>165</v>
      </c>
      <c r="CD345" s="30" t="s">
        <v>151</v>
      </c>
      <c r="CE345" s="30" t="s">
        <v>191</v>
      </c>
      <c r="CF345" s="35">
        <v>44866</v>
      </c>
      <c r="CG345" s="37">
        <v>2</v>
      </c>
      <c r="CH345" s="30" t="s">
        <v>193</v>
      </c>
      <c r="CI345" s="37">
        <v>8</v>
      </c>
      <c r="CJ345" s="30" t="s">
        <v>192</v>
      </c>
      <c r="CK345" s="29" t="s">
        <v>151</v>
      </c>
      <c r="CL345" s="30" t="s">
        <v>293</v>
      </c>
      <c r="CM345" s="30" t="s">
        <v>293</v>
      </c>
      <c r="CN345" s="30" t="s">
        <v>151</v>
      </c>
      <c r="CO345" s="30" t="s">
        <v>165</v>
      </c>
      <c r="CP345" s="35">
        <v>44866</v>
      </c>
      <c r="CQ345" s="37" t="s">
        <v>151</v>
      </c>
      <c r="CR345" s="30" t="s">
        <v>151</v>
      </c>
      <c r="CS345" s="30" t="s">
        <v>191</v>
      </c>
      <c r="CT345" s="29" t="s">
        <v>151</v>
      </c>
      <c r="CU345" s="30" t="s">
        <v>151</v>
      </c>
      <c r="CV345" s="32" t="s">
        <v>151</v>
      </c>
      <c r="CW345" s="32" t="s">
        <v>151</v>
      </c>
      <c r="CX345" s="30" t="s">
        <v>151</v>
      </c>
      <c r="CY345" s="32" t="s">
        <v>151</v>
      </c>
      <c r="CZ345" s="32" t="s">
        <v>151</v>
      </c>
      <c r="DA345" s="37">
        <v>8</v>
      </c>
      <c r="DB345" s="35">
        <v>44866</v>
      </c>
      <c r="DC345" s="30" t="s">
        <v>293</v>
      </c>
      <c r="DD345" s="29" t="s">
        <v>151</v>
      </c>
      <c r="DE345" s="32">
        <v>-0.41</v>
      </c>
      <c r="DF345" s="34">
        <v>8</v>
      </c>
      <c r="DG345" s="32">
        <v>0</v>
      </c>
      <c r="DH345" s="32">
        <v>0</v>
      </c>
      <c r="DI345" s="32">
        <v>0.74</v>
      </c>
      <c r="DJ345" s="34">
        <v>96</v>
      </c>
      <c r="DK345" s="32" t="s">
        <v>151</v>
      </c>
      <c r="DL345" s="34" t="s">
        <v>151</v>
      </c>
      <c r="DM345" s="32">
        <v>0.74</v>
      </c>
      <c r="DN345" s="34">
        <v>96</v>
      </c>
      <c r="DO345" s="36">
        <v>3.06</v>
      </c>
      <c r="DP345" s="34">
        <v>75</v>
      </c>
      <c r="DQ345" s="36">
        <v>0</v>
      </c>
      <c r="DR345" s="32">
        <v>0</v>
      </c>
      <c r="DS345" s="36">
        <v>5.58</v>
      </c>
      <c r="DT345" s="34">
        <v>83</v>
      </c>
      <c r="DU345" s="36" t="s">
        <v>151</v>
      </c>
      <c r="DV345" s="34" t="s">
        <v>151</v>
      </c>
      <c r="DW345" s="36">
        <v>5.58</v>
      </c>
      <c r="DX345" s="34">
        <v>83</v>
      </c>
      <c r="DY345" s="31" t="s">
        <v>151</v>
      </c>
      <c r="DZ345" s="35" t="s">
        <v>151</v>
      </c>
      <c r="EA345" s="35" t="s">
        <v>151</v>
      </c>
      <c r="EB345" s="34">
        <v>1305</v>
      </c>
      <c r="EC345" s="33">
        <v>-16</v>
      </c>
      <c r="ED345" s="32">
        <v>-1.21</v>
      </c>
      <c r="EE345" s="34">
        <v>106</v>
      </c>
      <c r="EF345" s="33">
        <v>0</v>
      </c>
      <c r="EG345" s="32">
        <v>0</v>
      </c>
      <c r="EH345" s="29" t="s">
        <v>198</v>
      </c>
      <c r="EI345" s="30" t="s">
        <v>151</v>
      </c>
      <c r="EJ345" s="30" t="s">
        <v>151</v>
      </c>
      <c r="EK345" s="31" t="s">
        <v>151</v>
      </c>
      <c r="EL345" s="31" t="s">
        <v>151</v>
      </c>
      <c r="EM345" s="31" t="s">
        <v>151</v>
      </c>
      <c r="EN345" s="31" t="s">
        <v>151</v>
      </c>
      <c r="EO345" s="31" t="s">
        <v>151</v>
      </c>
      <c r="EP345" s="30" t="s">
        <v>151</v>
      </c>
      <c r="EQ345" s="29" t="s">
        <v>151</v>
      </c>
      <c r="ER345" s="29" t="s">
        <v>151</v>
      </c>
      <c r="ES345" s="4">
        <f>HYPERLINK("https://my.pitchbook.com?c=515174-14","View Company Online")</f>
      </c>
    </row>
    <row r="346">
      <c r="A346" s="17" t="s">
        <v>7509</v>
      </c>
      <c r="B346" s="17" t="s">
        <v>7510</v>
      </c>
      <c r="C346" s="18" t="s">
        <v>151</v>
      </c>
      <c r="D346" s="17" t="s">
        <v>7511</v>
      </c>
      <c r="E346" s="17" t="s">
        <v>151</v>
      </c>
      <c r="F346" s="17" t="s">
        <v>7512</v>
      </c>
      <c r="G346" s="17" t="s">
        <v>151</v>
      </c>
      <c r="H346" s="17" t="s">
        <v>151</v>
      </c>
      <c r="I346" s="17" t="s">
        <v>7513</v>
      </c>
      <c r="J346" s="17" t="s">
        <v>7509</v>
      </c>
      <c r="K346" s="17" t="s">
        <v>7514</v>
      </c>
      <c r="L346" s="17" t="s">
        <v>205</v>
      </c>
      <c r="M346" s="17" t="s">
        <v>206</v>
      </c>
      <c r="N346" s="17" t="s">
        <v>917</v>
      </c>
      <c r="O346" s="17" t="s">
        <v>1584</v>
      </c>
      <c r="P346" s="17" t="s">
        <v>919</v>
      </c>
      <c r="Q346" s="17" t="s">
        <v>7515</v>
      </c>
      <c r="R346" s="17" t="s">
        <v>151</v>
      </c>
      <c r="S346" s="17" t="s">
        <v>162</v>
      </c>
      <c r="T346" s="24">
        <v>0.05</v>
      </c>
      <c r="U346" s="17" t="s">
        <v>163</v>
      </c>
      <c r="V346" s="17" t="s">
        <v>164</v>
      </c>
      <c r="W346" s="17" t="s">
        <v>165</v>
      </c>
      <c r="X346" s="15" t="s">
        <v>7516</v>
      </c>
      <c r="Y346" s="15" t="s">
        <v>7517</v>
      </c>
      <c r="Z346" s="27">
        <v>47</v>
      </c>
      <c r="AA346" s="17" t="s">
        <v>7518</v>
      </c>
      <c r="AB346" s="17" t="s">
        <v>151</v>
      </c>
      <c r="AC346" s="17" t="s">
        <v>151</v>
      </c>
      <c r="AD346" s="26">
        <v>2019</v>
      </c>
      <c r="AE346" s="17" t="s">
        <v>151</v>
      </c>
      <c r="AF346" s="22">
        <v>45594</v>
      </c>
      <c r="AG346" s="17" t="s">
        <v>151</v>
      </c>
      <c r="AH346" s="17" t="s">
        <v>151</v>
      </c>
      <c r="AI346" s="25">
        <v>0.14</v>
      </c>
      <c r="AJ346" s="19">
        <v>258.44</v>
      </c>
      <c r="AK346" s="25" t="s">
        <v>151</v>
      </c>
      <c r="AL346" s="25" t="s">
        <v>151</v>
      </c>
      <c r="AM346" s="25" t="s">
        <v>151</v>
      </c>
      <c r="AN346" s="25" t="s">
        <v>151</v>
      </c>
      <c r="AO346" s="25" t="s">
        <v>151</v>
      </c>
      <c r="AP346" s="25" t="s">
        <v>151</v>
      </c>
      <c r="AQ346" s="25" t="s">
        <v>151</v>
      </c>
      <c r="AR346" s="16" t="s">
        <v>810</v>
      </c>
      <c r="AS346" s="17" t="s">
        <v>7519</v>
      </c>
      <c r="AT346" s="17" t="s">
        <v>7520</v>
      </c>
      <c r="AU346" s="18">
        <v>3</v>
      </c>
      <c r="AV346" s="17" t="s">
        <v>151</v>
      </c>
      <c r="AW346" s="17" t="s">
        <v>151</v>
      </c>
      <c r="AX346" s="17" t="s">
        <v>151</v>
      </c>
      <c r="AY346" s="17" t="s">
        <v>7521</v>
      </c>
      <c r="AZ346" s="17" t="s">
        <v>151</v>
      </c>
      <c r="BA346" s="17" t="s">
        <v>151</v>
      </c>
      <c r="BB346" s="17" t="s">
        <v>151</v>
      </c>
      <c r="BC346" s="17" t="s">
        <v>151</v>
      </c>
      <c r="BD346" s="17" t="s">
        <v>7522</v>
      </c>
      <c r="BE346" s="17" t="s">
        <v>7523</v>
      </c>
      <c r="BF346" s="17" t="s">
        <v>7524</v>
      </c>
      <c r="BG346" s="17" t="s">
        <v>7525</v>
      </c>
      <c r="BH346" s="17" t="s">
        <v>7526</v>
      </c>
      <c r="BI346" s="17" t="s">
        <v>6916</v>
      </c>
      <c r="BJ346" s="17" t="s">
        <v>7527</v>
      </c>
      <c r="BK346" s="17" t="s">
        <v>151</v>
      </c>
      <c r="BL346" s="17" t="s">
        <v>6919</v>
      </c>
      <c r="BM346" s="17" t="s">
        <v>2190</v>
      </c>
      <c r="BN346" s="16" t="s">
        <v>7528</v>
      </c>
      <c r="BO346" s="17" t="s">
        <v>186</v>
      </c>
      <c r="BP346" s="16" t="s">
        <v>7526</v>
      </c>
      <c r="BQ346" s="16" t="s">
        <v>151</v>
      </c>
      <c r="BR346" s="17" t="s">
        <v>7529</v>
      </c>
      <c r="BS346" s="17" t="s">
        <v>187</v>
      </c>
      <c r="BT346" s="17" t="s">
        <v>188</v>
      </c>
      <c r="BU346" s="22">
        <v>44403</v>
      </c>
      <c r="BV346" s="24">
        <v>0.05</v>
      </c>
      <c r="BW346" s="17" t="s">
        <v>192</v>
      </c>
      <c r="BX346" s="24">
        <v>2.7</v>
      </c>
      <c r="BY346" s="17" t="s">
        <v>192</v>
      </c>
      <c r="BZ346" s="17" t="s">
        <v>293</v>
      </c>
      <c r="CA346" s="17" t="s">
        <v>293</v>
      </c>
      <c r="CB346" s="17" t="s">
        <v>151</v>
      </c>
      <c r="CC346" s="17" t="s">
        <v>165</v>
      </c>
      <c r="CD346" s="17" t="s">
        <v>151</v>
      </c>
      <c r="CE346" s="17" t="s">
        <v>191</v>
      </c>
      <c r="CF346" s="22">
        <v>44403</v>
      </c>
      <c r="CG346" s="24">
        <v>0.05</v>
      </c>
      <c r="CH346" s="17" t="s">
        <v>192</v>
      </c>
      <c r="CI346" s="24">
        <v>2.7</v>
      </c>
      <c r="CJ346" s="17" t="s">
        <v>192</v>
      </c>
      <c r="CK346" s="16" t="s">
        <v>151</v>
      </c>
      <c r="CL346" s="17" t="s">
        <v>293</v>
      </c>
      <c r="CM346" s="17" t="s">
        <v>293</v>
      </c>
      <c r="CN346" s="17" t="s">
        <v>151</v>
      </c>
      <c r="CO346" s="17" t="s">
        <v>165</v>
      </c>
      <c r="CP346" s="22">
        <v>44403</v>
      </c>
      <c r="CQ346" s="24" t="s">
        <v>151</v>
      </c>
      <c r="CR346" s="17" t="s">
        <v>151</v>
      </c>
      <c r="CS346" s="17" t="s">
        <v>191</v>
      </c>
      <c r="CT346" s="16" t="s">
        <v>151</v>
      </c>
      <c r="CU346" s="17" t="s">
        <v>151</v>
      </c>
      <c r="CV346" s="19" t="s">
        <v>151</v>
      </c>
      <c r="CW346" s="19" t="s">
        <v>151</v>
      </c>
      <c r="CX346" s="17" t="s">
        <v>151</v>
      </c>
      <c r="CY346" s="19" t="s">
        <v>151</v>
      </c>
      <c r="CZ346" s="19" t="s">
        <v>151</v>
      </c>
      <c r="DA346" s="24">
        <v>2.7</v>
      </c>
      <c r="DB346" s="22">
        <v>44403</v>
      </c>
      <c r="DC346" s="17" t="s">
        <v>293</v>
      </c>
      <c r="DD346" s="16" t="s">
        <v>151</v>
      </c>
      <c r="DE346" s="19">
        <v>1.02</v>
      </c>
      <c r="DF346" s="21">
        <v>96</v>
      </c>
      <c r="DG346" s="19">
        <v>0</v>
      </c>
      <c r="DH346" s="19">
        <v>0</v>
      </c>
      <c r="DI346" s="19">
        <v>0</v>
      </c>
      <c r="DJ346" s="21">
        <v>10</v>
      </c>
      <c r="DK346" s="19" t="s">
        <v>151</v>
      </c>
      <c r="DL346" s="21" t="s">
        <v>151</v>
      </c>
      <c r="DM346" s="19">
        <v>0</v>
      </c>
      <c r="DN346" s="21">
        <v>10</v>
      </c>
      <c r="DO346" s="23">
        <v>2.62</v>
      </c>
      <c r="DP346" s="21">
        <v>72</v>
      </c>
      <c r="DQ346" s="23">
        <v>0</v>
      </c>
      <c r="DR346" s="19">
        <v>0</v>
      </c>
      <c r="DS346" s="23">
        <v>1.63</v>
      </c>
      <c r="DT346" s="21">
        <v>61</v>
      </c>
      <c r="DU346" s="23" t="s">
        <v>151</v>
      </c>
      <c r="DV346" s="21" t="s">
        <v>151</v>
      </c>
      <c r="DW346" s="23">
        <v>1.63</v>
      </c>
      <c r="DX346" s="21">
        <v>61</v>
      </c>
      <c r="DY346" s="18" t="s">
        <v>151</v>
      </c>
      <c r="DZ346" s="22" t="s">
        <v>151</v>
      </c>
      <c r="EA346" s="22" t="s">
        <v>151</v>
      </c>
      <c r="EB346" s="21" t="s">
        <v>151</v>
      </c>
      <c r="EC346" s="20" t="s">
        <v>151</v>
      </c>
      <c r="ED346" s="19" t="s">
        <v>151</v>
      </c>
      <c r="EE346" s="21">
        <v>31</v>
      </c>
      <c r="EF346" s="20">
        <v>0</v>
      </c>
      <c r="EG346" s="19">
        <v>0</v>
      </c>
      <c r="EH346" s="16" t="s">
        <v>198</v>
      </c>
      <c r="EI346" s="17" t="s">
        <v>151</v>
      </c>
      <c r="EJ346" s="17" t="s">
        <v>151</v>
      </c>
      <c r="EK346" s="18" t="s">
        <v>151</v>
      </c>
      <c r="EL346" s="18" t="s">
        <v>151</v>
      </c>
      <c r="EM346" s="18" t="s">
        <v>151</v>
      </c>
      <c r="EN346" s="18" t="s">
        <v>151</v>
      </c>
      <c r="EO346" s="18" t="s">
        <v>151</v>
      </c>
      <c r="EP346" s="17" t="s">
        <v>151</v>
      </c>
      <c r="EQ346" s="16" t="s">
        <v>151</v>
      </c>
      <c r="ER346" s="16" t="s">
        <v>151</v>
      </c>
      <c r="ES346" s="3">
        <f>HYPERLINK("https://my.pitchbook.com?c=490983-31","View Company Online")</f>
      </c>
    </row>
    <row r="347">
      <c r="A347" s="30" t="s">
        <v>7530</v>
      </c>
      <c r="B347" s="30" t="s">
        <v>7531</v>
      </c>
      <c r="C347" s="31" t="s">
        <v>151</v>
      </c>
      <c r="D347" s="30" t="s">
        <v>151</v>
      </c>
      <c r="E347" s="30" t="s">
        <v>151</v>
      </c>
      <c r="F347" s="30" t="s">
        <v>7532</v>
      </c>
      <c r="G347" s="30" t="s">
        <v>151</v>
      </c>
      <c r="H347" s="30" t="s">
        <v>151</v>
      </c>
      <c r="I347" s="30" t="s">
        <v>151</v>
      </c>
      <c r="J347" s="30" t="s">
        <v>7530</v>
      </c>
      <c r="K347" s="30" t="s">
        <v>7533</v>
      </c>
      <c r="L347" s="30" t="s">
        <v>205</v>
      </c>
      <c r="M347" s="30" t="s">
        <v>206</v>
      </c>
      <c r="N347" s="30" t="s">
        <v>917</v>
      </c>
      <c r="O347" s="30" t="s">
        <v>7534</v>
      </c>
      <c r="P347" s="30" t="s">
        <v>2640</v>
      </c>
      <c r="Q347" s="30" t="s">
        <v>7535</v>
      </c>
      <c r="R347" s="30" t="s">
        <v>151</v>
      </c>
      <c r="S347" s="30" t="s">
        <v>162</v>
      </c>
      <c r="T347" s="37">
        <v>3.1</v>
      </c>
      <c r="U347" s="30" t="s">
        <v>4045</v>
      </c>
      <c r="V347" s="30" t="s">
        <v>164</v>
      </c>
      <c r="W347" s="30" t="s">
        <v>165</v>
      </c>
      <c r="X347" s="28" t="s">
        <v>7536</v>
      </c>
      <c r="Y347" s="28" t="s">
        <v>7537</v>
      </c>
      <c r="Z347" s="40">
        <v>9</v>
      </c>
      <c r="AA347" s="30" t="s">
        <v>7538</v>
      </c>
      <c r="AB347" s="30" t="s">
        <v>151</v>
      </c>
      <c r="AC347" s="30" t="s">
        <v>151</v>
      </c>
      <c r="AD347" s="39">
        <v>2018</v>
      </c>
      <c r="AE347" s="30" t="s">
        <v>151</v>
      </c>
      <c r="AF347" s="35">
        <v>45595</v>
      </c>
      <c r="AG347" s="30" t="s">
        <v>151</v>
      </c>
      <c r="AH347" s="30" t="s">
        <v>151</v>
      </c>
      <c r="AI347" s="38" t="s">
        <v>151</v>
      </c>
      <c r="AJ347" s="32" t="s">
        <v>151</v>
      </c>
      <c r="AK347" s="38" t="s">
        <v>151</v>
      </c>
      <c r="AL347" s="38" t="s">
        <v>151</v>
      </c>
      <c r="AM347" s="38" t="s">
        <v>151</v>
      </c>
      <c r="AN347" s="38" t="s">
        <v>151</v>
      </c>
      <c r="AO347" s="38" t="s">
        <v>151</v>
      </c>
      <c r="AP347" s="38" t="s">
        <v>151</v>
      </c>
      <c r="AQ347" s="38" t="s">
        <v>151</v>
      </c>
      <c r="AR347" s="29" t="s">
        <v>151</v>
      </c>
      <c r="AS347" s="30" t="s">
        <v>7539</v>
      </c>
      <c r="AT347" s="30" t="s">
        <v>7540</v>
      </c>
      <c r="AU347" s="31">
        <v>6</v>
      </c>
      <c r="AV347" s="30" t="s">
        <v>151</v>
      </c>
      <c r="AW347" s="30" t="s">
        <v>151</v>
      </c>
      <c r="AX347" s="30" t="s">
        <v>151</v>
      </c>
      <c r="AY347" s="30" t="s">
        <v>7541</v>
      </c>
      <c r="AZ347" s="30" t="s">
        <v>151</v>
      </c>
      <c r="BA347" s="30" t="s">
        <v>151</v>
      </c>
      <c r="BB347" s="30" t="s">
        <v>151</v>
      </c>
      <c r="BC347" s="30" t="s">
        <v>2424</v>
      </c>
      <c r="BD347" s="30" t="s">
        <v>7542</v>
      </c>
      <c r="BE347" s="30" t="s">
        <v>7543</v>
      </c>
      <c r="BF347" s="30" t="s">
        <v>403</v>
      </c>
      <c r="BG347" s="30" t="s">
        <v>7544</v>
      </c>
      <c r="BH347" s="30" t="s">
        <v>7545</v>
      </c>
      <c r="BI347" s="30" t="s">
        <v>7546</v>
      </c>
      <c r="BJ347" s="30" t="s">
        <v>7547</v>
      </c>
      <c r="BK347" s="30" t="s">
        <v>1574</v>
      </c>
      <c r="BL347" s="30" t="s">
        <v>7548</v>
      </c>
      <c r="BM347" s="30" t="s">
        <v>184</v>
      </c>
      <c r="BN347" s="29" t="s">
        <v>1759</v>
      </c>
      <c r="BO347" s="30" t="s">
        <v>186</v>
      </c>
      <c r="BP347" s="29" t="s">
        <v>7549</v>
      </c>
      <c r="BQ347" s="29" t="s">
        <v>151</v>
      </c>
      <c r="BR347" s="30" t="s">
        <v>151</v>
      </c>
      <c r="BS347" s="30" t="s">
        <v>187</v>
      </c>
      <c r="BT347" s="30" t="s">
        <v>188</v>
      </c>
      <c r="BU347" s="35">
        <v>43466</v>
      </c>
      <c r="BV347" s="37" t="s">
        <v>151</v>
      </c>
      <c r="BW347" s="30" t="s">
        <v>151</v>
      </c>
      <c r="BX347" s="37" t="s">
        <v>151</v>
      </c>
      <c r="BY347" s="30" t="s">
        <v>151</v>
      </c>
      <c r="BZ347" s="30" t="s">
        <v>189</v>
      </c>
      <c r="CA347" s="30" t="s">
        <v>151</v>
      </c>
      <c r="CB347" s="30" t="s">
        <v>151</v>
      </c>
      <c r="CC347" s="30" t="s">
        <v>190</v>
      </c>
      <c r="CD347" s="30" t="s">
        <v>151</v>
      </c>
      <c r="CE347" s="30" t="s">
        <v>191</v>
      </c>
      <c r="CF347" s="35">
        <v>44817</v>
      </c>
      <c r="CG347" s="37">
        <v>0.1</v>
      </c>
      <c r="CH347" s="30" t="s">
        <v>192</v>
      </c>
      <c r="CI347" s="37" t="s">
        <v>151</v>
      </c>
      <c r="CJ347" s="30" t="s">
        <v>151</v>
      </c>
      <c r="CK347" s="29" t="s">
        <v>151</v>
      </c>
      <c r="CL347" s="30" t="s">
        <v>194</v>
      </c>
      <c r="CM347" s="30" t="s">
        <v>151</v>
      </c>
      <c r="CN347" s="30" t="s">
        <v>151</v>
      </c>
      <c r="CO347" s="30" t="s">
        <v>165</v>
      </c>
      <c r="CP347" s="35">
        <v>44817</v>
      </c>
      <c r="CQ347" s="37" t="s">
        <v>151</v>
      </c>
      <c r="CR347" s="30" t="s">
        <v>151</v>
      </c>
      <c r="CS347" s="30" t="s">
        <v>191</v>
      </c>
      <c r="CT347" s="29">
        <v>35</v>
      </c>
      <c r="CU347" s="30" t="s">
        <v>263</v>
      </c>
      <c r="CV347" s="32">
        <v>36</v>
      </c>
      <c r="CW347" s="32">
        <v>64</v>
      </c>
      <c r="CX347" s="30" t="s">
        <v>263</v>
      </c>
      <c r="CY347" s="32">
        <v>1</v>
      </c>
      <c r="CZ347" s="32">
        <v>35</v>
      </c>
      <c r="DA347" s="37">
        <v>10</v>
      </c>
      <c r="DB347" s="35">
        <v>44195</v>
      </c>
      <c r="DC347" s="30" t="s">
        <v>293</v>
      </c>
      <c r="DD347" s="29" t="s">
        <v>151</v>
      </c>
      <c r="DE347" s="32">
        <v>0</v>
      </c>
      <c r="DF347" s="34">
        <v>11</v>
      </c>
      <c r="DG347" s="32">
        <v>0</v>
      </c>
      <c r="DH347" s="32">
        <v>0</v>
      </c>
      <c r="DI347" s="32">
        <v>0</v>
      </c>
      <c r="DJ347" s="34">
        <v>10</v>
      </c>
      <c r="DK347" s="32" t="s">
        <v>151</v>
      </c>
      <c r="DL347" s="34" t="s">
        <v>151</v>
      </c>
      <c r="DM347" s="32">
        <v>0</v>
      </c>
      <c r="DN347" s="34">
        <v>10</v>
      </c>
      <c r="DO347" s="36">
        <v>2.63</v>
      </c>
      <c r="DP347" s="34">
        <v>72</v>
      </c>
      <c r="DQ347" s="36">
        <v>0</v>
      </c>
      <c r="DR347" s="32">
        <v>0</v>
      </c>
      <c r="DS347" s="36">
        <v>2.63</v>
      </c>
      <c r="DT347" s="34">
        <v>72</v>
      </c>
      <c r="DU347" s="36" t="s">
        <v>151</v>
      </c>
      <c r="DV347" s="34" t="s">
        <v>151</v>
      </c>
      <c r="DW347" s="36">
        <v>2.63</v>
      </c>
      <c r="DX347" s="34">
        <v>71</v>
      </c>
      <c r="DY347" s="31" t="s">
        <v>151</v>
      </c>
      <c r="DZ347" s="35" t="s">
        <v>151</v>
      </c>
      <c r="EA347" s="35" t="s">
        <v>151</v>
      </c>
      <c r="EB347" s="34">
        <v>0</v>
      </c>
      <c r="EC347" s="33">
        <v>0</v>
      </c>
      <c r="ED347" s="32">
        <v>0</v>
      </c>
      <c r="EE347" s="34">
        <v>50</v>
      </c>
      <c r="EF347" s="33">
        <v>0</v>
      </c>
      <c r="EG347" s="32">
        <v>0</v>
      </c>
      <c r="EH347" s="29" t="s">
        <v>198</v>
      </c>
      <c r="EI347" s="30" t="s">
        <v>151</v>
      </c>
      <c r="EJ347" s="30" t="s">
        <v>151</v>
      </c>
      <c r="EK347" s="31" t="s">
        <v>151</v>
      </c>
      <c r="EL347" s="31" t="s">
        <v>151</v>
      </c>
      <c r="EM347" s="31" t="s">
        <v>151</v>
      </c>
      <c r="EN347" s="31" t="s">
        <v>151</v>
      </c>
      <c r="EO347" s="31" t="s">
        <v>151</v>
      </c>
      <c r="EP347" s="30" t="s">
        <v>151</v>
      </c>
      <c r="EQ347" s="29" t="s">
        <v>151</v>
      </c>
      <c r="ER347" s="29" t="s">
        <v>151</v>
      </c>
      <c r="ES347" s="4">
        <f>HYPERLINK("https://my.pitchbook.com?c=482054-95","View Company Online")</f>
      </c>
    </row>
    <row r="348">
      <c r="A348" s="17" t="s">
        <v>7550</v>
      </c>
      <c r="B348" s="17" t="s">
        <v>7551</v>
      </c>
      <c r="C348" s="18" t="s">
        <v>151</v>
      </c>
      <c r="D348" s="17" t="s">
        <v>151</v>
      </c>
      <c r="E348" s="17" t="s">
        <v>151</v>
      </c>
      <c r="F348" s="17" t="s">
        <v>7552</v>
      </c>
      <c r="G348" s="17" t="s">
        <v>151</v>
      </c>
      <c r="H348" s="17" t="s">
        <v>151</v>
      </c>
      <c r="I348" s="17" t="s">
        <v>151</v>
      </c>
      <c r="J348" s="17" t="s">
        <v>7550</v>
      </c>
      <c r="K348" s="17" t="s">
        <v>7553</v>
      </c>
      <c r="L348" s="17" t="s">
        <v>205</v>
      </c>
      <c r="M348" s="17" t="s">
        <v>206</v>
      </c>
      <c r="N348" s="17" t="s">
        <v>269</v>
      </c>
      <c r="O348" s="17" t="s">
        <v>563</v>
      </c>
      <c r="P348" s="17" t="s">
        <v>7554</v>
      </c>
      <c r="Q348" s="17" t="s">
        <v>7555</v>
      </c>
      <c r="R348" s="17" t="s">
        <v>151</v>
      </c>
      <c r="S348" s="17" t="s">
        <v>162</v>
      </c>
      <c r="T348" s="24">
        <v>4</v>
      </c>
      <c r="U348" s="17" t="s">
        <v>163</v>
      </c>
      <c r="V348" s="17" t="s">
        <v>164</v>
      </c>
      <c r="W348" s="17" t="s">
        <v>165</v>
      </c>
      <c r="X348" s="15" t="s">
        <v>7556</v>
      </c>
      <c r="Y348" s="15" t="s">
        <v>7557</v>
      </c>
      <c r="Z348" s="27">
        <v>6</v>
      </c>
      <c r="AA348" s="17" t="s">
        <v>7558</v>
      </c>
      <c r="AB348" s="17" t="s">
        <v>151</v>
      </c>
      <c r="AC348" s="17" t="s">
        <v>151</v>
      </c>
      <c r="AD348" s="26">
        <v>2021</v>
      </c>
      <c r="AE348" s="17" t="s">
        <v>151</v>
      </c>
      <c r="AF348" s="22">
        <v>45596</v>
      </c>
      <c r="AG348" s="17" t="s">
        <v>151</v>
      </c>
      <c r="AH348" s="17" t="s">
        <v>151</v>
      </c>
      <c r="AI348" s="25" t="s">
        <v>151</v>
      </c>
      <c r="AJ348" s="19" t="s">
        <v>151</v>
      </c>
      <c r="AK348" s="25" t="s">
        <v>151</v>
      </c>
      <c r="AL348" s="25" t="s">
        <v>151</v>
      </c>
      <c r="AM348" s="25" t="s">
        <v>151</v>
      </c>
      <c r="AN348" s="25" t="s">
        <v>151</v>
      </c>
      <c r="AO348" s="25" t="s">
        <v>151</v>
      </c>
      <c r="AP348" s="25" t="s">
        <v>151</v>
      </c>
      <c r="AQ348" s="25" t="s">
        <v>151</v>
      </c>
      <c r="AR348" s="16" t="s">
        <v>151</v>
      </c>
      <c r="AS348" s="17" t="s">
        <v>7559</v>
      </c>
      <c r="AT348" s="17" t="s">
        <v>7560</v>
      </c>
      <c r="AU348" s="18">
        <v>5</v>
      </c>
      <c r="AV348" s="17" t="s">
        <v>151</v>
      </c>
      <c r="AW348" s="17" t="s">
        <v>151</v>
      </c>
      <c r="AX348" s="17" t="s">
        <v>151</v>
      </c>
      <c r="AY348" s="17" t="s">
        <v>7561</v>
      </c>
      <c r="AZ348" s="17" t="s">
        <v>151</v>
      </c>
      <c r="BA348" s="17" t="s">
        <v>151</v>
      </c>
      <c r="BB348" s="17" t="s">
        <v>151</v>
      </c>
      <c r="BC348" s="17" t="s">
        <v>151</v>
      </c>
      <c r="BD348" s="17" t="s">
        <v>7562</v>
      </c>
      <c r="BE348" s="17" t="s">
        <v>7563</v>
      </c>
      <c r="BF348" s="17" t="s">
        <v>221</v>
      </c>
      <c r="BG348" s="17" t="s">
        <v>7564</v>
      </c>
      <c r="BH348" s="17" t="s">
        <v>7565</v>
      </c>
      <c r="BI348" s="17" t="s">
        <v>2652</v>
      </c>
      <c r="BJ348" s="17" t="s">
        <v>7566</v>
      </c>
      <c r="BK348" s="17" t="s">
        <v>151</v>
      </c>
      <c r="BL348" s="17" t="s">
        <v>2654</v>
      </c>
      <c r="BM348" s="17" t="s">
        <v>1576</v>
      </c>
      <c r="BN348" s="16" t="s">
        <v>7567</v>
      </c>
      <c r="BO348" s="17" t="s">
        <v>186</v>
      </c>
      <c r="BP348" s="16" t="s">
        <v>7565</v>
      </c>
      <c r="BQ348" s="16" t="s">
        <v>151</v>
      </c>
      <c r="BR348" s="17" t="s">
        <v>7568</v>
      </c>
      <c r="BS348" s="17" t="s">
        <v>187</v>
      </c>
      <c r="BT348" s="17" t="s">
        <v>188</v>
      </c>
      <c r="BU348" s="22">
        <v>44860</v>
      </c>
      <c r="BV348" s="24">
        <v>4</v>
      </c>
      <c r="BW348" s="17" t="s">
        <v>192</v>
      </c>
      <c r="BX348" s="24">
        <v>15</v>
      </c>
      <c r="BY348" s="17" t="s">
        <v>192</v>
      </c>
      <c r="BZ348" s="17" t="s">
        <v>293</v>
      </c>
      <c r="CA348" s="17" t="s">
        <v>293</v>
      </c>
      <c r="CB348" s="17" t="s">
        <v>151</v>
      </c>
      <c r="CC348" s="17" t="s">
        <v>165</v>
      </c>
      <c r="CD348" s="17" t="s">
        <v>151</v>
      </c>
      <c r="CE348" s="17" t="s">
        <v>191</v>
      </c>
      <c r="CF348" s="22">
        <v>44927</v>
      </c>
      <c r="CG348" s="24" t="s">
        <v>151</v>
      </c>
      <c r="CH348" s="17" t="s">
        <v>151</v>
      </c>
      <c r="CI348" s="24" t="s">
        <v>151</v>
      </c>
      <c r="CJ348" s="17" t="s">
        <v>151</v>
      </c>
      <c r="CK348" s="16" t="s">
        <v>151</v>
      </c>
      <c r="CL348" s="17" t="s">
        <v>189</v>
      </c>
      <c r="CM348" s="17" t="s">
        <v>151</v>
      </c>
      <c r="CN348" s="17" t="s">
        <v>151</v>
      </c>
      <c r="CO348" s="17" t="s">
        <v>190</v>
      </c>
      <c r="CP348" s="22">
        <v>44927</v>
      </c>
      <c r="CQ348" s="24" t="s">
        <v>151</v>
      </c>
      <c r="CR348" s="17" t="s">
        <v>151</v>
      </c>
      <c r="CS348" s="17" t="s">
        <v>191</v>
      </c>
      <c r="CT348" s="16" t="s">
        <v>151</v>
      </c>
      <c r="CU348" s="17" t="s">
        <v>151</v>
      </c>
      <c r="CV348" s="19" t="s">
        <v>151</v>
      </c>
      <c r="CW348" s="19" t="s">
        <v>151</v>
      </c>
      <c r="CX348" s="17" t="s">
        <v>151</v>
      </c>
      <c r="CY348" s="19" t="s">
        <v>151</v>
      </c>
      <c r="CZ348" s="19" t="s">
        <v>151</v>
      </c>
      <c r="DA348" s="24">
        <v>15</v>
      </c>
      <c r="DB348" s="22">
        <v>44860</v>
      </c>
      <c r="DC348" s="17" t="s">
        <v>293</v>
      </c>
      <c r="DD348" s="16" t="s">
        <v>151</v>
      </c>
      <c r="DE348" s="19">
        <v>0</v>
      </c>
      <c r="DF348" s="21">
        <v>11</v>
      </c>
      <c r="DG348" s="19">
        <v>0</v>
      </c>
      <c r="DH348" s="19">
        <v>0</v>
      </c>
      <c r="DI348" s="19">
        <v>0</v>
      </c>
      <c r="DJ348" s="21">
        <v>10</v>
      </c>
      <c r="DK348" s="19" t="s">
        <v>151</v>
      </c>
      <c r="DL348" s="21" t="s">
        <v>151</v>
      </c>
      <c r="DM348" s="19">
        <v>0</v>
      </c>
      <c r="DN348" s="21">
        <v>10</v>
      </c>
      <c r="DO348" s="23">
        <v>0.52</v>
      </c>
      <c r="DP348" s="21">
        <v>33</v>
      </c>
      <c r="DQ348" s="23">
        <v>0</v>
      </c>
      <c r="DR348" s="19">
        <v>0</v>
      </c>
      <c r="DS348" s="23">
        <v>0.58</v>
      </c>
      <c r="DT348" s="21">
        <v>36</v>
      </c>
      <c r="DU348" s="23" t="s">
        <v>151</v>
      </c>
      <c r="DV348" s="21" t="s">
        <v>151</v>
      </c>
      <c r="DW348" s="23">
        <v>0.58</v>
      </c>
      <c r="DX348" s="21">
        <v>36</v>
      </c>
      <c r="DY348" s="18" t="s">
        <v>151</v>
      </c>
      <c r="DZ348" s="22" t="s">
        <v>151</v>
      </c>
      <c r="EA348" s="22" t="s">
        <v>151</v>
      </c>
      <c r="EB348" s="21" t="s">
        <v>151</v>
      </c>
      <c r="EC348" s="20" t="s">
        <v>151</v>
      </c>
      <c r="ED348" s="19" t="s">
        <v>151</v>
      </c>
      <c r="EE348" s="21">
        <v>11</v>
      </c>
      <c r="EF348" s="20">
        <v>0</v>
      </c>
      <c r="EG348" s="19">
        <v>0</v>
      </c>
      <c r="EH348" s="16" t="s">
        <v>198</v>
      </c>
      <c r="EI348" s="17" t="s">
        <v>151</v>
      </c>
      <c r="EJ348" s="17" t="s">
        <v>151</v>
      </c>
      <c r="EK348" s="18" t="s">
        <v>151</v>
      </c>
      <c r="EL348" s="18" t="s">
        <v>151</v>
      </c>
      <c r="EM348" s="18" t="s">
        <v>151</v>
      </c>
      <c r="EN348" s="18" t="s">
        <v>151</v>
      </c>
      <c r="EO348" s="18" t="s">
        <v>151</v>
      </c>
      <c r="EP348" s="17" t="s">
        <v>151</v>
      </c>
      <c r="EQ348" s="16" t="s">
        <v>151</v>
      </c>
      <c r="ER348" s="16" t="s">
        <v>151</v>
      </c>
      <c r="ES348" s="3">
        <f>HYPERLINK("https://my.pitchbook.com?c=499908-61","View Company Online")</f>
      </c>
    </row>
    <row r="349">
      <c r="A349" s="30" t="s">
        <v>7569</v>
      </c>
      <c r="B349" s="30" t="s">
        <v>7570</v>
      </c>
      <c r="C349" s="31" t="s">
        <v>151</v>
      </c>
      <c r="D349" s="30" t="s">
        <v>151</v>
      </c>
      <c r="E349" s="30" t="s">
        <v>151</v>
      </c>
      <c r="F349" s="30" t="s">
        <v>7571</v>
      </c>
      <c r="G349" s="30" t="s">
        <v>151</v>
      </c>
      <c r="H349" s="30" t="s">
        <v>151</v>
      </c>
      <c r="I349" s="30" t="s">
        <v>151</v>
      </c>
      <c r="J349" s="30" t="s">
        <v>7569</v>
      </c>
      <c r="K349" s="30" t="s">
        <v>7572</v>
      </c>
      <c r="L349" s="30" t="s">
        <v>205</v>
      </c>
      <c r="M349" s="30" t="s">
        <v>206</v>
      </c>
      <c r="N349" s="30" t="s">
        <v>269</v>
      </c>
      <c r="O349" s="30" t="s">
        <v>7573</v>
      </c>
      <c r="P349" s="30" t="s">
        <v>7574</v>
      </c>
      <c r="Q349" s="30" t="s">
        <v>7575</v>
      </c>
      <c r="R349" s="30" t="s">
        <v>2798</v>
      </c>
      <c r="S349" s="30" t="s">
        <v>162</v>
      </c>
      <c r="T349" s="37">
        <v>25</v>
      </c>
      <c r="U349" s="30" t="s">
        <v>163</v>
      </c>
      <c r="V349" s="30" t="s">
        <v>164</v>
      </c>
      <c r="W349" s="30" t="s">
        <v>165</v>
      </c>
      <c r="X349" s="28" t="s">
        <v>7576</v>
      </c>
      <c r="Y349" s="28" t="s">
        <v>7577</v>
      </c>
      <c r="Z349" s="40">
        <v>60</v>
      </c>
      <c r="AA349" s="30" t="s">
        <v>7578</v>
      </c>
      <c r="AB349" s="30" t="s">
        <v>151</v>
      </c>
      <c r="AC349" s="30" t="s">
        <v>151</v>
      </c>
      <c r="AD349" s="39">
        <v>2017</v>
      </c>
      <c r="AE349" s="30" t="s">
        <v>151</v>
      </c>
      <c r="AF349" s="35">
        <v>45510</v>
      </c>
      <c r="AG349" s="30" t="s">
        <v>151</v>
      </c>
      <c r="AH349" s="30" t="s">
        <v>151</v>
      </c>
      <c r="AI349" s="38" t="s">
        <v>151</v>
      </c>
      <c r="AJ349" s="32" t="s">
        <v>151</v>
      </c>
      <c r="AK349" s="38" t="s">
        <v>151</v>
      </c>
      <c r="AL349" s="38" t="s">
        <v>151</v>
      </c>
      <c r="AM349" s="38" t="s">
        <v>151</v>
      </c>
      <c r="AN349" s="38" t="s">
        <v>151</v>
      </c>
      <c r="AO349" s="38" t="s">
        <v>151</v>
      </c>
      <c r="AP349" s="38" t="s">
        <v>151</v>
      </c>
      <c r="AQ349" s="38" t="s">
        <v>151</v>
      </c>
      <c r="AR349" s="29" t="s">
        <v>151</v>
      </c>
      <c r="AS349" s="30" t="s">
        <v>7579</v>
      </c>
      <c r="AT349" s="30" t="s">
        <v>7580</v>
      </c>
      <c r="AU349" s="31">
        <v>3</v>
      </c>
      <c r="AV349" s="30" t="s">
        <v>151</v>
      </c>
      <c r="AW349" s="30" t="s">
        <v>151</v>
      </c>
      <c r="AX349" s="30" t="s">
        <v>151</v>
      </c>
      <c r="AY349" s="30" t="s">
        <v>7581</v>
      </c>
      <c r="AZ349" s="30" t="s">
        <v>151</v>
      </c>
      <c r="BA349" s="30" t="s">
        <v>151</v>
      </c>
      <c r="BB349" s="30" t="s">
        <v>151</v>
      </c>
      <c r="BC349" s="30" t="s">
        <v>151</v>
      </c>
      <c r="BD349" s="30" t="s">
        <v>7582</v>
      </c>
      <c r="BE349" s="30" t="s">
        <v>7583</v>
      </c>
      <c r="BF349" s="30" t="s">
        <v>221</v>
      </c>
      <c r="BG349" s="30" t="s">
        <v>7584</v>
      </c>
      <c r="BH349" s="30" t="s">
        <v>7585</v>
      </c>
      <c r="BI349" s="30" t="s">
        <v>7586</v>
      </c>
      <c r="BJ349" s="30" t="s">
        <v>7587</v>
      </c>
      <c r="BK349" s="30" t="s">
        <v>1014</v>
      </c>
      <c r="BL349" s="30" t="s">
        <v>7588</v>
      </c>
      <c r="BM349" s="30" t="s">
        <v>823</v>
      </c>
      <c r="BN349" s="29" t="s">
        <v>7589</v>
      </c>
      <c r="BO349" s="30" t="s">
        <v>186</v>
      </c>
      <c r="BP349" s="29" t="s">
        <v>151</v>
      </c>
      <c r="BQ349" s="29" t="s">
        <v>151</v>
      </c>
      <c r="BR349" s="30" t="s">
        <v>7590</v>
      </c>
      <c r="BS349" s="30" t="s">
        <v>187</v>
      </c>
      <c r="BT349" s="30" t="s">
        <v>188</v>
      </c>
      <c r="BU349" s="35">
        <v>44546</v>
      </c>
      <c r="BV349" s="37">
        <v>25</v>
      </c>
      <c r="BW349" s="30" t="s">
        <v>192</v>
      </c>
      <c r="BX349" s="37">
        <v>80</v>
      </c>
      <c r="BY349" s="30" t="s">
        <v>192</v>
      </c>
      <c r="BZ349" s="30" t="s">
        <v>231</v>
      </c>
      <c r="CA349" s="30" t="s">
        <v>232</v>
      </c>
      <c r="CB349" s="30" t="s">
        <v>151</v>
      </c>
      <c r="CC349" s="30" t="s">
        <v>165</v>
      </c>
      <c r="CD349" s="30" t="s">
        <v>151</v>
      </c>
      <c r="CE349" s="30" t="s">
        <v>191</v>
      </c>
      <c r="CF349" s="35">
        <v>44546</v>
      </c>
      <c r="CG349" s="37">
        <v>25</v>
      </c>
      <c r="CH349" s="30" t="s">
        <v>192</v>
      </c>
      <c r="CI349" s="37">
        <v>80</v>
      </c>
      <c r="CJ349" s="30" t="s">
        <v>192</v>
      </c>
      <c r="CK349" s="29" t="s">
        <v>151</v>
      </c>
      <c r="CL349" s="30" t="s">
        <v>231</v>
      </c>
      <c r="CM349" s="30" t="s">
        <v>232</v>
      </c>
      <c r="CN349" s="30" t="s">
        <v>151</v>
      </c>
      <c r="CO349" s="30" t="s">
        <v>165</v>
      </c>
      <c r="CP349" s="35">
        <v>44546</v>
      </c>
      <c r="CQ349" s="37" t="s">
        <v>151</v>
      </c>
      <c r="CR349" s="30" t="s">
        <v>151</v>
      </c>
      <c r="CS349" s="30" t="s">
        <v>191</v>
      </c>
      <c r="CT349" s="29" t="s">
        <v>151</v>
      </c>
      <c r="CU349" s="30" t="s">
        <v>151</v>
      </c>
      <c r="CV349" s="32" t="s">
        <v>151</v>
      </c>
      <c r="CW349" s="32" t="s">
        <v>151</v>
      </c>
      <c r="CX349" s="30" t="s">
        <v>151</v>
      </c>
      <c r="CY349" s="32" t="s">
        <v>151</v>
      </c>
      <c r="CZ349" s="32" t="s">
        <v>151</v>
      </c>
      <c r="DA349" s="37">
        <v>80</v>
      </c>
      <c r="DB349" s="35">
        <v>44546</v>
      </c>
      <c r="DC349" s="30" t="s">
        <v>231</v>
      </c>
      <c r="DD349" s="29" t="s">
        <v>151</v>
      </c>
      <c r="DE349" s="32">
        <v>0.14</v>
      </c>
      <c r="DF349" s="34">
        <v>91</v>
      </c>
      <c r="DG349" s="32">
        <v>0</v>
      </c>
      <c r="DH349" s="32">
        <v>0</v>
      </c>
      <c r="DI349" s="32">
        <v>0.14</v>
      </c>
      <c r="DJ349" s="34">
        <v>93</v>
      </c>
      <c r="DK349" s="32" t="s">
        <v>151</v>
      </c>
      <c r="DL349" s="34" t="s">
        <v>151</v>
      </c>
      <c r="DM349" s="32">
        <v>0.14</v>
      </c>
      <c r="DN349" s="34">
        <v>93</v>
      </c>
      <c r="DO349" s="36">
        <v>41.79</v>
      </c>
      <c r="DP349" s="34">
        <v>98</v>
      </c>
      <c r="DQ349" s="36">
        <v>0</v>
      </c>
      <c r="DR349" s="32">
        <v>0</v>
      </c>
      <c r="DS349" s="36">
        <v>41.79</v>
      </c>
      <c r="DT349" s="34">
        <v>98</v>
      </c>
      <c r="DU349" s="36" t="s">
        <v>151</v>
      </c>
      <c r="DV349" s="34" t="s">
        <v>151</v>
      </c>
      <c r="DW349" s="36">
        <v>41.79</v>
      </c>
      <c r="DX349" s="34">
        <v>98</v>
      </c>
      <c r="DY349" s="31">
        <v>1</v>
      </c>
      <c r="DZ349" s="35">
        <v>44833</v>
      </c>
      <c r="EA349" s="35" t="s">
        <v>151</v>
      </c>
      <c r="EB349" s="34">
        <v>10340</v>
      </c>
      <c r="EC349" s="33">
        <v>-226</v>
      </c>
      <c r="ED349" s="32">
        <v>-2.14</v>
      </c>
      <c r="EE349" s="34">
        <v>794</v>
      </c>
      <c r="EF349" s="33">
        <v>2</v>
      </c>
      <c r="EG349" s="32">
        <v>0.25</v>
      </c>
      <c r="EH349" s="29" t="s">
        <v>198</v>
      </c>
      <c r="EI349" s="30" t="s">
        <v>151</v>
      </c>
      <c r="EJ349" s="30" t="s">
        <v>151</v>
      </c>
      <c r="EK349" s="31" t="s">
        <v>151</v>
      </c>
      <c r="EL349" s="31" t="s">
        <v>151</v>
      </c>
      <c r="EM349" s="31" t="s">
        <v>151</v>
      </c>
      <c r="EN349" s="31" t="s">
        <v>151</v>
      </c>
      <c r="EO349" s="31" t="s">
        <v>151</v>
      </c>
      <c r="EP349" s="30" t="s">
        <v>151</v>
      </c>
      <c r="EQ349" s="29" t="s">
        <v>151</v>
      </c>
      <c r="ER349" s="29" t="s">
        <v>151</v>
      </c>
      <c r="ES349" s="4">
        <f>HYPERLINK("https://my.pitchbook.com?c=459862-21","View Company Online")</f>
      </c>
    </row>
    <row r="350">
      <c r="A350" s="17" t="s">
        <v>7591</v>
      </c>
      <c r="B350" s="17" t="s">
        <v>7592</v>
      </c>
      <c r="C350" s="18" t="s">
        <v>151</v>
      </c>
      <c r="D350" s="17" t="s">
        <v>7593</v>
      </c>
      <c r="E350" s="17" t="s">
        <v>151</v>
      </c>
      <c r="F350" s="17" t="s">
        <v>7594</v>
      </c>
      <c r="G350" s="17" t="s">
        <v>151</v>
      </c>
      <c r="H350" s="17" t="s">
        <v>151</v>
      </c>
      <c r="I350" s="17" t="s">
        <v>151</v>
      </c>
      <c r="J350" s="17" t="s">
        <v>7591</v>
      </c>
      <c r="K350" s="17" t="s">
        <v>7595</v>
      </c>
      <c r="L350" s="17" t="s">
        <v>155</v>
      </c>
      <c r="M350" s="17" t="s">
        <v>361</v>
      </c>
      <c r="N350" s="17" t="s">
        <v>362</v>
      </c>
      <c r="O350" s="17" t="s">
        <v>7596</v>
      </c>
      <c r="P350" s="17" t="s">
        <v>1942</v>
      </c>
      <c r="Q350" s="17" t="s">
        <v>7597</v>
      </c>
      <c r="R350" s="17" t="s">
        <v>151</v>
      </c>
      <c r="S350" s="17" t="s">
        <v>162</v>
      </c>
      <c r="T350" s="24">
        <v>4</v>
      </c>
      <c r="U350" s="17" t="s">
        <v>163</v>
      </c>
      <c r="V350" s="17" t="s">
        <v>164</v>
      </c>
      <c r="W350" s="17" t="s">
        <v>165</v>
      </c>
      <c r="X350" s="15" t="s">
        <v>7598</v>
      </c>
      <c r="Y350" s="15" t="s">
        <v>7599</v>
      </c>
      <c r="Z350" s="27">
        <v>33</v>
      </c>
      <c r="AA350" s="17" t="s">
        <v>7600</v>
      </c>
      <c r="AB350" s="17" t="s">
        <v>151</v>
      </c>
      <c r="AC350" s="17" t="s">
        <v>151</v>
      </c>
      <c r="AD350" s="26">
        <v>2021</v>
      </c>
      <c r="AE350" s="17" t="s">
        <v>151</v>
      </c>
      <c r="AF350" s="22">
        <v>45587</v>
      </c>
      <c r="AG350" s="17" t="s">
        <v>151</v>
      </c>
      <c r="AH350" s="17" t="s">
        <v>151</v>
      </c>
      <c r="AI350" s="25" t="s">
        <v>151</v>
      </c>
      <c r="AJ350" s="19" t="s">
        <v>151</v>
      </c>
      <c r="AK350" s="25" t="s">
        <v>151</v>
      </c>
      <c r="AL350" s="25" t="s">
        <v>151</v>
      </c>
      <c r="AM350" s="25" t="s">
        <v>151</v>
      </c>
      <c r="AN350" s="25" t="s">
        <v>151</v>
      </c>
      <c r="AO350" s="25" t="s">
        <v>151</v>
      </c>
      <c r="AP350" s="25" t="s">
        <v>151</v>
      </c>
      <c r="AQ350" s="25" t="s">
        <v>151</v>
      </c>
      <c r="AR350" s="16" t="s">
        <v>151</v>
      </c>
      <c r="AS350" s="17" t="s">
        <v>7601</v>
      </c>
      <c r="AT350" s="17" t="s">
        <v>7602</v>
      </c>
      <c r="AU350" s="18">
        <v>3</v>
      </c>
      <c r="AV350" s="17" t="s">
        <v>151</v>
      </c>
      <c r="AW350" s="17" t="s">
        <v>7603</v>
      </c>
      <c r="AX350" s="17" t="s">
        <v>151</v>
      </c>
      <c r="AY350" s="17" t="s">
        <v>7604</v>
      </c>
      <c r="AZ350" s="17" t="s">
        <v>7605</v>
      </c>
      <c r="BA350" s="17" t="s">
        <v>151</v>
      </c>
      <c r="BB350" s="17" t="s">
        <v>151</v>
      </c>
      <c r="BC350" s="17" t="s">
        <v>3711</v>
      </c>
      <c r="BD350" s="17" t="s">
        <v>7606</v>
      </c>
      <c r="BE350" s="17" t="s">
        <v>7607</v>
      </c>
      <c r="BF350" s="17" t="s">
        <v>931</v>
      </c>
      <c r="BG350" s="17" t="s">
        <v>7608</v>
      </c>
      <c r="BH350" s="17" t="s">
        <v>151</v>
      </c>
      <c r="BI350" s="17" t="s">
        <v>2162</v>
      </c>
      <c r="BJ350" s="17" t="s">
        <v>151</v>
      </c>
      <c r="BK350" s="17" t="s">
        <v>151</v>
      </c>
      <c r="BL350" s="17" t="s">
        <v>289</v>
      </c>
      <c r="BM350" s="17" t="s">
        <v>2165</v>
      </c>
      <c r="BN350" s="16" t="s">
        <v>7609</v>
      </c>
      <c r="BO350" s="17" t="s">
        <v>186</v>
      </c>
      <c r="BP350" s="16" t="s">
        <v>151</v>
      </c>
      <c r="BQ350" s="16" t="s">
        <v>151</v>
      </c>
      <c r="BR350" s="17" t="s">
        <v>7610</v>
      </c>
      <c r="BS350" s="17" t="s">
        <v>187</v>
      </c>
      <c r="BT350" s="17" t="s">
        <v>188</v>
      </c>
      <c r="BU350" s="22">
        <v>44522</v>
      </c>
      <c r="BV350" s="24">
        <v>4</v>
      </c>
      <c r="BW350" s="17" t="s">
        <v>193</v>
      </c>
      <c r="BX350" s="24">
        <v>17</v>
      </c>
      <c r="BY350" s="17" t="s">
        <v>192</v>
      </c>
      <c r="BZ350" s="17" t="s">
        <v>293</v>
      </c>
      <c r="CA350" s="17" t="s">
        <v>293</v>
      </c>
      <c r="CB350" s="17" t="s">
        <v>151</v>
      </c>
      <c r="CC350" s="17" t="s">
        <v>165</v>
      </c>
      <c r="CD350" s="17" t="s">
        <v>151</v>
      </c>
      <c r="CE350" s="17" t="s">
        <v>191</v>
      </c>
      <c r="CF350" s="22">
        <v>45511</v>
      </c>
      <c r="CG350" s="24" t="s">
        <v>151</v>
      </c>
      <c r="CH350" s="17" t="s">
        <v>151</v>
      </c>
      <c r="CI350" s="24" t="s">
        <v>151</v>
      </c>
      <c r="CJ350" s="17" t="s">
        <v>151</v>
      </c>
      <c r="CK350" s="16" t="s">
        <v>151</v>
      </c>
      <c r="CL350" s="17" t="s">
        <v>231</v>
      </c>
      <c r="CM350" s="17" t="s">
        <v>151</v>
      </c>
      <c r="CN350" s="17" t="s">
        <v>151</v>
      </c>
      <c r="CO350" s="17" t="s">
        <v>165</v>
      </c>
      <c r="CP350" s="22">
        <v>45511</v>
      </c>
      <c r="CQ350" s="24" t="s">
        <v>151</v>
      </c>
      <c r="CR350" s="17" t="s">
        <v>151</v>
      </c>
      <c r="CS350" s="17" t="s">
        <v>191</v>
      </c>
      <c r="CT350" s="16">
        <v>79</v>
      </c>
      <c r="CU350" s="17" t="s">
        <v>196</v>
      </c>
      <c r="CV350" s="19">
        <v>69</v>
      </c>
      <c r="CW350" s="19">
        <v>31</v>
      </c>
      <c r="CX350" s="17" t="s">
        <v>294</v>
      </c>
      <c r="CY350" s="19">
        <v>5</v>
      </c>
      <c r="CZ350" s="19">
        <v>64</v>
      </c>
      <c r="DA350" s="24">
        <v>17</v>
      </c>
      <c r="DB350" s="22">
        <v>44522</v>
      </c>
      <c r="DC350" s="17" t="s">
        <v>293</v>
      </c>
      <c r="DD350" s="16" t="s">
        <v>151</v>
      </c>
      <c r="DE350" s="19">
        <v>-1</v>
      </c>
      <c r="DF350" s="21">
        <v>4</v>
      </c>
      <c r="DG350" s="19">
        <v>0</v>
      </c>
      <c r="DH350" s="19">
        <v>0</v>
      </c>
      <c r="DI350" s="19">
        <v>0</v>
      </c>
      <c r="DJ350" s="21">
        <v>10</v>
      </c>
      <c r="DK350" s="19">
        <v>0</v>
      </c>
      <c r="DL350" s="21">
        <v>11</v>
      </c>
      <c r="DM350" s="19">
        <v>0</v>
      </c>
      <c r="DN350" s="21">
        <v>10</v>
      </c>
      <c r="DO350" s="23">
        <v>1.84</v>
      </c>
      <c r="DP350" s="21">
        <v>64</v>
      </c>
      <c r="DQ350" s="23">
        <v>0</v>
      </c>
      <c r="DR350" s="19">
        <v>0</v>
      </c>
      <c r="DS350" s="23">
        <v>1.06</v>
      </c>
      <c r="DT350" s="21">
        <v>52</v>
      </c>
      <c r="DU350" s="23">
        <v>0.01</v>
      </c>
      <c r="DV350" s="21">
        <v>4</v>
      </c>
      <c r="DW350" s="23">
        <v>2.11</v>
      </c>
      <c r="DX350" s="21">
        <v>67</v>
      </c>
      <c r="DY350" s="18" t="s">
        <v>151</v>
      </c>
      <c r="DZ350" s="22" t="s">
        <v>151</v>
      </c>
      <c r="EA350" s="22" t="s">
        <v>151</v>
      </c>
      <c r="EB350" s="21">
        <v>6</v>
      </c>
      <c r="EC350" s="20">
        <v>-20</v>
      </c>
      <c r="ED350" s="19">
        <v>-76.92</v>
      </c>
      <c r="EE350" s="21">
        <v>40</v>
      </c>
      <c r="EF350" s="20">
        <v>0</v>
      </c>
      <c r="EG350" s="19">
        <v>0</v>
      </c>
      <c r="EH350" s="16" t="s">
        <v>198</v>
      </c>
      <c r="EI350" s="17" t="s">
        <v>151</v>
      </c>
      <c r="EJ350" s="17" t="s">
        <v>151</v>
      </c>
      <c r="EK350" s="18" t="s">
        <v>151</v>
      </c>
      <c r="EL350" s="18" t="s">
        <v>151</v>
      </c>
      <c r="EM350" s="18" t="s">
        <v>151</v>
      </c>
      <c r="EN350" s="18" t="s">
        <v>151</v>
      </c>
      <c r="EO350" s="18" t="s">
        <v>151</v>
      </c>
      <c r="EP350" s="17" t="s">
        <v>151</v>
      </c>
      <c r="EQ350" s="16" t="s">
        <v>151</v>
      </c>
      <c r="ER350" s="16" t="s">
        <v>151</v>
      </c>
      <c r="ES350" s="3">
        <f>HYPERLINK("https://my.pitchbook.com?c=490036-60","View Company Online")</f>
      </c>
    </row>
    <row r="351">
      <c r="A351" s="30" t="s">
        <v>7611</v>
      </c>
      <c r="B351" s="30" t="s">
        <v>7612</v>
      </c>
      <c r="C351" s="31" t="s">
        <v>151</v>
      </c>
      <c r="D351" s="30" t="s">
        <v>151</v>
      </c>
      <c r="E351" s="30" t="s">
        <v>7613</v>
      </c>
      <c r="F351" s="30" t="s">
        <v>7614</v>
      </c>
      <c r="G351" s="30" t="s">
        <v>151</v>
      </c>
      <c r="H351" s="30" t="s">
        <v>151</v>
      </c>
      <c r="I351" s="30" t="s">
        <v>151</v>
      </c>
      <c r="J351" s="30" t="s">
        <v>7611</v>
      </c>
      <c r="K351" s="30" t="s">
        <v>7615</v>
      </c>
      <c r="L351" s="30" t="s">
        <v>205</v>
      </c>
      <c r="M351" s="30" t="s">
        <v>206</v>
      </c>
      <c r="N351" s="30" t="s">
        <v>269</v>
      </c>
      <c r="O351" s="30" t="s">
        <v>563</v>
      </c>
      <c r="P351" s="30" t="s">
        <v>7616</v>
      </c>
      <c r="Q351" s="30" t="s">
        <v>7617</v>
      </c>
      <c r="R351" s="30" t="s">
        <v>151</v>
      </c>
      <c r="S351" s="30" t="s">
        <v>162</v>
      </c>
      <c r="T351" s="37">
        <v>1.6</v>
      </c>
      <c r="U351" s="30" t="s">
        <v>163</v>
      </c>
      <c r="V351" s="30" t="s">
        <v>164</v>
      </c>
      <c r="W351" s="30" t="s">
        <v>165</v>
      </c>
      <c r="X351" s="28" t="s">
        <v>7618</v>
      </c>
      <c r="Y351" s="28" t="s">
        <v>7619</v>
      </c>
      <c r="Z351" s="40" t="s">
        <v>151</v>
      </c>
      <c r="AA351" s="30" t="s">
        <v>151</v>
      </c>
      <c r="AB351" s="30" t="s">
        <v>151</v>
      </c>
      <c r="AC351" s="30" t="s">
        <v>151</v>
      </c>
      <c r="AD351" s="39">
        <v>2019</v>
      </c>
      <c r="AE351" s="30" t="s">
        <v>151</v>
      </c>
      <c r="AF351" s="35">
        <v>45596</v>
      </c>
      <c r="AG351" s="30" t="s">
        <v>151</v>
      </c>
      <c r="AH351" s="30" t="s">
        <v>151</v>
      </c>
      <c r="AI351" s="38" t="s">
        <v>151</v>
      </c>
      <c r="AJ351" s="32" t="s">
        <v>151</v>
      </c>
      <c r="AK351" s="38" t="s">
        <v>151</v>
      </c>
      <c r="AL351" s="38" t="s">
        <v>151</v>
      </c>
      <c r="AM351" s="38" t="s">
        <v>151</v>
      </c>
      <c r="AN351" s="38" t="s">
        <v>151</v>
      </c>
      <c r="AO351" s="38" t="s">
        <v>151</v>
      </c>
      <c r="AP351" s="38" t="s">
        <v>151</v>
      </c>
      <c r="AQ351" s="38" t="s">
        <v>151</v>
      </c>
      <c r="AR351" s="29" t="s">
        <v>151</v>
      </c>
      <c r="AS351" s="30" t="s">
        <v>7620</v>
      </c>
      <c r="AT351" s="30" t="s">
        <v>7621</v>
      </c>
      <c r="AU351" s="31">
        <v>4</v>
      </c>
      <c r="AV351" s="30" t="s">
        <v>151</v>
      </c>
      <c r="AW351" s="30" t="s">
        <v>151</v>
      </c>
      <c r="AX351" s="30" t="s">
        <v>151</v>
      </c>
      <c r="AY351" s="30" t="s">
        <v>7622</v>
      </c>
      <c r="AZ351" s="30" t="s">
        <v>151</v>
      </c>
      <c r="BA351" s="30" t="s">
        <v>151</v>
      </c>
      <c r="BB351" s="30" t="s">
        <v>151</v>
      </c>
      <c r="BC351" s="30" t="s">
        <v>7623</v>
      </c>
      <c r="BD351" s="30" t="s">
        <v>7624</v>
      </c>
      <c r="BE351" s="30" t="s">
        <v>7625</v>
      </c>
      <c r="BF351" s="30" t="s">
        <v>789</v>
      </c>
      <c r="BG351" s="30" t="s">
        <v>7626</v>
      </c>
      <c r="BH351" s="30" t="s">
        <v>7627</v>
      </c>
      <c r="BI351" s="30" t="s">
        <v>5818</v>
      </c>
      <c r="BJ351" s="30" t="s">
        <v>7628</v>
      </c>
      <c r="BK351" s="30" t="s">
        <v>320</v>
      </c>
      <c r="BL351" s="30" t="s">
        <v>5820</v>
      </c>
      <c r="BM351" s="30" t="s">
        <v>5821</v>
      </c>
      <c r="BN351" s="29" t="s">
        <v>5822</v>
      </c>
      <c r="BO351" s="30" t="s">
        <v>186</v>
      </c>
      <c r="BP351" s="29" t="s">
        <v>151</v>
      </c>
      <c r="BQ351" s="29" t="s">
        <v>151</v>
      </c>
      <c r="BR351" s="30" t="s">
        <v>7629</v>
      </c>
      <c r="BS351" s="30" t="s">
        <v>187</v>
      </c>
      <c r="BT351" s="30" t="s">
        <v>188</v>
      </c>
      <c r="BU351" s="35">
        <v>44044</v>
      </c>
      <c r="BV351" s="37">
        <v>0.31</v>
      </c>
      <c r="BW351" s="30" t="s">
        <v>192</v>
      </c>
      <c r="BX351" s="37" t="s">
        <v>151</v>
      </c>
      <c r="BY351" s="30" t="s">
        <v>151</v>
      </c>
      <c r="BZ351" s="30" t="s">
        <v>501</v>
      </c>
      <c r="CA351" s="30" t="s">
        <v>151</v>
      </c>
      <c r="CB351" s="30" t="s">
        <v>151</v>
      </c>
      <c r="CC351" s="30" t="s">
        <v>190</v>
      </c>
      <c r="CD351" s="30" t="s">
        <v>151</v>
      </c>
      <c r="CE351" s="30" t="s">
        <v>191</v>
      </c>
      <c r="CF351" s="35">
        <v>45565</v>
      </c>
      <c r="CG351" s="37">
        <v>0.1</v>
      </c>
      <c r="CH351" s="30" t="s">
        <v>192</v>
      </c>
      <c r="CI351" s="37" t="s">
        <v>151</v>
      </c>
      <c r="CJ351" s="30" t="s">
        <v>151</v>
      </c>
      <c r="CK351" s="29" t="s">
        <v>151</v>
      </c>
      <c r="CL351" s="30" t="s">
        <v>194</v>
      </c>
      <c r="CM351" s="30" t="s">
        <v>151</v>
      </c>
      <c r="CN351" s="30" t="s">
        <v>151</v>
      </c>
      <c r="CO351" s="30" t="s">
        <v>165</v>
      </c>
      <c r="CP351" s="35">
        <v>45565</v>
      </c>
      <c r="CQ351" s="37" t="s">
        <v>151</v>
      </c>
      <c r="CR351" s="30" t="s">
        <v>151</v>
      </c>
      <c r="CS351" s="30" t="s">
        <v>191</v>
      </c>
      <c r="CT351" s="29">
        <v>61</v>
      </c>
      <c r="CU351" s="30" t="s">
        <v>196</v>
      </c>
      <c r="CV351" s="32">
        <v>57</v>
      </c>
      <c r="CW351" s="32">
        <v>43</v>
      </c>
      <c r="CX351" s="30" t="s">
        <v>294</v>
      </c>
      <c r="CY351" s="32">
        <v>1</v>
      </c>
      <c r="CZ351" s="32">
        <v>56</v>
      </c>
      <c r="DA351" s="37" t="s">
        <v>151</v>
      </c>
      <c r="DB351" s="35" t="s">
        <v>151</v>
      </c>
      <c r="DC351" s="30" t="s">
        <v>151</v>
      </c>
      <c r="DD351" s="29" t="s">
        <v>151</v>
      </c>
      <c r="DE351" s="32">
        <v>0</v>
      </c>
      <c r="DF351" s="34">
        <v>11</v>
      </c>
      <c r="DG351" s="32">
        <v>0</v>
      </c>
      <c r="DH351" s="32">
        <v>0</v>
      </c>
      <c r="DI351" s="32">
        <v>0</v>
      </c>
      <c r="DJ351" s="34">
        <v>10</v>
      </c>
      <c r="DK351" s="32" t="s">
        <v>151</v>
      </c>
      <c r="DL351" s="34" t="s">
        <v>151</v>
      </c>
      <c r="DM351" s="32">
        <v>0</v>
      </c>
      <c r="DN351" s="34">
        <v>10</v>
      </c>
      <c r="DO351" s="36">
        <v>1.58</v>
      </c>
      <c r="DP351" s="34">
        <v>61</v>
      </c>
      <c r="DQ351" s="36">
        <v>0</v>
      </c>
      <c r="DR351" s="32">
        <v>0</v>
      </c>
      <c r="DS351" s="36">
        <v>1.58</v>
      </c>
      <c r="DT351" s="34">
        <v>60</v>
      </c>
      <c r="DU351" s="36" t="s">
        <v>151</v>
      </c>
      <c r="DV351" s="34" t="s">
        <v>151</v>
      </c>
      <c r="DW351" s="36">
        <v>1.58</v>
      </c>
      <c r="DX351" s="34">
        <v>60</v>
      </c>
      <c r="DY351" s="31" t="s">
        <v>151</v>
      </c>
      <c r="DZ351" s="35" t="s">
        <v>151</v>
      </c>
      <c r="EA351" s="35" t="s">
        <v>151</v>
      </c>
      <c r="EB351" s="34">
        <v>215</v>
      </c>
      <c r="EC351" s="33">
        <v>28</v>
      </c>
      <c r="ED351" s="32">
        <v>14.97</v>
      </c>
      <c r="EE351" s="34">
        <v>30</v>
      </c>
      <c r="EF351" s="33">
        <v>1</v>
      </c>
      <c r="EG351" s="32">
        <v>3.45</v>
      </c>
      <c r="EH351" s="29" t="s">
        <v>198</v>
      </c>
      <c r="EI351" s="30" t="s">
        <v>151</v>
      </c>
      <c r="EJ351" s="30" t="s">
        <v>151</v>
      </c>
      <c r="EK351" s="31" t="s">
        <v>151</v>
      </c>
      <c r="EL351" s="31" t="s">
        <v>151</v>
      </c>
      <c r="EM351" s="31" t="s">
        <v>151</v>
      </c>
      <c r="EN351" s="31" t="s">
        <v>151</v>
      </c>
      <c r="EO351" s="31" t="s">
        <v>151</v>
      </c>
      <c r="EP351" s="30" t="s">
        <v>151</v>
      </c>
      <c r="EQ351" s="29" t="s">
        <v>151</v>
      </c>
      <c r="ER351" s="29" t="s">
        <v>151</v>
      </c>
      <c r="ES351" s="4">
        <f>HYPERLINK("https://my.pitchbook.com?c=340748-38","View Company Online")</f>
      </c>
    </row>
    <row r="352">
      <c r="A352" s="17" t="s">
        <v>7630</v>
      </c>
      <c r="B352" s="17" t="s">
        <v>7631</v>
      </c>
      <c r="C352" s="18" t="s">
        <v>151</v>
      </c>
      <c r="D352" s="17" t="s">
        <v>151</v>
      </c>
      <c r="E352" s="17" t="s">
        <v>7632</v>
      </c>
      <c r="F352" s="17" t="s">
        <v>7633</v>
      </c>
      <c r="G352" s="17" t="s">
        <v>151</v>
      </c>
      <c r="H352" s="17" t="s">
        <v>151</v>
      </c>
      <c r="I352" s="17" t="s">
        <v>151</v>
      </c>
      <c r="J352" s="17" t="s">
        <v>7630</v>
      </c>
      <c r="K352" s="17" t="s">
        <v>7634</v>
      </c>
      <c r="L352" s="17" t="s">
        <v>205</v>
      </c>
      <c r="M352" s="17" t="s">
        <v>206</v>
      </c>
      <c r="N352" s="17" t="s">
        <v>1940</v>
      </c>
      <c r="O352" s="17" t="s">
        <v>5396</v>
      </c>
      <c r="P352" s="17" t="s">
        <v>7635</v>
      </c>
      <c r="Q352" s="17" t="s">
        <v>7636</v>
      </c>
      <c r="R352" s="17" t="s">
        <v>151</v>
      </c>
      <c r="S352" s="17" t="s">
        <v>162</v>
      </c>
      <c r="T352" s="24">
        <v>1.7</v>
      </c>
      <c r="U352" s="17" t="s">
        <v>163</v>
      </c>
      <c r="V352" s="17" t="s">
        <v>164</v>
      </c>
      <c r="W352" s="17" t="s">
        <v>165</v>
      </c>
      <c r="X352" s="15" t="s">
        <v>7637</v>
      </c>
      <c r="Y352" s="15" t="s">
        <v>7638</v>
      </c>
      <c r="Z352" s="27">
        <v>44</v>
      </c>
      <c r="AA352" s="17" t="s">
        <v>7639</v>
      </c>
      <c r="AB352" s="17" t="s">
        <v>151</v>
      </c>
      <c r="AC352" s="17" t="s">
        <v>151</v>
      </c>
      <c r="AD352" s="26">
        <v>2017</v>
      </c>
      <c r="AE352" s="17" t="s">
        <v>151</v>
      </c>
      <c r="AF352" s="22">
        <v>45428</v>
      </c>
      <c r="AG352" s="17" t="s">
        <v>151</v>
      </c>
      <c r="AH352" s="17" t="s">
        <v>151</v>
      </c>
      <c r="AI352" s="25" t="s">
        <v>151</v>
      </c>
      <c r="AJ352" s="19" t="s">
        <v>151</v>
      </c>
      <c r="AK352" s="25" t="s">
        <v>151</v>
      </c>
      <c r="AL352" s="25" t="s">
        <v>151</v>
      </c>
      <c r="AM352" s="25" t="s">
        <v>151</v>
      </c>
      <c r="AN352" s="25" t="s">
        <v>151</v>
      </c>
      <c r="AO352" s="25" t="s">
        <v>151</v>
      </c>
      <c r="AP352" s="25" t="s">
        <v>151</v>
      </c>
      <c r="AQ352" s="25" t="s">
        <v>151</v>
      </c>
      <c r="AR352" s="16" t="s">
        <v>151</v>
      </c>
      <c r="AS352" s="17" t="s">
        <v>7640</v>
      </c>
      <c r="AT352" s="17" t="s">
        <v>7641</v>
      </c>
      <c r="AU352" s="18">
        <v>3</v>
      </c>
      <c r="AV352" s="17" t="s">
        <v>151</v>
      </c>
      <c r="AW352" s="17" t="s">
        <v>151</v>
      </c>
      <c r="AX352" s="17" t="s">
        <v>151</v>
      </c>
      <c r="AY352" s="17" t="s">
        <v>7642</v>
      </c>
      <c r="AZ352" s="17" t="s">
        <v>151</v>
      </c>
      <c r="BA352" s="17" t="s">
        <v>151</v>
      </c>
      <c r="BB352" s="17" t="s">
        <v>151</v>
      </c>
      <c r="BC352" s="17" t="s">
        <v>151</v>
      </c>
      <c r="BD352" s="17" t="s">
        <v>7643</v>
      </c>
      <c r="BE352" s="17" t="s">
        <v>7644</v>
      </c>
      <c r="BF352" s="17" t="s">
        <v>493</v>
      </c>
      <c r="BG352" s="17" t="s">
        <v>7645</v>
      </c>
      <c r="BH352" s="17" t="s">
        <v>7646</v>
      </c>
      <c r="BI352" s="17" t="s">
        <v>707</v>
      </c>
      <c r="BJ352" s="17" t="s">
        <v>151</v>
      </c>
      <c r="BK352" s="17" t="s">
        <v>151</v>
      </c>
      <c r="BL352" s="17" t="s">
        <v>709</v>
      </c>
      <c r="BM352" s="17" t="s">
        <v>184</v>
      </c>
      <c r="BN352" s="16" t="s">
        <v>151</v>
      </c>
      <c r="BO352" s="17" t="s">
        <v>186</v>
      </c>
      <c r="BP352" s="16" t="s">
        <v>7646</v>
      </c>
      <c r="BQ352" s="16" t="s">
        <v>151</v>
      </c>
      <c r="BR352" s="17" t="s">
        <v>7647</v>
      </c>
      <c r="BS352" s="17" t="s">
        <v>187</v>
      </c>
      <c r="BT352" s="17" t="s">
        <v>188</v>
      </c>
      <c r="BU352" s="22">
        <v>44006</v>
      </c>
      <c r="BV352" s="24">
        <v>1.7</v>
      </c>
      <c r="BW352" s="17" t="s">
        <v>192</v>
      </c>
      <c r="BX352" s="24" t="s">
        <v>151</v>
      </c>
      <c r="BY352" s="17" t="s">
        <v>151</v>
      </c>
      <c r="BZ352" s="17" t="s">
        <v>293</v>
      </c>
      <c r="CA352" s="17" t="s">
        <v>293</v>
      </c>
      <c r="CB352" s="17" t="s">
        <v>151</v>
      </c>
      <c r="CC352" s="17" t="s">
        <v>165</v>
      </c>
      <c r="CD352" s="17" t="s">
        <v>151</v>
      </c>
      <c r="CE352" s="17" t="s">
        <v>191</v>
      </c>
      <c r="CF352" s="22">
        <v>44682</v>
      </c>
      <c r="CG352" s="24" t="s">
        <v>151</v>
      </c>
      <c r="CH352" s="17" t="s">
        <v>151</v>
      </c>
      <c r="CI352" s="24" t="s">
        <v>151</v>
      </c>
      <c r="CJ352" s="17" t="s">
        <v>151</v>
      </c>
      <c r="CK352" s="16" t="s">
        <v>151</v>
      </c>
      <c r="CL352" s="17" t="s">
        <v>194</v>
      </c>
      <c r="CM352" s="17" t="s">
        <v>151</v>
      </c>
      <c r="CN352" s="17" t="s">
        <v>151</v>
      </c>
      <c r="CO352" s="17" t="s">
        <v>165</v>
      </c>
      <c r="CP352" s="22">
        <v>44682</v>
      </c>
      <c r="CQ352" s="24" t="s">
        <v>151</v>
      </c>
      <c r="CR352" s="17" t="s">
        <v>151</v>
      </c>
      <c r="CS352" s="17" t="s">
        <v>191</v>
      </c>
      <c r="CT352" s="16">
        <v>32</v>
      </c>
      <c r="CU352" s="17" t="s">
        <v>263</v>
      </c>
      <c r="CV352" s="19">
        <v>33</v>
      </c>
      <c r="CW352" s="19">
        <v>67</v>
      </c>
      <c r="CX352" s="17" t="s">
        <v>263</v>
      </c>
      <c r="CY352" s="19">
        <v>1</v>
      </c>
      <c r="CZ352" s="19">
        <v>32</v>
      </c>
      <c r="DA352" s="24" t="s">
        <v>151</v>
      </c>
      <c r="DB352" s="22" t="s">
        <v>151</v>
      </c>
      <c r="DC352" s="17" t="s">
        <v>151</v>
      </c>
      <c r="DD352" s="16" t="s">
        <v>151</v>
      </c>
      <c r="DE352" s="19">
        <v>1.16</v>
      </c>
      <c r="DF352" s="21">
        <v>97</v>
      </c>
      <c r="DG352" s="19">
        <v>0</v>
      </c>
      <c r="DH352" s="19">
        <v>0</v>
      </c>
      <c r="DI352" s="19">
        <v>1.16</v>
      </c>
      <c r="DJ352" s="21">
        <v>97</v>
      </c>
      <c r="DK352" s="19" t="s">
        <v>151</v>
      </c>
      <c r="DL352" s="21" t="s">
        <v>151</v>
      </c>
      <c r="DM352" s="19">
        <v>1.16</v>
      </c>
      <c r="DN352" s="21">
        <v>97</v>
      </c>
      <c r="DO352" s="23">
        <v>60.11</v>
      </c>
      <c r="DP352" s="21">
        <v>98</v>
      </c>
      <c r="DQ352" s="23">
        <v>0</v>
      </c>
      <c r="DR352" s="19">
        <v>0</v>
      </c>
      <c r="DS352" s="23">
        <v>60.11</v>
      </c>
      <c r="DT352" s="21">
        <v>99</v>
      </c>
      <c r="DU352" s="23" t="s">
        <v>151</v>
      </c>
      <c r="DV352" s="21" t="s">
        <v>151</v>
      </c>
      <c r="DW352" s="23">
        <v>60.11</v>
      </c>
      <c r="DX352" s="21">
        <v>99</v>
      </c>
      <c r="DY352" s="18" t="s">
        <v>151</v>
      </c>
      <c r="DZ352" s="22" t="s">
        <v>151</v>
      </c>
      <c r="EA352" s="22" t="s">
        <v>151</v>
      </c>
      <c r="EB352" s="21">
        <v>78612</v>
      </c>
      <c r="EC352" s="20">
        <v>-2340</v>
      </c>
      <c r="ED352" s="19">
        <v>-2.89</v>
      </c>
      <c r="EE352" s="21">
        <v>1142</v>
      </c>
      <c r="EF352" s="20">
        <v>3</v>
      </c>
      <c r="EG352" s="19">
        <v>0.26</v>
      </c>
      <c r="EH352" s="16" t="s">
        <v>198</v>
      </c>
      <c r="EI352" s="17" t="s">
        <v>151</v>
      </c>
      <c r="EJ352" s="17" t="s">
        <v>151</v>
      </c>
      <c r="EK352" s="18" t="s">
        <v>151</v>
      </c>
      <c r="EL352" s="18" t="s">
        <v>151</v>
      </c>
      <c r="EM352" s="18" t="s">
        <v>151</v>
      </c>
      <c r="EN352" s="18" t="s">
        <v>151</v>
      </c>
      <c r="EO352" s="18" t="s">
        <v>151</v>
      </c>
      <c r="EP352" s="17" t="s">
        <v>151</v>
      </c>
      <c r="EQ352" s="16" t="s">
        <v>151</v>
      </c>
      <c r="ER352" s="16" t="s">
        <v>151</v>
      </c>
      <c r="ES352" s="3">
        <f>HYPERLINK("https://my.pitchbook.com?c=399185-20","View Company Online")</f>
      </c>
    </row>
    <row r="353">
      <c r="A353" s="30" t="s">
        <v>7648</v>
      </c>
      <c r="B353" s="30" t="s">
        <v>7649</v>
      </c>
      <c r="C353" s="31" t="s">
        <v>151</v>
      </c>
      <c r="D353" s="30" t="s">
        <v>151</v>
      </c>
      <c r="E353" s="30" t="s">
        <v>151</v>
      </c>
      <c r="F353" s="30" t="s">
        <v>7650</v>
      </c>
      <c r="G353" s="30" t="s">
        <v>151</v>
      </c>
      <c r="H353" s="30" t="s">
        <v>151</v>
      </c>
      <c r="I353" s="30" t="s">
        <v>7651</v>
      </c>
      <c r="J353" s="30" t="s">
        <v>7648</v>
      </c>
      <c r="K353" s="30" t="s">
        <v>7652</v>
      </c>
      <c r="L353" s="30" t="s">
        <v>205</v>
      </c>
      <c r="M353" s="30" t="s">
        <v>206</v>
      </c>
      <c r="N353" s="30" t="s">
        <v>1940</v>
      </c>
      <c r="O353" s="30" t="s">
        <v>5396</v>
      </c>
      <c r="P353" s="30" t="s">
        <v>2174</v>
      </c>
      <c r="Q353" s="30" t="s">
        <v>7653</v>
      </c>
      <c r="R353" s="30" t="s">
        <v>151</v>
      </c>
      <c r="S353" s="30" t="s">
        <v>162</v>
      </c>
      <c r="T353" s="37">
        <v>3.01</v>
      </c>
      <c r="U353" s="30" t="s">
        <v>163</v>
      </c>
      <c r="V353" s="30" t="s">
        <v>164</v>
      </c>
      <c r="W353" s="30" t="s">
        <v>165</v>
      </c>
      <c r="X353" s="28" t="s">
        <v>7654</v>
      </c>
      <c r="Y353" s="28" t="s">
        <v>7655</v>
      </c>
      <c r="Z353" s="40">
        <v>14</v>
      </c>
      <c r="AA353" s="30" t="s">
        <v>7656</v>
      </c>
      <c r="AB353" s="30" t="s">
        <v>151</v>
      </c>
      <c r="AC353" s="30" t="s">
        <v>151</v>
      </c>
      <c r="AD353" s="39">
        <v>2016</v>
      </c>
      <c r="AE353" s="30" t="s">
        <v>151</v>
      </c>
      <c r="AF353" s="35">
        <v>45313</v>
      </c>
      <c r="AG353" s="30" t="s">
        <v>151</v>
      </c>
      <c r="AH353" s="30" t="s">
        <v>151</v>
      </c>
      <c r="AI353" s="38" t="s">
        <v>151</v>
      </c>
      <c r="AJ353" s="32" t="s">
        <v>151</v>
      </c>
      <c r="AK353" s="38" t="s">
        <v>151</v>
      </c>
      <c r="AL353" s="38" t="s">
        <v>151</v>
      </c>
      <c r="AM353" s="38" t="s">
        <v>151</v>
      </c>
      <c r="AN353" s="38" t="s">
        <v>151</v>
      </c>
      <c r="AO353" s="38" t="s">
        <v>151</v>
      </c>
      <c r="AP353" s="38" t="s">
        <v>151</v>
      </c>
      <c r="AQ353" s="38" t="s">
        <v>151</v>
      </c>
      <c r="AR353" s="29" t="s">
        <v>151</v>
      </c>
      <c r="AS353" s="30" t="s">
        <v>7657</v>
      </c>
      <c r="AT353" s="30" t="s">
        <v>7658</v>
      </c>
      <c r="AU353" s="31">
        <v>4</v>
      </c>
      <c r="AV353" s="30" t="s">
        <v>151</v>
      </c>
      <c r="AW353" s="30" t="s">
        <v>151</v>
      </c>
      <c r="AX353" s="30" t="s">
        <v>151</v>
      </c>
      <c r="AY353" s="30" t="s">
        <v>7659</v>
      </c>
      <c r="AZ353" s="30" t="s">
        <v>151</v>
      </c>
      <c r="BA353" s="30" t="s">
        <v>151</v>
      </c>
      <c r="BB353" s="30" t="s">
        <v>151</v>
      </c>
      <c r="BC353" s="30" t="s">
        <v>151</v>
      </c>
      <c r="BD353" s="30" t="s">
        <v>7660</v>
      </c>
      <c r="BE353" s="30" t="s">
        <v>7661</v>
      </c>
      <c r="BF353" s="30" t="s">
        <v>403</v>
      </c>
      <c r="BG353" s="30" t="s">
        <v>7662</v>
      </c>
      <c r="BH353" s="30" t="s">
        <v>7663</v>
      </c>
      <c r="BI353" s="30" t="s">
        <v>7664</v>
      </c>
      <c r="BJ353" s="30" t="s">
        <v>7665</v>
      </c>
      <c r="BK353" s="30" t="s">
        <v>7666</v>
      </c>
      <c r="BL353" s="30" t="s">
        <v>7667</v>
      </c>
      <c r="BM353" s="30" t="s">
        <v>6425</v>
      </c>
      <c r="BN353" s="29" t="s">
        <v>7668</v>
      </c>
      <c r="BO353" s="30" t="s">
        <v>186</v>
      </c>
      <c r="BP353" s="29" t="s">
        <v>7663</v>
      </c>
      <c r="BQ353" s="29" t="s">
        <v>151</v>
      </c>
      <c r="BR353" s="30" t="s">
        <v>7669</v>
      </c>
      <c r="BS353" s="30" t="s">
        <v>187</v>
      </c>
      <c r="BT353" s="30" t="s">
        <v>188</v>
      </c>
      <c r="BU353" s="35">
        <v>43516</v>
      </c>
      <c r="BV353" s="37">
        <v>0.01</v>
      </c>
      <c r="BW353" s="30" t="s">
        <v>192</v>
      </c>
      <c r="BX353" s="37" t="s">
        <v>151</v>
      </c>
      <c r="BY353" s="30" t="s">
        <v>151</v>
      </c>
      <c r="BZ353" s="30" t="s">
        <v>189</v>
      </c>
      <c r="CA353" s="30" t="s">
        <v>151</v>
      </c>
      <c r="CB353" s="30" t="s">
        <v>151</v>
      </c>
      <c r="CC353" s="30" t="s">
        <v>190</v>
      </c>
      <c r="CD353" s="30" t="s">
        <v>151</v>
      </c>
      <c r="CE353" s="30" t="s">
        <v>191</v>
      </c>
      <c r="CF353" s="35">
        <v>45017</v>
      </c>
      <c r="CG353" s="37">
        <v>3</v>
      </c>
      <c r="CH353" s="30" t="s">
        <v>192</v>
      </c>
      <c r="CI353" s="37" t="s">
        <v>151</v>
      </c>
      <c r="CJ353" s="30" t="s">
        <v>151</v>
      </c>
      <c r="CK353" s="29" t="s">
        <v>151</v>
      </c>
      <c r="CL353" s="30" t="s">
        <v>293</v>
      </c>
      <c r="CM353" s="30" t="s">
        <v>293</v>
      </c>
      <c r="CN353" s="30" t="s">
        <v>151</v>
      </c>
      <c r="CO353" s="30" t="s">
        <v>165</v>
      </c>
      <c r="CP353" s="35">
        <v>45017</v>
      </c>
      <c r="CQ353" s="37" t="s">
        <v>151</v>
      </c>
      <c r="CR353" s="30" t="s">
        <v>151</v>
      </c>
      <c r="CS353" s="30" t="s">
        <v>191</v>
      </c>
      <c r="CT353" s="29" t="s">
        <v>151</v>
      </c>
      <c r="CU353" s="30" t="s">
        <v>151</v>
      </c>
      <c r="CV353" s="32" t="s">
        <v>151</v>
      </c>
      <c r="CW353" s="32" t="s">
        <v>151</v>
      </c>
      <c r="CX353" s="30" t="s">
        <v>151</v>
      </c>
      <c r="CY353" s="32" t="s">
        <v>151</v>
      </c>
      <c r="CZ353" s="32" t="s">
        <v>151</v>
      </c>
      <c r="DA353" s="37" t="s">
        <v>151</v>
      </c>
      <c r="DB353" s="35" t="s">
        <v>151</v>
      </c>
      <c r="DC353" s="30" t="s">
        <v>151</v>
      </c>
      <c r="DD353" s="29" t="s">
        <v>151</v>
      </c>
      <c r="DE353" s="32">
        <v>-0.42</v>
      </c>
      <c r="DF353" s="34">
        <v>8</v>
      </c>
      <c r="DG353" s="32">
        <v>0</v>
      </c>
      <c r="DH353" s="32">
        <v>0</v>
      </c>
      <c r="DI353" s="32">
        <v>0</v>
      </c>
      <c r="DJ353" s="34">
        <v>10</v>
      </c>
      <c r="DK353" s="32" t="s">
        <v>151</v>
      </c>
      <c r="DL353" s="34" t="s">
        <v>151</v>
      </c>
      <c r="DM353" s="32">
        <v>0</v>
      </c>
      <c r="DN353" s="34">
        <v>10</v>
      </c>
      <c r="DO353" s="36">
        <v>1.51</v>
      </c>
      <c r="DP353" s="34">
        <v>60</v>
      </c>
      <c r="DQ353" s="36">
        <v>0</v>
      </c>
      <c r="DR353" s="32">
        <v>0</v>
      </c>
      <c r="DS353" s="36">
        <v>1.95</v>
      </c>
      <c r="DT353" s="34">
        <v>65</v>
      </c>
      <c r="DU353" s="36" t="s">
        <v>151</v>
      </c>
      <c r="DV353" s="34" t="s">
        <v>151</v>
      </c>
      <c r="DW353" s="36">
        <v>1.95</v>
      </c>
      <c r="DX353" s="34">
        <v>65</v>
      </c>
      <c r="DY353" s="31">
        <v>5</v>
      </c>
      <c r="DZ353" s="35">
        <v>44335</v>
      </c>
      <c r="EA353" s="35" t="s">
        <v>7670</v>
      </c>
      <c r="EB353" s="34">
        <v>89</v>
      </c>
      <c r="EC353" s="33">
        <v>16</v>
      </c>
      <c r="ED353" s="32">
        <v>21.92</v>
      </c>
      <c r="EE353" s="34">
        <v>37</v>
      </c>
      <c r="EF353" s="33">
        <v>0</v>
      </c>
      <c r="EG353" s="32">
        <v>0</v>
      </c>
      <c r="EH353" s="29" t="s">
        <v>198</v>
      </c>
      <c r="EI353" s="30" t="s">
        <v>151</v>
      </c>
      <c r="EJ353" s="30" t="s">
        <v>151</v>
      </c>
      <c r="EK353" s="31" t="s">
        <v>151</v>
      </c>
      <c r="EL353" s="31" t="s">
        <v>151</v>
      </c>
      <c r="EM353" s="31" t="s">
        <v>151</v>
      </c>
      <c r="EN353" s="31" t="s">
        <v>151</v>
      </c>
      <c r="EO353" s="31" t="s">
        <v>151</v>
      </c>
      <c r="EP353" s="30" t="s">
        <v>151</v>
      </c>
      <c r="EQ353" s="29" t="s">
        <v>151</v>
      </c>
      <c r="ER353" s="29" t="s">
        <v>151</v>
      </c>
      <c r="ES353" s="4">
        <f>HYPERLINK("https://my.pitchbook.com?c=518874-85","View Company Online")</f>
      </c>
    </row>
    <row r="354">
      <c r="A354" s="17" t="s">
        <v>7671</v>
      </c>
      <c r="B354" s="17" t="s">
        <v>7672</v>
      </c>
      <c r="C354" s="18" t="s">
        <v>151</v>
      </c>
      <c r="D354" s="17" t="s">
        <v>151</v>
      </c>
      <c r="E354" s="17" t="s">
        <v>151</v>
      </c>
      <c r="F354" s="17" t="s">
        <v>7673</v>
      </c>
      <c r="G354" s="17" t="s">
        <v>151</v>
      </c>
      <c r="H354" s="17" t="s">
        <v>151</v>
      </c>
      <c r="I354" s="17" t="s">
        <v>151</v>
      </c>
      <c r="J354" s="17" t="s">
        <v>7671</v>
      </c>
      <c r="K354" s="17" t="s">
        <v>7674</v>
      </c>
      <c r="L354" s="17" t="s">
        <v>205</v>
      </c>
      <c r="M354" s="17" t="s">
        <v>206</v>
      </c>
      <c r="N354" s="17" t="s">
        <v>269</v>
      </c>
      <c r="O354" s="17" t="s">
        <v>563</v>
      </c>
      <c r="P354" s="17" t="s">
        <v>7675</v>
      </c>
      <c r="Q354" s="17" t="s">
        <v>7676</v>
      </c>
      <c r="R354" s="17" t="s">
        <v>151</v>
      </c>
      <c r="S354" s="17" t="s">
        <v>162</v>
      </c>
      <c r="T354" s="24">
        <v>5.84</v>
      </c>
      <c r="U354" s="17" t="s">
        <v>163</v>
      </c>
      <c r="V354" s="17" t="s">
        <v>164</v>
      </c>
      <c r="W354" s="17" t="s">
        <v>165</v>
      </c>
      <c r="X354" s="15" t="s">
        <v>7677</v>
      </c>
      <c r="Y354" s="15" t="s">
        <v>7678</v>
      </c>
      <c r="Z354" s="27">
        <v>43</v>
      </c>
      <c r="AA354" s="17" t="s">
        <v>7679</v>
      </c>
      <c r="AB354" s="17" t="s">
        <v>151</v>
      </c>
      <c r="AC354" s="17" t="s">
        <v>151</v>
      </c>
      <c r="AD354" s="26">
        <v>2021</v>
      </c>
      <c r="AE354" s="17" t="s">
        <v>151</v>
      </c>
      <c r="AF354" s="22">
        <v>45615</v>
      </c>
      <c r="AG354" s="17" t="s">
        <v>151</v>
      </c>
      <c r="AH354" s="17" t="s">
        <v>151</v>
      </c>
      <c r="AI354" s="25" t="s">
        <v>151</v>
      </c>
      <c r="AJ354" s="19" t="s">
        <v>151</v>
      </c>
      <c r="AK354" s="25" t="s">
        <v>151</v>
      </c>
      <c r="AL354" s="25" t="s">
        <v>151</v>
      </c>
      <c r="AM354" s="25" t="s">
        <v>151</v>
      </c>
      <c r="AN354" s="25" t="s">
        <v>151</v>
      </c>
      <c r="AO354" s="25" t="s">
        <v>151</v>
      </c>
      <c r="AP354" s="25" t="s">
        <v>151</v>
      </c>
      <c r="AQ354" s="25" t="s">
        <v>151</v>
      </c>
      <c r="AR354" s="16" t="s">
        <v>151</v>
      </c>
      <c r="AS354" s="17" t="s">
        <v>7680</v>
      </c>
      <c r="AT354" s="17" t="s">
        <v>7681</v>
      </c>
      <c r="AU354" s="18">
        <v>4</v>
      </c>
      <c r="AV354" s="17" t="s">
        <v>151</v>
      </c>
      <c r="AW354" s="17" t="s">
        <v>151</v>
      </c>
      <c r="AX354" s="17" t="s">
        <v>151</v>
      </c>
      <c r="AY354" s="17" t="s">
        <v>7682</v>
      </c>
      <c r="AZ354" s="17" t="s">
        <v>151</v>
      </c>
      <c r="BA354" s="17" t="s">
        <v>151</v>
      </c>
      <c r="BB354" s="17" t="s">
        <v>151</v>
      </c>
      <c r="BC354" s="17" t="s">
        <v>151</v>
      </c>
      <c r="BD354" s="17" t="s">
        <v>7683</v>
      </c>
      <c r="BE354" s="17" t="s">
        <v>7684</v>
      </c>
      <c r="BF354" s="17" t="s">
        <v>403</v>
      </c>
      <c r="BG354" s="17" t="s">
        <v>7685</v>
      </c>
      <c r="BH354" s="17" t="s">
        <v>151</v>
      </c>
      <c r="BI354" s="17" t="s">
        <v>3262</v>
      </c>
      <c r="BJ354" s="17" t="s">
        <v>7686</v>
      </c>
      <c r="BK354" s="17" t="s">
        <v>7687</v>
      </c>
      <c r="BL354" s="17" t="s">
        <v>3264</v>
      </c>
      <c r="BM354" s="17" t="s">
        <v>184</v>
      </c>
      <c r="BN354" s="16" t="s">
        <v>7688</v>
      </c>
      <c r="BO354" s="17" t="s">
        <v>186</v>
      </c>
      <c r="BP354" s="16" t="s">
        <v>151</v>
      </c>
      <c r="BQ354" s="16" t="s">
        <v>151</v>
      </c>
      <c r="BR354" s="17" t="s">
        <v>7689</v>
      </c>
      <c r="BS354" s="17" t="s">
        <v>187</v>
      </c>
      <c r="BT354" s="17" t="s">
        <v>188</v>
      </c>
      <c r="BU354" s="22">
        <v>44562</v>
      </c>
      <c r="BV354" s="24">
        <v>0.5</v>
      </c>
      <c r="BW354" s="17" t="s">
        <v>192</v>
      </c>
      <c r="BX354" s="24" t="s">
        <v>151</v>
      </c>
      <c r="BY354" s="17" t="s">
        <v>151</v>
      </c>
      <c r="BZ354" s="17" t="s">
        <v>189</v>
      </c>
      <c r="CA354" s="17" t="s">
        <v>151</v>
      </c>
      <c r="CB354" s="17" t="s">
        <v>151</v>
      </c>
      <c r="CC354" s="17" t="s">
        <v>190</v>
      </c>
      <c r="CD354" s="17" t="s">
        <v>151</v>
      </c>
      <c r="CE354" s="17" t="s">
        <v>191</v>
      </c>
      <c r="CF354" s="22">
        <v>44659</v>
      </c>
      <c r="CG354" s="24">
        <v>5.34</v>
      </c>
      <c r="CH354" s="17" t="s">
        <v>192</v>
      </c>
      <c r="CI354" s="24">
        <v>29.34</v>
      </c>
      <c r="CJ354" s="17" t="s">
        <v>192</v>
      </c>
      <c r="CK354" s="16" t="s">
        <v>151</v>
      </c>
      <c r="CL354" s="17" t="s">
        <v>293</v>
      </c>
      <c r="CM354" s="17" t="s">
        <v>293</v>
      </c>
      <c r="CN354" s="17" t="s">
        <v>151</v>
      </c>
      <c r="CO354" s="17" t="s">
        <v>165</v>
      </c>
      <c r="CP354" s="22">
        <v>44659</v>
      </c>
      <c r="CQ354" s="24" t="s">
        <v>151</v>
      </c>
      <c r="CR354" s="17" t="s">
        <v>151</v>
      </c>
      <c r="CS354" s="17" t="s">
        <v>191</v>
      </c>
      <c r="CT354" s="16" t="s">
        <v>151</v>
      </c>
      <c r="CU354" s="17" t="s">
        <v>151</v>
      </c>
      <c r="CV354" s="19" t="s">
        <v>151</v>
      </c>
      <c r="CW354" s="19" t="s">
        <v>151</v>
      </c>
      <c r="CX354" s="17" t="s">
        <v>151</v>
      </c>
      <c r="CY354" s="19" t="s">
        <v>151</v>
      </c>
      <c r="CZ354" s="19" t="s">
        <v>151</v>
      </c>
      <c r="DA354" s="24">
        <v>29.34</v>
      </c>
      <c r="DB354" s="22">
        <v>44659</v>
      </c>
      <c r="DC354" s="17" t="s">
        <v>293</v>
      </c>
      <c r="DD354" s="16" t="s">
        <v>151</v>
      </c>
      <c r="DE354" s="19">
        <v>0</v>
      </c>
      <c r="DF354" s="21">
        <v>11</v>
      </c>
      <c r="DG354" s="19">
        <v>0</v>
      </c>
      <c r="DH354" s="19">
        <v>0</v>
      </c>
      <c r="DI354" s="19">
        <v>0</v>
      </c>
      <c r="DJ354" s="21">
        <v>10</v>
      </c>
      <c r="DK354" s="19" t="s">
        <v>151</v>
      </c>
      <c r="DL354" s="21" t="s">
        <v>151</v>
      </c>
      <c r="DM354" s="19">
        <v>0</v>
      </c>
      <c r="DN354" s="21">
        <v>10</v>
      </c>
      <c r="DO354" s="23">
        <v>4.47</v>
      </c>
      <c r="DP354" s="21">
        <v>81</v>
      </c>
      <c r="DQ354" s="23">
        <v>0</v>
      </c>
      <c r="DR354" s="19">
        <v>0</v>
      </c>
      <c r="DS354" s="23">
        <v>4.47</v>
      </c>
      <c r="DT354" s="21">
        <v>81</v>
      </c>
      <c r="DU354" s="23" t="s">
        <v>151</v>
      </c>
      <c r="DV354" s="21" t="s">
        <v>151</v>
      </c>
      <c r="DW354" s="23">
        <v>4.47</v>
      </c>
      <c r="DX354" s="21">
        <v>80</v>
      </c>
      <c r="DY354" s="18" t="s">
        <v>151</v>
      </c>
      <c r="DZ354" s="22" t="s">
        <v>151</v>
      </c>
      <c r="EA354" s="22" t="s">
        <v>151</v>
      </c>
      <c r="EB354" s="21">
        <v>1062</v>
      </c>
      <c r="EC354" s="20">
        <v>-192</v>
      </c>
      <c r="ED354" s="19">
        <v>-15.31</v>
      </c>
      <c r="EE354" s="21">
        <v>85</v>
      </c>
      <c r="EF354" s="20">
        <v>1</v>
      </c>
      <c r="EG354" s="19">
        <v>1.19</v>
      </c>
      <c r="EH354" s="16" t="s">
        <v>198</v>
      </c>
      <c r="EI354" s="17" t="s">
        <v>151</v>
      </c>
      <c r="EJ354" s="17" t="s">
        <v>151</v>
      </c>
      <c r="EK354" s="18" t="s">
        <v>151</v>
      </c>
      <c r="EL354" s="18" t="s">
        <v>151</v>
      </c>
      <c r="EM354" s="18" t="s">
        <v>151</v>
      </c>
      <c r="EN354" s="18" t="s">
        <v>151</v>
      </c>
      <c r="EO354" s="18" t="s">
        <v>151</v>
      </c>
      <c r="EP354" s="17" t="s">
        <v>151</v>
      </c>
      <c r="EQ354" s="16" t="s">
        <v>151</v>
      </c>
      <c r="ER354" s="16" t="s">
        <v>151</v>
      </c>
      <c r="ES354" s="3">
        <f>HYPERLINK("https://my.pitchbook.com?c=491429-98","View Company Online")</f>
      </c>
    </row>
    <row r="355">
      <c r="A355" s="30" t="s">
        <v>7690</v>
      </c>
      <c r="B355" s="30" t="s">
        <v>7691</v>
      </c>
      <c r="C355" s="31" t="s">
        <v>151</v>
      </c>
      <c r="D355" s="30" t="s">
        <v>151</v>
      </c>
      <c r="E355" s="30" t="s">
        <v>151</v>
      </c>
      <c r="F355" s="30" t="s">
        <v>7692</v>
      </c>
      <c r="G355" s="30" t="s">
        <v>151</v>
      </c>
      <c r="H355" s="30" t="s">
        <v>151</v>
      </c>
      <c r="I355" s="30" t="s">
        <v>7693</v>
      </c>
      <c r="J355" s="30" t="s">
        <v>7690</v>
      </c>
      <c r="K355" s="30" t="s">
        <v>7694</v>
      </c>
      <c r="L355" s="30" t="s">
        <v>205</v>
      </c>
      <c r="M355" s="30" t="s">
        <v>206</v>
      </c>
      <c r="N355" s="30" t="s">
        <v>269</v>
      </c>
      <c r="O355" s="30" t="s">
        <v>7695</v>
      </c>
      <c r="P355" s="30" t="s">
        <v>7696</v>
      </c>
      <c r="Q355" s="30" t="s">
        <v>7697</v>
      </c>
      <c r="R355" s="30" t="s">
        <v>151</v>
      </c>
      <c r="S355" s="30" t="s">
        <v>162</v>
      </c>
      <c r="T355" s="37">
        <v>6.5</v>
      </c>
      <c r="U355" s="30" t="s">
        <v>163</v>
      </c>
      <c r="V355" s="30" t="s">
        <v>164</v>
      </c>
      <c r="W355" s="30" t="s">
        <v>165</v>
      </c>
      <c r="X355" s="28" t="s">
        <v>7698</v>
      </c>
      <c r="Y355" s="28" t="s">
        <v>7699</v>
      </c>
      <c r="Z355" s="40">
        <v>10</v>
      </c>
      <c r="AA355" s="30" t="s">
        <v>7700</v>
      </c>
      <c r="AB355" s="30" t="s">
        <v>151</v>
      </c>
      <c r="AC355" s="30" t="s">
        <v>151</v>
      </c>
      <c r="AD355" s="39">
        <v>2022</v>
      </c>
      <c r="AE355" s="30" t="s">
        <v>151</v>
      </c>
      <c r="AF355" s="35">
        <v>45593</v>
      </c>
      <c r="AG355" s="30" t="s">
        <v>151</v>
      </c>
      <c r="AH355" s="30" t="s">
        <v>151</v>
      </c>
      <c r="AI355" s="38" t="s">
        <v>151</v>
      </c>
      <c r="AJ355" s="32" t="s">
        <v>151</v>
      </c>
      <c r="AK355" s="38" t="s">
        <v>151</v>
      </c>
      <c r="AL355" s="38" t="s">
        <v>151</v>
      </c>
      <c r="AM355" s="38" t="s">
        <v>151</v>
      </c>
      <c r="AN355" s="38" t="s">
        <v>151</v>
      </c>
      <c r="AO355" s="38" t="s">
        <v>151</v>
      </c>
      <c r="AP355" s="38" t="s">
        <v>151</v>
      </c>
      <c r="AQ355" s="38" t="s">
        <v>151</v>
      </c>
      <c r="AR355" s="29" t="s">
        <v>151</v>
      </c>
      <c r="AS355" s="30" t="s">
        <v>7701</v>
      </c>
      <c r="AT355" s="30" t="s">
        <v>7702</v>
      </c>
      <c r="AU355" s="31">
        <v>11</v>
      </c>
      <c r="AV355" s="30" t="s">
        <v>151</v>
      </c>
      <c r="AW355" s="30" t="s">
        <v>151</v>
      </c>
      <c r="AX355" s="30" t="s">
        <v>151</v>
      </c>
      <c r="AY355" s="30" t="s">
        <v>7703</v>
      </c>
      <c r="AZ355" s="30" t="s">
        <v>151</v>
      </c>
      <c r="BA355" s="30" t="s">
        <v>151</v>
      </c>
      <c r="BB355" s="30" t="s">
        <v>151</v>
      </c>
      <c r="BC355" s="30" t="s">
        <v>151</v>
      </c>
      <c r="BD355" s="30" t="s">
        <v>7704</v>
      </c>
      <c r="BE355" s="30" t="s">
        <v>7705</v>
      </c>
      <c r="BF355" s="30" t="s">
        <v>493</v>
      </c>
      <c r="BG355" s="30" t="s">
        <v>7706</v>
      </c>
      <c r="BH355" s="30" t="s">
        <v>151</v>
      </c>
      <c r="BI355" s="30" t="s">
        <v>7707</v>
      </c>
      <c r="BJ355" s="30" t="s">
        <v>7708</v>
      </c>
      <c r="BK355" s="30" t="s">
        <v>151</v>
      </c>
      <c r="BL355" s="30" t="s">
        <v>7709</v>
      </c>
      <c r="BM355" s="30" t="s">
        <v>184</v>
      </c>
      <c r="BN355" s="29" t="s">
        <v>7710</v>
      </c>
      <c r="BO355" s="30" t="s">
        <v>186</v>
      </c>
      <c r="BP355" s="29" t="s">
        <v>151</v>
      </c>
      <c r="BQ355" s="29" t="s">
        <v>151</v>
      </c>
      <c r="BR355" s="30" t="s">
        <v>7711</v>
      </c>
      <c r="BS355" s="30" t="s">
        <v>187</v>
      </c>
      <c r="BT355" s="30" t="s">
        <v>188</v>
      </c>
      <c r="BU355" s="35">
        <v>44805</v>
      </c>
      <c r="BV355" s="37">
        <v>1.2</v>
      </c>
      <c r="BW355" s="30" t="s">
        <v>192</v>
      </c>
      <c r="BX355" s="37" t="s">
        <v>151</v>
      </c>
      <c r="BY355" s="30" t="s">
        <v>151</v>
      </c>
      <c r="BZ355" s="30" t="s">
        <v>293</v>
      </c>
      <c r="CA355" s="30" t="s">
        <v>293</v>
      </c>
      <c r="CB355" s="30" t="s">
        <v>151</v>
      </c>
      <c r="CC355" s="30" t="s">
        <v>165</v>
      </c>
      <c r="CD355" s="30" t="s">
        <v>151</v>
      </c>
      <c r="CE355" s="30" t="s">
        <v>191</v>
      </c>
      <c r="CF355" s="35">
        <v>45239</v>
      </c>
      <c r="CG355" s="37">
        <v>5.3</v>
      </c>
      <c r="CH355" s="30" t="s">
        <v>192</v>
      </c>
      <c r="CI355" s="37" t="s">
        <v>151</v>
      </c>
      <c r="CJ355" s="30" t="s">
        <v>151</v>
      </c>
      <c r="CK355" s="29" t="s">
        <v>151</v>
      </c>
      <c r="CL355" s="30" t="s">
        <v>231</v>
      </c>
      <c r="CM355" s="30" t="s">
        <v>151</v>
      </c>
      <c r="CN355" s="30" t="s">
        <v>151</v>
      </c>
      <c r="CO355" s="30" t="s">
        <v>165</v>
      </c>
      <c r="CP355" s="35">
        <v>45239</v>
      </c>
      <c r="CQ355" s="37" t="s">
        <v>151</v>
      </c>
      <c r="CR355" s="30" t="s">
        <v>151</v>
      </c>
      <c r="CS355" s="30" t="s">
        <v>191</v>
      </c>
      <c r="CT355" s="29">
        <v>56</v>
      </c>
      <c r="CU355" s="30" t="s">
        <v>196</v>
      </c>
      <c r="CV355" s="32">
        <v>54</v>
      </c>
      <c r="CW355" s="32">
        <v>46</v>
      </c>
      <c r="CX355" s="30" t="s">
        <v>294</v>
      </c>
      <c r="CY355" s="32">
        <v>1</v>
      </c>
      <c r="CZ355" s="32">
        <v>53</v>
      </c>
      <c r="DA355" s="37" t="s">
        <v>151</v>
      </c>
      <c r="DB355" s="35" t="s">
        <v>151</v>
      </c>
      <c r="DC355" s="30" t="s">
        <v>151</v>
      </c>
      <c r="DD355" s="29" t="s">
        <v>151</v>
      </c>
      <c r="DE355" s="32">
        <v>0</v>
      </c>
      <c r="DF355" s="34">
        <v>11</v>
      </c>
      <c r="DG355" s="32">
        <v>0</v>
      </c>
      <c r="DH355" s="32">
        <v>0</v>
      </c>
      <c r="DI355" s="32">
        <v>0</v>
      </c>
      <c r="DJ355" s="34">
        <v>10</v>
      </c>
      <c r="DK355" s="32">
        <v>0</v>
      </c>
      <c r="DL355" s="34">
        <v>11</v>
      </c>
      <c r="DM355" s="32">
        <v>0</v>
      </c>
      <c r="DN355" s="34">
        <v>10</v>
      </c>
      <c r="DO355" s="36">
        <v>1.53</v>
      </c>
      <c r="DP355" s="34">
        <v>60</v>
      </c>
      <c r="DQ355" s="36">
        <v>0</v>
      </c>
      <c r="DR355" s="32">
        <v>0</v>
      </c>
      <c r="DS355" s="36">
        <v>1.53</v>
      </c>
      <c r="DT355" s="34">
        <v>60</v>
      </c>
      <c r="DU355" s="36">
        <v>0.06</v>
      </c>
      <c r="DV355" s="34">
        <v>27</v>
      </c>
      <c r="DW355" s="36">
        <v>3</v>
      </c>
      <c r="DX355" s="34">
        <v>74</v>
      </c>
      <c r="DY355" s="31" t="s">
        <v>151</v>
      </c>
      <c r="DZ355" s="35" t="s">
        <v>151</v>
      </c>
      <c r="EA355" s="35" t="s">
        <v>151</v>
      </c>
      <c r="EB355" s="34">
        <v>26</v>
      </c>
      <c r="EC355" s="33">
        <v>-80</v>
      </c>
      <c r="ED355" s="32">
        <v>-75.47</v>
      </c>
      <c r="EE355" s="34">
        <v>57</v>
      </c>
      <c r="EF355" s="33">
        <v>0</v>
      </c>
      <c r="EG355" s="32">
        <v>0</v>
      </c>
      <c r="EH355" s="29" t="s">
        <v>198</v>
      </c>
      <c r="EI355" s="30" t="s">
        <v>151</v>
      </c>
      <c r="EJ355" s="30" t="s">
        <v>151</v>
      </c>
      <c r="EK355" s="31" t="s">
        <v>151</v>
      </c>
      <c r="EL355" s="31" t="s">
        <v>151</v>
      </c>
      <c r="EM355" s="31" t="s">
        <v>151</v>
      </c>
      <c r="EN355" s="31" t="s">
        <v>151</v>
      </c>
      <c r="EO355" s="31" t="s">
        <v>151</v>
      </c>
      <c r="EP355" s="30" t="s">
        <v>151</v>
      </c>
      <c r="EQ355" s="29" t="s">
        <v>151</v>
      </c>
      <c r="ER355" s="29" t="s">
        <v>151</v>
      </c>
      <c r="ES355" s="4">
        <f>HYPERLINK("https://my.pitchbook.com?c=498863-53","View Company Online")</f>
      </c>
    </row>
    <row r="356">
      <c r="A356" s="17" t="s">
        <v>7712</v>
      </c>
      <c r="B356" s="17" t="s">
        <v>7713</v>
      </c>
      <c r="C356" s="18" t="s">
        <v>151</v>
      </c>
      <c r="D356" s="17" t="s">
        <v>151</v>
      </c>
      <c r="E356" s="17" t="s">
        <v>151</v>
      </c>
      <c r="F356" s="17" t="s">
        <v>7714</v>
      </c>
      <c r="G356" s="17" t="s">
        <v>151</v>
      </c>
      <c r="H356" s="17" t="s">
        <v>151</v>
      </c>
      <c r="I356" s="17" t="s">
        <v>151</v>
      </c>
      <c r="J356" s="17" t="s">
        <v>7712</v>
      </c>
      <c r="K356" s="17" t="s">
        <v>7715</v>
      </c>
      <c r="L356" s="17" t="s">
        <v>205</v>
      </c>
      <c r="M356" s="17" t="s">
        <v>206</v>
      </c>
      <c r="N356" s="17" t="s">
        <v>269</v>
      </c>
      <c r="O356" s="17" t="s">
        <v>7716</v>
      </c>
      <c r="P356" s="17" t="s">
        <v>7717</v>
      </c>
      <c r="Q356" s="17" t="s">
        <v>7718</v>
      </c>
      <c r="R356" s="17" t="s">
        <v>151</v>
      </c>
      <c r="S356" s="17" t="s">
        <v>162</v>
      </c>
      <c r="T356" s="24">
        <v>1</v>
      </c>
      <c r="U356" s="17" t="s">
        <v>163</v>
      </c>
      <c r="V356" s="17" t="s">
        <v>164</v>
      </c>
      <c r="W356" s="17" t="s">
        <v>165</v>
      </c>
      <c r="X356" s="15" t="s">
        <v>7719</v>
      </c>
      <c r="Y356" s="15" t="s">
        <v>7720</v>
      </c>
      <c r="Z356" s="27">
        <v>10</v>
      </c>
      <c r="AA356" s="17" t="s">
        <v>7721</v>
      </c>
      <c r="AB356" s="17" t="s">
        <v>151</v>
      </c>
      <c r="AC356" s="17" t="s">
        <v>151</v>
      </c>
      <c r="AD356" s="26">
        <v>2021</v>
      </c>
      <c r="AE356" s="17" t="s">
        <v>151</v>
      </c>
      <c r="AF356" s="22">
        <v>45616</v>
      </c>
      <c r="AG356" s="17" t="s">
        <v>151</v>
      </c>
      <c r="AH356" s="17" t="s">
        <v>151</v>
      </c>
      <c r="AI356" s="25" t="s">
        <v>151</v>
      </c>
      <c r="AJ356" s="19" t="s">
        <v>151</v>
      </c>
      <c r="AK356" s="25" t="s">
        <v>151</v>
      </c>
      <c r="AL356" s="25" t="s">
        <v>151</v>
      </c>
      <c r="AM356" s="25" t="s">
        <v>151</v>
      </c>
      <c r="AN356" s="25" t="s">
        <v>151</v>
      </c>
      <c r="AO356" s="25" t="s">
        <v>151</v>
      </c>
      <c r="AP356" s="25" t="s">
        <v>151</v>
      </c>
      <c r="AQ356" s="25" t="s">
        <v>151</v>
      </c>
      <c r="AR356" s="16" t="s">
        <v>151</v>
      </c>
      <c r="AS356" s="17" t="s">
        <v>7722</v>
      </c>
      <c r="AT356" s="17" t="s">
        <v>7723</v>
      </c>
      <c r="AU356" s="18">
        <v>2</v>
      </c>
      <c r="AV356" s="17" t="s">
        <v>151</v>
      </c>
      <c r="AW356" s="17" t="s">
        <v>151</v>
      </c>
      <c r="AX356" s="17" t="s">
        <v>151</v>
      </c>
      <c r="AY356" s="17" t="s">
        <v>7724</v>
      </c>
      <c r="AZ356" s="17" t="s">
        <v>151</v>
      </c>
      <c r="BA356" s="17" t="s">
        <v>151</v>
      </c>
      <c r="BB356" s="17" t="s">
        <v>151</v>
      </c>
      <c r="BC356" s="17" t="s">
        <v>151</v>
      </c>
      <c r="BD356" s="17" t="s">
        <v>7725</v>
      </c>
      <c r="BE356" s="17" t="s">
        <v>7726</v>
      </c>
      <c r="BF356" s="17" t="s">
        <v>2427</v>
      </c>
      <c r="BG356" s="17" t="s">
        <v>7727</v>
      </c>
      <c r="BH356" s="17" t="s">
        <v>7728</v>
      </c>
      <c r="BI356" s="17" t="s">
        <v>5794</v>
      </c>
      <c r="BJ356" s="17" t="s">
        <v>7729</v>
      </c>
      <c r="BK356" s="17" t="s">
        <v>151</v>
      </c>
      <c r="BL356" s="17" t="s">
        <v>5797</v>
      </c>
      <c r="BM356" s="17" t="s">
        <v>5798</v>
      </c>
      <c r="BN356" s="16" t="s">
        <v>7730</v>
      </c>
      <c r="BO356" s="17" t="s">
        <v>186</v>
      </c>
      <c r="BP356" s="16" t="s">
        <v>7728</v>
      </c>
      <c r="BQ356" s="16" t="s">
        <v>151</v>
      </c>
      <c r="BR356" s="17" t="s">
        <v>151</v>
      </c>
      <c r="BS356" s="17" t="s">
        <v>187</v>
      </c>
      <c r="BT356" s="17" t="s">
        <v>188</v>
      </c>
      <c r="BU356" s="22">
        <v>44680</v>
      </c>
      <c r="BV356" s="24">
        <v>0.03</v>
      </c>
      <c r="BW356" s="17" t="s">
        <v>192</v>
      </c>
      <c r="BX356" s="24" t="s">
        <v>151</v>
      </c>
      <c r="BY356" s="17" t="s">
        <v>151</v>
      </c>
      <c r="BZ356" s="17" t="s">
        <v>501</v>
      </c>
      <c r="CA356" s="17" t="s">
        <v>151</v>
      </c>
      <c r="CB356" s="17" t="s">
        <v>151</v>
      </c>
      <c r="CC356" s="17" t="s">
        <v>190</v>
      </c>
      <c r="CD356" s="17" t="s">
        <v>151</v>
      </c>
      <c r="CE356" s="17" t="s">
        <v>191</v>
      </c>
      <c r="CF356" s="22">
        <v>45156</v>
      </c>
      <c r="CG356" s="24">
        <v>0.05</v>
      </c>
      <c r="CH356" s="17" t="s">
        <v>192</v>
      </c>
      <c r="CI356" s="24" t="s">
        <v>151</v>
      </c>
      <c r="CJ356" s="17" t="s">
        <v>151</v>
      </c>
      <c r="CK356" s="16" t="s">
        <v>151</v>
      </c>
      <c r="CL356" s="17" t="s">
        <v>501</v>
      </c>
      <c r="CM356" s="17" t="s">
        <v>151</v>
      </c>
      <c r="CN356" s="17" t="s">
        <v>151</v>
      </c>
      <c r="CO356" s="17" t="s">
        <v>190</v>
      </c>
      <c r="CP356" s="22">
        <v>45156</v>
      </c>
      <c r="CQ356" s="24" t="s">
        <v>151</v>
      </c>
      <c r="CR356" s="17" t="s">
        <v>151</v>
      </c>
      <c r="CS356" s="17" t="s">
        <v>191</v>
      </c>
      <c r="CT356" s="16" t="s">
        <v>151</v>
      </c>
      <c r="CU356" s="17" t="s">
        <v>151</v>
      </c>
      <c r="CV356" s="19" t="s">
        <v>151</v>
      </c>
      <c r="CW356" s="19" t="s">
        <v>151</v>
      </c>
      <c r="CX356" s="17" t="s">
        <v>151</v>
      </c>
      <c r="CY356" s="19" t="s">
        <v>151</v>
      </c>
      <c r="CZ356" s="19" t="s">
        <v>151</v>
      </c>
      <c r="DA356" s="24" t="s">
        <v>151</v>
      </c>
      <c r="DB356" s="22" t="s">
        <v>151</v>
      </c>
      <c r="DC356" s="17" t="s">
        <v>151</v>
      </c>
      <c r="DD356" s="16" t="s">
        <v>151</v>
      </c>
      <c r="DE356" s="19">
        <v>0</v>
      </c>
      <c r="DF356" s="21">
        <v>11</v>
      </c>
      <c r="DG356" s="19">
        <v>0</v>
      </c>
      <c r="DH356" s="19">
        <v>0</v>
      </c>
      <c r="DI356" s="19">
        <v>0</v>
      </c>
      <c r="DJ356" s="21">
        <v>10</v>
      </c>
      <c r="DK356" s="19" t="s">
        <v>151</v>
      </c>
      <c r="DL356" s="21" t="s">
        <v>151</v>
      </c>
      <c r="DM356" s="19">
        <v>0</v>
      </c>
      <c r="DN356" s="21">
        <v>10</v>
      </c>
      <c r="DO356" s="23">
        <v>0.99</v>
      </c>
      <c r="DP356" s="21">
        <v>49</v>
      </c>
      <c r="DQ356" s="23">
        <v>0</v>
      </c>
      <c r="DR356" s="19">
        <v>0</v>
      </c>
      <c r="DS356" s="23">
        <v>1.21</v>
      </c>
      <c r="DT356" s="21">
        <v>54</v>
      </c>
      <c r="DU356" s="23" t="s">
        <v>151</v>
      </c>
      <c r="DV356" s="21" t="s">
        <v>151</v>
      </c>
      <c r="DW356" s="23">
        <v>1.21</v>
      </c>
      <c r="DX356" s="21">
        <v>54</v>
      </c>
      <c r="DY356" s="18" t="s">
        <v>151</v>
      </c>
      <c r="DZ356" s="22" t="s">
        <v>151</v>
      </c>
      <c r="EA356" s="22" t="s">
        <v>151</v>
      </c>
      <c r="EB356" s="21">
        <v>493</v>
      </c>
      <c r="EC356" s="20">
        <v>27</v>
      </c>
      <c r="ED356" s="19">
        <v>5.79</v>
      </c>
      <c r="EE356" s="21">
        <v>23</v>
      </c>
      <c r="EF356" s="20">
        <v>0</v>
      </c>
      <c r="EG356" s="19">
        <v>0</v>
      </c>
      <c r="EH356" s="16" t="s">
        <v>198</v>
      </c>
      <c r="EI356" s="17" t="s">
        <v>151</v>
      </c>
      <c r="EJ356" s="17" t="s">
        <v>151</v>
      </c>
      <c r="EK356" s="18" t="s">
        <v>151</v>
      </c>
      <c r="EL356" s="18" t="s">
        <v>151</v>
      </c>
      <c r="EM356" s="18" t="s">
        <v>151</v>
      </c>
      <c r="EN356" s="18" t="s">
        <v>151</v>
      </c>
      <c r="EO356" s="18" t="s">
        <v>151</v>
      </c>
      <c r="EP356" s="17" t="s">
        <v>151</v>
      </c>
      <c r="EQ356" s="16" t="s">
        <v>151</v>
      </c>
      <c r="ER356" s="16" t="s">
        <v>151</v>
      </c>
      <c r="ES356" s="3">
        <f>HYPERLINK("https://my.pitchbook.com?c=519375-34","View Company Online")</f>
      </c>
    </row>
    <row r="357">
      <c r="A357" s="30" t="s">
        <v>7731</v>
      </c>
      <c r="B357" s="30" t="s">
        <v>7732</v>
      </c>
      <c r="C357" s="31" t="s">
        <v>151</v>
      </c>
      <c r="D357" s="30" t="s">
        <v>151</v>
      </c>
      <c r="E357" s="30" t="s">
        <v>151</v>
      </c>
      <c r="F357" s="30" t="s">
        <v>7733</v>
      </c>
      <c r="G357" s="30" t="s">
        <v>151</v>
      </c>
      <c r="H357" s="30" t="s">
        <v>151</v>
      </c>
      <c r="I357" s="30" t="s">
        <v>7734</v>
      </c>
      <c r="J357" s="30" t="s">
        <v>7731</v>
      </c>
      <c r="K357" s="30" t="s">
        <v>7735</v>
      </c>
      <c r="L357" s="30" t="s">
        <v>616</v>
      </c>
      <c r="M357" s="30" t="s">
        <v>834</v>
      </c>
      <c r="N357" s="30" t="s">
        <v>835</v>
      </c>
      <c r="O357" s="30" t="s">
        <v>4322</v>
      </c>
      <c r="P357" s="30" t="s">
        <v>1725</v>
      </c>
      <c r="Q357" s="30" t="s">
        <v>7736</v>
      </c>
      <c r="R357" s="30" t="s">
        <v>151</v>
      </c>
      <c r="S357" s="30" t="s">
        <v>162</v>
      </c>
      <c r="T357" s="37">
        <v>3.53</v>
      </c>
      <c r="U357" s="30" t="s">
        <v>163</v>
      </c>
      <c r="V357" s="30" t="s">
        <v>164</v>
      </c>
      <c r="W357" s="30" t="s">
        <v>165</v>
      </c>
      <c r="X357" s="28" t="s">
        <v>7737</v>
      </c>
      <c r="Y357" s="28" t="s">
        <v>7738</v>
      </c>
      <c r="Z357" s="40">
        <v>65</v>
      </c>
      <c r="AA357" s="30" t="s">
        <v>7739</v>
      </c>
      <c r="AB357" s="30" t="s">
        <v>151</v>
      </c>
      <c r="AC357" s="30" t="s">
        <v>151</v>
      </c>
      <c r="AD357" s="39">
        <v>2018</v>
      </c>
      <c r="AE357" s="30" t="s">
        <v>151</v>
      </c>
      <c r="AF357" s="35">
        <v>45546</v>
      </c>
      <c r="AG357" s="30" t="s">
        <v>151</v>
      </c>
      <c r="AH357" s="30" t="s">
        <v>151</v>
      </c>
      <c r="AI357" s="38" t="s">
        <v>151</v>
      </c>
      <c r="AJ357" s="32" t="s">
        <v>151</v>
      </c>
      <c r="AK357" s="38" t="s">
        <v>151</v>
      </c>
      <c r="AL357" s="38" t="s">
        <v>151</v>
      </c>
      <c r="AM357" s="38" t="s">
        <v>151</v>
      </c>
      <c r="AN357" s="38" t="s">
        <v>151</v>
      </c>
      <c r="AO357" s="38" t="s">
        <v>151</v>
      </c>
      <c r="AP357" s="38" t="s">
        <v>151</v>
      </c>
      <c r="AQ357" s="38" t="s">
        <v>151</v>
      </c>
      <c r="AR357" s="29" t="s">
        <v>151</v>
      </c>
      <c r="AS357" s="30" t="s">
        <v>7740</v>
      </c>
      <c r="AT357" s="30" t="s">
        <v>7741</v>
      </c>
      <c r="AU357" s="31">
        <v>9</v>
      </c>
      <c r="AV357" s="30" t="s">
        <v>151</v>
      </c>
      <c r="AW357" s="30" t="s">
        <v>151</v>
      </c>
      <c r="AX357" s="30" t="s">
        <v>151</v>
      </c>
      <c r="AY357" s="30" t="s">
        <v>7742</v>
      </c>
      <c r="AZ357" s="30" t="s">
        <v>151</v>
      </c>
      <c r="BA357" s="30" t="s">
        <v>151</v>
      </c>
      <c r="BB357" s="30" t="s">
        <v>151</v>
      </c>
      <c r="BC357" s="30" t="s">
        <v>151</v>
      </c>
      <c r="BD357" s="30" t="s">
        <v>7743</v>
      </c>
      <c r="BE357" s="30" t="s">
        <v>7744</v>
      </c>
      <c r="BF357" s="30" t="s">
        <v>7745</v>
      </c>
      <c r="BG357" s="30" t="s">
        <v>7746</v>
      </c>
      <c r="BH357" s="30" t="s">
        <v>7747</v>
      </c>
      <c r="BI357" s="30" t="s">
        <v>2289</v>
      </c>
      <c r="BJ357" s="30" t="s">
        <v>7748</v>
      </c>
      <c r="BK357" s="30" t="s">
        <v>151</v>
      </c>
      <c r="BL357" s="30" t="s">
        <v>2291</v>
      </c>
      <c r="BM357" s="30" t="s">
        <v>1043</v>
      </c>
      <c r="BN357" s="29" t="s">
        <v>7749</v>
      </c>
      <c r="BO357" s="30" t="s">
        <v>186</v>
      </c>
      <c r="BP357" s="29" t="s">
        <v>7750</v>
      </c>
      <c r="BQ357" s="29" t="s">
        <v>151</v>
      </c>
      <c r="BR357" s="30" t="s">
        <v>7751</v>
      </c>
      <c r="BS357" s="30" t="s">
        <v>187</v>
      </c>
      <c r="BT357" s="30" t="s">
        <v>188</v>
      </c>
      <c r="BU357" s="35">
        <v>44866</v>
      </c>
      <c r="BV357" s="37">
        <v>3.53</v>
      </c>
      <c r="BW357" s="30" t="s">
        <v>192</v>
      </c>
      <c r="BX357" s="37">
        <v>11.53</v>
      </c>
      <c r="BY357" s="30" t="s">
        <v>192</v>
      </c>
      <c r="BZ357" s="30" t="s">
        <v>293</v>
      </c>
      <c r="CA357" s="30" t="s">
        <v>293</v>
      </c>
      <c r="CB357" s="30" t="s">
        <v>151</v>
      </c>
      <c r="CC357" s="30" t="s">
        <v>165</v>
      </c>
      <c r="CD357" s="30" t="s">
        <v>151</v>
      </c>
      <c r="CE357" s="30" t="s">
        <v>191</v>
      </c>
      <c r="CF357" s="35">
        <v>45292</v>
      </c>
      <c r="CG357" s="37" t="s">
        <v>151</v>
      </c>
      <c r="CH357" s="30" t="s">
        <v>151</v>
      </c>
      <c r="CI357" s="37" t="s">
        <v>151</v>
      </c>
      <c r="CJ357" s="30" t="s">
        <v>151</v>
      </c>
      <c r="CK357" s="29" t="s">
        <v>151</v>
      </c>
      <c r="CL357" s="30" t="s">
        <v>189</v>
      </c>
      <c r="CM357" s="30" t="s">
        <v>151</v>
      </c>
      <c r="CN357" s="30" t="s">
        <v>151</v>
      </c>
      <c r="CO357" s="30" t="s">
        <v>190</v>
      </c>
      <c r="CP357" s="35">
        <v>45292</v>
      </c>
      <c r="CQ357" s="37" t="s">
        <v>151</v>
      </c>
      <c r="CR357" s="30" t="s">
        <v>151</v>
      </c>
      <c r="CS357" s="30" t="s">
        <v>191</v>
      </c>
      <c r="CT357" s="29" t="s">
        <v>151</v>
      </c>
      <c r="CU357" s="30" t="s">
        <v>151</v>
      </c>
      <c r="CV357" s="32" t="s">
        <v>151</v>
      </c>
      <c r="CW357" s="32" t="s">
        <v>151</v>
      </c>
      <c r="CX357" s="30" t="s">
        <v>151</v>
      </c>
      <c r="CY357" s="32" t="s">
        <v>151</v>
      </c>
      <c r="CZ357" s="32" t="s">
        <v>151</v>
      </c>
      <c r="DA357" s="37">
        <v>11.53</v>
      </c>
      <c r="DB357" s="35">
        <v>44866</v>
      </c>
      <c r="DC357" s="30" t="s">
        <v>293</v>
      </c>
      <c r="DD357" s="29" t="s">
        <v>151</v>
      </c>
      <c r="DE357" s="32" t="s">
        <v>151</v>
      </c>
      <c r="DF357" s="34" t="s">
        <v>151</v>
      </c>
      <c r="DG357" s="32" t="s">
        <v>151</v>
      </c>
      <c r="DH357" s="32" t="s">
        <v>151</v>
      </c>
      <c r="DI357" s="32" t="s">
        <v>151</v>
      </c>
      <c r="DJ357" s="34" t="s">
        <v>151</v>
      </c>
      <c r="DK357" s="32" t="s">
        <v>151</v>
      </c>
      <c r="DL357" s="34" t="s">
        <v>151</v>
      </c>
      <c r="DM357" s="32" t="s">
        <v>151</v>
      </c>
      <c r="DN357" s="34" t="s">
        <v>151</v>
      </c>
      <c r="DO357" s="36" t="s">
        <v>151</v>
      </c>
      <c r="DP357" s="34" t="s">
        <v>151</v>
      </c>
      <c r="DQ357" s="36" t="s">
        <v>151</v>
      </c>
      <c r="DR357" s="32" t="s">
        <v>151</v>
      </c>
      <c r="DS357" s="36" t="s">
        <v>151</v>
      </c>
      <c r="DT357" s="34" t="s">
        <v>151</v>
      </c>
      <c r="DU357" s="36" t="s">
        <v>151</v>
      </c>
      <c r="DV357" s="34" t="s">
        <v>151</v>
      </c>
      <c r="DW357" s="36" t="s">
        <v>151</v>
      </c>
      <c r="DX357" s="34" t="s">
        <v>151</v>
      </c>
      <c r="DY357" s="31" t="s">
        <v>151</v>
      </c>
      <c r="DZ357" s="35" t="s">
        <v>151</v>
      </c>
      <c r="EA357" s="35" t="s">
        <v>151</v>
      </c>
      <c r="EB357" s="34" t="s">
        <v>151</v>
      </c>
      <c r="EC357" s="33" t="s">
        <v>151</v>
      </c>
      <c r="ED357" s="32" t="s">
        <v>151</v>
      </c>
      <c r="EE357" s="34" t="s">
        <v>151</v>
      </c>
      <c r="EF357" s="33" t="s">
        <v>151</v>
      </c>
      <c r="EG357" s="32" t="s">
        <v>151</v>
      </c>
      <c r="EH357" s="29" t="s">
        <v>198</v>
      </c>
      <c r="EI357" s="30" t="s">
        <v>151</v>
      </c>
      <c r="EJ357" s="30" t="s">
        <v>151</v>
      </c>
      <c r="EK357" s="31" t="s">
        <v>151</v>
      </c>
      <c r="EL357" s="31" t="s">
        <v>151</v>
      </c>
      <c r="EM357" s="31" t="s">
        <v>151</v>
      </c>
      <c r="EN357" s="31" t="s">
        <v>151</v>
      </c>
      <c r="EO357" s="31" t="s">
        <v>151</v>
      </c>
      <c r="EP357" s="30" t="s">
        <v>151</v>
      </c>
      <c r="EQ357" s="29" t="s">
        <v>151</v>
      </c>
      <c r="ER357" s="29" t="s">
        <v>151</v>
      </c>
      <c r="ES357" s="4">
        <f>HYPERLINK("https://my.pitchbook.com?c=493025-68","View Company Online")</f>
      </c>
    </row>
    <row r="358">
      <c r="A358" s="17" t="s">
        <v>7752</v>
      </c>
      <c r="B358" s="17" t="s">
        <v>7753</v>
      </c>
      <c r="C358" s="18" t="s">
        <v>151</v>
      </c>
      <c r="D358" s="17" t="s">
        <v>151</v>
      </c>
      <c r="E358" s="17" t="s">
        <v>151</v>
      </c>
      <c r="F358" s="17" t="s">
        <v>7754</v>
      </c>
      <c r="G358" s="17" t="s">
        <v>151</v>
      </c>
      <c r="H358" s="17" t="s">
        <v>151</v>
      </c>
      <c r="I358" s="17" t="s">
        <v>151</v>
      </c>
      <c r="J358" s="17" t="s">
        <v>7752</v>
      </c>
      <c r="K358" s="17" t="s">
        <v>7755</v>
      </c>
      <c r="L358" s="17" t="s">
        <v>205</v>
      </c>
      <c r="M358" s="17" t="s">
        <v>206</v>
      </c>
      <c r="N358" s="17" t="s">
        <v>269</v>
      </c>
      <c r="O358" s="17" t="s">
        <v>563</v>
      </c>
      <c r="P358" s="17" t="s">
        <v>7756</v>
      </c>
      <c r="Q358" s="17" t="s">
        <v>7757</v>
      </c>
      <c r="R358" s="17" t="s">
        <v>151</v>
      </c>
      <c r="S358" s="17" t="s">
        <v>162</v>
      </c>
      <c r="T358" s="24">
        <v>2</v>
      </c>
      <c r="U358" s="17" t="s">
        <v>163</v>
      </c>
      <c r="V358" s="17" t="s">
        <v>164</v>
      </c>
      <c r="W358" s="17" t="s">
        <v>165</v>
      </c>
      <c r="X358" s="15" t="s">
        <v>7758</v>
      </c>
      <c r="Y358" s="15" t="s">
        <v>7759</v>
      </c>
      <c r="Z358" s="27">
        <v>15</v>
      </c>
      <c r="AA358" s="17" t="s">
        <v>7760</v>
      </c>
      <c r="AB358" s="17" t="s">
        <v>151</v>
      </c>
      <c r="AC358" s="17" t="s">
        <v>151</v>
      </c>
      <c r="AD358" s="26">
        <v>2017</v>
      </c>
      <c r="AE358" s="17" t="s">
        <v>151</v>
      </c>
      <c r="AF358" s="22">
        <v>45579</v>
      </c>
      <c r="AG358" s="17" t="s">
        <v>151</v>
      </c>
      <c r="AH358" s="17" t="s">
        <v>151</v>
      </c>
      <c r="AI358" s="25" t="s">
        <v>151</v>
      </c>
      <c r="AJ358" s="19" t="s">
        <v>151</v>
      </c>
      <c r="AK358" s="25" t="s">
        <v>151</v>
      </c>
      <c r="AL358" s="25" t="s">
        <v>151</v>
      </c>
      <c r="AM358" s="25" t="s">
        <v>151</v>
      </c>
      <c r="AN358" s="25" t="s">
        <v>151</v>
      </c>
      <c r="AO358" s="25" t="s">
        <v>151</v>
      </c>
      <c r="AP358" s="25" t="s">
        <v>151</v>
      </c>
      <c r="AQ358" s="25" t="s">
        <v>151</v>
      </c>
      <c r="AR358" s="16" t="s">
        <v>151</v>
      </c>
      <c r="AS358" s="17" t="s">
        <v>7761</v>
      </c>
      <c r="AT358" s="17" t="s">
        <v>7762</v>
      </c>
      <c r="AU358" s="18">
        <v>3</v>
      </c>
      <c r="AV358" s="17" t="s">
        <v>151</v>
      </c>
      <c r="AW358" s="17" t="s">
        <v>151</v>
      </c>
      <c r="AX358" s="17" t="s">
        <v>151</v>
      </c>
      <c r="AY358" s="17" t="s">
        <v>7763</v>
      </c>
      <c r="AZ358" s="17" t="s">
        <v>151</v>
      </c>
      <c r="BA358" s="17" t="s">
        <v>151</v>
      </c>
      <c r="BB358" s="17" t="s">
        <v>151</v>
      </c>
      <c r="BC358" s="17" t="s">
        <v>1115</v>
      </c>
      <c r="BD358" s="17" t="s">
        <v>7764</v>
      </c>
      <c r="BE358" s="17" t="s">
        <v>7765</v>
      </c>
      <c r="BF358" s="17" t="s">
        <v>493</v>
      </c>
      <c r="BG358" s="17" t="s">
        <v>7766</v>
      </c>
      <c r="BH358" s="17" t="s">
        <v>7767</v>
      </c>
      <c r="BI358" s="17" t="s">
        <v>7768</v>
      </c>
      <c r="BJ358" s="17" t="s">
        <v>7769</v>
      </c>
      <c r="BK358" s="17" t="s">
        <v>7770</v>
      </c>
      <c r="BL358" s="17" t="s">
        <v>7771</v>
      </c>
      <c r="BM358" s="17" t="s">
        <v>525</v>
      </c>
      <c r="BN358" s="16" t="s">
        <v>526</v>
      </c>
      <c r="BO358" s="17" t="s">
        <v>186</v>
      </c>
      <c r="BP358" s="16" t="s">
        <v>7767</v>
      </c>
      <c r="BQ358" s="16" t="s">
        <v>151</v>
      </c>
      <c r="BR358" s="17" t="s">
        <v>7772</v>
      </c>
      <c r="BS358" s="17" t="s">
        <v>187</v>
      </c>
      <c r="BT358" s="17" t="s">
        <v>188</v>
      </c>
      <c r="BU358" s="22">
        <v>43917</v>
      </c>
      <c r="BV358" s="24">
        <v>2</v>
      </c>
      <c r="BW358" s="17" t="s">
        <v>193</v>
      </c>
      <c r="BX358" s="24">
        <v>10</v>
      </c>
      <c r="BY358" s="17" t="s">
        <v>192</v>
      </c>
      <c r="BZ358" s="17" t="s">
        <v>293</v>
      </c>
      <c r="CA358" s="17" t="s">
        <v>293</v>
      </c>
      <c r="CB358" s="17" t="s">
        <v>151</v>
      </c>
      <c r="CC358" s="17" t="s">
        <v>165</v>
      </c>
      <c r="CD358" s="17" t="s">
        <v>151</v>
      </c>
      <c r="CE358" s="17" t="s">
        <v>191</v>
      </c>
      <c r="CF358" s="22">
        <v>43917</v>
      </c>
      <c r="CG358" s="24">
        <v>2</v>
      </c>
      <c r="CH358" s="17" t="s">
        <v>193</v>
      </c>
      <c r="CI358" s="24">
        <v>10</v>
      </c>
      <c r="CJ358" s="17" t="s">
        <v>192</v>
      </c>
      <c r="CK358" s="16" t="s">
        <v>151</v>
      </c>
      <c r="CL358" s="17" t="s">
        <v>293</v>
      </c>
      <c r="CM358" s="17" t="s">
        <v>293</v>
      </c>
      <c r="CN358" s="17" t="s">
        <v>151</v>
      </c>
      <c r="CO358" s="17" t="s">
        <v>165</v>
      </c>
      <c r="CP358" s="22">
        <v>43917</v>
      </c>
      <c r="CQ358" s="24" t="s">
        <v>151</v>
      </c>
      <c r="CR358" s="17" t="s">
        <v>151</v>
      </c>
      <c r="CS358" s="17" t="s">
        <v>191</v>
      </c>
      <c r="CT358" s="16" t="s">
        <v>151</v>
      </c>
      <c r="CU358" s="17" t="s">
        <v>151</v>
      </c>
      <c r="CV358" s="19" t="s">
        <v>151</v>
      </c>
      <c r="CW358" s="19" t="s">
        <v>151</v>
      </c>
      <c r="CX358" s="17" t="s">
        <v>151</v>
      </c>
      <c r="CY358" s="19" t="s">
        <v>151</v>
      </c>
      <c r="CZ358" s="19" t="s">
        <v>151</v>
      </c>
      <c r="DA358" s="24">
        <v>10</v>
      </c>
      <c r="DB358" s="22">
        <v>43917</v>
      </c>
      <c r="DC358" s="17" t="s">
        <v>293</v>
      </c>
      <c r="DD358" s="16" t="s">
        <v>151</v>
      </c>
      <c r="DE358" s="19">
        <v>0</v>
      </c>
      <c r="DF358" s="21">
        <v>11</v>
      </c>
      <c r="DG358" s="19">
        <v>0</v>
      </c>
      <c r="DH358" s="19">
        <v>0</v>
      </c>
      <c r="DI358" s="19">
        <v>0</v>
      </c>
      <c r="DJ358" s="21">
        <v>10</v>
      </c>
      <c r="DK358" s="19">
        <v>0</v>
      </c>
      <c r="DL358" s="21">
        <v>11</v>
      </c>
      <c r="DM358" s="19">
        <v>0</v>
      </c>
      <c r="DN358" s="21">
        <v>10</v>
      </c>
      <c r="DO358" s="23">
        <v>2.2</v>
      </c>
      <c r="DP358" s="21">
        <v>68</v>
      </c>
      <c r="DQ358" s="23">
        <v>0</v>
      </c>
      <c r="DR358" s="19">
        <v>0</v>
      </c>
      <c r="DS358" s="23">
        <v>2.2</v>
      </c>
      <c r="DT358" s="21">
        <v>68</v>
      </c>
      <c r="DU358" s="23">
        <v>1.2</v>
      </c>
      <c r="DV358" s="21">
        <v>59</v>
      </c>
      <c r="DW358" s="23">
        <v>3.21</v>
      </c>
      <c r="DX358" s="21">
        <v>75</v>
      </c>
      <c r="DY358" s="18" t="s">
        <v>151</v>
      </c>
      <c r="DZ358" s="22" t="s">
        <v>151</v>
      </c>
      <c r="EA358" s="22" t="s">
        <v>151</v>
      </c>
      <c r="EB358" s="21">
        <v>259</v>
      </c>
      <c r="EC358" s="20">
        <v>-39</v>
      </c>
      <c r="ED358" s="19">
        <v>-13.09</v>
      </c>
      <c r="EE358" s="21">
        <v>61</v>
      </c>
      <c r="EF358" s="20">
        <v>0</v>
      </c>
      <c r="EG358" s="19">
        <v>0</v>
      </c>
      <c r="EH358" s="16" t="s">
        <v>198</v>
      </c>
      <c r="EI358" s="17" t="s">
        <v>151</v>
      </c>
      <c r="EJ358" s="17" t="s">
        <v>151</v>
      </c>
      <c r="EK358" s="18" t="s">
        <v>151</v>
      </c>
      <c r="EL358" s="18" t="s">
        <v>151</v>
      </c>
      <c r="EM358" s="18" t="s">
        <v>151</v>
      </c>
      <c r="EN358" s="18" t="s">
        <v>151</v>
      </c>
      <c r="EO358" s="18" t="s">
        <v>151</v>
      </c>
      <c r="EP358" s="17" t="s">
        <v>151</v>
      </c>
      <c r="EQ358" s="16" t="s">
        <v>151</v>
      </c>
      <c r="ER358" s="16" t="s">
        <v>151</v>
      </c>
      <c r="ES358" s="3">
        <f>HYPERLINK("https://my.pitchbook.com?c=277923-79","View Company Online")</f>
      </c>
    </row>
    <row r="359">
      <c r="A359" s="30" t="s">
        <v>7773</v>
      </c>
      <c r="B359" s="30" t="s">
        <v>7774</v>
      </c>
      <c r="C359" s="31" t="s">
        <v>151</v>
      </c>
      <c r="D359" s="30" t="s">
        <v>151</v>
      </c>
      <c r="E359" s="30" t="s">
        <v>151</v>
      </c>
      <c r="F359" s="30" t="s">
        <v>7775</v>
      </c>
      <c r="G359" s="30" t="s">
        <v>151</v>
      </c>
      <c r="H359" s="30" t="s">
        <v>151</v>
      </c>
      <c r="I359" s="30" t="s">
        <v>151</v>
      </c>
      <c r="J359" s="30" t="s">
        <v>7773</v>
      </c>
      <c r="K359" s="30" t="s">
        <v>7776</v>
      </c>
      <c r="L359" s="30" t="s">
        <v>155</v>
      </c>
      <c r="M359" s="30" t="s">
        <v>361</v>
      </c>
      <c r="N359" s="30" t="s">
        <v>362</v>
      </c>
      <c r="O359" s="30" t="s">
        <v>363</v>
      </c>
      <c r="P359" s="30" t="s">
        <v>4922</v>
      </c>
      <c r="Q359" s="30" t="s">
        <v>7777</v>
      </c>
      <c r="R359" s="30" t="s">
        <v>151</v>
      </c>
      <c r="S359" s="30" t="s">
        <v>162</v>
      </c>
      <c r="T359" s="37">
        <v>7.33</v>
      </c>
      <c r="U359" s="30" t="s">
        <v>163</v>
      </c>
      <c r="V359" s="30" t="s">
        <v>164</v>
      </c>
      <c r="W359" s="30" t="s">
        <v>165</v>
      </c>
      <c r="X359" s="28" t="s">
        <v>7778</v>
      </c>
      <c r="Y359" s="28" t="s">
        <v>7779</v>
      </c>
      <c r="Z359" s="40">
        <v>105</v>
      </c>
      <c r="AA359" s="30" t="s">
        <v>7780</v>
      </c>
      <c r="AB359" s="30" t="s">
        <v>151</v>
      </c>
      <c r="AC359" s="30" t="s">
        <v>151</v>
      </c>
      <c r="AD359" s="39">
        <v>2020</v>
      </c>
      <c r="AE359" s="30" t="s">
        <v>151</v>
      </c>
      <c r="AF359" s="35">
        <v>45330</v>
      </c>
      <c r="AG359" s="30" t="s">
        <v>151</v>
      </c>
      <c r="AH359" s="30" t="s">
        <v>151</v>
      </c>
      <c r="AI359" s="38" t="s">
        <v>151</v>
      </c>
      <c r="AJ359" s="32" t="s">
        <v>151</v>
      </c>
      <c r="AK359" s="38" t="s">
        <v>151</v>
      </c>
      <c r="AL359" s="38" t="s">
        <v>151</v>
      </c>
      <c r="AM359" s="38" t="s">
        <v>151</v>
      </c>
      <c r="AN359" s="38" t="s">
        <v>151</v>
      </c>
      <c r="AO359" s="38" t="s">
        <v>151</v>
      </c>
      <c r="AP359" s="38" t="s">
        <v>151</v>
      </c>
      <c r="AQ359" s="38" t="s">
        <v>151</v>
      </c>
      <c r="AR359" s="29" t="s">
        <v>151</v>
      </c>
      <c r="AS359" s="30" t="s">
        <v>7781</v>
      </c>
      <c r="AT359" s="30" t="s">
        <v>7782</v>
      </c>
      <c r="AU359" s="31">
        <v>7</v>
      </c>
      <c r="AV359" s="30" t="s">
        <v>151</v>
      </c>
      <c r="AW359" s="30" t="s">
        <v>151</v>
      </c>
      <c r="AX359" s="30" t="s">
        <v>151</v>
      </c>
      <c r="AY359" s="30" t="s">
        <v>7783</v>
      </c>
      <c r="AZ359" s="30" t="s">
        <v>151</v>
      </c>
      <c r="BA359" s="30" t="s">
        <v>151</v>
      </c>
      <c r="BB359" s="30" t="s">
        <v>151</v>
      </c>
      <c r="BC359" s="30" t="s">
        <v>601</v>
      </c>
      <c r="BD359" s="30" t="s">
        <v>7784</v>
      </c>
      <c r="BE359" s="30" t="s">
        <v>7785</v>
      </c>
      <c r="BF359" s="30" t="s">
        <v>493</v>
      </c>
      <c r="BG359" s="30" t="s">
        <v>7786</v>
      </c>
      <c r="BH359" s="30" t="s">
        <v>7787</v>
      </c>
      <c r="BI359" s="30" t="s">
        <v>934</v>
      </c>
      <c r="BJ359" s="30" t="s">
        <v>7788</v>
      </c>
      <c r="BK359" s="30" t="s">
        <v>151</v>
      </c>
      <c r="BL359" s="30" t="s">
        <v>937</v>
      </c>
      <c r="BM359" s="30" t="s">
        <v>184</v>
      </c>
      <c r="BN359" s="29" t="s">
        <v>4719</v>
      </c>
      <c r="BO359" s="30" t="s">
        <v>186</v>
      </c>
      <c r="BP359" s="29" t="s">
        <v>7787</v>
      </c>
      <c r="BQ359" s="29" t="s">
        <v>151</v>
      </c>
      <c r="BR359" s="30" t="s">
        <v>7789</v>
      </c>
      <c r="BS359" s="30" t="s">
        <v>187</v>
      </c>
      <c r="BT359" s="30" t="s">
        <v>188</v>
      </c>
      <c r="BU359" s="35">
        <v>44645</v>
      </c>
      <c r="BV359" s="37">
        <v>6.86</v>
      </c>
      <c r="BW359" s="30" t="s">
        <v>192</v>
      </c>
      <c r="BX359" s="37" t="s">
        <v>151</v>
      </c>
      <c r="BY359" s="30" t="s">
        <v>151</v>
      </c>
      <c r="BZ359" s="30" t="s">
        <v>293</v>
      </c>
      <c r="CA359" s="30" t="s">
        <v>293</v>
      </c>
      <c r="CB359" s="30" t="s">
        <v>151</v>
      </c>
      <c r="CC359" s="30" t="s">
        <v>165</v>
      </c>
      <c r="CD359" s="30" t="s">
        <v>151</v>
      </c>
      <c r="CE359" s="30" t="s">
        <v>191</v>
      </c>
      <c r="CF359" s="35">
        <v>45085</v>
      </c>
      <c r="CG359" s="37">
        <v>0.47</v>
      </c>
      <c r="CH359" s="30" t="s">
        <v>192</v>
      </c>
      <c r="CI359" s="37" t="s">
        <v>151</v>
      </c>
      <c r="CJ359" s="30" t="s">
        <v>151</v>
      </c>
      <c r="CK359" s="29" t="s">
        <v>151</v>
      </c>
      <c r="CL359" s="30" t="s">
        <v>231</v>
      </c>
      <c r="CM359" s="30" t="s">
        <v>151</v>
      </c>
      <c r="CN359" s="30" t="s">
        <v>151</v>
      </c>
      <c r="CO359" s="30" t="s">
        <v>165</v>
      </c>
      <c r="CP359" s="35">
        <v>45085</v>
      </c>
      <c r="CQ359" s="37" t="s">
        <v>151</v>
      </c>
      <c r="CR359" s="30" t="s">
        <v>151</v>
      </c>
      <c r="CS359" s="30" t="s">
        <v>191</v>
      </c>
      <c r="CT359" s="29">
        <v>54</v>
      </c>
      <c r="CU359" s="30" t="s">
        <v>196</v>
      </c>
      <c r="CV359" s="32">
        <v>52</v>
      </c>
      <c r="CW359" s="32">
        <v>48</v>
      </c>
      <c r="CX359" s="30" t="s">
        <v>294</v>
      </c>
      <c r="CY359" s="32">
        <v>1</v>
      </c>
      <c r="CZ359" s="32">
        <v>51</v>
      </c>
      <c r="DA359" s="37" t="s">
        <v>151</v>
      </c>
      <c r="DB359" s="35" t="s">
        <v>151</v>
      </c>
      <c r="DC359" s="30" t="s">
        <v>151</v>
      </c>
      <c r="DD359" s="29" t="s">
        <v>151</v>
      </c>
      <c r="DE359" s="32">
        <v>0</v>
      </c>
      <c r="DF359" s="34">
        <v>11</v>
      </c>
      <c r="DG359" s="32">
        <v>0</v>
      </c>
      <c r="DH359" s="32">
        <v>0</v>
      </c>
      <c r="DI359" s="32">
        <v>0</v>
      </c>
      <c r="DJ359" s="34">
        <v>10</v>
      </c>
      <c r="DK359" s="32" t="s">
        <v>151</v>
      </c>
      <c r="DL359" s="34" t="s">
        <v>151</v>
      </c>
      <c r="DM359" s="32">
        <v>0</v>
      </c>
      <c r="DN359" s="34">
        <v>10</v>
      </c>
      <c r="DO359" s="36">
        <v>3.47</v>
      </c>
      <c r="DP359" s="34">
        <v>77</v>
      </c>
      <c r="DQ359" s="36">
        <v>0</v>
      </c>
      <c r="DR359" s="32">
        <v>0</v>
      </c>
      <c r="DS359" s="36">
        <v>3.47</v>
      </c>
      <c r="DT359" s="34">
        <v>77</v>
      </c>
      <c r="DU359" s="36" t="s">
        <v>151</v>
      </c>
      <c r="DV359" s="34" t="s">
        <v>151</v>
      </c>
      <c r="DW359" s="36">
        <v>3.47</v>
      </c>
      <c r="DX359" s="34">
        <v>76</v>
      </c>
      <c r="DY359" s="31" t="s">
        <v>151</v>
      </c>
      <c r="DZ359" s="35" t="s">
        <v>151</v>
      </c>
      <c r="EA359" s="35" t="s">
        <v>151</v>
      </c>
      <c r="EB359" s="34">
        <v>1888</v>
      </c>
      <c r="EC359" s="33">
        <v>-60</v>
      </c>
      <c r="ED359" s="32">
        <v>-3.08</v>
      </c>
      <c r="EE359" s="34">
        <v>66</v>
      </c>
      <c r="EF359" s="33">
        <v>0</v>
      </c>
      <c r="EG359" s="32">
        <v>0</v>
      </c>
      <c r="EH359" s="29" t="s">
        <v>198</v>
      </c>
      <c r="EI359" s="30" t="s">
        <v>151</v>
      </c>
      <c r="EJ359" s="30" t="s">
        <v>151</v>
      </c>
      <c r="EK359" s="31" t="s">
        <v>151</v>
      </c>
      <c r="EL359" s="31" t="s">
        <v>151</v>
      </c>
      <c r="EM359" s="31" t="s">
        <v>151</v>
      </c>
      <c r="EN359" s="31" t="s">
        <v>151</v>
      </c>
      <c r="EO359" s="31" t="s">
        <v>151</v>
      </c>
      <c r="EP359" s="30" t="s">
        <v>151</v>
      </c>
      <c r="EQ359" s="29" t="s">
        <v>151</v>
      </c>
      <c r="ER359" s="29" t="s">
        <v>151</v>
      </c>
      <c r="ES359" s="4">
        <f>HYPERLINK("https://my.pitchbook.com?c=482119-03","View Company Online")</f>
      </c>
    </row>
    <row r="360">
      <c r="A360" s="17" t="s">
        <v>7790</v>
      </c>
      <c r="B360" s="17" t="s">
        <v>7791</v>
      </c>
      <c r="C360" s="18" t="s">
        <v>151</v>
      </c>
      <c r="D360" s="17" t="s">
        <v>151</v>
      </c>
      <c r="E360" s="17" t="s">
        <v>151</v>
      </c>
      <c r="F360" s="17" t="s">
        <v>7792</v>
      </c>
      <c r="G360" s="17" t="s">
        <v>151</v>
      </c>
      <c r="H360" s="17" t="s">
        <v>151</v>
      </c>
      <c r="I360" s="17" t="s">
        <v>151</v>
      </c>
      <c r="J360" s="17" t="s">
        <v>7790</v>
      </c>
      <c r="K360" s="17" t="s">
        <v>7793</v>
      </c>
      <c r="L360" s="17" t="s">
        <v>155</v>
      </c>
      <c r="M360" s="17" t="s">
        <v>361</v>
      </c>
      <c r="N360" s="17" t="s">
        <v>362</v>
      </c>
      <c r="O360" s="17" t="s">
        <v>7794</v>
      </c>
      <c r="P360" s="17" t="s">
        <v>7795</v>
      </c>
      <c r="Q360" s="17" t="s">
        <v>7796</v>
      </c>
      <c r="R360" s="17" t="s">
        <v>151</v>
      </c>
      <c r="S360" s="17" t="s">
        <v>162</v>
      </c>
      <c r="T360" s="24">
        <v>4.7</v>
      </c>
      <c r="U360" s="17" t="s">
        <v>4045</v>
      </c>
      <c r="V360" s="17" t="s">
        <v>164</v>
      </c>
      <c r="W360" s="17" t="s">
        <v>165</v>
      </c>
      <c r="X360" s="15" t="s">
        <v>7797</v>
      </c>
      <c r="Y360" s="15" t="s">
        <v>7798</v>
      </c>
      <c r="Z360" s="27">
        <v>17</v>
      </c>
      <c r="AA360" s="17" t="s">
        <v>7799</v>
      </c>
      <c r="AB360" s="17" t="s">
        <v>151</v>
      </c>
      <c r="AC360" s="17" t="s">
        <v>151</v>
      </c>
      <c r="AD360" s="26">
        <v>2010</v>
      </c>
      <c r="AE360" s="17" t="s">
        <v>151</v>
      </c>
      <c r="AF360" s="22">
        <v>45617</v>
      </c>
      <c r="AG360" s="17" t="s">
        <v>151</v>
      </c>
      <c r="AH360" s="17" t="s">
        <v>151</v>
      </c>
      <c r="AI360" s="25" t="s">
        <v>151</v>
      </c>
      <c r="AJ360" s="19" t="s">
        <v>151</v>
      </c>
      <c r="AK360" s="25" t="s">
        <v>151</v>
      </c>
      <c r="AL360" s="25" t="s">
        <v>151</v>
      </c>
      <c r="AM360" s="25" t="s">
        <v>151</v>
      </c>
      <c r="AN360" s="25" t="s">
        <v>151</v>
      </c>
      <c r="AO360" s="25" t="s">
        <v>151</v>
      </c>
      <c r="AP360" s="25" t="s">
        <v>151</v>
      </c>
      <c r="AQ360" s="25" t="s">
        <v>151</v>
      </c>
      <c r="AR360" s="16" t="s">
        <v>151</v>
      </c>
      <c r="AS360" s="17" t="s">
        <v>7800</v>
      </c>
      <c r="AT360" s="17" t="s">
        <v>7801</v>
      </c>
      <c r="AU360" s="18">
        <v>8</v>
      </c>
      <c r="AV360" s="17" t="s">
        <v>151</v>
      </c>
      <c r="AW360" s="17" t="s">
        <v>151</v>
      </c>
      <c r="AX360" s="17" t="s">
        <v>151</v>
      </c>
      <c r="AY360" s="17" t="s">
        <v>7802</v>
      </c>
      <c r="AZ360" s="17" t="s">
        <v>151</v>
      </c>
      <c r="BA360" s="17" t="s">
        <v>151</v>
      </c>
      <c r="BB360" s="17" t="s">
        <v>151</v>
      </c>
      <c r="BC360" s="17" t="s">
        <v>7803</v>
      </c>
      <c r="BD360" s="17" t="s">
        <v>7804</v>
      </c>
      <c r="BE360" s="17" t="s">
        <v>7805</v>
      </c>
      <c r="BF360" s="17" t="s">
        <v>7806</v>
      </c>
      <c r="BG360" s="17" t="s">
        <v>7807</v>
      </c>
      <c r="BH360" s="17" t="s">
        <v>7808</v>
      </c>
      <c r="BI360" s="17" t="s">
        <v>285</v>
      </c>
      <c r="BJ360" s="17" t="s">
        <v>7809</v>
      </c>
      <c r="BK360" s="17" t="s">
        <v>7810</v>
      </c>
      <c r="BL360" s="17" t="s">
        <v>288</v>
      </c>
      <c r="BM360" s="17" t="s">
        <v>289</v>
      </c>
      <c r="BN360" s="16" t="s">
        <v>7811</v>
      </c>
      <c r="BO360" s="17" t="s">
        <v>186</v>
      </c>
      <c r="BP360" s="16" t="s">
        <v>7808</v>
      </c>
      <c r="BQ360" s="16" t="s">
        <v>151</v>
      </c>
      <c r="BR360" s="17" t="s">
        <v>7812</v>
      </c>
      <c r="BS360" s="17" t="s">
        <v>187</v>
      </c>
      <c r="BT360" s="17" t="s">
        <v>188</v>
      </c>
      <c r="BU360" s="22">
        <v>44487</v>
      </c>
      <c r="BV360" s="24">
        <v>4.7</v>
      </c>
      <c r="BW360" s="17" t="s">
        <v>192</v>
      </c>
      <c r="BX360" s="24">
        <v>14.7</v>
      </c>
      <c r="BY360" s="17" t="s">
        <v>192</v>
      </c>
      <c r="BZ360" s="17" t="s">
        <v>293</v>
      </c>
      <c r="CA360" s="17" t="s">
        <v>293</v>
      </c>
      <c r="CB360" s="17" t="s">
        <v>151</v>
      </c>
      <c r="CC360" s="17" t="s">
        <v>165</v>
      </c>
      <c r="CD360" s="17" t="s">
        <v>151</v>
      </c>
      <c r="CE360" s="17" t="s">
        <v>191</v>
      </c>
      <c r="CF360" s="22">
        <v>44487</v>
      </c>
      <c r="CG360" s="24">
        <v>4.7</v>
      </c>
      <c r="CH360" s="17" t="s">
        <v>192</v>
      </c>
      <c r="CI360" s="24">
        <v>14.7</v>
      </c>
      <c r="CJ360" s="17" t="s">
        <v>192</v>
      </c>
      <c r="CK360" s="16" t="s">
        <v>151</v>
      </c>
      <c r="CL360" s="17" t="s">
        <v>293</v>
      </c>
      <c r="CM360" s="17" t="s">
        <v>293</v>
      </c>
      <c r="CN360" s="17" t="s">
        <v>151</v>
      </c>
      <c r="CO360" s="17" t="s">
        <v>165</v>
      </c>
      <c r="CP360" s="22">
        <v>44487</v>
      </c>
      <c r="CQ360" s="24" t="s">
        <v>151</v>
      </c>
      <c r="CR360" s="17" t="s">
        <v>151</v>
      </c>
      <c r="CS360" s="17" t="s">
        <v>191</v>
      </c>
      <c r="CT360" s="16" t="s">
        <v>151</v>
      </c>
      <c r="CU360" s="17" t="s">
        <v>151</v>
      </c>
      <c r="CV360" s="19" t="s">
        <v>151</v>
      </c>
      <c r="CW360" s="19" t="s">
        <v>151</v>
      </c>
      <c r="CX360" s="17" t="s">
        <v>151</v>
      </c>
      <c r="CY360" s="19" t="s">
        <v>151</v>
      </c>
      <c r="CZ360" s="19" t="s">
        <v>151</v>
      </c>
      <c r="DA360" s="24">
        <v>14.7</v>
      </c>
      <c r="DB360" s="22">
        <v>44487</v>
      </c>
      <c r="DC360" s="17" t="s">
        <v>293</v>
      </c>
      <c r="DD360" s="16" t="s">
        <v>151</v>
      </c>
      <c r="DE360" s="19">
        <v>0.78</v>
      </c>
      <c r="DF360" s="21">
        <v>95</v>
      </c>
      <c r="DG360" s="19">
        <v>0</v>
      </c>
      <c r="DH360" s="19">
        <v>0</v>
      </c>
      <c r="DI360" s="19" t="s">
        <v>151</v>
      </c>
      <c r="DJ360" s="21" t="s">
        <v>151</v>
      </c>
      <c r="DK360" s="19" t="s">
        <v>151</v>
      </c>
      <c r="DL360" s="21" t="s">
        <v>151</v>
      </c>
      <c r="DM360" s="19" t="s">
        <v>151</v>
      </c>
      <c r="DN360" s="21" t="s">
        <v>151</v>
      </c>
      <c r="DO360" s="23">
        <v>1.31</v>
      </c>
      <c r="DP360" s="21">
        <v>56</v>
      </c>
      <c r="DQ360" s="23">
        <v>0</v>
      </c>
      <c r="DR360" s="19">
        <v>0</v>
      </c>
      <c r="DS360" s="23" t="s">
        <v>151</v>
      </c>
      <c r="DT360" s="21" t="s">
        <v>151</v>
      </c>
      <c r="DU360" s="23" t="s">
        <v>151</v>
      </c>
      <c r="DV360" s="21" t="s">
        <v>151</v>
      </c>
      <c r="DW360" s="23" t="s">
        <v>151</v>
      </c>
      <c r="DX360" s="21" t="s">
        <v>151</v>
      </c>
      <c r="DY360" s="18" t="s">
        <v>151</v>
      </c>
      <c r="DZ360" s="22" t="s">
        <v>151</v>
      </c>
      <c r="EA360" s="22" t="s">
        <v>151</v>
      </c>
      <c r="EB360" s="21">
        <v>3879</v>
      </c>
      <c r="EC360" s="20">
        <v>-90</v>
      </c>
      <c r="ED360" s="19">
        <v>-2.27</v>
      </c>
      <c r="EE360" s="21" t="s">
        <v>151</v>
      </c>
      <c r="EF360" s="20" t="s">
        <v>151</v>
      </c>
      <c r="EG360" s="19" t="s">
        <v>151</v>
      </c>
      <c r="EH360" s="16" t="s">
        <v>198</v>
      </c>
      <c r="EI360" s="17" t="s">
        <v>151</v>
      </c>
      <c r="EJ360" s="17" t="s">
        <v>151</v>
      </c>
      <c r="EK360" s="18" t="s">
        <v>151</v>
      </c>
      <c r="EL360" s="18" t="s">
        <v>151</v>
      </c>
      <c r="EM360" s="18" t="s">
        <v>151</v>
      </c>
      <c r="EN360" s="18" t="s">
        <v>151</v>
      </c>
      <c r="EO360" s="18" t="s">
        <v>151</v>
      </c>
      <c r="EP360" s="17" t="s">
        <v>151</v>
      </c>
      <c r="EQ360" s="16" t="s">
        <v>151</v>
      </c>
      <c r="ER360" s="16" t="s">
        <v>151</v>
      </c>
      <c r="ES360" s="3">
        <f>HYPERLINK("https://my.pitchbook.com?c=439424-20","View Company Online")</f>
      </c>
    </row>
    <row r="361">
      <c r="A361" s="30" t="s">
        <v>7813</v>
      </c>
      <c r="B361" s="30" t="s">
        <v>7814</v>
      </c>
      <c r="C361" s="31" t="s">
        <v>151</v>
      </c>
      <c r="D361" s="30" t="s">
        <v>151</v>
      </c>
      <c r="E361" s="30" t="s">
        <v>7815</v>
      </c>
      <c r="F361" s="30" t="s">
        <v>7816</v>
      </c>
      <c r="G361" s="30" t="s">
        <v>151</v>
      </c>
      <c r="H361" s="30" t="s">
        <v>151</v>
      </c>
      <c r="I361" s="30" t="s">
        <v>151</v>
      </c>
      <c r="J361" s="30" t="s">
        <v>7813</v>
      </c>
      <c r="K361" s="30" t="s">
        <v>7817</v>
      </c>
      <c r="L361" s="30" t="s">
        <v>205</v>
      </c>
      <c r="M361" s="30" t="s">
        <v>206</v>
      </c>
      <c r="N361" s="30" t="s">
        <v>269</v>
      </c>
      <c r="O361" s="30" t="s">
        <v>563</v>
      </c>
      <c r="P361" s="30" t="s">
        <v>7308</v>
      </c>
      <c r="Q361" s="30" t="s">
        <v>7818</v>
      </c>
      <c r="R361" s="30" t="s">
        <v>151</v>
      </c>
      <c r="S361" s="30" t="s">
        <v>162</v>
      </c>
      <c r="T361" s="37">
        <v>0.95</v>
      </c>
      <c r="U361" s="30" t="s">
        <v>163</v>
      </c>
      <c r="V361" s="30" t="s">
        <v>164</v>
      </c>
      <c r="W361" s="30" t="s">
        <v>165</v>
      </c>
      <c r="X361" s="28" t="s">
        <v>7819</v>
      </c>
      <c r="Y361" s="28" t="s">
        <v>7820</v>
      </c>
      <c r="Z361" s="40">
        <v>18</v>
      </c>
      <c r="AA361" s="30" t="s">
        <v>7821</v>
      </c>
      <c r="AB361" s="30" t="s">
        <v>151</v>
      </c>
      <c r="AC361" s="30" t="s">
        <v>151</v>
      </c>
      <c r="AD361" s="39">
        <v>2019</v>
      </c>
      <c r="AE361" s="30" t="s">
        <v>151</v>
      </c>
      <c r="AF361" s="35">
        <v>45429</v>
      </c>
      <c r="AG361" s="30" t="s">
        <v>151</v>
      </c>
      <c r="AH361" s="30" t="s">
        <v>151</v>
      </c>
      <c r="AI361" s="38" t="s">
        <v>151</v>
      </c>
      <c r="AJ361" s="32" t="s">
        <v>151</v>
      </c>
      <c r="AK361" s="38" t="s">
        <v>151</v>
      </c>
      <c r="AL361" s="38" t="s">
        <v>151</v>
      </c>
      <c r="AM361" s="38" t="s">
        <v>151</v>
      </c>
      <c r="AN361" s="38" t="s">
        <v>151</v>
      </c>
      <c r="AO361" s="38" t="s">
        <v>151</v>
      </c>
      <c r="AP361" s="38" t="s">
        <v>151</v>
      </c>
      <c r="AQ361" s="38" t="s">
        <v>151</v>
      </c>
      <c r="AR361" s="29" t="s">
        <v>151</v>
      </c>
      <c r="AS361" s="30" t="s">
        <v>7822</v>
      </c>
      <c r="AT361" s="30" t="s">
        <v>7823</v>
      </c>
      <c r="AU361" s="31">
        <v>2</v>
      </c>
      <c r="AV361" s="30" t="s">
        <v>151</v>
      </c>
      <c r="AW361" s="30" t="s">
        <v>151</v>
      </c>
      <c r="AX361" s="30" t="s">
        <v>151</v>
      </c>
      <c r="AY361" s="30" t="s">
        <v>7824</v>
      </c>
      <c r="AZ361" s="30" t="s">
        <v>151</v>
      </c>
      <c r="BA361" s="30" t="s">
        <v>151</v>
      </c>
      <c r="BB361" s="30" t="s">
        <v>151</v>
      </c>
      <c r="BC361" s="30" t="s">
        <v>151</v>
      </c>
      <c r="BD361" s="30" t="s">
        <v>7825</v>
      </c>
      <c r="BE361" s="30" t="s">
        <v>7826</v>
      </c>
      <c r="BF361" s="30" t="s">
        <v>7827</v>
      </c>
      <c r="BG361" s="30" t="s">
        <v>7828</v>
      </c>
      <c r="BH361" s="30" t="s">
        <v>7829</v>
      </c>
      <c r="BI361" s="30" t="s">
        <v>7830</v>
      </c>
      <c r="BJ361" s="30" t="s">
        <v>7831</v>
      </c>
      <c r="BK361" s="30" t="s">
        <v>7832</v>
      </c>
      <c r="BL361" s="30" t="s">
        <v>7833</v>
      </c>
      <c r="BM361" s="30" t="s">
        <v>1043</v>
      </c>
      <c r="BN361" s="29" t="s">
        <v>7834</v>
      </c>
      <c r="BO361" s="30" t="s">
        <v>186</v>
      </c>
      <c r="BP361" s="29" t="s">
        <v>7829</v>
      </c>
      <c r="BQ361" s="29" t="s">
        <v>151</v>
      </c>
      <c r="BR361" s="30" t="s">
        <v>7835</v>
      </c>
      <c r="BS361" s="30" t="s">
        <v>187</v>
      </c>
      <c r="BT361" s="30" t="s">
        <v>188</v>
      </c>
      <c r="BU361" s="35">
        <v>43888</v>
      </c>
      <c r="BV361" s="37">
        <v>0.95</v>
      </c>
      <c r="BW361" s="30" t="s">
        <v>192</v>
      </c>
      <c r="BX361" s="37" t="s">
        <v>151</v>
      </c>
      <c r="BY361" s="30" t="s">
        <v>151</v>
      </c>
      <c r="BZ361" s="30" t="s">
        <v>231</v>
      </c>
      <c r="CA361" s="30" t="s">
        <v>151</v>
      </c>
      <c r="CB361" s="30" t="s">
        <v>151</v>
      </c>
      <c r="CC361" s="30" t="s">
        <v>165</v>
      </c>
      <c r="CD361" s="30" t="s">
        <v>151</v>
      </c>
      <c r="CE361" s="30" t="s">
        <v>191</v>
      </c>
      <c r="CF361" s="35">
        <v>43888</v>
      </c>
      <c r="CG361" s="37">
        <v>0.95</v>
      </c>
      <c r="CH361" s="30" t="s">
        <v>192</v>
      </c>
      <c r="CI361" s="37" t="s">
        <v>151</v>
      </c>
      <c r="CJ361" s="30" t="s">
        <v>151</v>
      </c>
      <c r="CK361" s="29" t="s">
        <v>151</v>
      </c>
      <c r="CL361" s="30" t="s">
        <v>231</v>
      </c>
      <c r="CM361" s="30" t="s">
        <v>151</v>
      </c>
      <c r="CN361" s="30" t="s">
        <v>151</v>
      </c>
      <c r="CO361" s="30" t="s">
        <v>165</v>
      </c>
      <c r="CP361" s="35">
        <v>43888</v>
      </c>
      <c r="CQ361" s="37" t="s">
        <v>151</v>
      </c>
      <c r="CR361" s="30" t="s">
        <v>151</v>
      </c>
      <c r="CS361" s="30" t="s">
        <v>191</v>
      </c>
      <c r="CT361" s="29" t="s">
        <v>151</v>
      </c>
      <c r="CU361" s="30" t="s">
        <v>151</v>
      </c>
      <c r="CV361" s="32" t="s">
        <v>151</v>
      </c>
      <c r="CW361" s="32" t="s">
        <v>151</v>
      </c>
      <c r="CX361" s="30" t="s">
        <v>151</v>
      </c>
      <c r="CY361" s="32" t="s">
        <v>151</v>
      </c>
      <c r="CZ361" s="32" t="s">
        <v>151</v>
      </c>
      <c r="DA361" s="37" t="s">
        <v>151</v>
      </c>
      <c r="DB361" s="35" t="s">
        <v>151</v>
      </c>
      <c r="DC361" s="30" t="s">
        <v>151</v>
      </c>
      <c r="DD361" s="29" t="s">
        <v>151</v>
      </c>
      <c r="DE361" s="32">
        <v>0.37</v>
      </c>
      <c r="DF361" s="34">
        <v>93</v>
      </c>
      <c r="DG361" s="32">
        <v>0</v>
      </c>
      <c r="DH361" s="32">
        <v>0</v>
      </c>
      <c r="DI361" s="32">
        <v>0</v>
      </c>
      <c r="DJ361" s="34">
        <v>10</v>
      </c>
      <c r="DK361" s="32" t="s">
        <v>151</v>
      </c>
      <c r="DL361" s="34" t="s">
        <v>151</v>
      </c>
      <c r="DM361" s="32">
        <v>0</v>
      </c>
      <c r="DN361" s="34">
        <v>10</v>
      </c>
      <c r="DO361" s="36">
        <v>0.93</v>
      </c>
      <c r="DP361" s="34">
        <v>48</v>
      </c>
      <c r="DQ361" s="36">
        <v>0</v>
      </c>
      <c r="DR361" s="32">
        <v>0</v>
      </c>
      <c r="DS361" s="36">
        <v>0.47</v>
      </c>
      <c r="DT361" s="34">
        <v>31</v>
      </c>
      <c r="DU361" s="36" t="s">
        <v>151</v>
      </c>
      <c r="DV361" s="34" t="s">
        <v>151</v>
      </c>
      <c r="DW361" s="36">
        <v>0.47</v>
      </c>
      <c r="DX361" s="34">
        <v>31</v>
      </c>
      <c r="DY361" s="31" t="s">
        <v>151</v>
      </c>
      <c r="DZ361" s="35" t="s">
        <v>151</v>
      </c>
      <c r="EA361" s="35" t="s">
        <v>151</v>
      </c>
      <c r="EB361" s="34">
        <v>65</v>
      </c>
      <c r="EC361" s="33">
        <v>12</v>
      </c>
      <c r="ED361" s="32">
        <v>22.64</v>
      </c>
      <c r="EE361" s="34">
        <v>9</v>
      </c>
      <c r="EF361" s="33">
        <v>0</v>
      </c>
      <c r="EG361" s="32">
        <v>0</v>
      </c>
      <c r="EH361" s="29" t="s">
        <v>198</v>
      </c>
      <c r="EI361" s="30" t="s">
        <v>151</v>
      </c>
      <c r="EJ361" s="30" t="s">
        <v>151</v>
      </c>
      <c r="EK361" s="31" t="s">
        <v>151</v>
      </c>
      <c r="EL361" s="31" t="s">
        <v>151</v>
      </c>
      <c r="EM361" s="31" t="s">
        <v>151</v>
      </c>
      <c r="EN361" s="31" t="s">
        <v>151</v>
      </c>
      <c r="EO361" s="31" t="s">
        <v>151</v>
      </c>
      <c r="EP361" s="30" t="s">
        <v>151</v>
      </c>
      <c r="EQ361" s="29" t="s">
        <v>151</v>
      </c>
      <c r="ER361" s="29" t="s">
        <v>151</v>
      </c>
      <c r="ES361" s="4">
        <f>HYPERLINK("https://my.pitchbook.com?c=467154-37","View Company Online")</f>
      </c>
    </row>
    <row r="362">
      <c r="A362" s="17" t="s">
        <v>7836</v>
      </c>
      <c r="B362" s="17" t="s">
        <v>7837</v>
      </c>
      <c r="C362" s="18" t="s">
        <v>151</v>
      </c>
      <c r="D362" s="17" t="s">
        <v>151</v>
      </c>
      <c r="E362" s="17" t="s">
        <v>151</v>
      </c>
      <c r="F362" s="17" t="s">
        <v>7838</v>
      </c>
      <c r="G362" s="17" t="s">
        <v>151</v>
      </c>
      <c r="H362" s="17" t="s">
        <v>151</v>
      </c>
      <c r="I362" s="17" t="s">
        <v>7839</v>
      </c>
      <c r="J362" s="17" t="s">
        <v>7836</v>
      </c>
      <c r="K362" s="17" t="s">
        <v>7840</v>
      </c>
      <c r="L362" s="17" t="s">
        <v>155</v>
      </c>
      <c r="M362" s="17" t="s">
        <v>7841</v>
      </c>
      <c r="N362" s="17" t="s">
        <v>7842</v>
      </c>
      <c r="O362" s="17" t="s">
        <v>7843</v>
      </c>
      <c r="P362" s="17" t="s">
        <v>1747</v>
      </c>
      <c r="Q362" s="17" t="s">
        <v>7844</v>
      </c>
      <c r="R362" s="17" t="s">
        <v>151</v>
      </c>
      <c r="S362" s="17" t="s">
        <v>162</v>
      </c>
      <c r="T362" s="24">
        <v>49.66</v>
      </c>
      <c r="U362" s="17" t="s">
        <v>163</v>
      </c>
      <c r="V362" s="17" t="s">
        <v>164</v>
      </c>
      <c r="W362" s="17" t="s">
        <v>165</v>
      </c>
      <c r="X362" s="15" t="s">
        <v>7845</v>
      </c>
      <c r="Y362" s="15" t="s">
        <v>7846</v>
      </c>
      <c r="Z362" s="27">
        <v>39</v>
      </c>
      <c r="AA362" s="17" t="s">
        <v>7847</v>
      </c>
      <c r="AB362" s="17" t="s">
        <v>151</v>
      </c>
      <c r="AC362" s="17" t="s">
        <v>151</v>
      </c>
      <c r="AD362" s="26">
        <v>2023</v>
      </c>
      <c r="AE362" s="17" t="s">
        <v>151</v>
      </c>
      <c r="AF362" s="22">
        <v>45595</v>
      </c>
      <c r="AG362" s="17" t="s">
        <v>151</v>
      </c>
      <c r="AH362" s="17" t="s">
        <v>151</v>
      </c>
      <c r="AI362" s="25" t="s">
        <v>151</v>
      </c>
      <c r="AJ362" s="19" t="s">
        <v>151</v>
      </c>
      <c r="AK362" s="25" t="s">
        <v>151</v>
      </c>
      <c r="AL362" s="25" t="s">
        <v>151</v>
      </c>
      <c r="AM362" s="25" t="s">
        <v>151</v>
      </c>
      <c r="AN362" s="25" t="s">
        <v>151</v>
      </c>
      <c r="AO362" s="25" t="s">
        <v>151</v>
      </c>
      <c r="AP362" s="25" t="s">
        <v>151</v>
      </c>
      <c r="AQ362" s="25" t="s">
        <v>151</v>
      </c>
      <c r="AR362" s="16" t="s">
        <v>151</v>
      </c>
      <c r="AS362" s="17" t="s">
        <v>7848</v>
      </c>
      <c r="AT362" s="17" t="s">
        <v>7849</v>
      </c>
      <c r="AU362" s="18">
        <v>5</v>
      </c>
      <c r="AV362" s="17" t="s">
        <v>151</v>
      </c>
      <c r="AW362" s="17" t="s">
        <v>151</v>
      </c>
      <c r="AX362" s="17" t="s">
        <v>151</v>
      </c>
      <c r="AY362" s="17" t="s">
        <v>7850</v>
      </c>
      <c r="AZ362" s="17" t="s">
        <v>151</v>
      </c>
      <c r="BA362" s="17" t="s">
        <v>151</v>
      </c>
      <c r="BB362" s="17" t="s">
        <v>151</v>
      </c>
      <c r="BC362" s="17" t="s">
        <v>1115</v>
      </c>
      <c r="BD362" s="17" t="s">
        <v>7851</v>
      </c>
      <c r="BE362" s="17" t="s">
        <v>7852</v>
      </c>
      <c r="BF362" s="17" t="s">
        <v>493</v>
      </c>
      <c r="BG362" s="17" t="s">
        <v>151</v>
      </c>
      <c r="BH362" s="17" t="s">
        <v>7853</v>
      </c>
      <c r="BI362" s="17" t="s">
        <v>7854</v>
      </c>
      <c r="BJ362" s="17" t="s">
        <v>7855</v>
      </c>
      <c r="BK362" s="17" t="s">
        <v>151</v>
      </c>
      <c r="BL362" s="17" t="s">
        <v>7856</v>
      </c>
      <c r="BM362" s="17" t="s">
        <v>184</v>
      </c>
      <c r="BN362" s="16" t="s">
        <v>7857</v>
      </c>
      <c r="BO362" s="17" t="s">
        <v>186</v>
      </c>
      <c r="BP362" s="16" t="s">
        <v>7858</v>
      </c>
      <c r="BQ362" s="16" t="s">
        <v>151</v>
      </c>
      <c r="BR362" s="17" t="s">
        <v>151</v>
      </c>
      <c r="BS362" s="17" t="s">
        <v>187</v>
      </c>
      <c r="BT362" s="17" t="s">
        <v>188</v>
      </c>
      <c r="BU362" s="22">
        <v>45534</v>
      </c>
      <c r="BV362" s="24">
        <v>49.66</v>
      </c>
      <c r="BW362" s="17" t="s">
        <v>192</v>
      </c>
      <c r="BX362" s="24">
        <v>133</v>
      </c>
      <c r="BY362" s="17" t="s">
        <v>192</v>
      </c>
      <c r="BZ362" s="17" t="s">
        <v>293</v>
      </c>
      <c r="CA362" s="17" t="s">
        <v>293</v>
      </c>
      <c r="CB362" s="17" t="s">
        <v>151</v>
      </c>
      <c r="CC362" s="17" t="s">
        <v>165</v>
      </c>
      <c r="CD362" s="17" t="s">
        <v>151</v>
      </c>
      <c r="CE362" s="17" t="s">
        <v>191</v>
      </c>
      <c r="CF362" s="22">
        <v>45534</v>
      </c>
      <c r="CG362" s="24">
        <v>49.66</v>
      </c>
      <c r="CH362" s="17" t="s">
        <v>192</v>
      </c>
      <c r="CI362" s="24">
        <v>133</v>
      </c>
      <c r="CJ362" s="17" t="s">
        <v>192</v>
      </c>
      <c r="CK362" s="16" t="s">
        <v>151</v>
      </c>
      <c r="CL362" s="17" t="s">
        <v>293</v>
      </c>
      <c r="CM362" s="17" t="s">
        <v>293</v>
      </c>
      <c r="CN362" s="17" t="s">
        <v>151</v>
      </c>
      <c r="CO362" s="17" t="s">
        <v>165</v>
      </c>
      <c r="CP362" s="22">
        <v>45534</v>
      </c>
      <c r="CQ362" s="24" t="s">
        <v>151</v>
      </c>
      <c r="CR362" s="17" t="s">
        <v>151</v>
      </c>
      <c r="CS362" s="17" t="s">
        <v>191</v>
      </c>
      <c r="CT362" s="16" t="s">
        <v>151</v>
      </c>
      <c r="CU362" s="17" t="s">
        <v>151</v>
      </c>
      <c r="CV362" s="19" t="s">
        <v>151</v>
      </c>
      <c r="CW362" s="19" t="s">
        <v>151</v>
      </c>
      <c r="CX362" s="17" t="s">
        <v>151</v>
      </c>
      <c r="CY362" s="19" t="s">
        <v>151</v>
      </c>
      <c r="CZ362" s="19" t="s">
        <v>151</v>
      </c>
      <c r="DA362" s="24">
        <v>133</v>
      </c>
      <c r="DB362" s="22">
        <v>45534</v>
      </c>
      <c r="DC362" s="17" t="s">
        <v>293</v>
      </c>
      <c r="DD362" s="16" t="s">
        <v>151</v>
      </c>
      <c r="DE362" s="19">
        <v>1.74</v>
      </c>
      <c r="DF362" s="21">
        <v>98</v>
      </c>
      <c r="DG362" s="19">
        <v>-0.38</v>
      </c>
      <c r="DH362" s="19">
        <v>-17.86</v>
      </c>
      <c r="DI362" s="19">
        <v>1.36</v>
      </c>
      <c r="DJ362" s="21">
        <v>97</v>
      </c>
      <c r="DK362" s="19" t="s">
        <v>151</v>
      </c>
      <c r="DL362" s="21" t="s">
        <v>151</v>
      </c>
      <c r="DM362" s="19">
        <v>1.36</v>
      </c>
      <c r="DN362" s="21">
        <v>97</v>
      </c>
      <c r="DO362" s="23">
        <v>5.53</v>
      </c>
      <c r="DP362" s="21">
        <v>84</v>
      </c>
      <c r="DQ362" s="23">
        <v>2.53</v>
      </c>
      <c r="DR362" s="19">
        <v>84.21</v>
      </c>
      <c r="DS362" s="23">
        <v>8.05</v>
      </c>
      <c r="DT362" s="21">
        <v>88</v>
      </c>
      <c r="DU362" s="23" t="s">
        <v>151</v>
      </c>
      <c r="DV362" s="21" t="s">
        <v>151</v>
      </c>
      <c r="DW362" s="23">
        <v>8.05</v>
      </c>
      <c r="DX362" s="21">
        <v>88</v>
      </c>
      <c r="DY362" s="18" t="s">
        <v>151</v>
      </c>
      <c r="DZ362" s="22" t="s">
        <v>151</v>
      </c>
      <c r="EA362" s="22" t="s">
        <v>151</v>
      </c>
      <c r="EB362" s="21" t="s">
        <v>151</v>
      </c>
      <c r="EC362" s="20" t="s">
        <v>151</v>
      </c>
      <c r="ED362" s="19" t="s">
        <v>151</v>
      </c>
      <c r="EE362" s="21">
        <v>153</v>
      </c>
      <c r="EF362" s="20">
        <v>2</v>
      </c>
      <c r="EG362" s="19">
        <v>1.32</v>
      </c>
      <c r="EH362" s="16" t="s">
        <v>198</v>
      </c>
      <c r="EI362" s="17" t="s">
        <v>151</v>
      </c>
      <c r="EJ362" s="17" t="s">
        <v>151</v>
      </c>
      <c r="EK362" s="18" t="s">
        <v>151</v>
      </c>
      <c r="EL362" s="18" t="s">
        <v>151</v>
      </c>
      <c r="EM362" s="18" t="s">
        <v>151</v>
      </c>
      <c r="EN362" s="18" t="s">
        <v>151</v>
      </c>
      <c r="EO362" s="18" t="s">
        <v>151</v>
      </c>
      <c r="EP362" s="17" t="s">
        <v>151</v>
      </c>
      <c r="EQ362" s="16" t="s">
        <v>151</v>
      </c>
      <c r="ER362" s="16" t="s">
        <v>151</v>
      </c>
      <c r="ES362" s="3">
        <f>HYPERLINK("https://my.pitchbook.com?c=588843-55","View Company Online")</f>
      </c>
    </row>
    <row r="363">
      <c r="A363" s="30" t="s">
        <v>7859</v>
      </c>
      <c r="B363" s="30" t="s">
        <v>7860</v>
      </c>
      <c r="C363" s="31" t="s">
        <v>151</v>
      </c>
      <c r="D363" s="30" t="s">
        <v>151</v>
      </c>
      <c r="E363" s="30" t="s">
        <v>7861</v>
      </c>
      <c r="F363" s="30" t="s">
        <v>7862</v>
      </c>
      <c r="G363" s="30" t="s">
        <v>151</v>
      </c>
      <c r="H363" s="30" t="s">
        <v>151</v>
      </c>
      <c r="I363" s="30" t="s">
        <v>7863</v>
      </c>
      <c r="J363" s="30" t="s">
        <v>7859</v>
      </c>
      <c r="K363" s="30" t="s">
        <v>7864</v>
      </c>
      <c r="L363" s="30" t="s">
        <v>155</v>
      </c>
      <c r="M363" s="30" t="s">
        <v>2320</v>
      </c>
      <c r="N363" s="30" t="s">
        <v>2321</v>
      </c>
      <c r="O363" s="30" t="s">
        <v>2322</v>
      </c>
      <c r="P363" s="30" t="s">
        <v>151</v>
      </c>
      <c r="Q363" s="30" t="s">
        <v>7865</v>
      </c>
      <c r="R363" s="30" t="s">
        <v>151</v>
      </c>
      <c r="S363" s="30" t="s">
        <v>162</v>
      </c>
      <c r="T363" s="37">
        <v>3</v>
      </c>
      <c r="U363" s="30" t="s">
        <v>163</v>
      </c>
      <c r="V363" s="30" t="s">
        <v>164</v>
      </c>
      <c r="W363" s="30" t="s">
        <v>165</v>
      </c>
      <c r="X363" s="28" t="s">
        <v>7866</v>
      </c>
      <c r="Y363" s="28" t="s">
        <v>7867</v>
      </c>
      <c r="Z363" s="40">
        <v>15</v>
      </c>
      <c r="AA363" s="30" t="s">
        <v>7868</v>
      </c>
      <c r="AB363" s="30" t="s">
        <v>151</v>
      </c>
      <c r="AC363" s="30" t="s">
        <v>151</v>
      </c>
      <c r="AD363" s="39">
        <v>2020</v>
      </c>
      <c r="AE363" s="30" t="s">
        <v>151</v>
      </c>
      <c r="AF363" s="35">
        <v>45468</v>
      </c>
      <c r="AG363" s="30" t="s">
        <v>151</v>
      </c>
      <c r="AH363" s="30" t="s">
        <v>151</v>
      </c>
      <c r="AI363" s="38" t="s">
        <v>151</v>
      </c>
      <c r="AJ363" s="32" t="s">
        <v>151</v>
      </c>
      <c r="AK363" s="38" t="s">
        <v>151</v>
      </c>
      <c r="AL363" s="38" t="s">
        <v>151</v>
      </c>
      <c r="AM363" s="38" t="s">
        <v>151</v>
      </c>
      <c r="AN363" s="38" t="s">
        <v>151</v>
      </c>
      <c r="AO363" s="38" t="s">
        <v>151</v>
      </c>
      <c r="AP363" s="38" t="s">
        <v>151</v>
      </c>
      <c r="AQ363" s="38" t="s">
        <v>151</v>
      </c>
      <c r="AR363" s="29" t="s">
        <v>151</v>
      </c>
      <c r="AS363" s="30" t="s">
        <v>7869</v>
      </c>
      <c r="AT363" s="30" t="s">
        <v>7870</v>
      </c>
      <c r="AU363" s="31">
        <v>3</v>
      </c>
      <c r="AV363" s="30" t="s">
        <v>151</v>
      </c>
      <c r="AW363" s="30" t="s">
        <v>151</v>
      </c>
      <c r="AX363" s="30" t="s">
        <v>151</v>
      </c>
      <c r="AY363" s="30" t="s">
        <v>7871</v>
      </c>
      <c r="AZ363" s="30" t="s">
        <v>151</v>
      </c>
      <c r="BA363" s="30" t="s">
        <v>151</v>
      </c>
      <c r="BB363" s="30" t="s">
        <v>151</v>
      </c>
      <c r="BC363" s="30" t="s">
        <v>151</v>
      </c>
      <c r="BD363" s="30" t="s">
        <v>7872</v>
      </c>
      <c r="BE363" s="30" t="s">
        <v>7873</v>
      </c>
      <c r="BF363" s="30" t="s">
        <v>931</v>
      </c>
      <c r="BG363" s="30" t="s">
        <v>7874</v>
      </c>
      <c r="BH363" s="30" t="s">
        <v>151</v>
      </c>
      <c r="BI363" s="30" t="s">
        <v>906</v>
      </c>
      <c r="BJ363" s="30" t="s">
        <v>7875</v>
      </c>
      <c r="BK363" s="30" t="s">
        <v>151</v>
      </c>
      <c r="BL363" s="30" t="s">
        <v>259</v>
      </c>
      <c r="BM363" s="30" t="s">
        <v>259</v>
      </c>
      <c r="BN363" s="29" t="s">
        <v>1476</v>
      </c>
      <c r="BO363" s="30" t="s">
        <v>186</v>
      </c>
      <c r="BP363" s="29" t="s">
        <v>7876</v>
      </c>
      <c r="BQ363" s="29" t="s">
        <v>151</v>
      </c>
      <c r="BR363" s="30" t="s">
        <v>151</v>
      </c>
      <c r="BS363" s="30" t="s">
        <v>187</v>
      </c>
      <c r="BT363" s="30" t="s">
        <v>188</v>
      </c>
      <c r="BU363" s="35">
        <v>44340</v>
      </c>
      <c r="BV363" s="37">
        <v>3</v>
      </c>
      <c r="BW363" s="30" t="s">
        <v>192</v>
      </c>
      <c r="BX363" s="37" t="s">
        <v>151</v>
      </c>
      <c r="BY363" s="30" t="s">
        <v>151</v>
      </c>
      <c r="BZ363" s="30" t="s">
        <v>293</v>
      </c>
      <c r="CA363" s="30" t="s">
        <v>293</v>
      </c>
      <c r="CB363" s="30" t="s">
        <v>151</v>
      </c>
      <c r="CC363" s="30" t="s">
        <v>165</v>
      </c>
      <c r="CD363" s="30" t="s">
        <v>151</v>
      </c>
      <c r="CE363" s="30" t="s">
        <v>191</v>
      </c>
      <c r="CF363" s="35">
        <v>44340</v>
      </c>
      <c r="CG363" s="37">
        <v>3</v>
      </c>
      <c r="CH363" s="30" t="s">
        <v>192</v>
      </c>
      <c r="CI363" s="37" t="s">
        <v>151</v>
      </c>
      <c r="CJ363" s="30" t="s">
        <v>151</v>
      </c>
      <c r="CK363" s="29" t="s">
        <v>151</v>
      </c>
      <c r="CL363" s="30" t="s">
        <v>293</v>
      </c>
      <c r="CM363" s="30" t="s">
        <v>293</v>
      </c>
      <c r="CN363" s="30" t="s">
        <v>151</v>
      </c>
      <c r="CO363" s="30" t="s">
        <v>165</v>
      </c>
      <c r="CP363" s="35">
        <v>44340</v>
      </c>
      <c r="CQ363" s="37" t="s">
        <v>151</v>
      </c>
      <c r="CR363" s="30" t="s">
        <v>151</v>
      </c>
      <c r="CS363" s="30" t="s">
        <v>191</v>
      </c>
      <c r="CT363" s="29" t="s">
        <v>151</v>
      </c>
      <c r="CU363" s="30" t="s">
        <v>151</v>
      </c>
      <c r="CV363" s="32" t="s">
        <v>151</v>
      </c>
      <c r="CW363" s="32" t="s">
        <v>151</v>
      </c>
      <c r="CX363" s="30" t="s">
        <v>151</v>
      </c>
      <c r="CY363" s="32" t="s">
        <v>151</v>
      </c>
      <c r="CZ363" s="32" t="s">
        <v>151</v>
      </c>
      <c r="DA363" s="37" t="s">
        <v>151</v>
      </c>
      <c r="DB363" s="35" t="s">
        <v>151</v>
      </c>
      <c r="DC363" s="30" t="s">
        <v>151</v>
      </c>
      <c r="DD363" s="29" t="s">
        <v>151</v>
      </c>
      <c r="DE363" s="32">
        <v>0.93</v>
      </c>
      <c r="DF363" s="34">
        <v>96</v>
      </c>
      <c r="DG363" s="32">
        <v>0</v>
      </c>
      <c r="DH363" s="32">
        <v>0</v>
      </c>
      <c r="DI363" s="32">
        <v>0</v>
      </c>
      <c r="DJ363" s="34">
        <v>10</v>
      </c>
      <c r="DK363" s="32" t="s">
        <v>151</v>
      </c>
      <c r="DL363" s="34" t="s">
        <v>151</v>
      </c>
      <c r="DM363" s="32">
        <v>0</v>
      </c>
      <c r="DN363" s="34">
        <v>10</v>
      </c>
      <c r="DO363" s="36">
        <v>1.63</v>
      </c>
      <c r="DP363" s="34">
        <v>61</v>
      </c>
      <c r="DQ363" s="36">
        <v>0</v>
      </c>
      <c r="DR363" s="32">
        <v>0</v>
      </c>
      <c r="DS363" s="36">
        <v>2.11</v>
      </c>
      <c r="DT363" s="34">
        <v>67</v>
      </c>
      <c r="DU363" s="36" t="s">
        <v>151</v>
      </c>
      <c r="DV363" s="34" t="s">
        <v>151</v>
      </c>
      <c r="DW363" s="36">
        <v>2.11</v>
      </c>
      <c r="DX363" s="34">
        <v>67</v>
      </c>
      <c r="DY363" s="31" t="s">
        <v>151</v>
      </c>
      <c r="DZ363" s="35" t="s">
        <v>151</v>
      </c>
      <c r="EA363" s="35" t="s">
        <v>151</v>
      </c>
      <c r="EB363" s="34">
        <v>2328</v>
      </c>
      <c r="EC363" s="33">
        <v>-5</v>
      </c>
      <c r="ED363" s="32">
        <v>-0.21</v>
      </c>
      <c r="EE363" s="34">
        <v>40</v>
      </c>
      <c r="EF363" s="33">
        <v>0</v>
      </c>
      <c r="EG363" s="32">
        <v>0</v>
      </c>
      <c r="EH363" s="29" t="s">
        <v>198</v>
      </c>
      <c r="EI363" s="30" t="s">
        <v>151</v>
      </c>
      <c r="EJ363" s="30" t="s">
        <v>151</v>
      </c>
      <c r="EK363" s="31" t="s">
        <v>151</v>
      </c>
      <c r="EL363" s="31" t="s">
        <v>151</v>
      </c>
      <c r="EM363" s="31" t="s">
        <v>151</v>
      </c>
      <c r="EN363" s="31" t="s">
        <v>151</v>
      </c>
      <c r="EO363" s="31" t="s">
        <v>151</v>
      </c>
      <c r="EP363" s="30" t="s">
        <v>151</v>
      </c>
      <c r="EQ363" s="29" t="s">
        <v>151</v>
      </c>
      <c r="ER363" s="29" t="s">
        <v>151</v>
      </c>
      <c r="ES363" s="4">
        <f>HYPERLINK("https://my.pitchbook.com?c=465969-88","View Company Online")</f>
      </c>
    </row>
    <row r="364">
      <c r="A364" s="17" t="s">
        <v>7877</v>
      </c>
      <c r="B364" s="17" t="s">
        <v>7878</v>
      </c>
      <c r="C364" s="18" t="s">
        <v>151</v>
      </c>
      <c r="D364" s="17" t="s">
        <v>151</v>
      </c>
      <c r="E364" s="17" t="s">
        <v>151</v>
      </c>
      <c r="F364" s="17" t="s">
        <v>7879</v>
      </c>
      <c r="G364" s="17" t="s">
        <v>151</v>
      </c>
      <c r="H364" s="17" t="s">
        <v>151</v>
      </c>
      <c r="I364" s="17" t="s">
        <v>7880</v>
      </c>
      <c r="J364" s="17" t="s">
        <v>7877</v>
      </c>
      <c r="K364" s="17" t="s">
        <v>7881</v>
      </c>
      <c r="L364" s="17" t="s">
        <v>205</v>
      </c>
      <c r="M364" s="17" t="s">
        <v>206</v>
      </c>
      <c r="N364" s="17" t="s">
        <v>1130</v>
      </c>
      <c r="O364" s="17" t="s">
        <v>1131</v>
      </c>
      <c r="P364" s="17" t="s">
        <v>1000</v>
      </c>
      <c r="Q364" s="17" t="s">
        <v>7882</v>
      </c>
      <c r="R364" s="17" t="s">
        <v>151</v>
      </c>
      <c r="S364" s="17" t="s">
        <v>162</v>
      </c>
      <c r="T364" s="24">
        <v>6.5</v>
      </c>
      <c r="U364" s="17" t="s">
        <v>163</v>
      </c>
      <c r="V364" s="17" t="s">
        <v>164</v>
      </c>
      <c r="W364" s="17" t="s">
        <v>165</v>
      </c>
      <c r="X364" s="15" t="s">
        <v>7883</v>
      </c>
      <c r="Y364" s="15" t="s">
        <v>7884</v>
      </c>
      <c r="Z364" s="27">
        <v>38</v>
      </c>
      <c r="AA364" s="17" t="s">
        <v>7885</v>
      </c>
      <c r="AB364" s="17" t="s">
        <v>151</v>
      </c>
      <c r="AC364" s="17" t="s">
        <v>151</v>
      </c>
      <c r="AD364" s="26">
        <v>2017</v>
      </c>
      <c r="AE364" s="17" t="s">
        <v>151</v>
      </c>
      <c r="AF364" s="22">
        <v>45593</v>
      </c>
      <c r="AG364" s="17" t="s">
        <v>151</v>
      </c>
      <c r="AH364" s="17" t="s">
        <v>151</v>
      </c>
      <c r="AI364" s="25">
        <v>0.22</v>
      </c>
      <c r="AJ364" s="19" t="s">
        <v>151</v>
      </c>
      <c r="AK364" s="25" t="s">
        <v>151</v>
      </c>
      <c r="AL364" s="25" t="s">
        <v>151</v>
      </c>
      <c r="AM364" s="25" t="s">
        <v>151</v>
      </c>
      <c r="AN364" s="25" t="s">
        <v>151</v>
      </c>
      <c r="AO364" s="25" t="s">
        <v>151</v>
      </c>
      <c r="AP364" s="25" t="s">
        <v>151</v>
      </c>
      <c r="AQ364" s="25" t="s">
        <v>151</v>
      </c>
      <c r="AR364" s="16" t="s">
        <v>3435</v>
      </c>
      <c r="AS364" s="17" t="s">
        <v>7886</v>
      </c>
      <c r="AT364" s="17" t="s">
        <v>7887</v>
      </c>
      <c r="AU364" s="18">
        <v>2</v>
      </c>
      <c r="AV364" s="17" t="s">
        <v>151</v>
      </c>
      <c r="AW364" s="17" t="s">
        <v>151</v>
      </c>
      <c r="AX364" s="17" t="s">
        <v>151</v>
      </c>
      <c r="AY364" s="17" t="s">
        <v>7888</v>
      </c>
      <c r="AZ364" s="17" t="s">
        <v>151</v>
      </c>
      <c r="BA364" s="17" t="s">
        <v>151</v>
      </c>
      <c r="BB364" s="17" t="s">
        <v>151</v>
      </c>
      <c r="BC364" s="17" t="s">
        <v>151</v>
      </c>
      <c r="BD364" s="17" t="s">
        <v>7889</v>
      </c>
      <c r="BE364" s="17" t="s">
        <v>7890</v>
      </c>
      <c r="BF364" s="17" t="s">
        <v>1280</v>
      </c>
      <c r="BG364" s="17" t="s">
        <v>151</v>
      </c>
      <c r="BH364" s="17" t="s">
        <v>7891</v>
      </c>
      <c r="BI364" s="17" t="s">
        <v>906</v>
      </c>
      <c r="BJ364" s="17" t="s">
        <v>7892</v>
      </c>
      <c r="BK364" s="17" t="s">
        <v>7893</v>
      </c>
      <c r="BL364" s="17" t="s">
        <v>259</v>
      </c>
      <c r="BM364" s="17" t="s">
        <v>259</v>
      </c>
      <c r="BN364" s="16" t="s">
        <v>7894</v>
      </c>
      <c r="BO364" s="17" t="s">
        <v>186</v>
      </c>
      <c r="BP364" s="16" t="s">
        <v>7891</v>
      </c>
      <c r="BQ364" s="16" t="s">
        <v>151</v>
      </c>
      <c r="BR364" s="17" t="s">
        <v>151</v>
      </c>
      <c r="BS364" s="17" t="s">
        <v>187</v>
      </c>
      <c r="BT364" s="17" t="s">
        <v>188</v>
      </c>
      <c r="BU364" s="22">
        <v>45027</v>
      </c>
      <c r="BV364" s="24">
        <v>6.5</v>
      </c>
      <c r="BW364" s="17" t="s">
        <v>192</v>
      </c>
      <c r="BX364" s="24">
        <v>25</v>
      </c>
      <c r="BY364" s="17" t="s">
        <v>192</v>
      </c>
      <c r="BZ364" s="17" t="s">
        <v>293</v>
      </c>
      <c r="CA364" s="17" t="s">
        <v>293</v>
      </c>
      <c r="CB364" s="17" t="s">
        <v>151</v>
      </c>
      <c r="CC364" s="17" t="s">
        <v>165</v>
      </c>
      <c r="CD364" s="17" t="s">
        <v>151</v>
      </c>
      <c r="CE364" s="17" t="s">
        <v>191</v>
      </c>
      <c r="CF364" s="22">
        <v>45027</v>
      </c>
      <c r="CG364" s="24">
        <v>6.5</v>
      </c>
      <c r="CH364" s="17" t="s">
        <v>192</v>
      </c>
      <c r="CI364" s="24">
        <v>25</v>
      </c>
      <c r="CJ364" s="17" t="s">
        <v>192</v>
      </c>
      <c r="CK364" s="16" t="s">
        <v>151</v>
      </c>
      <c r="CL364" s="17" t="s">
        <v>293</v>
      </c>
      <c r="CM364" s="17" t="s">
        <v>293</v>
      </c>
      <c r="CN364" s="17" t="s">
        <v>151</v>
      </c>
      <c r="CO364" s="17" t="s">
        <v>165</v>
      </c>
      <c r="CP364" s="22">
        <v>45027</v>
      </c>
      <c r="CQ364" s="24" t="s">
        <v>151</v>
      </c>
      <c r="CR364" s="17" t="s">
        <v>151</v>
      </c>
      <c r="CS364" s="17" t="s">
        <v>191</v>
      </c>
      <c r="CT364" s="16" t="s">
        <v>151</v>
      </c>
      <c r="CU364" s="17" t="s">
        <v>151</v>
      </c>
      <c r="CV364" s="19" t="s">
        <v>151</v>
      </c>
      <c r="CW364" s="19" t="s">
        <v>151</v>
      </c>
      <c r="CX364" s="17" t="s">
        <v>151</v>
      </c>
      <c r="CY364" s="19" t="s">
        <v>151</v>
      </c>
      <c r="CZ364" s="19" t="s">
        <v>151</v>
      </c>
      <c r="DA364" s="24">
        <v>25</v>
      </c>
      <c r="DB364" s="22">
        <v>45027</v>
      </c>
      <c r="DC364" s="17" t="s">
        <v>293</v>
      </c>
      <c r="DD364" s="16" t="s">
        <v>151</v>
      </c>
      <c r="DE364" s="19">
        <v>0.46</v>
      </c>
      <c r="DF364" s="21">
        <v>94</v>
      </c>
      <c r="DG364" s="19">
        <v>0</v>
      </c>
      <c r="DH364" s="19">
        <v>0</v>
      </c>
      <c r="DI364" s="19">
        <v>0.46</v>
      </c>
      <c r="DJ364" s="21">
        <v>95</v>
      </c>
      <c r="DK364" s="19">
        <v>0.52</v>
      </c>
      <c r="DL364" s="21">
        <v>91</v>
      </c>
      <c r="DM364" s="19">
        <v>0.4</v>
      </c>
      <c r="DN364" s="21">
        <v>94</v>
      </c>
      <c r="DO364" s="23">
        <v>381.61</v>
      </c>
      <c r="DP364" s="21">
        <v>100</v>
      </c>
      <c r="DQ364" s="23">
        <v>0</v>
      </c>
      <c r="DR364" s="19">
        <v>0</v>
      </c>
      <c r="DS364" s="23">
        <v>381.61</v>
      </c>
      <c r="DT364" s="21">
        <v>100</v>
      </c>
      <c r="DU364" s="23">
        <v>561.17</v>
      </c>
      <c r="DV364" s="21">
        <v>100</v>
      </c>
      <c r="DW364" s="23">
        <v>202.05</v>
      </c>
      <c r="DX364" s="21">
        <v>100</v>
      </c>
      <c r="DY364" s="18" t="s">
        <v>151</v>
      </c>
      <c r="DZ364" s="22" t="s">
        <v>151</v>
      </c>
      <c r="EA364" s="22" t="s">
        <v>151</v>
      </c>
      <c r="EB364" s="21">
        <v>115270</v>
      </c>
      <c r="EC364" s="20">
        <v>993</v>
      </c>
      <c r="ED364" s="19">
        <v>0.87</v>
      </c>
      <c r="EE364" s="21">
        <v>3839</v>
      </c>
      <c r="EF364" s="20">
        <v>11</v>
      </c>
      <c r="EG364" s="19">
        <v>0.29</v>
      </c>
      <c r="EH364" s="16" t="s">
        <v>198</v>
      </c>
      <c r="EI364" s="17" t="s">
        <v>151</v>
      </c>
      <c r="EJ364" s="17" t="s">
        <v>151</v>
      </c>
      <c r="EK364" s="18" t="s">
        <v>151</v>
      </c>
      <c r="EL364" s="18" t="s">
        <v>151</v>
      </c>
      <c r="EM364" s="18" t="s">
        <v>151</v>
      </c>
      <c r="EN364" s="18" t="s">
        <v>151</v>
      </c>
      <c r="EO364" s="18" t="s">
        <v>151</v>
      </c>
      <c r="EP364" s="17" t="s">
        <v>151</v>
      </c>
      <c r="EQ364" s="16" t="s">
        <v>151</v>
      </c>
      <c r="ER364" s="16" t="s">
        <v>151</v>
      </c>
      <c r="ES364" s="3">
        <f>HYPERLINK("https://my.pitchbook.com?c=465209-56","View Company Online")</f>
      </c>
    </row>
    <row r="365">
      <c r="A365" s="30" t="s">
        <v>7895</v>
      </c>
      <c r="B365" s="30" t="s">
        <v>7896</v>
      </c>
      <c r="C365" s="31" t="s">
        <v>151</v>
      </c>
      <c r="D365" s="30" t="s">
        <v>151</v>
      </c>
      <c r="E365" s="30" t="s">
        <v>151</v>
      </c>
      <c r="F365" s="30" t="s">
        <v>7897</v>
      </c>
      <c r="G365" s="30" t="s">
        <v>151</v>
      </c>
      <c r="H365" s="30" t="s">
        <v>151</v>
      </c>
      <c r="I365" s="30" t="s">
        <v>7898</v>
      </c>
      <c r="J365" s="30" t="s">
        <v>7895</v>
      </c>
      <c r="K365" s="30" t="s">
        <v>7899</v>
      </c>
      <c r="L365" s="30" t="s">
        <v>205</v>
      </c>
      <c r="M365" s="30" t="s">
        <v>206</v>
      </c>
      <c r="N365" s="30" t="s">
        <v>1268</v>
      </c>
      <c r="O365" s="30" t="s">
        <v>1269</v>
      </c>
      <c r="P365" s="30" t="s">
        <v>892</v>
      </c>
      <c r="Q365" s="30" t="s">
        <v>7900</v>
      </c>
      <c r="R365" s="30" t="s">
        <v>151</v>
      </c>
      <c r="S365" s="30" t="s">
        <v>162</v>
      </c>
      <c r="T365" s="37">
        <v>2.6</v>
      </c>
      <c r="U365" s="30" t="s">
        <v>163</v>
      </c>
      <c r="V365" s="30" t="s">
        <v>164</v>
      </c>
      <c r="W365" s="30" t="s">
        <v>165</v>
      </c>
      <c r="X365" s="28" t="s">
        <v>7901</v>
      </c>
      <c r="Y365" s="28" t="s">
        <v>7902</v>
      </c>
      <c r="Z365" s="40">
        <v>3</v>
      </c>
      <c r="AA365" s="30" t="s">
        <v>7903</v>
      </c>
      <c r="AB365" s="30" t="s">
        <v>151</v>
      </c>
      <c r="AC365" s="30" t="s">
        <v>151</v>
      </c>
      <c r="AD365" s="39">
        <v>2021</v>
      </c>
      <c r="AE365" s="30" t="s">
        <v>151</v>
      </c>
      <c r="AF365" s="35">
        <v>45568</v>
      </c>
      <c r="AG365" s="30" t="s">
        <v>151</v>
      </c>
      <c r="AH365" s="30" t="s">
        <v>151</v>
      </c>
      <c r="AI365" s="38">
        <v>0.7</v>
      </c>
      <c r="AJ365" s="32" t="s">
        <v>151</v>
      </c>
      <c r="AK365" s="38" t="s">
        <v>151</v>
      </c>
      <c r="AL365" s="38" t="s">
        <v>151</v>
      </c>
      <c r="AM365" s="38" t="s">
        <v>151</v>
      </c>
      <c r="AN365" s="38" t="s">
        <v>151</v>
      </c>
      <c r="AO365" s="38" t="s">
        <v>151</v>
      </c>
      <c r="AP365" s="38" t="s">
        <v>151</v>
      </c>
      <c r="AQ365" s="38" t="s">
        <v>151</v>
      </c>
      <c r="AR365" s="29" t="s">
        <v>841</v>
      </c>
      <c r="AS365" s="30" t="s">
        <v>7904</v>
      </c>
      <c r="AT365" s="30" t="s">
        <v>7905</v>
      </c>
      <c r="AU365" s="31">
        <v>14</v>
      </c>
      <c r="AV365" s="30" t="s">
        <v>151</v>
      </c>
      <c r="AW365" s="30" t="s">
        <v>151</v>
      </c>
      <c r="AX365" s="30" t="s">
        <v>151</v>
      </c>
      <c r="AY365" s="30" t="s">
        <v>7906</v>
      </c>
      <c r="AZ365" s="30" t="s">
        <v>151</v>
      </c>
      <c r="BA365" s="30" t="s">
        <v>151</v>
      </c>
      <c r="BB365" s="30" t="s">
        <v>1062</v>
      </c>
      <c r="BC365" s="30" t="s">
        <v>1062</v>
      </c>
      <c r="BD365" s="30" t="s">
        <v>7907</v>
      </c>
      <c r="BE365" s="30" t="s">
        <v>7908</v>
      </c>
      <c r="BF365" s="30" t="s">
        <v>221</v>
      </c>
      <c r="BG365" s="30" t="s">
        <v>7909</v>
      </c>
      <c r="BH365" s="30" t="s">
        <v>7910</v>
      </c>
      <c r="BI365" s="30" t="s">
        <v>1409</v>
      </c>
      <c r="BJ365" s="30" t="s">
        <v>7911</v>
      </c>
      <c r="BK365" s="30" t="s">
        <v>7912</v>
      </c>
      <c r="BL365" s="30" t="s">
        <v>1412</v>
      </c>
      <c r="BM365" s="30" t="s">
        <v>823</v>
      </c>
      <c r="BN365" s="29" t="s">
        <v>4074</v>
      </c>
      <c r="BO365" s="30" t="s">
        <v>186</v>
      </c>
      <c r="BP365" s="29" t="s">
        <v>151</v>
      </c>
      <c r="BQ365" s="29" t="s">
        <v>151</v>
      </c>
      <c r="BR365" s="30" t="s">
        <v>7913</v>
      </c>
      <c r="BS365" s="30" t="s">
        <v>187</v>
      </c>
      <c r="BT365" s="30" t="s">
        <v>188</v>
      </c>
      <c r="BU365" s="35">
        <v>44615</v>
      </c>
      <c r="BV365" s="37">
        <v>1.2</v>
      </c>
      <c r="BW365" s="30" t="s">
        <v>192</v>
      </c>
      <c r="BX365" s="37">
        <v>10</v>
      </c>
      <c r="BY365" s="30" t="s">
        <v>192</v>
      </c>
      <c r="BZ365" s="30" t="s">
        <v>231</v>
      </c>
      <c r="CA365" s="30" t="s">
        <v>151</v>
      </c>
      <c r="CB365" s="30" t="s">
        <v>151</v>
      </c>
      <c r="CC365" s="30" t="s">
        <v>165</v>
      </c>
      <c r="CD365" s="30" t="s">
        <v>151</v>
      </c>
      <c r="CE365" s="30" t="s">
        <v>191</v>
      </c>
      <c r="CF365" s="35">
        <v>45017</v>
      </c>
      <c r="CG365" s="37" t="s">
        <v>151</v>
      </c>
      <c r="CH365" s="30" t="s">
        <v>151</v>
      </c>
      <c r="CI365" s="37" t="s">
        <v>151</v>
      </c>
      <c r="CJ365" s="30" t="s">
        <v>151</v>
      </c>
      <c r="CK365" s="29">
        <v>0.56</v>
      </c>
      <c r="CL365" s="30" t="s">
        <v>293</v>
      </c>
      <c r="CM365" s="30" t="s">
        <v>293</v>
      </c>
      <c r="CN365" s="30" t="s">
        <v>151</v>
      </c>
      <c r="CO365" s="30" t="s">
        <v>165</v>
      </c>
      <c r="CP365" s="35">
        <v>45017</v>
      </c>
      <c r="CQ365" s="37" t="s">
        <v>151</v>
      </c>
      <c r="CR365" s="30" t="s">
        <v>355</v>
      </c>
      <c r="CS365" s="30" t="s">
        <v>859</v>
      </c>
      <c r="CT365" s="29">
        <v>41</v>
      </c>
      <c r="CU365" s="30" t="s">
        <v>263</v>
      </c>
      <c r="CV365" s="32">
        <v>41</v>
      </c>
      <c r="CW365" s="32">
        <v>59</v>
      </c>
      <c r="CX365" s="30" t="s">
        <v>263</v>
      </c>
      <c r="CY365" s="32">
        <v>1</v>
      </c>
      <c r="CZ365" s="32">
        <v>40</v>
      </c>
      <c r="DA365" s="37">
        <v>7</v>
      </c>
      <c r="DB365" s="35">
        <v>45231</v>
      </c>
      <c r="DC365" s="30" t="s">
        <v>231</v>
      </c>
      <c r="DD365" s="29">
        <v>0.56</v>
      </c>
      <c r="DE365" s="32">
        <v>-1.42</v>
      </c>
      <c r="DF365" s="34">
        <v>3</v>
      </c>
      <c r="DG365" s="32">
        <v>0</v>
      </c>
      <c r="DH365" s="32">
        <v>0</v>
      </c>
      <c r="DI365" s="32">
        <v>-1.42</v>
      </c>
      <c r="DJ365" s="34">
        <v>3</v>
      </c>
      <c r="DK365" s="32" t="s">
        <v>151</v>
      </c>
      <c r="DL365" s="34" t="s">
        <v>151</v>
      </c>
      <c r="DM365" s="32">
        <v>-1.42</v>
      </c>
      <c r="DN365" s="34">
        <v>3</v>
      </c>
      <c r="DO365" s="36">
        <v>5.63</v>
      </c>
      <c r="DP365" s="34">
        <v>84</v>
      </c>
      <c r="DQ365" s="36">
        <v>0</v>
      </c>
      <c r="DR365" s="32">
        <v>0</v>
      </c>
      <c r="DS365" s="36">
        <v>5.63</v>
      </c>
      <c r="DT365" s="34">
        <v>84</v>
      </c>
      <c r="DU365" s="36" t="s">
        <v>151</v>
      </c>
      <c r="DV365" s="34" t="s">
        <v>151</v>
      </c>
      <c r="DW365" s="36">
        <v>5.63</v>
      </c>
      <c r="DX365" s="34">
        <v>83</v>
      </c>
      <c r="DY365" s="31" t="s">
        <v>151</v>
      </c>
      <c r="DZ365" s="35" t="s">
        <v>151</v>
      </c>
      <c r="EA365" s="35" t="s">
        <v>151</v>
      </c>
      <c r="EB365" s="34">
        <v>475</v>
      </c>
      <c r="EC365" s="33">
        <v>-58</v>
      </c>
      <c r="ED365" s="32">
        <v>-10.88</v>
      </c>
      <c r="EE365" s="34">
        <v>107</v>
      </c>
      <c r="EF365" s="33">
        <v>-1</v>
      </c>
      <c r="EG365" s="32">
        <v>-0.93</v>
      </c>
      <c r="EH365" s="29" t="s">
        <v>198</v>
      </c>
      <c r="EI365" s="30" t="s">
        <v>151</v>
      </c>
      <c r="EJ365" s="30" t="s">
        <v>151</v>
      </c>
      <c r="EK365" s="31" t="s">
        <v>151</v>
      </c>
      <c r="EL365" s="31" t="s">
        <v>151</v>
      </c>
      <c r="EM365" s="31" t="s">
        <v>151</v>
      </c>
      <c r="EN365" s="31" t="s">
        <v>151</v>
      </c>
      <c r="EO365" s="31" t="s">
        <v>151</v>
      </c>
      <c r="EP365" s="30" t="s">
        <v>151</v>
      </c>
      <c r="EQ365" s="29" t="s">
        <v>151</v>
      </c>
      <c r="ER365" s="29" t="s">
        <v>151</v>
      </c>
      <c r="ES365" s="4">
        <f>HYPERLINK("https://my.pitchbook.com?c=490134-52","View Company Online")</f>
      </c>
    </row>
    <row r="366">
      <c r="A366" s="17" t="s">
        <v>7914</v>
      </c>
      <c r="B366" s="17" t="s">
        <v>7915</v>
      </c>
      <c r="C366" s="18" t="s">
        <v>151</v>
      </c>
      <c r="D366" s="17" t="s">
        <v>151</v>
      </c>
      <c r="E366" s="17" t="s">
        <v>7916</v>
      </c>
      <c r="F366" s="17" t="s">
        <v>7917</v>
      </c>
      <c r="G366" s="17" t="s">
        <v>151</v>
      </c>
      <c r="H366" s="17" t="s">
        <v>151</v>
      </c>
      <c r="I366" s="17" t="s">
        <v>151</v>
      </c>
      <c r="J366" s="17" t="s">
        <v>7914</v>
      </c>
      <c r="K366" s="17" t="s">
        <v>7918</v>
      </c>
      <c r="L366" s="17" t="s">
        <v>205</v>
      </c>
      <c r="M366" s="17" t="s">
        <v>206</v>
      </c>
      <c r="N366" s="17" t="s">
        <v>998</v>
      </c>
      <c r="O366" s="17" t="s">
        <v>4620</v>
      </c>
      <c r="P366" s="17" t="s">
        <v>7919</v>
      </c>
      <c r="Q366" s="17" t="s">
        <v>7920</v>
      </c>
      <c r="R366" s="17" t="s">
        <v>151</v>
      </c>
      <c r="S366" s="17" t="s">
        <v>162</v>
      </c>
      <c r="T366" s="24">
        <v>4.6</v>
      </c>
      <c r="U366" s="17" t="s">
        <v>163</v>
      </c>
      <c r="V366" s="17" t="s">
        <v>164</v>
      </c>
      <c r="W366" s="17" t="s">
        <v>165</v>
      </c>
      <c r="X366" s="15" t="s">
        <v>7921</v>
      </c>
      <c r="Y366" s="15" t="s">
        <v>7922</v>
      </c>
      <c r="Z366" s="27">
        <v>6</v>
      </c>
      <c r="AA366" s="17" t="s">
        <v>4389</v>
      </c>
      <c r="AB366" s="17" t="s">
        <v>151</v>
      </c>
      <c r="AC366" s="17" t="s">
        <v>151</v>
      </c>
      <c r="AD366" s="26">
        <v>2022</v>
      </c>
      <c r="AE366" s="17" t="s">
        <v>151</v>
      </c>
      <c r="AF366" s="22">
        <v>45530</v>
      </c>
      <c r="AG366" s="17" t="s">
        <v>151</v>
      </c>
      <c r="AH366" s="17" t="s">
        <v>151</v>
      </c>
      <c r="AI366" s="25" t="s">
        <v>151</v>
      </c>
      <c r="AJ366" s="19" t="s">
        <v>151</v>
      </c>
      <c r="AK366" s="25" t="s">
        <v>151</v>
      </c>
      <c r="AL366" s="25" t="s">
        <v>151</v>
      </c>
      <c r="AM366" s="25" t="s">
        <v>151</v>
      </c>
      <c r="AN366" s="25" t="s">
        <v>151</v>
      </c>
      <c r="AO366" s="25" t="s">
        <v>151</v>
      </c>
      <c r="AP366" s="25" t="s">
        <v>151</v>
      </c>
      <c r="AQ366" s="25" t="s">
        <v>151</v>
      </c>
      <c r="AR366" s="16" t="s">
        <v>151</v>
      </c>
      <c r="AS366" s="17" t="s">
        <v>7923</v>
      </c>
      <c r="AT366" s="17" t="s">
        <v>7924</v>
      </c>
      <c r="AU366" s="18">
        <v>19</v>
      </c>
      <c r="AV366" s="17" t="s">
        <v>151</v>
      </c>
      <c r="AW366" s="17" t="s">
        <v>7925</v>
      </c>
      <c r="AX366" s="17" t="s">
        <v>151</v>
      </c>
      <c r="AY366" s="17" t="s">
        <v>7926</v>
      </c>
      <c r="AZ366" s="17" t="s">
        <v>7927</v>
      </c>
      <c r="BA366" s="17" t="s">
        <v>151</v>
      </c>
      <c r="BB366" s="17" t="s">
        <v>151</v>
      </c>
      <c r="BC366" s="17" t="s">
        <v>151</v>
      </c>
      <c r="BD366" s="17" t="s">
        <v>7928</v>
      </c>
      <c r="BE366" s="17" t="s">
        <v>7929</v>
      </c>
      <c r="BF366" s="17" t="s">
        <v>221</v>
      </c>
      <c r="BG366" s="17" t="s">
        <v>151</v>
      </c>
      <c r="BH366" s="17" t="s">
        <v>151</v>
      </c>
      <c r="BI366" s="17" t="s">
        <v>764</v>
      </c>
      <c r="BJ366" s="17" t="s">
        <v>7930</v>
      </c>
      <c r="BK366" s="17" t="s">
        <v>151</v>
      </c>
      <c r="BL366" s="17" t="s">
        <v>767</v>
      </c>
      <c r="BM366" s="17" t="s">
        <v>184</v>
      </c>
      <c r="BN366" s="16" t="s">
        <v>7178</v>
      </c>
      <c r="BO366" s="17" t="s">
        <v>186</v>
      </c>
      <c r="BP366" s="16" t="s">
        <v>151</v>
      </c>
      <c r="BQ366" s="16" t="s">
        <v>151</v>
      </c>
      <c r="BR366" s="17" t="s">
        <v>151</v>
      </c>
      <c r="BS366" s="17" t="s">
        <v>187</v>
      </c>
      <c r="BT366" s="17" t="s">
        <v>188</v>
      </c>
      <c r="BU366" s="22">
        <v>45169</v>
      </c>
      <c r="BV366" s="24">
        <v>4.6</v>
      </c>
      <c r="BW366" s="17" t="s">
        <v>192</v>
      </c>
      <c r="BX366" s="24" t="s">
        <v>151</v>
      </c>
      <c r="BY366" s="17" t="s">
        <v>151</v>
      </c>
      <c r="BZ366" s="17" t="s">
        <v>293</v>
      </c>
      <c r="CA366" s="17" t="s">
        <v>293</v>
      </c>
      <c r="CB366" s="17" t="s">
        <v>151</v>
      </c>
      <c r="CC366" s="17" t="s">
        <v>165</v>
      </c>
      <c r="CD366" s="17" t="s">
        <v>151</v>
      </c>
      <c r="CE366" s="17" t="s">
        <v>191</v>
      </c>
      <c r="CF366" s="22">
        <v>45169</v>
      </c>
      <c r="CG366" s="24">
        <v>4.6</v>
      </c>
      <c r="CH366" s="17" t="s">
        <v>192</v>
      </c>
      <c r="CI366" s="24" t="s">
        <v>151</v>
      </c>
      <c r="CJ366" s="17" t="s">
        <v>151</v>
      </c>
      <c r="CK366" s="16" t="s">
        <v>151</v>
      </c>
      <c r="CL366" s="17" t="s">
        <v>293</v>
      </c>
      <c r="CM366" s="17" t="s">
        <v>293</v>
      </c>
      <c r="CN366" s="17" t="s">
        <v>151</v>
      </c>
      <c r="CO366" s="17" t="s">
        <v>165</v>
      </c>
      <c r="CP366" s="22">
        <v>45169</v>
      </c>
      <c r="CQ366" s="24" t="s">
        <v>151</v>
      </c>
      <c r="CR366" s="17" t="s">
        <v>151</v>
      </c>
      <c r="CS366" s="17" t="s">
        <v>191</v>
      </c>
      <c r="CT366" s="16" t="s">
        <v>151</v>
      </c>
      <c r="CU366" s="17" t="s">
        <v>151</v>
      </c>
      <c r="CV366" s="19" t="s">
        <v>151</v>
      </c>
      <c r="CW366" s="19" t="s">
        <v>151</v>
      </c>
      <c r="CX366" s="17" t="s">
        <v>151</v>
      </c>
      <c r="CY366" s="19" t="s">
        <v>151</v>
      </c>
      <c r="CZ366" s="19" t="s">
        <v>151</v>
      </c>
      <c r="DA366" s="24" t="s">
        <v>151</v>
      </c>
      <c r="DB366" s="22" t="s">
        <v>151</v>
      </c>
      <c r="DC366" s="17" t="s">
        <v>151</v>
      </c>
      <c r="DD366" s="16" t="s">
        <v>151</v>
      </c>
      <c r="DE366" s="19">
        <v>2.01</v>
      </c>
      <c r="DF366" s="21">
        <v>98</v>
      </c>
      <c r="DG366" s="19">
        <v>0</v>
      </c>
      <c r="DH366" s="19">
        <v>0</v>
      </c>
      <c r="DI366" s="19">
        <v>1.52</v>
      </c>
      <c r="DJ366" s="21">
        <v>97</v>
      </c>
      <c r="DK366" s="19" t="s">
        <v>151</v>
      </c>
      <c r="DL366" s="21" t="s">
        <v>151</v>
      </c>
      <c r="DM366" s="19">
        <v>1.52</v>
      </c>
      <c r="DN366" s="21">
        <v>98</v>
      </c>
      <c r="DO366" s="23">
        <v>12.1</v>
      </c>
      <c r="DP366" s="21">
        <v>92</v>
      </c>
      <c r="DQ366" s="23">
        <v>0</v>
      </c>
      <c r="DR366" s="19">
        <v>0</v>
      </c>
      <c r="DS366" s="23">
        <v>23.74</v>
      </c>
      <c r="DT366" s="21">
        <v>96</v>
      </c>
      <c r="DU366" s="23" t="s">
        <v>151</v>
      </c>
      <c r="DV366" s="21" t="s">
        <v>151</v>
      </c>
      <c r="DW366" s="23">
        <v>23.74</v>
      </c>
      <c r="DX366" s="21">
        <v>96</v>
      </c>
      <c r="DY366" s="18" t="s">
        <v>151</v>
      </c>
      <c r="DZ366" s="22" t="s">
        <v>151</v>
      </c>
      <c r="EA366" s="22" t="s">
        <v>151</v>
      </c>
      <c r="EB366" s="21">
        <v>5430</v>
      </c>
      <c r="EC366" s="20">
        <v>176</v>
      </c>
      <c r="ED366" s="19">
        <v>3.35</v>
      </c>
      <c r="EE366" s="21">
        <v>451</v>
      </c>
      <c r="EF366" s="20">
        <v>8</v>
      </c>
      <c r="EG366" s="19">
        <v>1.81</v>
      </c>
      <c r="EH366" s="16" t="s">
        <v>198</v>
      </c>
      <c r="EI366" s="17" t="s">
        <v>151</v>
      </c>
      <c r="EJ366" s="17" t="s">
        <v>151</v>
      </c>
      <c r="EK366" s="18" t="s">
        <v>151</v>
      </c>
      <c r="EL366" s="18" t="s">
        <v>151</v>
      </c>
      <c r="EM366" s="18" t="s">
        <v>151</v>
      </c>
      <c r="EN366" s="18" t="s">
        <v>151</v>
      </c>
      <c r="EO366" s="18" t="s">
        <v>151</v>
      </c>
      <c r="EP366" s="17" t="s">
        <v>151</v>
      </c>
      <c r="EQ366" s="16" t="s">
        <v>151</v>
      </c>
      <c r="ER366" s="16" t="s">
        <v>151</v>
      </c>
      <c r="ES366" s="3">
        <f>HYPERLINK("https://my.pitchbook.com?c=534872-71","View Company Online")</f>
      </c>
    </row>
    <row r="367">
      <c r="A367" s="30" t="s">
        <v>7931</v>
      </c>
      <c r="B367" s="30" t="s">
        <v>7932</v>
      </c>
      <c r="C367" s="31" t="s">
        <v>151</v>
      </c>
      <c r="D367" s="30" t="s">
        <v>151</v>
      </c>
      <c r="E367" s="30" t="s">
        <v>7933</v>
      </c>
      <c r="F367" s="30" t="s">
        <v>7934</v>
      </c>
      <c r="G367" s="30" t="s">
        <v>151</v>
      </c>
      <c r="H367" s="30" t="s">
        <v>151</v>
      </c>
      <c r="I367" s="30" t="s">
        <v>151</v>
      </c>
      <c r="J367" s="30" t="s">
        <v>7931</v>
      </c>
      <c r="K367" s="30" t="s">
        <v>7935</v>
      </c>
      <c r="L367" s="30" t="s">
        <v>205</v>
      </c>
      <c r="M367" s="30" t="s">
        <v>206</v>
      </c>
      <c r="N367" s="30" t="s">
        <v>1268</v>
      </c>
      <c r="O367" s="30" t="s">
        <v>7936</v>
      </c>
      <c r="P367" s="30" t="s">
        <v>209</v>
      </c>
      <c r="Q367" s="30" t="s">
        <v>7937</v>
      </c>
      <c r="R367" s="30" t="s">
        <v>211</v>
      </c>
      <c r="S367" s="30" t="s">
        <v>162</v>
      </c>
      <c r="T367" s="37">
        <v>0.12</v>
      </c>
      <c r="U367" s="30" t="s">
        <v>163</v>
      </c>
      <c r="V367" s="30" t="s">
        <v>164</v>
      </c>
      <c r="W367" s="30" t="s">
        <v>165</v>
      </c>
      <c r="X367" s="28" t="s">
        <v>7938</v>
      </c>
      <c r="Y367" s="28" t="s">
        <v>7939</v>
      </c>
      <c r="Z367" s="40">
        <v>12</v>
      </c>
      <c r="AA367" s="30" t="s">
        <v>7940</v>
      </c>
      <c r="AB367" s="30" t="s">
        <v>151</v>
      </c>
      <c r="AC367" s="30" t="s">
        <v>151</v>
      </c>
      <c r="AD367" s="39">
        <v>2021</v>
      </c>
      <c r="AE367" s="30" t="s">
        <v>151</v>
      </c>
      <c r="AF367" s="35">
        <v>45608</v>
      </c>
      <c r="AG367" s="30" t="s">
        <v>151</v>
      </c>
      <c r="AH367" s="30" t="s">
        <v>151</v>
      </c>
      <c r="AI367" s="38" t="s">
        <v>151</v>
      </c>
      <c r="AJ367" s="32" t="s">
        <v>151</v>
      </c>
      <c r="AK367" s="38" t="s">
        <v>151</v>
      </c>
      <c r="AL367" s="38" t="s">
        <v>151</v>
      </c>
      <c r="AM367" s="38" t="s">
        <v>151</v>
      </c>
      <c r="AN367" s="38" t="s">
        <v>151</v>
      </c>
      <c r="AO367" s="38" t="s">
        <v>151</v>
      </c>
      <c r="AP367" s="38" t="s">
        <v>151</v>
      </c>
      <c r="AQ367" s="38" t="s">
        <v>151</v>
      </c>
      <c r="AR367" s="29" t="s">
        <v>151</v>
      </c>
      <c r="AS367" s="30" t="s">
        <v>7941</v>
      </c>
      <c r="AT367" s="30" t="s">
        <v>7942</v>
      </c>
      <c r="AU367" s="31">
        <v>17</v>
      </c>
      <c r="AV367" s="30" t="s">
        <v>151</v>
      </c>
      <c r="AW367" s="30" t="s">
        <v>151</v>
      </c>
      <c r="AX367" s="30" t="s">
        <v>151</v>
      </c>
      <c r="AY367" s="30" t="s">
        <v>7943</v>
      </c>
      <c r="AZ367" s="30" t="s">
        <v>151</v>
      </c>
      <c r="BA367" s="30" t="s">
        <v>151</v>
      </c>
      <c r="BB367" s="30" t="s">
        <v>151</v>
      </c>
      <c r="BC367" s="30" t="s">
        <v>151</v>
      </c>
      <c r="BD367" s="30" t="s">
        <v>7944</v>
      </c>
      <c r="BE367" s="30" t="s">
        <v>7945</v>
      </c>
      <c r="BF367" s="30" t="s">
        <v>7946</v>
      </c>
      <c r="BG367" s="30" t="s">
        <v>7947</v>
      </c>
      <c r="BH367" s="30" t="s">
        <v>151</v>
      </c>
      <c r="BI367" s="30" t="s">
        <v>7948</v>
      </c>
      <c r="BJ367" s="30" t="s">
        <v>7949</v>
      </c>
      <c r="BK367" s="30" t="s">
        <v>151</v>
      </c>
      <c r="BL367" s="30" t="s">
        <v>7950</v>
      </c>
      <c r="BM367" s="30" t="s">
        <v>823</v>
      </c>
      <c r="BN367" s="29" t="s">
        <v>7951</v>
      </c>
      <c r="BO367" s="30" t="s">
        <v>186</v>
      </c>
      <c r="BP367" s="29" t="s">
        <v>151</v>
      </c>
      <c r="BQ367" s="29" t="s">
        <v>151</v>
      </c>
      <c r="BR367" s="30" t="s">
        <v>151</v>
      </c>
      <c r="BS367" s="30" t="s">
        <v>187</v>
      </c>
      <c r="BT367" s="30" t="s">
        <v>188</v>
      </c>
      <c r="BU367" s="35">
        <v>44469</v>
      </c>
      <c r="BV367" s="37">
        <v>0.12</v>
      </c>
      <c r="BW367" s="30" t="s">
        <v>192</v>
      </c>
      <c r="BX367" s="37" t="s">
        <v>151</v>
      </c>
      <c r="BY367" s="30" t="s">
        <v>151</v>
      </c>
      <c r="BZ367" s="30" t="s">
        <v>231</v>
      </c>
      <c r="CA367" s="30" t="s">
        <v>151</v>
      </c>
      <c r="CB367" s="30" t="s">
        <v>151</v>
      </c>
      <c r="CC367" s="30" t="s">
        <v>165</v>
      </c>
      <c r="CD367" s="30" t="s">
        <v>151</v>
      </c>
      <c r="CE367" s="30" t="s">
        <v>191</v>
      </c>
      <c r="CF367" s="35">
        <v>45413</v>
      </c>
      <c r="CG367" s="37" t="s">
        <v>151</v>
      </c>
      <c r="CH367" s="30" t="s">
        <v>151</v>
      </c>
      <c r="CI367" s="37" t="s">
        <v>151</v>
      </c>
      <c r="CJ367" s="30" t="s">
        <v>151</v>
      </c>
      <c r="CK367" s="29" t="s">
        <v>151</v>
      </c>
      <c r="CL367" s="30" t="s">
        <v>231</v>
      </c>
      <c r="CM367" s="30" t="s">
        <v>151</v>
      </c>
      <c r="CN367" s="30" t="s">
        <v>151</v>
      </c>
      <c r="CO367" s="30" t="s">
        <v>165</v>
      </c>
      <c r="CP367" s="35">
        <v>45413</v>
      </c>
      <c r="CQ367" s="37" t="s">
        <v>151</v>
      </c>
      <c r="CR367" s="30" t="s">
        <v>151</v>
      </c>
      <c r="CS367" s="30" t="s">
        <v>191</v>
      </c>
      <c r="CT367" s="29">
        <v>64</v>
      </c>
      <c r="CU367" s="30" t="s">
        <v>196</v>
      </c>
      <c r="CV367" s="32">
        <v>60</v>
      </c>
      <c r="CW367" s="32">
        <v>40</v>
      </c>
      <c r="CX367" s="30" t="s">
        <v>294</v>
      </c>
      <c r="CY367" s="32">
        <v>1</v>
      </c>
      <c r="CZ367" s="32">
        <v>59</v>
      </c>
      <c r="DA367" s="37" t="s">
        <v>151</v>
      </c>
      <c r="DB367" s="35" t="s">
        <v>151</v>
      </c>
      <c r="DC367" s="30" t="s">
        <v>151</v>
      </c>
      <c r="DD367" s="29" t="s">
        <v>151</v>
      </c>
      <c r="DE367" s="32">
        <v>0.57</v>
      </c>
      <c r="DF367" s="34">
        <v>94</v>
      </c>
      <c r="DG367" s="32">
        <v>0</v>
      </c>
      <c r="DH367" s="32">
        <v>0</v>
      </c>
      <c r="DI367" s="32">
        <v>0</v>
      </c>
      <c r="DJ367" s="34">
        <v>10</v>
      </c>
      <c r="DK367" s="32" t="s">
        <v>151</v>
      </c>
      <c r="DL367" s="34" t="s">
        <v>151</v>
      </c>
      <c r="DM367" s="32">
        <v>0</v>
      </c>
      <c r="DN367" s="34">
        <v>10</v>
      </c>
      <c r="DO367" s="36">
        <v>1.83</v>
      </c>
      <c r="DP367" s="34">
        <v>64</v>
      </c>
      <c r="DQ367" s="36">
        <v>0</v>
      </c>
      <c r="DR367" s="32">
        <v>0</v>
      </c>
      <c r="DS367" s="36">
        <v>2.74</v>
      </c>
      <c r="DT367" s="34">
        <v>72</v>
      </c>
      <c r="DU367" s="36" t="s">
        <v>151</v>
      </c>
      <c r="DV367" s="34" t="s">
        <v>151</v>
      </c>
      <c r="DW367" s="36">
        <v>2.74</v>
      </c>
      <c r="DX367" s="34">
        <v>72</v>
      </c>
      <c r="DY367" s="31" t="s">
        <v>151</v>
      </c>
      <c r="DZ367" s="35" t="s">
        <v>151</v>
      </c>
      <c r="EA367" s="35" t="s">
        <v>151</v>
      </c>
      <c r="EB367" s="34">
        <v>3312</v>
      </c>
      <c r="EC367" s="33">
        <v>373</v>
      </c>
      <c r="ED367" s="32">
        <v>12.69</v>
      </c>
      <c r="EE367" s="34">
        <v>52</v>
      </c>
      <c r="EF367" s="33">
        <v>0</v>
      </c>
      <c r="EG367" s="32">
        <v>0</v>
      </c>
      <c r="EH367" s="29" t="s">
        <v>198</v>
      </c>
      <c r="EI367" s="30" t="s">
        <v>151</v>
      </c>
      <c r="EJ367" s="30" t="s">
        <v>151</v>
      </c>
      <c r="EK367" s="31" t="s">
        <v>151</v>
      </c>
      <c r="EL367" s="31" t="s">
        <v>151</v>
      </c>
      <c r="EM367" s="31" t="s">
        <v>151</v>
      </c>
      <c r="EN367" s="31" t="s">
        <v>151</v>
      </c>
      <c r="EO367" s="31" t="s">
        <v>151</v>
      </c>
      <c r="EP367" s="30" t="s">
        <v>151</v>
      </c>
      <c r="EQ367" s="29" t="s">
        <v>151</v>
      </c>
      <c r="ER367" s="29" t="s">
        <v>151</v>
      </c>
      <c r="ES367" s="4">
        <f>HYPERLINK("https://my.pitchbook.com?c=489580-57","View Company Online")</f>
      </c>
    </row>
    <row r="368">
      <c r="A368" s="17" t="s">
        <v>7952</v>
      </c>
      <c r="B368" s="17" t="s">
        <v>7953</v>
      </c>
      <c r="C368" s="18" t="s">
        <v>151</v>
      </c>
      <c r="D368" s="17" t="s">
        <v>151</v>
      </c>
      <c r="E368" s="17" t="s">
        <v>7954</v>
      </c>
      <c r="F368" s="17" t="s">
        <v>7955</v>
      </c>
      <c r="G368" s="17" t="s">
        <v>151</v>
      </c>
      <c r="H368" s="17" t="s">
        <v>151</v>
      </c>
      <c r="I368" s="17" t="s">
        <v>151</v>
      </c>
      <c r="J368" s="17" t="s">
        <v>7952</v>
      </c>
      <c r="K368" s="17" t="s">
        <v>7956</v>
      </c>
      <c r="L368" s="17" t="s">
        <v>205</v>
      </c>
      <c r="M368" s="17" t="s">
        <v>206</v>
      </c>
      <c r="N368" s="17" t="s">
        <v>269</v>
      </c>
      <c r="O368" s="17" t="s">
        <v>563</v>
      </c>
      <c r="P368" s="17" t="s">
        <v>1153</v>
      </c>
      <c r="Q368" s="17" t="s">
        <v>7957</v>
      </c>
      <c r="R368" s="17" t="s">
        <v>780</v>
      </c>
      <c r="S368" s="17" t="s">
        <v>162</v>
      </c>
      <c r="T368" s="24">
        <v>0.9</v>
      </c>
      <c r="U368" s="17" t="s">
        <v>163</v>
      </c>
      <c r="V368" s="17" t="s">
        <v>164</v>
      </c>
      <c r="W368" s="17" t="s">
        <v>165</v>
      </c>
      <c r="X368" s="15" t="s">
        <v>7958</v>
      </c>
      <c r="Y368" s="15" t="s">
        <v>7959</v>
      </c>
      <c r="Z368" s="27">
        <v>10</v>
      </c>
      <c r="AA368" s="17" t="s">
        <v>5417</v>
      </c>
      <c r="AB368" s="17" t="s">
        <v>151</v>
      </c>
      <c r="AC368" s="17" t="s">
        <v>151</v>
      </c>
      <c r="AD368" s="26">
        <v>2021</v>
      </c>
      <c r="AE368" s="17" t="s">
        <v>151</v>
      </c>
      <c r="AF368" s="22">
        <v>45211</v>
      </c>
      <c r="AG368" s="17" t="s">
        <v>151</v>
      </c>
      <c r="AH368" s="17" t="s">
        <v>151</v>
      </c>
      <c r="AI368" s="25" t="s">
        <v>151</v>
      </c>
      <c r="AJ368" s="19" t="s">
        <v>151</v>
      </c>
      <c r="AK368" s="25" t="s">
        <v>151</v>
      </c>
      <c r="AL368" s="25" t="s">
        <v>151</v>
      </c>
      <c r="AM368" s="25" t="s">
        <v>151</v>
      </c>
      <c r="AN368" s="25" t="s">
        <v>151</v>
      </c>
      <c r="AO368" s="25" t="s">
        <v>151</v>
      </c>
      <c r="AP368" s="25" t="s">
        <v>151</v>
      </c>
      <c r="AQ368" s="25" t="s">
        <v>151</v>
      </c>
      <c r="AR368" s="16" t="s">
        <v>151</v>
      </c>
      <c r="AS368" s="17" t="s">
        <v>7960</v>
      </c>
      <c r="AT368" s="17" t="s">
        <v>7961</v>
      </c>
      <c r="AU368" s="18">
        <v>4</v>
      </c>
      <c r="AV368" s="17" t="s">
        <v>151</v>
      </c>
      <c r="AW368" s="17" t="s">
        <v>151</v>
      </c>
      <c r="AX368" s="17" t="s">
        <v>151</v>
      </c>
      <c r="AY368" s="17" t="s">
        <v>7962</v>
      </c>
      <c r="AZ368" s="17" t="s">
        <v>151</v>
      </c>
      <c r="BA368" s="17" t="s">
        <v>151</v>
      </c>
      <c r="BB368" s="17" t="s">
        <v>151</v>
      </c>
      <c r="BC368" s="17" t="s">
        <v>151</v>
      </c>
      <c r="BD368" s="17" t="s">
        <v>7963</v>
      </c>
      <c r="BE368" s="17" t="s">
        <v>7964</v>
      </c>
      <c r="BF368" s="17" t="s">
        <v>403</v>
      </c>
      <c r="BG368" s="17" t="s">
        <v>151</v>
      </c>
      <c r="BH368" s="17" t="s">
        <v>151</v>
      </c>
      <c r="BI368" s="17" t="s">
        <v>1409</v>
      </c>
      <c r="BJ368" s="17" t="s">
        <v>151</v>
      </c>
      <c r="BK368" s="17" t="s">
        <v>151</v>
      </c>
      <c r="BL368" s="17" t="s">
        <v>1412</v>
      </c>
      <c r="BM368" s="17" t="s">
        <v>823</v>
      </c>
      <c r="BN368" s="16" t="s">
        <v>151</v>
      </c>
      <c r="BO368" s="17" t="s">
        <v>186</v>
      </c>
      <c r="BP368" s="16" t="s">
        <v>151</v>
      </c>
      <c r="BQ368" s="16" t="s">
        <v>151</v>
      </c>
      <c r="BR368" s="17" t="s">
        <v>151</v>
      </c>
      <c r="BS368" s="17" t="s">
        <v>187</v>
      </c>
      <c r="BT368" s="17" t="s">
        <v>188</v>
      </c>
      <c r="BU368" s="22">
        <v>44440</v>
      </c>
      <c r="BV368" s="24" t="s">
        <v>151</v>
      </c>
      <c r="BW368" s="17" t="s">
        <v>151</v>
      </c>
      <c r="BX368" s="24" t="s">
        <v>151</v>
      </c>
      <c r="BY368" s="17" t="s">
        <v>151</v>
      </c>
      <c r="BZ368" s="17" t="s">
        <v>189</v>
      </c>
      <c r="CA368" s="17" t="s">
        <v>151</v>
      </c>
      <c r="CB368" s="17" t="s">
        <v>151</v>
      </c>
      <c r="CC368" s="17" t="s">
        <v>190</v>
      </c>
      <c r="CD368" s="17" t="s">
        <v>151</v>
      </c>
      <c r="CE368" s="17" t="s">
        <v>191</v>
      </c>
      <c r="CF368" s="22">
        <v>45208</v>
      </c>
      <c r="CG368" s="24">
        <v>0.45</v>
      </c>
      <c r="CH368" s="17" t="s">
        <v>193</v>
      </c>
      <c r="CI368" s="24">
        <v>0.59</v>
      </c>
      <c r="CJ368" s="17" t="s">
        <v>192</v>
      </c>
      <c r="CK368" s="16" t="s">
        <v>151</v>
      </c>
      <c r="CL368" s="17" t="s">
        <v>231</v>
      </c>
      <c r="CM368" s="17" t="s">
        <v>151</v>
      </c>
      <c r="CN368" s="17" t="s">
        <v>151</v>
      </c>
      <c r="CO368" s="17" t="s">
        <v>165</v>
      </c>
      <c r="CP368" s="22">
        <v>45208</v>
      </c>
      <c r="CQ368" s="24" t="s">
        <v>151</v>
      </c>
      <c r="CR368" s="17" t="s">
        <v>151</v>
      </c>
      <c r="CS368" s="17" t="s">
        <v>191</v>
      </c>
      <c r="CT368" s="16">
        <v>32</v>
      </c>
      <c r="CU368" s="17" t="s">
        <v>263</v>
      </c>
      <c r="CV368" s="19">
        <v>33</v>
      </c>
      <c r="CW368" s="19">
        <v>67</v>
      </c>
      <c r="CX368" s="17" t="s">
        <v>263</v>
      </c>
      <c r="CY368" s="19">
        <v>1</v>
      </c>
      <c r="CZ368" s="19">
        <v>32</v>
      </c>
      <c r="DA368" s="24">
        <v>0.59</v>
      </c>
      <c r="DB368" s="22">
        <v>45208</v>
      </c>
      <c r="DC368" s="17" t="s">
        <v>231</v>
      </c>
      <c r="DD368" s="16" t="s">
        <v>151</v>
      </c>
      <c r="DE368" s="19">
        <v>4.7</v>
      </c>
      <c r="DF368" s="21">
        <v>100</v>
      </c>
      <c r="DG368" s="19">
        <v>0</v>
      </c>
      <c r="DH368" s="19">
        <v>0</v>
      </c>
      <c r="DI368" s="19">
        <v>4.7</v>
      </c>
      <c r="DJ368" s="21">
        <v>100</v>
      </c>
      <c r="DK368" s="19" t="s">
        <v>151</v>
      </c>
      <c r="DL368" s="21" t="s">
        <v>151</v>
      </c>
      <c r="DM368" s="19">
        <v>4.7</v>
      </c>
      <c r="DN368" s="21">
        <v>100</v>
      </c>
      <c r="DO368" s="23">
        <v>8.95</v>
      </c>
      <c r="DP368" s="21">
        <v>89</v>
      </c>
      <c r="DQ368" s="23">
        <v>0</v>
      </c>
      <c r="DR368" s="19">
        <v>0</v>
      </c>
      <c r="DS368" s="23">
        <v>8.95</v>
      </c>
      <c r="DT368" s="21">
        <v>89</v>
      </c>
      <c r="DU368" s="23" t="s">
        <v>151</v>
      </c>
      <c r="DV368" s="21" t="s">
        <v>151</v>
      </c>
      <c r="DW368" s="23">
        <v>8.95</v>
      </c>
      <c r="DX368" s="21">
        <v>89</v>
      </c>
      <c r="DY368" s="18" t="s">
        <v>151</v>
      </c>
      <c r="DZ368" s="22" t="s">
        <v>151</v>
      </c>
      <c r="EA368" s="22" t="s">
        <v>151</v>
      </c>
      <c r="EB368" s="21">
        <v>2109</v>
      </c>
      <c r="EC368" s="20">
        <v>-62</v>
      </c>
      <c r="ED368" s="19">
        <v>-2.86</v>
      </c>
      <c r="EE368" s="21">
        <v>170</v>
      </c>
      <c r="EF368" s="20">
        <v>3</v>
      </c>
      <c r="EG368" s="19">
        <v>1.8</v>
      </c>
      <c r="EH368" s="16" t="s">
        <v>198</v>
      </c>
      <c r="EI368" s="17" t="s">
        <v>151</v>
      </c>
      <c r="EJ368" s="17" t="s">
        <v>151</v>
      </c>
      <c r="EK368" s="18" t="s">
        <v>151</v>
      </c>
      <c r="EL368" s="18" t="s">
        <v>151</v>
      </c>
      <c r="EM368" s="18" t="s">
        <v>151</v>
      </c>
      <c r="EN368" s="18" t="s">
        <v>151</v>
      </c>
      <c r="EO368" s="18" t="s">
        <v>151</v>
      </c>
      <c r="EP368" s="17" t="s">
        <v>151</v>
      </c>
      <c r="EQ368" s="16" t="s">
        <v>151</v>
      </c>
      <c r="ER368" s="16" t="s">
        <v>151</v>
      </c>
      <c r="ES368" s="3">
        <f>HYPERLINK("https://my.pitchbook.com?c=522370-00","View Company Online")</f>
      </c>
    </row>
    <row r="369">
      <c r="A369" s="30" t="s">
        <v>7965</v>
      </c>
      <c r="B369" s="30" t="s">
        <v>7966</v>
      </c>
      <c r="C369" s="31" t="s">
        <v>151</v>
      </c>
      <c r="D369" s="30" t="s">
        <v>151</v>
      </c>
      <c r="E369" s="30" t="s">
        <v>151</v>
      </c>
      <c r="F369" s="30" t="s">
        <v>7967</v>
      </c>
      <c r="G369" s="30" t="s">
        <v>151</v>
      </c>
      <c r="H369" s="30" t="s">
        <v>151</v>
      </c>
      <c r="I369" s="30" t="s">
        <v>151</v>
      </c>
      <c r="J369" s="30" t="s">
        <v>7965</v>
      </c>
      <c r="K369" s="30" t="s">
        <v>7968</v>
      </c>
      <c r="L369" s="30" t="s">
        <v>616</v>
      </c>
      <c r="M369" s="30" t="s">
        <v>834</v>
      </c>
      <c r="N369" s="30" t="s">
        <v>7969</v>
      </c>
      <c r="O369" s="30" t="s">
        <v>7970</v>
      </c>
      <c r="P369" s="30" t="s">
        <v>7971</v>
      </c>
      <c r="Q369" s="30" t="s">
        <v>7972</v>
      </c>
      <c r="R369" s="30" t="s">
        <v>151</v>
      </c>
      <c r="S369" s="30" t="s">
        <v>162</v>
      </c>
      <c r="T369" s="37">
        <v>0.9</v>
      </c>
      <c r="U369" s="30" t="s">
        <v>163</v>
      </c>
      <c r="V369" s="30" t="s">
        <v>164</v>
      </c>
      <c r="W369" s="30" t="s">
        <v>165</v>
      </c>
      <c r="X369" s="28" t="s">
        <v>7973</v>
      </c>
      <c r="Y369" s="28" t="s">
        <v>7974</v>
      </c>
      <c r="Z369" s="40">
        <v>10</v>
      </c>
      <c r="AA369" s="30" t="s">
        <v>7975</v>
      </c>
      <c r="AB369" s="30" t="s">
        <v>151</v>
      </c>
      <c r="AC369" s="30" t="s">
        <v>151</v>
      </c>
      <c r="AD369" s="39">
        <v>2022</v>
      </c>
      <c r="AE369" s="30" t="s">
        <v>151</v>
      </c>
      <c r="AF369" s="35">
        <v>45462</v>
      </c>
      <c r="AG369" s="30" t="s">
        <v>151</v>
      </c>
      <c r="AH369" s="30" t="s">
        <v>151</v>
      </c>
      <c r="AI369" s="38" t="s">
        <v>151</v>
      </c>
      <c r="AJ369" s="32" t="s">
        <v>151</v>
      </c>
      <c r="AK369" s="38" t="s">
        <v>151</v>
      </c>
      <c r="AL369" s="38" t="s">
        <v>151</v>
      </c>
      <c r="AM369" s="38" t="s">
        <v>151</v>
      </c>
      <c r="AN369" s="38" t="s">
        <v>151</v>
      </c>
      <c r="AO369" s="38" t="s">
        <v>151</v>
      </c>
      <c r="AP369" s="38" t="s">
        <v>151</v>
      </c>
      <c r="AQ369" s="38" t="s">
        <v>151</v>
      </c>
      <c r="AR369" s="29" t="s">
        <v>151</v>
      </c>
      <c r="AS369" s="30" t="s">
        <v>7976</v>
      </c>
      <c r="AT369" s="30" t="s">
        <v>7977</v>
      </c>
      <c r="AU369" s="31">
        <v>7</v>
      </c>
      <c r="AV369" s="30" t="s">
        <v>151</v>
      </c>
      <c r="AW369" s="30" t="s">
        <v>151</v>
      </c>
      <c r="AX369" s="30" t="s">
        <v>151</v>
      </c>
      <c r="AY369" s="30" t="s">
        <v>7978</v>
      </c>
      <c r="AZ369" s="30" t="s">
        <v>151</v>
      </c>
      <c r="BA369" s="30" t="s">
        <v>151</v>
      </c>
      <c r="BB369" s="30" t="s">
        <v>151</v>
      </c>
      <c r="BC369" s="30" t="s">
        <v>151</v>
      </c>
      <c r="BD369" s="30" t="s">
        <v>7979</v>
      </c>
      <c r="BE369" s="30" t="s">
        <v>7980</v>
      </c>
      <c r="BF369" s="30" t="s">
        <v>430</v>
      </c>
      <c r="BG369" s="30" t="s">
        <v>7981</v>
      </c>
      <c r="BH369" s="30" t="s">
        <v>151</v>
      </c>
      <c r="BI369" s="30" t="s">
        <v>578</v>
      </c>
      <c r="BJ369" s="30" t="s">
        <v>7982</v>
      </c>
      <c r="BK369" s="30" t="s">
        <v>151</v>
      </c>
      <c r="BL369" s="30" t="s">
        <v>581</v>
      </c>
      <c r="BM369" s="30" t="s">
        <v>582</v>
      </c>
      <c r="BN369" s="29" t="s">
        <v>3827</v>
      </c>
      <c r="BO369" s="30" t="s">
        <v>186</v>
      </c>
      <c r="BP369" s="29" t="s">
        <v>151</v>
      </c>
      <c r="BQ369" s="29" t="s">
        <v>151</v>
      </c>
      <c r="BR369" s="30" t="s">
        <v>7983</v>
      </c>
      <c r="BS369" s="30" t="s">
        <v>187</v>
      </c>
      <c r="BT369" s="30" t="s">
        <v>188</v>
      </c>
      <c r="BU369" s="35">
        <v>44714</v>
      </c>
      <c r="BV369" s="37">
        <v>0.03</v>
      </c>
      <c r="BW369" s="30" t="s">
        <v>192</v>
      </c>
      <c r="BX369" s="37" t="s">
        <v>151</v>
      </c>
      <c r="BY369" s="30" t="s">
        <v>151</v>
      </c>
      <c r="BZ369" s="30" t="s">
        <v>501</v>
      </c>
      <c r="CA369" s="30" t="s">
        <v>151</v>
      </c>
      <c r="CB369" s="30" t="s">
        <v>151</v>
      </c>
      <c r="CC369" s="30" t="s">
        <v>190</v>
      </c>
      <c r="CD369" s="30" t="s">
        <v>151</v>
      </c>
      <c r="CE369" s="30" t="s">
        <v>191</v>
      </c>
      <c r="CF369" s="35">
        <v>45139</v>
      </c>
      <c r="CG369" s="37">
        <v>0.8</v>
      </c>
      <c r="CH369" s="30" t="s">
        <v>192</v>
      </c>
      <c r="CI369" s="37">
        <v>5</v>
      </c>
      <c r="CJ369" s="30" t="s">
        <v>192</v>
      </c>
      <c r="CK369" s="29" t="s">
        <v>151</v>
      </c>
      <c r="CL369" s="30" t="s">
        <v>231</v>
      </c>
      <c r="CM369" s="30" t="s">
        <v>151</v>
      </c>
      <c r="CN369" s="30" t="s">
        <v>151</v>
      </c>
      <c r="CO369" s="30" t="s">
        <v>165</v>
      </c>
      <c r="CP369" s="35">
        <v>45139</v>
      </c>
      <c r="CQ369" s="37" t="s">
        <v>151</v>
      </c>
      <c r="CR369" s="30" t="s">
        <v>7984</v>
      </c>
      <c r="CS369" s="30" t="s">
        <v>191</v>
      </c>
      <c r="CT369" s="29" t="s">
        <v>151</v>
      </c>
      <c r="CU369" s="30" t="s">
        <v>151</v>
      </c>
      <c r="CV369" s="32" t="s">
        <v>151</v>
      </c>
      <c r="CW369" s="32" t="s">
        <v>151</v>
      </c>
      <c r="CX369" s="30" t="s">
        <v>151</v>
      </c>
      <c r="CY369" s="32" t="s">
        <v>151</v>
      </c>
      <c r="CZ369" s="32" t="s">
        <v>151</v>
      </c>
      <c r="DA369" s="37">
        <v>5</v>
      </c>
      <c r="DB369" s="35">
        <v>45139</v>
      </c>
      <c r="DC369" s="30" t="s">
        <v>231</v>
      </c>
      <c r="DD369" s="29" t="s">
        <v>151</v>
      </c>
      <c r="DE369" s="32">
        <v>0</v>
      </c>
      <c r="DF369" s="34">
        <v>11</v>
      </c>
      <c r="DG369" s="32">
        <v>0</v>
      </c>
      <c r="DH369" s="32">
        <v>0</v>
      </c>
      <c r="DI369" s="32">
        <v>0</v>
      </c>
      <c r="DJ369" s="34">
        <v>10</v>
      </c>
      <c r="DK369" s="32" t="s">
        <v>151</v>
      </c>
      <c r="DL369" s="34" t="s">
        <v>151</v>
      </c>
      <c r="DM369" s="32">
        <v>0</v>
      </c>
      <c r="DN369" s="34">
        <v>10</v>
      </c>
      <c r="DO369" s="36">
        <v>0.74</v>
      </c>
      <c r="DP369" s="34">
        <v>42</v>
      </c>
      <c r="DQ369" s="36">
        <v>0</v>
      </c>
      <c r="DR369" s="32">
        <v>0</v>
      </c>
      <c r="DS369" s="36">
        <v>0.74</v>
      </c>
      <c r="DT369" s="34">
        <v>42</v>
      </c>
      <c r="DU369" s="36" t="s">
        <v>151</v>
      </c>
      <c r="DV369" s="34" t="s">
        <v>151</v>
      </c>
      <c r="DW369" s="36">
        <v>0.74</v>
      </c>
      <c r="DX369" s="34">
        <v>42</v>
      </c>
      <c r="DY369" s="31" t="s">
        <v>151</v>
      </c>
      <c r="DZ369" s="35" t="s">
        <v>151</v>
      </c>
      <c r="EA369" s="35" t="s">
        <v>151</v>
      </c>
      <c r="EB369" s="34">
        <v>0</v>
      </c>
      <c r="EC369" s="33">
        <v>0</v>
      </c>
      <c r="ED369" s="32">
        <v>0</v>
      </c>
      <c r="EE369" s="34">
        <v>14</v>
      </c>
      <c r="EF369" s="33">
        <v>0</v>
      </c>
      <c r="EG369" s="32">
        <v>0</v>
      </c>
      <c r="EH369" s="29" t="s">
        <v>198</v>
      </c>
      <c r="EI369" s="30" t="s">
        <v>151</v>
      </c>
      <c r="EJ369" s="30" t="s">
        <v>151</v>
      </c>
      <c r="EK369" s="31" t="s">
        <v>151</v>
      </c>
      <c r="EL369" s="31" t="s">
        <v>151</v>
      </c>
      <c r="EM369" s="31" t="s">
        <v>151</v>
      </c>
      <c r="EN369" s="31" t="s">
        <v>151</v>
      </c>
      <c r="EO369" s="31" t="s">
        <v>151</v>
      </c>
      <c r="EP369" s="30" t="s">
        <v>151</v>
      </c>
      <c r="EQ369" s="29" t="s">
        <v>151</v>
      </c>
      <c r="ER369" s="29" t="s">
        <v>151</v>
      </c>
      <c r="ES369" s="4">
        <f>HYPERLINK("https://my.pitchbook.com?c=519621-76","View Company Online")</f>
      </c>
    </row>
    <row r="370">
      <c r="A370" s="17" t="s">
        <v>7985</v>
      </c>
      <c r="B370" s="17" t="s">
        <v>7986</v>
      </c>
      <c r="C370" s="18" t="s">
        <v>151</v>
      </c>
      <c r="D370" s="17" t="s">
        <v>151</v>
      </c>
      <c r="E370" s="17" t="s">
        <v>151</v>
      </c>
      <c r="F370" s="17" t="s">
        <v>7987</v>
      </c>
      <c r="G370" s="17" t="s">
        <v>151</v>
      </c>
      <c r="H370" s="17" t="s">
        <v>151</v>
      </c>
      <c r="I370" s="17" t="s">
        <v>151</v>
      </c>
      <c r="J370" s="17" t="s">
        <v>7985</v>
      </c>
      <c r="K370" s="17" t="s">
        <v>7988</v>
      </c>
      <c r="L370" s="17" t="s">
        <v>205</v>
      </c>
      <c r="M370" s="17" t="s">
        <v>206</v>
      </c>
      <c r="N370" s="17" t="s">
        <v>269</v>
      </c>
      <c r="O370" s="17" t="s">
        <v>7989</v>
      </c>
      <c r="P370" s="17" t="s">
        <v>7990</v>
      </c>
      <c r="Q370" s="17" t="s">
        <v>7991</v>
      </c>
      <c r="R370" s="17" t="s">
        <v>151</v>
      </c>
      <c r="S370" s="17" t="s">
        <v>162</v>
      </c>
      <c r="T370" s="24">
        <v>2.7</v>
      </c>
      <c r="U370" s="17" t="s">
        <v>163</v>
      </c>
      <c r="V370" s="17" t="s">
        <v>164</v>
      </c>
      <c r="W370" s="17" t="s">
        <v>165</v>
      </c>
      <c r="X370" s="15" t="s">
        <v>7992</v>
      </c>
      <c r="Y370" s="15" t="s">
        <v>7993</v>
      </c>
      <c r="Z370" s="27">
        <v>11</v>
      </c>
      <c r="AA370" s="17" t="s">
        <v>7994</v>
      </c>
      <c r="AB370" s="17" t="s">
        <v>151</v>
      </c>
      <c r="AC370" s="17" t="s">
        <v>151</v>
      </c>
      <c r="AD370" s="26">
        <v>2022</v>
      </c>
      <c r="AE370" s="17" t="s">
        <v>151</v>
      </c>
      <c r="AF370" s="22">
        <v>45390</v>
      </c>
      <c r="AG370" s="17" t="s">
        <v>151</v>
      </c>
      <c r="AH370" s="17" t="s">
        <v>151</v>
      </c>
      <c r="AI370" s="25" t="s">
        <v>151</v>
      </c>
      <c r="AJ370" s="19" t="s">
        <v>151</v>
      </c>
      <c r="AK370" s="25" t="s">
        <v>151</v>
      </c>
      <c r="AL370" s="25" t="s">
        <v>151</v>
      </c>
      <c r="AM370" s="25" t="s">
        <v>151</v>
      </c>
      <c r="AN370" s="25" t="s">
        <v>151</v>
      </c>
      <c r="AO370" s="25" t="s">
        <v>151</v>
      </c>
      <c r="AP370" s="25" t="s">
        <v>151</v>
      </c>
      <c r="AQ370" s="25" t="s">
        <v>151</v>
      </c>
      <c r="AR370" s="16" t="s">
        <v>151</v>
      </c>
      <c r="AS370" s="17" t="s">
        <v>7995</v>
      </c>
      <c r="AT370" s="17" t="s">
        <v>7996</v>
      </c>
      <c r="AU370" s="18">
        <v>5</v>
      </c>
      <c r="AV370" s="17" t="s">
        <v>151</v>
      </c>
      <c r="AW370" s="17" t="s">
        <v>151</v>
      </c>
      <c r="AX370" s="17" t="s">
        <v>151</v>
      </c>
      <c r="AY370" s="17" t="s">
        <v>7997</v>
      </c>
      <c r="AZ370" s="17" t="s">
        <v>151</v>
      </c>
      <c r="BA370" s="17" t="s">
        <v>151</v>
      </c>
      <c r="BB370" s="17" t="s">
        <v>151</v>
      </c>
      <c r="BC370" s="17" t="s">
        <v>151</v>
      </c>
      <c r="BD370" s="17" t="s">
        <v>7998</v>
      </c>
      <c r="BE370" s="17" t="s">
        <v>7999</v>
      </c>
      <c r="BF370" s="17" t="s">
        <v>5299</v>
      </c>
      <c r="BG370" s="17" t="s">
        <v>8000</v>
      </c>
      <c r="BH370" s="17" t="s">
        <v>8001</v>
      </c>
      <c r="BI370" s="17" t="s">
        <v>8002</v>
      </c>
      <c r="BJ370" s="17" t="s">
        <v>8003</v>
      </c>
      <c r="BK370" s="17" t="s">
        <v>4354</v>
      </c>
      <c r="BL370" s="17" t="s">
        <v>8004</v>
      </c>
      <c r="BM370" s="17" t="s">
        <v>184</v>
      </c>
      <c r="BN370" s="16" t="s">
        <v>8005</v>
      </c>
      <c r="BO370" s="17" t="s">
        <v>186</v>
      </c>
      <c r="BP370" s="16" t="s">
        <v>8001</v>
      </c>
      <c r="BQ370" s="16" t="s">
        <v>151</v>
      </c>
      <c r="BR370" s="17" t="s">
        <v>8006</v>
      </c>
      <c r="BS370" s="17" t="s">
        <v>187</v>
      </c>
      <c r="BT370" s="17" t="s">
        <v>188</v>
      </c>
      <c r="BU370" s="22">
        <v>44819</v>
      </c>
      <c r="BV370" s="24">
        <v>2.7</v>
      </c>
      <c r="BW370" s="17" t="s">
        <v>192</v>
      </c>
      <c r="BX370" s="24">
        <v>9.7</v>
      </c>
      <c r="BY370" s="17" t="s">
        <v>192</v>
      </c>
      <c r="BZ370" s="17" t="s">
        <v>293</v>
      </c>
      <c r="CA370" s="17" t="s">
        <v>293</v>
      </c>
      <c r="CB370" s="17" t="s">
        <v>151</v>
      </c>
      <c r="CC370" s="17" t="s">
        <v>165</v>
      </c>
      <c r="CD370" s="17" t="s">
        <v>151</v>
      </c>
      <c r="CE370" s="17" t="s">
        <v>191</v>
      </c>
      <c r="CF370" s="22">
        <v>44819</v>
      </c>
      <c r="CG370" s="24">
        <v>2.7</v>
      </c>
      <c r="CH370" s="17" t="s">
        <v>192</v>
      </c>
      <c r="CI370" s="24">
        <v>9.7</v>
      </c>
      <c r="CJ370" s="17" t="s">
        <v>192</v>
      </c>
      <c r="CK370" s="16" t="s">
        <v>151</v>
      </c>
      <c r="CL370" s="17" t="s">
        <v>293</v>
      </c>
      <c r="CM370" s="17" t="s">
        <v>293</v>
      </c>
      <c r="CN370" s="17" t="s">
        <v>151</v>
      </c>
      <c r="CO370" s="17" t="s">
        <v>165</v>
      </c>
      <c r="CP370" s="22">
        <v>44819</v>
      </c>
      <c r="CQ370" s="24" t="s">
        <v>151</v>
      </c>
      <c r="CR370" s="17" t="s">
        <v>151</v>
      </c>
      <c r="CS370" s="17" t="s">
        <v>191</v>
      </c>
      <c r="CT370" s="16" t="s">
        <v>151</v>
      </c>
      <c r="CU370" s="17" t="s">
        <v>151</v>
      </c>
      <c r="CV370" s="19" t="s">
        <v>151</v>
      </c>
      <c r="CW370" s="19" t="s">
        <v>151</v>
      </c>
      <c r="CX370" s="17" t="s">
        <v>151</v>
      </c>
      <c r="CY370" s="19" t="s">
        <v>151</v>
      </c>
      <c r="CZ370" s="19" t="s">
        <v>151</v>
      </c>
      <c r="DA370" s="24">
        <v>9.7</v>
      </c>
      <c r="DB370" s="22">
        <v>44819</v>
      </c>
      <c r="DC370" s="17" t="s">
        <v>293</v>
      </c>
      <c r="DD370" s="16" t="s">
        <v>151</v>
      </c>
      <c r="DE370" s="19">
        <v>0</v>
      </c>
      <c r="DF370" s="21">
        <v>11</v>
      </c>
      <c r="DG370" s="19">
        <v>0</v>
      </c>
      <c r="DH370" s="19">
        <v>0</v>
      </c>
      <c r="DI370" s="19">
        <v>0</v>
      </c>
      <c r="DJ370" s="21">
        <v>10</v>
      </c>
      <c r="DK370" s="19" t="s">
        <v>151</v>
      </c>
      <c r="DL370" s="21" t="s">
        <v>151</v>
      </c>
      <c r="DM370" s="19">
        <v>0</v>
      </c>
      <c r="DN370" s="21">
        <v>10</v>
      </c>
      <c r="DO370" s="23">
        <v>2.53</v>
      </c>
      <c r="DP370" s="21">
        <v>71</v>
      </c>
      <c r="DQ370" s="23">
        <v>0</v>
      </c>
      <c r="DR370" s="19">
        <v>0</v>
      </c>
      <c r="DS370" s="23">
        <v>2.53</v>
      </c>
      <c r="DT370" s="21">
        <v>71</v>
      </c>
      <c r="DU370" s="23" t="s">
        <v>151</v>
      </c>
      <c r="DV370" s="21" t="s">
        <v>151</v>
      </c>
      <c r="DW370" s="23">
        <v>2.53</v>
      </c>
      <c r="DX370" s="21">
        <v>70</v>
      </c>
      <c r="DY370" s="18" t="s">
        <v>151</v>
      </c>
      <c r="DZ370" s="22" t="s">
        <v>151</v>
      </c>
      <c r="EA370" s="22" t="s">
        <v>151</v>
      </c>
      <c r="EB370" s="21">
        <v>230</v>
      </c>
      <c r="EC370" s="20">
        <v>0</v>
      </c>
      <c r="ED370" s="19">
        <v>0</v>
      </c>
      <c r="EE370" s="21">
        <v>48</v>
      </c>
      <c r="EF370" s="20">
        <v>1</v>
      </c>
      <c r="EG370" s="19">
        <v>2.13</v>
      </c>
      <c r="EH370" s="16" t="s">
        <v>198</v>
      </c>
      <c r="EI370" s="17" t="s">
        <v>151</v>
      </c>
      <c r="EJ370" s="17" t="s">
        <v>151</v>
      </c>
      <c r="EK370" s="18" t="s">
        <v>151</v>
      </c>
      <c r="EL370" s="18" t="s">
        <v>151</v>
      </c>
      <c r="EM370" s="18" t="s">
        <v>151</v>
      </c>
      <c r="EN370" s="18" t="s">
        <v>151</v>
      </c>
      <c r="EO370" s="18" t="s">
        <v>151</v>
      </c>
      <c r="EP370" s="17" t="s">
        <v>151</v>
      </c>
      <c r="EQ370" s="16" t="s">
        <v>151</v>
      </c>
      <c r="ER370" s="16" t="s">
        <v>151</v>
      </c>
      <c r="ES370" s="3">
        <f>HYPERLINK("https://my.pitchbook.com?c=507432-34","View Company Online")</f>
      </c>
    </row>
    <row r="371">
      <c r="A371" s="30" t="s">
        <v>8007</v>
      </c>
      <c r="B371" s="30" t="s">
        <v>8008</v>
      </c>
      <c r="C371" s="31" t="s">
        <v>151</v>
      </c>
      <c r="D371" s="30" t="s">
        <v>151</v>
      </c>
      <c r="E371" s="30" t="s">
        <v>8009</v>
      </c>
      <c r="F371" s="30" t="s">
        <v>8010</v>
      </c>
      <c r="G371" s="30" t="s">
        <v>151</v>
      </c>
      <c r="H371" s="30" t="s">
        <v>151</v>
      </c>
      <c r="I371" s="30" t="s">
        <v>151</v>
      </c>
      <c r="J371" s="30" t="s">
        <v>8007</v>
      </c>
      <c r="K371" s="30" t="s">
        <v>8011</v>
      </c>
      <c r="L371" s="30" t="s">
        <v>205</v>
      </c>
      <c r="M371" s="30" t="s">
        <v>206</v>
      </c>
      <c r="N371" s="30" t="s">
        <v>776</v>
      </c>
      <c r="O371" s="30" t="s">
        <v>4204</v>
      </c>
      <c r="P371" s="30" t="s">
        <v>304</v>
      </c>
      <c r="Q371" s="30" t="s">
        <v>8012</v>
      </c>
      <c r="R371" s="30" t="s">
        <v>151</v>
      </c>
      <c r="S371" s="30" t="s">
        <v>162</v>
      </c>
      <c r="T371" s="37">
        <v>0.1</v>
      </c>
      <c r="U371" s="30" t="s">
        <v>163</v>
      </c>
      <c r="V371" s="30" t="s">
        <v>164</v>
      </c>
      <c r="W371" s="30" t="s">
        <v>165</v>
      </c>
      <c r="X371" s="28" t="s">
        <v>8013</v>
      </c>
      <c r="Y371" s="28" t="s">
        <v>8014</v>
      </c>
      <c r="Z371" s="40">
        <v>6</v>
      </c>
      <c r="AA371" s="30" t="s">
        <v>8015</v>
      </c>
      <c r="AB371" s="30" t="s">
        <v>151</v>
      </c>
      <c r="AC371" s="30" t="s">
        <v>151</v>
      </c>
      <c r="AD371" s="39">
        <v>2021</v>
      </c>
      <c r="AE371" s="30" t="s">
        <v>151</v>
      </c>
      <c r="AF371" s="35">
        <v>45334</v>
      </c>
      <c r="AG371" s="30" t="s">
        <v>151</v>
      </c>
      <c r="AH371" s="30" t="s">
        <v>151</v>
      </c>
      <c r="AI371" s="38" t="s">
        <v>151</v>
      </c>
      <c r="AJ371" s="32" t="s">
        <v>151</v>
      </c>
      <c r="AK371" s="38" t="s">
        <v>151</v>
      </c>
      <c r="AL371" s="38" t="s">
        <v>151</v>
      </c>
      <c r="AM371" s="38" t="s">
        <v>151</v>
      </c>
      <c r="AN371" s="38" t="s">
        <v>151</v>
      </c>
      <c r="AO371" s="38" t="s">
        <v>151</v>
      </c>
      <c r="AP371" s="38" t="s">
        <v>151</v>
      </c>
      <c r="AQ371" s="38" t="s">
        <v>151</v>
      </c>
      <c r="AR371" s="29" t="s">
        <v>151</v>
      </c>
      <c r="AS371" s="30" t="s">
        <v>8016</v>
      </c>
      <c r="AT371" s="30" t="s">
        <v>8017</v>
      </c>
      <c r="AU371" s="31">
        <v>3</v>
      </c>
      <c r="AV371" s="30" t="s">
        <v>151</v>
      </c>
      <c r="AW371" s="30" t="s">
        <v>151</v>
      </c>
      <c r="AX371" s="30" t="s">
        <v>151</v>
      </c>
      <c r="AY371" s="30" t="s">
        <v>8018</v>
      </c>
      <c r="AZ371" s="30" t="s">
        <v>151</v>
      </c>
      <c r="BA371" s="30" t="s">
        <v>151</v>
      </c>
      <c r="BB371" s="30" t="s">
        <v>151</v>
      </c>
      <c r="BC371" s="30" t="s">
        <v>151</v>
      </c>
      <c r="BD371" s="30" t="s">
        <v>8019</v>
      </c>
      <c r="BE371" s="30" t="s">
        <v>8020</v>
      </c>
      <c r="BF371" s="30" t="s">
        <v>221</v>
      </c>
      <c r="BG371" s="30" t="s">
        <v>8021</v>
      </c>
      <c r="BH371" s="30" t="s">
        <v>151</v>
      </c>
      <c r="BI371" s="30" t="s">
        <v>906</v>
      </c>
      <c r="BJ371" s="30" t="s">
        <v>151</v>
      </c>
      <c r="BK371" s="30" t="s">
        <v>151</v>
      </c>
      <c r="BL371" s="30" t="s">
        <v>259</v>
      </c>
      <c r="BM371" s="30" t="s">
        <v>259</v>
      </c>
      <c r="BN371" s="29" t="s">
        <v>151</v>
      </c>
      <c r="BO371" s="30" t="s">
        <v>186</v>
      </c>
      <c r="BP371" s="29" t="s">
        <v>151</v>
      </c>
      <c r="BQ371" s="29" t="s">
        <v>151</v>
      </c>
      <c r="BR371" s="30" t="s">
        <v>8022</v>
      </c>
      <c r="BS371" s="30" t="s">
        <v>187</v>
      </c>
      <c r="BT371" s="30" t="s">
        <v>188</v>
      </c>
      <c r="BU371" s="35" t="s">
        <v>151</v>
      </c>
      <c r="BV371" s="37">
        <v>0.05</v>
      </c>
      <c r="BW371" s="30" t="s">
        <v>192</v>
      </c>
      <c r="BX371" s="37" t="s">
        <v>151</v>
      </c>
      <c r="BY371" s="30" t="s">
        <v>151</v>
      </c>
      <c r="BZ371" s="30" t="s">
        <v>189</v>
      </c>
      <c r="CA371" s="30" t="s">
        <v>151</v>
      </c>
      <c r="CB371" s="30" t="s">
        <v>151</v>
      </c>
      <c r="CC371" s="30" t="s">
        <v>190</v>
      </c>
      <c r="CD371" s="30" t="s">
        <v>151</v>
      </c>
      <c r="CE371" s="30" t="s">
        <v>191</v>
      </c>
      <c r="CF371" s="35">
        <v>44805</v>
      </c>
      <c r="CG371" s="37" t="s">
        <v>151</v>
      </c>
      <c r="CH371" s="30" t="s">
        <v>151</v>
      </c>
      <c r="CI371" s="37" t="s">
        <v>151</v>
      </c>
      <c r="CJ371" s="30" t="s">
        <v>151</v>
      </c>
      <c r="CK371" s="29" t="s">
        <v>151</v>
      </c>
      <c r="CL371" s="30" t="s">
        <v>231</v>
      </c>
      <c r="CM371" s="30" t="s">
        <v>151</v>
      </c>
      <c r="CN371" s="30" t="s">
        <v>151</v>
      </c>
      <c r="CO371" s="30" t="s">
        <v>165</v>
      </c>
      <c r="CP371" s="35">
        <v>44805</v>
      </c>
      <c r="CQ371" s="37" t="s">
        <v>151</v>
      </c>
      <c r="CR371" s="30" t="s">
        <v>151</v>
      </c>
      <c r="CS371" s="30" t="s">
        <v>191</v>
      </c>
      <c r="CT371" s="29">
        <v>15</v>
      </c>
      <c r="CU371" s="30" t="s">
        <v>263</v>
      </c>
      <c r="CV371" s="32">
        <v>16</v>
      </c>
      <c r="CW371" s="32">
        <v>84</v>
      </c>
      <c r="CX371" s="30" t="s">
        <v>263</v>
      </c>
      <c r="CY371" s="32">
        <v>1</v>
      </c>
      <c r="CZ371" s="32">
        <v>15</v>
      </c>
      <c r="DA371" s="37" t="s">
        <v>151</v>
      </c>
      <c r="DB371" s="35" t="s">
        <v>151</v>
      </c>
      <c r="DC371" s="30" t="s">
        <v>151</v>
      </c>
      <c r="DD371" s="29" t="s">
        <v>151</v>
      </c>
      <c r="DE371" s="32">
        <v>-1.6</v>
      </c>
      <c r="DF371" s="34">
        <v>3</v>
      </c>
      <c r="DG371" s="32">
        <v>0</v>
      </c>
      <c r="DH371" s="32">
        <v>0</v>
      </c>
      <c r="DI371" s="32">
        <v>0.15</v>
      </c>
      <c r="DJ371" s="34">
        <v>93</v>
      </c>
      <c r="DK371" s="32">
        <v>2.85</v>
      </c>
      <c r="DL371" s="34">
        <v>95</v>
      </c>
      <c r="DM371" s="32">
        <v>-2.56</v>
      </c>
      <c r="DN371" s="34">
        <v>1</v>
      </c>
      <c r="DO371" s="36">
        <v>5.98</v>
      </c>
      <c r="DP371" s="34">
        <v>85</v>
      </c>
      <c r="DQ371" s="36">
        <v>0</v>
      </c>
      <c r="DR371" s="32">
        <v>0</v>
      </c>
      <c r="DS371" s="36">
        <v>11.5</v>
      </c>
      <c r="DT371" s="34">
        <v>91</v>
      </c>
      <c r="DU371" s="36">
        <v>15.95</v>
      </c>
      <c r="DV371" s="34">
        <v>90</v>
      </c>
      <c r="DW371" s="36">
        <v>7.05</v>
      </c>
      <c r="DX371" s="34">
        <v>86</v>
      </c>
      <c r="DY371" s="31" t="s">
        <v>151</v>
      </c>
      <c r="DZ371" s="35" t="s">
        <v>151</v>
      </c>
      <c r="EA371" s="35" t="s">
        <v>151</v>
      </c>
      <c r="EB371" s="34">
        <v>3283</v>
      </c>
      <c r="EC371" s="33">
        <v>22</v>
      </c>
      <c r="ED371" s="32">
        <v>0.67</v>
      </c>
      <c r="EE371" s="34">
        <v>134</v>
      </c>
      <c r="EF371" s="33">
        <v>-1</v>
      </c>
      <c r="EG371" s="32">
        <v>-0.74</v>
      </c>
      <c r="EH371" s="29" t="s">
        <v>198</v>
      </c>
      <c r="EI371" s="30" t="s">
        <v>151</v>
      </c>
      <c r="EJ371" s="30" t="s">
        <v>151</v>
      </c>
      <c r="EK371" s="31" t="s">
        <v>151</v>
      </c>
      <c r="EL371" s="31" t="s">
        <v>151</v>
      </c>
      <c r="EM371" s="31" t="s">
        <v>151</v>
      </c>
      <c r="EN371" s="31" t="s">
        <v>151</v>
      </c>
      <c r="EO371" s="31" t="s">
        <v>151</v>
      </c>
      <c r="EP371" s="30" t="s">
        <v>151</v>
      </c>
      <c r="EQ371" s="29" t="s">
        <v>151</v>
      </c>
      <c r="ER371" s="29" t="s">
        <v>151</v>
      </c>
      <c r="ES371" s="4">
        <f>HYPERLINK("https://my.pitchbook.com?c=489921-13","View Company Online")</f>
      </c>
    </row>
    <row r="372">
      <c r="A372" s="17" t="s">
        <v>8023</v>
      </c>
      <c r="B372" s="17" t="s">
        <v>8024</v>
      </c>
      <c r="C372" s="18" t="s">
        <v>151</v>
      </c>
      <c r="D372" s="17" t="s">
        <v>151</v>
      </c>
      <c r="E372" s="17" t="s">
        <v>151</v>
      </c>
      <c r="F372" s="17" t="s">
        <v>8025</v>
      </c>
      <c r="G372" s="17" t="s">
        <v>151</v>
      </c>
      <c r="H372" s="17" t="s">
        <v>151</v>
      </c>
      <c r="I372" s="17" t="s">
        <v>8026</v>
      </c>
      <c r="J372" s="17" t="s">
        <v>8023</v>
      </c>
      <c r="K372" s="17" t="s">
        <v>8027</v>
      </c>
      <c r="L372" s="17" t="s">
        <v>205</v>
      </c>
      <c r="M372" s="17" t="s">
        <v>206</v>
      </c>
      <c r="N372" s="17" t="s">
        <v>1268</v>
      </c>
      <c r="O372" s="17" t="s">
        <v>2129</v>
      </c>
      <c r="P372" s="17" t="s">
        <v>4186</v>
      </c>
      <c r="Q372" s="17" t="s">
        <v>8028</v>
      </c>
      <c r="R372" s="17" t="s">
        <v>151</v>
      </c>
      <c r="S372" s="17" t="s">
        <v>162</v>
      </c>
      <c r="T372" s="24">
        <v>0.6</v>
      </c>
      <c r="U372" s="17" t="s">
        <v>163</v>
      </c>
      <c r="V372" s="17" t="s">
        <v>164</v>
      </c>
      <c r="W372" s="17" t="s">
        <v>165</v>
      </c>
      <c r="X372" s="15" t="s">
        <v>8029</v>
      </c>
      <c r="Y372" s="15" t="s">
        <v>8030</v>
      </c>
      <c r="Z372" s="27">
        <v>6</v>
      </c>
      <c r="AA372" s="17" t="s">
        <v>8031</v>
      </c>
      <c r="AB372" s="17" t="s">
        <v>151</v>
      </c>
      <c r="AC372" s="17" t="s">
        <v>151</v>
      </c>
      <c r="AD372" s="26">
        <v>2022</v>
      </c>
      <c r="AE372" s="17" t="s">
        <v>151</v>
      </c>
      <c r="AF372" s="22">
        <v>45611</v>
      </c>
      <c r="AG372" s="17" t="s">
        <v>151</v>
      </c>
      <c r="AH372" s="17" t="s">
        <v>151</v>
      </c>
      <c r="AI372" s="25" t="s">
        <v>151</v>
      </c>
      <c r="AJ372" s="19" t="s">
        <v>151</v>
      </c>
      <c r="AK372" s="25" t="s">
        <v>151</v>
      </c>
      <c r="AL372" s="25" t="s">
        <v>151</v>
      </c>
      <c r="AM372" s="25" t="s">
        <v>151</v>
      </c>
      <c r="AN372" s="25" t="s">
        <v>151</v>
      </c>
      <c r="AO372" s="25" t="s">
        <v>151</v>
      </c>
      <c r="AP372" s="25" t="s">
        <v>151</v>
      </c>
      <c r="AQ372" s="25" t="s">
        <v>151</v>
      </c>
      <c r="AR372" s="16" t="s">
        <v>151</v>
      </c>
      <c r="AS372" s="17" t="s">
        <v>8032</v>
      </c>
      <c r="AT372" s="17" t="s">
        <v>8033</v>
      </c>
      <c r="AU372" s="18">
        <v>4</v>
      </c>
      <c r="AV372" s="17" t="s">
        <v>151</v>
      </c>
      <c r="AW372" s="17" t="s">
        <v>151</v>
      </c>
      <c r="AX372" s="17" t="s">
        <v>151</v>
      </c>
      <c r="AY372" s="17" t="s">
        <v>8034</v>
      </c>
      <c r="AZ372" s="17" t="s">
        <v>151</v>
      </c>
      <c r="BA372" s="17" t="s">
        <v>151</v>
      </c>
      <c r="BB372" s="17" t="s">
        <v>151</v>
      </c>
      <c r="BC372" s="17" t="s">
        <v>151</v>
      </c>
      <c r="BD372" s="17" t="s">
        <v>8035</v>
      </c>
      <c r="BE372" s="17" t="s">
        <v>8036</v>
      </c>
      <c r="BF372" s="17" t="s">
        <v>493</v>
      </c>
      <c r="BG372" s="17" t="s">
        <v>8037</v>
      </c>
      <c r="BH372" s="17" t="s">
        <v>8038</v>
      </c>
      <c r="BI372" s="17" t="s">
        <v>8039</v>
      </c>
      <c r="BJ372" s="17" t="s">
        <v>8040</v>
      </c>
      <c r="BK372" s="17" t="s">
        <v>8041</v>
      </c>
      <c r="BL372" s="17" t="s">
        <v>8042</v>
      </c>
      <c r="BM372" s="17" t="s">
        <v>259</v>
      </c>
      <c r="BN372" s="16" t="s">
        <v>8043</v>
      </c>
      <c r="BO372" s="17" t="s">
        <v>186</v>
      </c>
      <c r="BP372" s="16" t="s">
        <v>8038</v>
      </c>
      <c r="BQ372" s="16" t="s">
        <v>151</v>
      </c>
      <c r="BR372" s="17" t="s">
        <v>8044</v>
      </c>
      <c r="BS372" s="17" t="s">
        <v>187</v>
      </c>
      <c r="BT372" s="17" t="s">
        <v>188</v>
      </c>
      <c r="BU372" s="22">
        <v>45170</v>
      </c>
      <c r="BV372" s="24">
        <v>0.6</v>
      </c>
      <c r="BW372" s="17" t="s">
        <v>192</v>
      </c>
      <c r="BX372" s="24" t="s">
        <v>151</v>
      </c>
      <c r="BY372" s="17" t="s">
        <v>151</v>
      </c>
      <c r="BZ372" s="17" t="s">
        <v>293</v>
      </c>
      <c r="CA372" s="17" t="s">
        <v>293</v>
      </c>
      <c r="CB372" s="17" t="s">
        <v>151</v>
      </c>
      <c r="CC372" s="17" t="s">
        <v>165</v>
      </c>
      <c r="CD372" s="17" t="s">
        <v>8045</v>
      </c>
      <c r="CE372" s="17" t="s">
        <v>191</v>
      </c>
      <c r="CF372" s="22">
        <v>45170</v>
      </c>
      <c r="CG372" s="24">
        <v>0.6</v>
      </c>
      <c r="CH372" s="17" t="s">
        <v>192</v>
      </c>
      <c r="CI372" s="24" t="s">
        <v>151</v>
      </c>
      <c r="CJ372" s="17" t="s">
        <v>151</v>
      </c>
      <c r="CK372" s="16" t="s">
        <v>151</v>
      </c>
      <c r="CL372" s="17" t="s">
        <v>293</v>
      </c>
      <c r="CM372" s="17" t="s">
        <v>293</v>
      </c>
      <c r="CN372" s="17" t="s">
        <v>151</v>
      </c>
      <c r="CO372" s="17" t="s">
        <v>165</v>
      </c>
      <c r="CP372" s="22">
        <v>45170</v>
      </c>
      <c r="CQ372" s="24" t="s">
        <v>151</v>
      </c>
      <c r="CR372" s="17" t="s">
        <v>8045</v>
      </c>
      <c r="CS372" s="17" t="s">
        <v>191</v>
      </c>
      <c r="CT372" s="16" t="s">
        <v>151</v>
      </c>
      <c r="CU372" s="17" t="s">
        <v>151</v>
      </c>
      <c r="CV372" s="19" t="s">
        <v>151</v>
      </c>
      <c r="CW372" s="19" t="s">
        <v>151</v>
      </c>
      <c r="CX372" s="17" t="s">
        <v>151</v>
      </c>
      <c r="CY372" s="19" t="s">
        <v>151</v>
      </c>
      <c r="CZ372" s="19" t="s">
        <v>151</v>
      </c>
      <c r="DA372" s="24" t="s">
        <v>151</v>
      </c>
      <c r="DB372" s="22" t="s">
        <v>151</v>
      </c>
      <c r="DC372" s="17" t="s">
        <v>151</v>
      </c>
      <c r="DD372" s="16" t="s">
        <v>151</v>
      </c>
      <c r="DE372" s="19">
        <v>0</v>
      </c>
      <c r="DF372" s="21">
        <v>11</v>
      </c>
      <c r="DG372" s="19">
        <v>0</v>
      </c>
      <c r="DH372" s="19">
        <v>0</v>
      </c>
      <c r="DI372" s="19">
        <v>0</v>
      </c>
      <c r="DJ372" s="21">
        <v>10</v>
      </c>
      <c r="DK372" s="19">
        <v>0</v>
      </c>
      <c r="DL372" s="21">
        <v>11</v>
      </c>
      <c r="DM372" s="19">
        <v>0</v>
      </c>
      <c r="DN372" s="21">
        <v>10</v>
      </c>
      <c r="DO372" s="23">
        <v>0.68</v>
      </c>
      <c r="DP372" s="21">
        <v>40</v>
      </c>
      <c r="DQ372" s="23">
        <v>0</v>
      </c>
      <c r="DR372" s="19">
        <v>0</v>
      </c>
      <c r="DS372" s="23">
        <v>0.91</v>
      </c>
      <c r="DT372" s="21">
        <v>48</v>
      </c>
      <c r="DU372" s="23">
        <v>0.55</v>
      </c>
      <c r="DV372" s="21">
        <v>35</v>
      </c>
      <c r="DW372" s="23">
        <v>1.26</v>
      </c>
      <c r="DX372" s="21">
        <v>55</v>
      </c>
      <c r="DY372" s="18" t="s">
        <v>151</v>
      </c>
      <c r="DZ372" s="22" t="s">
        <v>151</v>
      </c>
      <c r="EA372" s="22" t="s">
        <v>151</v>
      </c>
      <c r="EB372" s="21">
        <v>128</v>
      </c>
      <c r="EC372" s="20">
        <v>-45</v>
      </c>
      <c r="ED372" s="19">
        <v>-26.01</v>
      </c>
      <c r="EE372" s="21">
        <v>24</v>
      </c>
      <c r="EF372" s="20">
        <v>0</v>
      </c>
      <c r="EG372" s="19">
        <v>0</v>
      </c>
      <c r="EH372" s="16" t="s">
        <v>198</v>
      </c>
      <c r="EI372" s="17" t="s">
        <v>151</v>
      </c>
      <c r="EJ372" s="17" t="s">
        <v>151</v>
      </c>
      <c r="EK372" s="18" t="s">
        <v>151</v>
      </c>
      <c r="EL372" s="18" t="s">
        <v>151</v>
      </c>
      <c r="EM372" s="18" t="s">
        <v>151</v>
      </c>
      <c r="EN372" s="18" t="s">
        <v>151</v>
      </c>
      <c r="EO372" s="18" t="s">
        <v>151</v>
      </c>
      <c r="EP372" s="17" t="s">
        <v>151</v>
      </c>
      <c r="EQ372" s="16" t="s">
        <v>151</v>
      </c>
      <c r="ER372" s="16" t="s">
        <v>151</v>
      </c>
      <c r="ES372" s="3">
        <f>HYPERLINK("https://my.pitchbook.com?c=490796-56","View Company Online")</f>
      </c>
    </row>
    <row r="373">
      <c r="A373" s="30" t="s">
        <v>8046</v>
      </c>
      <c r="B373" s="30" t="s">
        <v>8047</v>
      </c>
      <c r="C373" s="31" t="s">
        <v>151</v>
      </c>
      <c r="D373" s="30" t="s">
        <v>8048</v>
      </c>
      <c r="E373" s="30" t="s">
        <v>8049</v>
      </c>
      <c r="F373" s="30" t="s">
        <v>8050</v>
      </c>
      <c r="G373" s="30" t="s">
        <v>151</v>
      </c>
      <c r="H373" s="30" t="s">
        <v>151</v>
      </c>
      <c r="I373" s="30" t="s">
        <v>8051</v>
      </c>
      <c r="J373" s="30" t="s">
        <v>8046</v>
      </c>
      <c r="K373" s="30" t="s">
        <v>8052</v>
      </c>
      <c r="L373" s="30" t="s">
        <v>205</v>
      </c>
      <c r="M373" s="30" t="s">
        <v>206</v>
      </c>
      <c r="N373" s="30" t="s">
        <v>2484</v>
      </c>
      <c r="O373" s="30" t="s">
        <v>8053</v>
      </c>
      <c r="P373" s="30" t="s">
        <v>3974</v>
      </c>
      <c r="Q373" s="30" t="s">
        <v>8054</v>
      </c>
      <c r="R373" s="30" t="s">
        <v>151</v>
      </c>
      <c r="S373" s="30" t="s">
        <v>162</v>
      </c>
      <c r="T373" s="37">
        <v>4.63</v>
      </c>
      <c r="U373" s="30" t="s">
        <v>163</v>
      </c>
      <c r="V373" s="30" t="s">
        <v>164</v>
      </c>
      <c r="W373" s="30" t="s">
        <v>165</v>
      </c>
      <c r="X373" s="28" t="s">
        <v>8055</v>
      </c>
      <c r="Y373" s="28" t="s">
        <v>8056</v>
      </c>
      <c r="Z373" s="40">
        <v>14</v>
      </c>
      <c r="AA373" s="30" t="s">
        <v>8057</v>
      </c>
      <c r="AB373" s="30" t="s">
        <v>151</v>
      </c>
      <c r="AC373" s="30" t="s">
        <v>151</v>
      </c>
      <c r="AD373" s="39">
        <v>2019</v>
      </c>
      <c r="AE373" s="30" t="s">
        <v>151</v>
      </c>
      <c r="AF373" s="35">
        <v>45482</v>
      </c>
      <c r="AG373" s="30" t="s">
        <v>151</v>
      </c>
      <c r="AH373" s="30" t="s">
        <v>151</v>
      </c>
      <c r="AI373" s="38" t="s">
        <v>151</v>
      </c>
      <c r="AJ373" s="32" t="s">
        <v>151</v>
      </c>
      <c r="AK373" s="38" t="s">
        <v>151</v>
      </c>
      <c r="AL373" s="38" t="s">
        <v>151</v>
      </c>
      <c r="AM373" s="38" t="s">
        <v>151</v>
      </c>
      <c r="AN373" s="38" t="s">
        <v>151</v>
      </c>
      <c r="AO373" s="38" t="s">
        <v>151</v>
      </c>
      <c r="AP373" s="38" t="s">
        <v>151</v>
      </c>
      <c r="AQ373" s="38" t="s">
        <v>151</v>
      </c>
      <c r="AR373" s="29" t="s">
        <v>151</v>
      </c>
      <c r="AS373" s="30" t="s">
        <v>8058</v>
      </c>
      <c r="AT373" s="30" t="s">
        <v>8059</v>
      </c>
      <c r="AU373" s="31">
        <v>12</v>
      </c>
      <c r="AV373" s="30" t="s">
        <v>151</v>
      </c>
      <c r="AW373" s="30" t="s">
        <v>151</v>
      </c>
      <c r="AX373" s="30" t="s">
        <v>151</v>
      </c>
      <c r="AY373" s="30" t="s">
        <v>8060</v>
      </c>
      <c r="AZ373" s="30" t="s">
        <v>151</v>
      </c>
      <c r="BA373" s="30" t="s">
        <v>151</v>
      </c>
      <c r="BB373" s="30" t="s">
        <v>151</v>
      </c>
      <c r="BC373" s="30" t="s">
        <v>1115</v>
      </c>
      <c r="BD373" s="30" t="s">
        <v>8061</v>
      </c>
      <c r="BE373" s="30" t="s">
        <v>8062</v>
      </c>
      <c r="BF373" s="30" t="s">
        <v>4135</v>
      </c>
      <c r="BG373" s="30" t="s">
        <v>8063</v>
      </c>
      <c r="BH373" s="30" t="s">
        <v>151</v>
      </c>
      <c r="BI373" s="30" t="s">
        <v>764</v>
      </c>
      <c r="BJ373" s="30" t="s">
        <v>3969</v>
      </c>
      <c r="BK373" s="30" t="s">
        <v>8064</v>
      </c>
      <c r="BL373" s="30" t="s">
        <v>767</v>
      </c>
      <c r="BM373" s="30" t="s">
        <v>184</v>
      </c>
      <c r="BN373" s="29" t="s">
        <v>794</v>
      </c>
      <c r="BO373" s="30" t="s">
        <v>186</v>
      </c>
      <c r="BP373" s="29" t="s">
        <v>151</v>
      </c>
      <c r="BQ373" s="29" t="s">
        <v>151</v>
      </c>
      <c r="BR373" s="30" t="s">
        <v>8065</v>
      </c>
      <c r="BS373" s="30" t="s">
        <v>187</v>
      </c>
      <c r="BT373" s="30" t="s">
        <v>188</v>
      </c>
      <c r="BU373" s="35">
        <v>43928</v>
      </c>
      <c r="BV373" s="37">
        <v>0.4</v>
      </c>
      <c r="BW373" s="30" t="s">
        <v>192</v>
      </c>
      <c r="BX373" s="37">
        <v>2.4</v>
      </c>
      <c r="BY373" s="30" t="s">
        <v>192</v>
      </c>
      <c r="BZ373" s="30" t="s">
        <v>293</v>
      </c>
      <c r="CA373" s="30" t="s">
        <v>293</v>
      </c>
      <c r="CB373" s="30" t="s">
        <v>151</v>
      </c>
      <c r="CC373" s="30" t="s">
        <v>165</v>
      </c>
      <c r="CD373" s="30" t="s">
        <v>151</v>
      </c>
      <c r="CE373" s="30" t="s">
        <v>191</v>
      </c>
      <c r="CF373" s="35">
        <v>44665</v>
      </c>
      <c r="CG373" s="37">
        <v>4.1</v>
      </c>
      <c r="CH373" s="30" t="s">
        <v>192</v>
      </c>
      <c r="CI373" s="37" t="s">
        <v>151</v>
      </c>
      <c r="CJ373" s="30" t="s">
        <v>151</v>
      </c>
      <c r="CK373" s="29" t="s">
        <v>151</v>
      </c>
      <c r="CL373" s="30" t="s">
        <v>293</v>
      </c>
      <c r="CM373" s="30" t="s">
        <v>293</v>
      </c>
      <c r="CN373" s="30" t="s">
        <v>151</v>
      </c>
      <c r="CO373" s="30" t="s">
        <v>165</v>
      </c>
      <c r="CP373" s="35">
        <v>44665</v>
      </c>
      <c r="CQ373" s="37" t="s">
        <v>151</v>
      </c>
      <c r="CR373" s="30" t="s">
        <v>151</v>
      </c>
      <c r="CS373" s="30" t="s">
        <v>191</v>
      </c>
      <c r="CT373" s="29">
        <v>71</v>
      </c>
      <c r="CU373" s="30" t="s">
        <v>196</v>
      </c>
      <c r="CV373" s="32">
        <v>66</v>
      </c>
      <c r="CW373" s="32">
        <v>34</v>
      </c>
      <c r="CX373" s="30" t="s">
        <v>294</v>
      </c>
      <c r="CY373" s="32">
        <v>1</v>
      </c>
      <c r="CZ373" s="32">
        <v>65</v>
      </c>
      <c r="DA373" s="37">
        <v>2.4</v>
      </c>
      <c r="DB373" s="35">
        <v>43928</v>
      </c>
      <c r="DC373" s="30" t="s">
        <v>293</v>
      </c>
      <c r="DD373" s="29" t="s">
        <v>151</v>
      </c>
      <c r="DE373" s="32">
        <v>2.49</v>
      </c>
      <c r="DF373" s="34">
        <v>99</v>
      </c>
      <c r="DG373" s="32">
        <v>0</v>
      </c>
      <c r="DH373" s="32">
        <v>0</v>
      </c>
      <c r="DI373" s="32">
        <v>2.49</v>
      </c>
      <c r="DJ373" s="34">
        <v>99</v>
      </c>
      <c r="DK373" s="32" t="s">
        <v>151</v>
      </c>
      <c r="DL373" s="34" t="s">
        <v>151</v>
      </c>
      <c r="DM373" s="32">
        <v>2.49</v>
      </c>
      <c r="DN373" s="34">
        <v>99</v>
      </c>
      <c r="DO373" s="36">
        <v>21</v>
      </c>
      <c r="DP373" s="34">
        <v>95</v>
      </c>
      <c r="DQ373" s="36">
        <v>0</v>
      </c>
      <c r="DR373" s="32">
        <v>0</v>
      </c>
      <c r="DS373" s="36">
        <v>21</v>
      </c>
      <c r="DT373" s="34">
        <v>95</v>
      </c>
      <c r="DU373" s="36" t="s">
        <v>151</v>
      </c>
      <c r="DV373" s="34" t="s">
        <v>151</v>
      </c>
      <c r="DW373" s="36">
        <v>21</v>
      </c>
      <c r="DX373" s="34">
        <v>95</v>
      </c>
      <c r="DY373" s="31" t="s">
        <v>151</v>
      </c>
      <c r="DZ373" s="35" t="s">
        <v>151</v>
      </c>
      <c r="EA373" s="35" t="s">
        <v>151</v>
      </c>
      <c r="EB373" s="34">
        <v>1528</v>
      </c>
      <c r="EC373" s="33">
        <v>-76</v>
      </c>
      <c r="ED373" s="32">
        <v>-4.74</v>
      </c>
      <c r="EE373" s="34">
        <v>399</v>
      </c>
      <c r="EF373" s="33">
        <v>4</v>
      </c>
      <c r="EG373" s="32">
        <v>1.01</v>
      </c>
      <c r="EH373" s="29" t="s">
        <v>198</v>
      </c>
      <c r="EI373" s="30" t="s">
        <v>151</v>
      </c>
      <c r="EJ373" s="30" t="s">
        <v>151</v>
      </c>
      <c r="EK373" s="31" t="s">
        <v>151</v>
      </c>
      <c r="EL373" s="31" t="s">
        <v>151</v>
      </c>
      <c r="EM373" s="31" t="s">
        <v>151</v>
      </c>
      <c r="EN373" s="31" t="s">
        <v>151</v>
      </c>
      <c r="EO373" s="31" t="s">
        <v>151</v>
      </c>
      <c r="EP373" s="30" t="s">
        <v>151</v>
      </c>
      <c r="EQ373" s="29" t="s">
        <v>151</v>
      </c>
      <c r="ER373" s="29" t="s">
        <v>151</v>
      </c>
      <c r="ES373" s="4">
        <f>HYPERLINK("https://my.pitchbook.com?c=491776-39","View Company Online")</f>
      </c>
    </row>
    <row r="374">
      <c r="A374" s="17" t="s">
        <v>8066</v>
      </c>
      <c r="B374" s="17" t="s">
        <v>8067</v>
      </c>
      <c r="C374" s="18" t="s">
        <v>151</v>
      </c>
      <c r="D374" s="17" t="s">
        <v>151</v>
      </c>
      <c r="E374" s="17" t="s">
        <v>151</v>
      </c>
      <c r="F374" s="17" t="s">
        <v>8068</v>
      </c>
      <c r="G374" s="17" t="s">
        <v>151</v>
      </c>
      <c r="H374" s="17" t="s">
        <v>151</v>
      </c>
      <c r="I374" s="17" t="s">
        <v>8069</v>
      </c>
      <c r="J374" s="17" t="s">
        <v>8066</v>
      </c>
      <c r="K374" s="17" t="s">
        <v>8070</v>
      </c>
      <c r="L374" s="17" t="s">
        <v>205</v>
      </c>
      <c r="M374" s="17" t="s">
        <v>206</v>
      </c>
      <c r="N374" s="17" t="s">
        <v>269</v>
      </c>
      <c r="O374" s="17" t="s">
        <v>563</v>
      </c>
      <c r="P374" s="17" t="s">
        <v>8071</v>
      </c>
      <c r="Q374" s="17" t="s">
        <v>8072</v>
      </c>
      <c r="R374" s="17" t="s">
        <v>151</v>
      </c>
      <c r="S374" s="17" t="s">
        <v>162</v>
      </c>
      <c r="T374" s="24">
        <v>1.63</v>
      </c>
      <c r="U374" s="17" t="s">
        <v>163</v>
      </c>
      <c r="V374" s="17" t="s">
        <v>164</v>
      </c>
      <c r="W374" s="17" t="s">
        <v>165</v>
      </c>
      <c r="X374" s="15" t="s">
        <v>8073</v>
      </c>
      <c r="Y374" s="15" t="s">
        <v>8074</v>
      </c>
      <c r="Z374" s="27">
        <v>7</v>
      </c>
      <c r="AA374" s="17" t="s">
        <v>8075</v>
      </c>
      <c r="AB374" s="17" t="s">
        <v>151</v>
      </c>
      <c r="AC374" s="17" t="s">
        <v>151</v>
      </c>
      <c r="AD374" s="26">
        <v>2021</v>
      </c>
      <c r="AE374" s="17" t="s">
        <v>151</v>
      </c>
      <c r="AF374" s="22">
        <v>45551</v>
      </c>
      <c r="AG374" s="17" t="s">
        <v>151</v>
      </c>
      <c r="AH374" s="17" t="s">
        <v>151</v>
      </c>
      <c r="AI374" s="25" t="s">
        <v>151</v>
      </c>
      <c r="AJ374" s="19" t="s">
        <v>151</v>
      </c>
      <c r="AK374" s="25" t="s">
        <v>151</v>
      </c>
      <c r="AL374" s="25" t="s">
        <v>151</v>
      </c>
      <c r="AM374" s="25" t="s">
        <v>151</v>
      </c>
      <c r="AN374" s="25" t="s">
        <v>151</v>
      </c>
      <c r="AO374" s="25" t="s">
        <v>151</v>
      </c>
      <c r="AP374" s="25" t="s">
        <v>151</v>
      </c>
      <c r="AQ374" s="25" t="s">
        <v>151</v>
      </c>
      <c r="AR374" s="16" t="s">
        <v>151</v>
      </c>
      <c r="AS374" s="17" t="s">
        <v>8076</v>
      </c>
      <c r="AT374" s="17" t="s">
        <v>8077</v>
      </c>
      <c r="AU374" s="18">
        <v>14</v>
      </c>
      <c r="AV374" s="17" t="s">
        <v>151</v>
      </c>
      <c r="AW374" s="17" t="s">
        <v>151</v>
      </c>
      <c r="AX374" s="17" t="s">
        <v>151</v>
      </c>
      <c r="AY374" s="17" t="s">
        <v>8078</v>
      </c>
      <c r="AZ374" s="17" t="s">
        <v>151</v>
      </c>
      <c r="BA374" s="17" t="s">
        <v>151</v>
      </c>
      <c r="BB374" s="17" t="s">
        <v>151</v>
      </c>
      <c r="BC374" s="17" t="s">
        <v>8079</v>
      </c>
      <c r="BD374" s="17" t="s">
        <v>8080</v>
      </c>
      <c r="BE374" s="17" t="s">
        <v>8081</v>
      </c>
      <c r="BF374" s="17" t="s">
        <v>221</v>
      </c>
      <c r="BG374" s="17" t="s">
        <v>8082</v>
      </c>
      <c r="BH374" s="17" t="s">
        <v>151</v>
      </c>
      <c r="BI374" s="17" t="s">
        <v>934</v>
      </c>
      <c r="BJ374" s="17" t="s">
        <v>8083</v>
      </c>
      <c r="BK374" s="17" t="s">
        <v>8084</v>
      </c>
      <c r="BL374" s="17" t="s">
        <v>937</v>
      </c>
      <c r="BM374" s="17" t="s">
        <v>184</v>
      </c>
      <c r="BN374" s="16" t="s">
        <v>8085</v>
      </c>
      <c r="BO374" s="17" t="s">
        <v>186</v>
      </c>
      <c r="BP374" s="16" t="s">
        <v>151</v>
      </c>
      <c r="BQ374" s="16" t="s">
        <v>151</v>
      </c>
      <c r="BR374" s="17" t="s">
        <v>8086</v>
      </c>
      <c r="BS374" s="17" t="s">
        <v>187</v>
      </c>
      <c r="BT374" s="17" t="s">
        <v>188</v>
      </c>
      <c r="BU374" s="22">
        <v>44713</v>
      </c>
      <c r="BV374" s="24">
        <v>1.5</v>
      </c>
      <c r="BW374" s="17" t="s">
        <v>192</v>
      </c>
      <c r="BX374" s="24" t="s">
        <v>151</v>
      </c>
      <c r="BY374" s="17" t="s">
        <v>151</v>
      </c>
      <c r="BZ374" s="17" t="s">
        <v>231</v>
      </c>
      <c r="CA374" s="17" t="s">
        <v>151</v>
      </c>
      <c r="CB374" s="17" t="s">
        <v>151</v>
      </c>
      <c r="CC374" s="17" t="s">
        <v>165</v>
      </c>
      <c r="CD374" s="17" t="s">
        <v>151</v>
      </c>
      <c r="CE374" s="17" t="s">
        <v>191</v>
      </c>
      <c r="CF374" s="22">
        <v>44805</v>
      </c>
      <c r="CG374" s="24">
        <v>0.01</v>
      </c>
      <c r="CH374" s="17" t="s">
        <v>192</v>
      </c>
      <c r="CI374" s="24" t="s">
        <v>151</v>
      </c>
      <c r="CJ374" s="17" t="s">
        <v>151</v>
      </c>
      <c r="CK374" s="16" t="s">
        <v>151</v>
      </c>
      <c r="CL374" s="17" t="s">
        <v>231</v>
      </c>
      <c r="CM374" s="17" t="s">
        <v>151</v>
      </c>
      <c r="CN374" s="17" t="s">
        <v>151</v>
      </c>
      <c r="CO374" s="17" t="s">
        <v>165</v>
      </c>
      <c r="CP374" s="22">
        <v>44805</v>
      </c>
      <c r="CQ374" s="24" t="s">
        <v>151</v>
      </c>
      <c r="CR374" s="17" t="s">
        <v>151</v>
      </c>
      <c r="CS374" s="17" t="s">
        <v>191</v>
      </c>
      <c r="CT374" s="16">
        <v>35</v>
      </c>
      <c r="CU374" s="17" t="s">
        <v>263</v>
      </c>
      <c r="CV374" s="19">
        <v>35</v>
      </c>
      <c r="CW374" s="19">
        <v>65</v>
      </c>
      <c r="CX374" s="17" t="s">
        <v>263</v>
      </c>
      <c r="CY374" s="19">
        <v>1</v>
      </c>
      <c r="CZ374" s="19">
        <v>34</v>
      </c>
      <c r="DA374" s="24">
        <v>2</v>
      </c>
      <c r="DB374" s="22">
        <v>44757</v>
      </c>
      <c r="DC374" s="17" t="s">
        <v>189</v>
      </c>
      <c r="DD374" s="16" t="s">
        <v>151</v>
      </c>
      <c r="DE374" s="19">
        <v>1.61</v>
      </c>
      <c r="DF374" s="21">
        <v>98</v>
      </c>
      <c r="DG374" s="19">
        <v>0</v>
      </c>
      <c r="DH374" s="19">
        <v>0</v>
      </c>
      <c r="DI374" s="19">
        <v>1.61</v>
      </c>
      <c r="DJ374" s="21">
        <v>98</v>
      </c>
      <c r="DK374" s="19" t="s">
        <v>151</v>
      </c>
      <c r="DL374" s="21" t="s">
        <v>151</v>
      </c>
      <c r="DM374" s="19">
        <v>1.61</v>
      </c>
      <c r="DN374" s="21">
        <v>98</v>
      </c>
      <c r="DO374" s="23">
        <v>6.05</v>
      </c>
      <c r="DP374" s="21">
        <v>85</v>
      </c>
      <c r="DQ374" s="23">
        <v>0</v>
      </c>
      <c r="DR374" s="19">
        <v>0</v>
      </c>
      <c r="DS374" s="23">
        <v>6.05</v>
      </c>
      <c r="DT374" s="21">
        <v>84</v>
      </c>
      <c r="DU374" s="23" t="s">
        <v>151</v>
      </c>
      <c r="DV374" s="21" t="s">
        <v>151</v>
      </c>
      <c r="DW374" s="23">
        <v>6.05</v>
      </c>
      <c r="DX374" s="21">
        <v>84</v>
      </c>
      <c r="DY374" s="18" t="s">
        <v>151</v>
      </c>
      <c r="DZ374" s="22" t="s">
        <v>151</v>
      </c>
      <c r="EA374" s="22" t="s">
        <v>151</v>
      </c>
      <c r="EB374" s="21">
        <v>1954</v>
      </c>
      <c r="EC374" s="20">
        <v>25</v>
      </c>
      <c r="ED374" s="19">
        <v>1.3</v>
      </c>
      <c r="EE374" s="21">
        <v>115</v>
      </c>
      <c r="EF374" s="20">
        <v>0</v>
      </c>
      <c r="EG374" s="19">
        <v>0</v>
      </c>
      <c r="EH374" s="16" t="s">
        <v>198</v>
      </c>
      <c r="EI374" s="17" t="s">
        <v>151</v>
      </c>
      <c r="EJ374" s="17" t="s">
        <v>151</v>
      </c>
      <c r="EK374" s="18" t="s">
        <v>151</v>
      </c>
      <c r="EL374" s="18" t="s">
        <v>151</v>
      </c>
      <c r="EM374" s="18" t="s">
        <v>151</v>
      </c>
      <c r="EN374" s="18" t="s">
        <v>151</v>
      </c>
      <c r="EO374" s="18" t="s">
        <v>151</v>
      </c>
      <c r="EP374" s="17" t="s">
        <v>151</v>
      </c>
      <c r="EQ374" s="16" t="s">
        <v>151</v>
      </c>
      <c r="ER374" s="16" t="s">
        <v>151</v>
      </c>
      <c r="ES374" s="3">
        <f>HYPERLINK("https://my.pitchbook.com?c=497717-56","View Company Online")</f>
      </c>
    </row>
    <row r="375">
      <c r="A375" s="30" t="s">
        <v>8087</v>
      </c>
      <c r="B375" s="30" t="s">
        <v>8088</v>
      </c>
      <c r="C375" s="31" t="s">
        <v>151</v>
      </c>
      <c r="D375" s="30" t="s">
        <v>151</v>
      </c>
      <c r="E375" s="30" t="s">
        <v>151</v>
      </c>
      <c r="F375" s="30" t="s">
        <v>8089</v>
      </c>
      <c r="G375" s="30" t="s">
        <v>151</v>
      </c>
      <c r="H375" s="30" t="s">
        <v>151</v>
      </c>
      <c r="I375" s="30" t="s">
        <v>151</v>
      </c>
      <c r="J375" s="30" t="s">
        <v>8087</v>
      </c>
      <c r="K375" s="30" t="s">
        <v>8090</v>
      </c>
      <c r="L375" s="30" t="s">
        <v>205</v>
      </c>
      <c r="M375" s="30" t="s">
        <v>206</v>
      </c>
      <c r="N375" s="30" t="s">
        <v>269</v>
      </c>
      <c r="O375" s="30" t="s">
        <v>8091</v>
      </c>
      <c r="P375" s="30" t="s">
        <v>1153</v>
      </c>
      <c r="Q375" s="30" t="s">
        <v>8092</v>
      </c>
      <c r="R375" s="30" t="s">
        <v>780</v>
      </c>
      <c r="S375" s="30" t="s">
        <v>162</v>
      </c>
      <c r="T375" s="37">
        <v>4.1</v>
      </c>
      <c r="U375" s="30" t="s">
        <v>163</v>
      </c>
      <c r="V375" s="30" t="s">
        <v>164</v>
      </c>
      <c r="W375" s="30" t="s">
        <v>165</v>
      </c>
      <c r="X375" s="28" t="s">
        <v>8093</v>
      </c>
      <c r="Y375" s="28" t="s">
        <v>8094</v>
      </c>
      <c r="Z375" s="40">
        <v>9</v>
      </c>
      <c r="AA375" s="30" t="s">
        <v>6517</v>
      </c>
      <c r="AB375" s="30" t="s">
        <v>151</v>
      </c>
      <c r="AC375" s="30" t="s">
        <v>151</v>
      </c>
      <c r="AD375" s="39">
        <v>2023</v>
      </c>
      <c r="AE375" s="30" t="s">
        <v>151</v>
      </c>
      <c r="AF375" s="35">
        <v>45607</v>
      </c>
      <c r="AG375" s="30" t="s">
        <v>151</v>
      </c>
      <c r="AH375" s="30" t="s">
        <v>151</v>
      </c>
      <c r="AI375" s="38" t="s">
        <v>151</v>
      </c>
      <c r="AJ375" s="32" t="s">
        <v>151</v>
      </c>
      <c r="AK375" s="38" t="s">
        <v>151</v>
      </c>
      <c r="AL375" s="38" t="s">
        <v>151</v>
      </c>
      <c r="AM375" s="38" t="s">
        <v>151</v>
      </c>
      <c r="AN375" s="38" t="s">
        <v>151</v>
      </c>
      <c r="AO375" s="38" t="s">
        <v>151</v>
      </c>
      <c r="AP375" s="38" t="s">
        <v>151</v>
      </c>
      <c r="AQ375" s="38" t="s">
        <v>151</v>
      </c>
      <c r="AR375" s="29" t="s">
        <v>151</v>
      </c>
      <c r="AS375" s="30" t="s">
        <v>8095</v>
      </c>
      <c r="AT375" s="30" t="s">
        <v>8096</v>
      </c>
      <c r="AU375" s="31">
        <v>17</v>
      </c>
      <c r="AV375" s="30" t="s">
        <v>151</v>
      </c>
      <c r="AW375" s="30" t="s">
        <v>151</v>
      </c>
      <c r="AX375" s="30" t="s">
        <v>151</v>
      </c>
      <c r="AY375" s="30" t="s">
        <v>8097</v>
      </c>
      <c r="AZ375" s="30" t="s">
        <v>151</v>
      </c>
      <c r="BA375" s="30" t="s">
        <v>151</v>
      </c>
      <c r="BB375" s="30" t="s">
        <v>151</v>
      </c>
      <c r="BC375" s="30" t="s">
        <v>151</v>
      </c>
      <c r="BD375" s="30" t="s">
        <v>8098</v>
      </c>
      <c r="BE375" s="30" t="s">
        <v>8099</v>
      </c>
      <c r="BF375" s="30" t="s">
        <v>493</v>
      </c>
      <c r="BG375" s="30" t="s">
        <v>8100</v>
      </c>
      <c r="BH375" s="30" t="s">
        <v>8101</v>
      </c>
      <c r="BI375" s="30" t="s">
        <v>906</v>
      </c>
      <c r="BJ375" s="30" t="s">
        <v>151</v>
      </c>
      <c r="BK375" s="30" t="s">
        <v>151</v>
      </c>
      <c r="BL375" s="30" t="s">
        <v>259</v>
      </c>
      <c r="BM375" s="30" t="s">
        <v>259</v>
      </c>
      <c r="BN375" s="29" t="s">
        <v>5051</v>
      </c>
      <c r="BO375" s="30" t="s">
        <v>186</v>
      </c>
      <c r="BP375" s="29" t="s">
        <v>151</v>
      </c>
      <c r="BQ375" s="29" t="s">
        <v>151</v>
      </c>
      <c r="BR375" s="30" t="s">
        <v>8102</v>
      </c>
      <c r="BS375" s="30" t="s">
        <v>187</v>
      </c>
      <c r="BT375" s="30" t="s">
        <v>188</v>
      </c>
      <c r="BU375" s="35" t="s">
        <v>151</v>
      </c>
      <c r="BV375" s="37" t="s">
        <v>151</v>
      </c>
      <c r="BW375" s="30" t="s">
        <v>151</v>
      </c>
      <c r="BX375" s="37" t="s">
        <v>151</v>
      </c>
      <c r="BY375" s="30" t="s">
        <v>151</v>
      </c>
      <c r="BZ375" s="30" t="s">
        <v>189</v>
      </c>
      <c r="CA375" s="30" t="s">
        <v>151</v>
      </c>
      <c r="CB375" s="30" t="s">
        <v>151</v>
      </c>
      <c r="CC375" s="30" t="s">
        <v>190</v>
      </c>
      <c r="CD375" s="30" t="s">
        <v>151</v>
      </c>
      <c r="CE375" s="30" t="s">
        <v>191</v>
      </c>
      <c r="CF375" s="35">
        <v>45341</v>
      </c>
      <c r="CG375" s="37">
        <v>3.6</v>
      </c>
      <c r="CH375" s="30" t="s">
        <v>192</v>
      </c>
      <c r="CI375" s="37" t="s">
        <v>151</v>
      </c>
      <c r="CJ375" s="30" t="s">
        <v>151</v>
      </c>
      <c r="CK375" s="29" t="s">
        <v>151</v>
      </c>
      <c r="CL375" s="30" t="s">
        <v>231</v>
      </c>
      <c r="CM375" s="30" t="s">
        <v>151</v>
      </c>
      <c r="CN375" s="30" t="s">
        <v>151</v>
      </c>
      <c r="CO375" s="30" t="s">
        <v>165</v>
      </c>
      <c r="CP375" s="35">
        <v>45341</v>
      </c>
      <c r="CQ375" s="37" t="s">
        <v>151</v>
      </c>
      <c r="CR375" s="30" t="s">
        <v>151</v>
      </c>
      <c r="CS375" s="30" t="s">
        <v>191</v>
      </c>
      <c r="CT375" s="29" t="s">
        <v>151</v>
      </c>
      <c r="CU375" s="30" t="s">
        <v>151</v>
      </c>
      <c r="CV375" s="32" t="s">
        <v>151</v>
      </c>
      <c r="CW375" s="32" t="s">
        <v>151</v>
      </c>
      <c r="CX375" s="30" t="s">
        <v>151</v>
      </c>
      <c r="CY375" s="32" t="s">
        <v>151</v>
      </c>
      <c r="CZ375" s="32" t="s">
        <v>151</v>
      </c>
      <c r="DA375" s="37">
        <v>7.14</v>
      </c>
      <c r="DB375" s="35">
        <v>44927</v>
      </c>
      <c r="DC375" s="30" t="s">
        <v>189</v>
      </c>
      <c r="DD375" s="29" t="s">
        <v>151</v>
      </c>
      <c r="DE375" s="32">
        <v>3.35</v>
      </c>
      <c r="DF375" s="34">
        <v>100</v>
      </c>
      <c r="DG375" s="32">
        <v>0</v>
      </c>
      <c r="DH375" s="32">
        <v>0</v>
      </c>
      <c r="DI375" s="32" t="s">
        <v>151</v>
      </c>
      <c r="DJ375" s="34" t="s">
        <v>151</v>
      </c>
      <c r="DK375" s="32" t="s">
        <v>151</v>
      </c>
      <c r="DL375" s="34" t="s">
        <v>151</v>
      </c>
      <c r="DM375" s="32" t="s">
        <v>151</v>
      </c>
      <c r="DN375" s="34" t="s">
        <v>151</v>
      </c>
      <c r="DO375" s="36">
        <v>0.69</v>
      </c>
      <c r="DP375" s="34">
        <v>42</v>
      </c>
      <c r="DQ375" s="36">
        <v>0</v>
      </c>
      <c r="DR375" s="32">
        <v>0</v>
      </c>
      <c r="DS375" s="36" t="s">
        <v>151</v>
      </c>
      <c r="DT375" s="34" t="s">
        <v>151</v>
      </c>
      <c r="DU375" s="36" t="s">
        <v>151</v>
      </c>
      <c r="DV375" s="34" t="s">
        <v>151</v>
      </c>
      <c r="DW375" s="36" t="s">
        <v>151</v>
      </c>
      <c r="DX375" s="34" t="s">
        <v>151</v>
      </c>
      <c r="DY375" s="31" t="s">
        <v>151</v>
      </c>
      <c r="DZ375" s="35" t="s">
        <v>151</v>
      </c>
      <c r="EA375" s="35" t="s">
        <v>151</v>
      </c>
      <c r="EB375" s="34">
        <v>9153</v>
      </c>
      <c r="EC375" s="33">
        <v>1736</v>
      </c>
      <c r="ED375" s="32">
        <v>23.41</v>
      </c>
      <c r="EE375" s="34" t="s">
        <v>151</v>
      </c>
      <c r="EF375" s="33" t="s">
        <v>151</v>
      </c>
      <c r="EG375" s="32" t="s">
        <v>151</v>
      </c>
      <c r="EH375" s="29" t="s">
        <v>198</v>
      </c>
      <c r="EI375" s="30" t="s">
        <v>151</v>
      </c>
      <c r="EJ375" s="30" t="s">
        <v>151</v>
      </c>
      <c r="EK375" s="31" t="s">
        <v>151</v>
      </c>
      <c r="EL375" s="31" t="s">
        <v>151</v>
      </c>
      <c r="EM375" s="31" t="s">
        <v>151</v>
      </c>
      <c r="EN375" s="31" t="s">
        <v>151</v>
      </c>
      <c r="EO375" s="31" t="s">
        <v>151</v>
      </c>
      <c r="EP375" s="30" t="s">
        <v>151</v>
      </c>
      <c r="EQ375" s="29" t="s">
        <v>151</v>
      </c>
      <c r="ER375" s="29" t="s">
        <v>151</v>
      </c>
      <c r="ES375" s="4">
        <f>HYPERLINK("https://my.pitchbook.com?c=529758-01","View Company Online")</f>
      </c>
    </row>
    <row r="376">
      <c r="A376" s="17" t="s">
        <v>8103</v>
      </c>
      <c r="B376" s="17" t="s">
        <v>8104</v>
      </c>
      <c r="C376" s="18" t="s">
        <v>151</v>
      </c>
      <c r="D376" s="17" t="s">
        <v>8105</v>
      </c>
      <c r="E376" s="17" t="s">
        <v>151</v>
      </c>
      <c r="F376" s="17" t="s">
        <v>8106</v>
      </c>
      <c r="G376" s="17" t="s">
        <v>151</v>
      </c>
      <c r="H376" s="17" t="s">
        <v>151</v>
      </c>
      <c r="I376" s="17" t="s">
        <v>151</v>
      </c>
      <c r="J376" s="17" t="s">
        <v>8103</v>
      </c>
      <c r="K376" s="17" t="s">
        <v>8107</v>
      </c>
      <c r="L376" s="17" t="s">
        <v>205</v>
      </c>
      <c r="M376" s="17" t="s">
        <v>206</v>
      </c>
      <c r="N376" s="17" t="s">
        <v>694</v>
      </c>
      <c r="O376" s="17" t="s">
        <v>8108</v>
      </c>
      <c r="P376" s="17" t="s">
        <v>8109</v>
      </c>
      <c r="Q376" s="17" t="s">
        <v>8110</v>
      </c>
      <c r="R376" s="17" t="s">
        <v>151</v>
      </c>
      <c r="S376" s="17" t="s">
        <v>162</v>
      </c>
      <c r="T376" s="24">
        <v>11.21</v>
      </c>
      <c r="U376" s="17" t="s">
        <v>163</v>
      </c>
      <c r="V376" s="17" t="s">
        <v>164</v>
      </c>
      <c r="W376" s="17" t="s">
        <v>165</v>
      </c>
      <c r="X376" s="15" t="s">
        <v>8111</v>
      </c>
      <c r="Y376" s="15" t="s">
        <v>8112</v>
      </c>
      <c r="Z376" s="27">
        <v>50</v>
      </c>
      <c r="AA376" s="17" t="s">
        <v>8113</v>
      </c>
      <c r="AB376" s="17" t="s">
        <v>151</v>
      </c>
      <c r="AC376" s="17" t="s">
        <v>151</v>
      </c>
      <c r="AD376" s="26">
        <v>2019</v>
      </c>
      <c r="AE376" s="17" t="s">
        <v>151</v>
      </c>
      <c r="AF376" s="22">
        <v>45568</v>
      </c>
      <c r="AG376" s="17" t="s">
        <v>151</v>
      </c>
      <c r="AH376" s="17" t="s">
        <v>151</v>
      </c>
      <c r="AI376" s="25" t="s">
        <v>151</v>
      </c>
      <c r="AJ376" s="19" t="s">
        <v>151</v>
      </c>
      <c r="AK376" s="25" t="s">
        <v>151</v>
      </c>
      <c r="AL376" s="25" t="s">
        <v>151</v>
      </c>
      <c r="AM376" s="25" t="s">
        <v>151</v>
      </c>
      <c r="AN376" s="25" t="s">
        <v>151</v>
      </c>
      <c r="AO376" s="25" t="s">
        <v>151</v>
      </c>
      <c r="AP376" s="25" t="s">
        <v>151</v>
      </c>
      <c r="AQ376" s="25" t="s">
        <v>151</v>
      </c>
      <c r="AR376" s="16" t="s">
        <v>151</v>
      </c>
      <c r="AS376" s="17" t="s">
        <v>8114</v>
      </c>
      <c r="AT376" s="17" t="s">
        <v>8115</v>
      </c>
      <c r="AU376" s="18">
        <v>24</v>
      </c>
      <c r="AV376" s="17" t="s">
        <v>151</v>
      </c>
      <c r="AW376" s="17" t="s">
        <v>151</v>
      </c>
      <c r="AX376" s="17" t="s">
        <v>151</v>
      </c>
      <c r="AY376" s="17" t="s">
        <v>8116</v>
      </c>
      <c r="AZ376" s="17" t="s">
        <v>151</v>
      </c>
      <c r="BA376" s="17" t="s">
        <v>151</v>
      </c>
      <c r="BB376" s="17" t="s">
        <v>151</v>
      </c>
      <c r="BC376" s="17" t="s">
        <v>374</v>
      </c>
      <c r="BD376" s="17" t="s">
        <v>8117</v>
      </c>
      <c r="BE376" s="17" t="s">
        <v>8118</v>
      </c>
      <c r="BF376" s="17" t="s">
        <v>221</v>
      </c>
      <c r="BG376" s="17" t="s">
        <v>8119</v>
      </c>
      <c r="BH376" s="17" t="s">
        <v>8120</v>
      </c>
      <c r="BI376" s="17" t="s">
        <v>764</v>
      </c>
      <c r="BJ376" s="17" t="s">
        <v>3969</v>
      </c>
      <c r="BK376" s="17" t="s">
        <v>8121</v>
      </c>
      <c r="BL376" s="17" t="s">
        <v>767</v>
      </c>
      <c r="BM376" s="17" t="s">
        <v>184</v>
      </c>
      <c r="BN376" s="16" t="s">
        <v>794</v>
      </c>
      <c r="BO376" s="17" t="s">
        <v>186</v>
      </c>
      <c r="BP376" s="16" t="s">
        <v>8120</v>
      </c>
      <c r="BQ376" s="16" t="s">
        <v>151</v>
      </c>
      <c r="BR376" s="17" t="s">
        <v>151</v>
      </c>
      <c r="BS376" s="17" t="s">
        <v>187</v>
      </c>
      <c r="BT376" s="17" t="s">
        <v>188</v>
      </c>
      <c r="BU376" s="22">
        <v>43804</v>
      </c>
      <c r="BV376" s="24">
        <v>0.11</v>
      </c>
      <c r="BW376" s="17" t="s">
        <v>192</v>
      </c>
      <c r="BX376" s="24">
        <v>2.5</v>
      </c>
      <c r="BY376" s="17" t="s">
        <v>192</v>
      </c>
      <c r="BZ376" s="17" t="s">
        <v>189</v>
      </c>
      <c r="CA376" s="17" t="s">
        <v>151</v>
      </c>
      <c r="CB376" s="17" t="s">
        <v>151</v>
      </c>
      <c r="CC376" s="17" t="s">
        <v>190</v>
      </c>
      <c r="CD376" s="17" t="s">
        <v>151</v>
      </c>
      <c r="CE376" s="17" t="s">
        <v>191</v>
      </c>
      <c r="CF376" s="22">
        <v>44720</v>
      </c>
      <c r="CG376" s="24">
        <v>8</v>
      </c>
      <c r="CH376" s="17" t="s">
        <v>192</v>
      </c>
      <c r="CI376" s="24">
        <v>42</v>
      </c>
      <c r="CJ376" s="17" t="s">
        <v>192</v>
      </c>
      <c r="CK376" s="16">
        <v>3.12</v>
      </c>
      <c r="CL376" s="17" t="s">
        <v>231</v>
      </c>
      <c r="CM376" s="17" t="s">
        <v>232</v>
      </c>
      <c r="CN376" s="17" t="s">
        <v>151</v>
      </c>
      <c r="CO376" s="17" t="s">
        <v>165</v>
      </c>
      <c r="CP376" s="22">
        <v>44720</v>
      </c>
      <c r="CQ376" s="24" t="s">
        <v>151</v>
      </c>
      <c r="CR376" s="17" t="s">
        <v>151</v>
      </c>
      <c r="CS376" s="17" t="s">
        <v>191</v>
      </c>
      <c r="CT376" s="16">
        <v>92</v>
      </c>
      <c r="CU376" s="17" t="s">
        <v>196</v>
      </c>
      <c r="CV376" s="19">
        <v>85</v>
      </c>
      <c r="CW376" s="19">
        <v>15</v>
      </c>
      <c r="CX376" s="17" t="s">
        <v>294</v>
      </c>
      <c r="CY376" s="19">
        <v>1</v>
      </c>
      <c r="CZ376" s="19">
        <v>84</v>
      </c>
      <c r="DA376" s="24">
        <v>42</v>
      </c>
      <c r="DB376" s="22">
        <v>44720</v>
      </c>
      <c r="DC376" s="17" t="s">
        <v>231</v>
      </c>
      <c r="DD376" s="16">
        <v>3.12</v>
      </c>
      <c r="DE376" s="19">
        <v>0</v>
      </c>
      <c r="DF376" s="21">
        <v>11</v>
      </c>
      <c r="DG376" s="19">
        <v>0</v>
      </c>
      <c r="DH376" s="19">
        <v>0</v>
      </c>
      <c r="DI376" s="19">
        <v>0</v>
      </c>
      <c r="DJ376" s="21">
        <v>10</v>
      </c>
      <c r="DK376" s="19" t="s">
        <v>151</v>
      </c>
      <c r="DL376" s="21" t="s">
        <v>151</v>
      </c>
      <c r="DM376" s="19">
        <v>0</v>
      </c>
      <c r="DN376" s="21">
        <v>10</v>
      </c>
      <c r="DO376" s="23">
        <v>4.74</v>
      </c>
      <c r="DP376" s="21">
        <v>82</v>
      </c>
      <c r="DQ376" s="23">
        <v>0</v>
      </c>
      <c r="DR376" s="19">
        <v>0</v>
      </c>
      <c r="DS376" s="23">
        <v>4.74</v>
      </c>
      <c r="DT376" s="21">
        <v>81</v>
      </c>
      <c r="DU376" s="23" t="s">
        <v>151</v>
      </c>
      <c r="DV376" s="21" t="s">
        <v>151</v>
      </c>
      <c r="DW376" s="23">
        <v>4.74</v>
      </c>
      <c r="DX376" s="21">
        <v>81</v>
      </c>
      <c r="DY376" s="18">
        <v>2</v>
      </c>
      <c r="DZ376" s="22">
        <v>45090</v>
      </c>
      <c r="EA376" s="22" t="s">
        <v>151</v>
      </c>
      <c r="EB376" s="21">
        <v>404</v>
      </c>
      <c r="EC376" s="20">
        <v>2</v>
      </c>
      <c r="ED376" s="19">
        <v>0.5</v>
      </c>
      <c r="EE376" s="21">
        <v>90</v>
      </c>
      <c r="EF376" s="20">
        <v>1</v>
      </c>
      <c r="EG376" s="19">
        <v>1.12</v>
      </c>
      <c r="EH376" s="16" t="s">
        <v>198</v>
      </c>
      <c r="EI376" s="17" t="s">
        <v>151</v>
      </c>
      <c r="EJ376" s="17" t="s">
        <v>151</v>
      </c>
      <c r="EK376" s="18" t="s">
        <v>151</v>
      </c>
      <c r="EL376" s="18" t="s">
        <v>151</v>
      </c>
      <c r="EM376" s="18" t="s">
        <v>151</v>
      </c>
      <c r="EN376" s="18" t="s">
        <v>151</v>
      </c>
      <c r="EO376" s="18" t="s">
        <v>151</v>
      </c>
      <c r="EP376" s="17" t="s">
        <v>151</v>
      </c>
      <c r="EQ376" s="16" t="s">
        <v>151</v>
      </c>
      <c r="ER376" s="16" t="s">
        <v>151</v>
      </c>
      <c r="ES376" s="3">
        <f>HYPERLINK("https://my.pitchbook.com?c=399467-44","View Company Online")</f>
      </c>
    </row>
    <row r="377">
      <c r="A377" s="30" t="s">
        <v>8122</v>
      </c>
      <c r="B377" s="30" t="s">
        <v>8123</v>
      </c>
      <c r="C377" s="31" t="s">
        <v>151</v>
      </c>
      <c r="D377" s="30" t="s">
        <v>151</v>
      </c>
      <c r="E377" s="30" t="s">
        <v>151</v>
      </c>
      <c r="F377" s="30" t="s">
        <v>8124</v>
      </c>
      <c r="G377" s="30" t="s">
        <v>151</v>
      </c>
      <c r="H377" s="30" t="s">
        <v>151</v>
      </c>
      <c r="I377" s="30" t="s">
        <v>151</v>
      </c>
      <c r="J377" s="30" t="s">
        <v>8122</v>
      </c>
      <c r="K377" s="30" t="s">
        <v>8125</v>
      </c>
      <c r="L377" s="30" t="s">
        <v>205</v>
      </c>
      <c r="M377" s="30" t="s">
        <v>206</v>
      </c>
      <c r="N377" s="30" t="s">
        <v>694</v>
      </c>
      <c r="O377" s="30" t="s">
        <v>8126</v>
      </c>
      <c r="P377" s="30" t="s">
        <v>151</v>
      </c>
      <c r="Q377" s="30" t="s">
        <v>8127</v>
      </c>
      <c r="R377" s="30" t="s">
        <v>151</v>
      </c>
      <c r="S377" s="30" t="s">
        <v>162</v>
      </c>
      <c r="T377" s="37">
        <v>1</v>
      </c>
      <c r="U377" s="30" t="s">
        <v>163</v>
      </c>
      <c r="V377" s="30" t="s">
        <v>164</v>
      </c>
      <c r="W377" s="30" t="s">
        <v>165</v>
      </c>
      <c r="X377" s="28" t="s">
        <v>8128</v>
      </c>
      <c r="Y377" s="28" t="s">
        <v>8129</v>
      </c>
      <c r="Z377" s="40">
        <v>9</v>
      </c>
      <c r="AA377" s="30" t="s">
        <v>4327</v>
      </c>
      <c r="AB377" s="30" t="s">
        <v>151</v>
      </c>
      <c r="AC377" s="30" t="s">
        <v>151</v>
      </c>
      <c r="AD377" s="39">
        <v>2023</v>
      </c>
      <c r="AE377" s="30" t="s">
        <v>151</v>
      </c>
      <c r="AF377" s="35">
        <v>45615</v>
      </c>
      <c r="AG377" s="30" t="s">
        <v>151</v>
      </c>
      <c r="AH377" s="30" t="s">
        <v>151</v>
      </c>
      <c r="AI377" s="38" t="s">
        <v>151</v>
      </c>
      <c r="AJ377" s="32" t="s">
        <v>151</v>
      </c>
      <c r="AK377" s="38" t="s">
        <v>151</v>
      </c>
      <c r="AL377" s="38" t="s">
        <v>151</v>
      </c>
      <c r="AM377" s="38" t="s">
        <v>151</v>
      </c>
      <c r="AN377" s="38" t="s">
        <v>151</v>
      </c>
      <c r="AO377" s="38" t="s">
        <v>151</v>
      </c>
      <c r="AP377" s="38" t="s">
        <v>151</v>
      </c>
      <c r="AQ377" s="38" t="s">
        <v>151</v>
      </c>
      <c r="AR377" s="29" t="s">
        <v>151</v>
      </c>
      <c r="AS377" s="30" t="s">
        <v>8130</v>
      </c>
      <c r="AT377" s="30" t="s">
        <v>8131</v>
      </c>
      <c r="AU377" s="31">
        <v>3</v>
      </c>
      <c r="AV377" s="30" t="s">
        <v>151</v>
      </c>
      <c r="AW377" s="30" t="s">
        <v>151</v>
      </c>
      <c r="AX377" s="30" t="s">
        <v>151</v>
      </c>
      <c r="AY377" s="30" t="s">
        <v>8132</v>
      </c>
      <c r="AZ377" s="30" t="s">
        <v>151</v>
      </c>
      <c r="BA377" s="30" t="s">
        <v>151</v>
      </c>
      <c r="BB377" s="30" t="s">
        <v>151</v>
      </c>
      <c r="BC377" s="30" t="s">
        <v>151</v>
      </c>
      <c r="BD377" s="30" t="s">
        <v>8133</v>
      </c>
      <c r="BE377" s="30" t="s">
        <v>8134</v>
      </c>
      <c r="BF377" s="30" t="s">
        <v>931</v>
      </c>
      <c r="BG377" s="30" t="s">
        <v>8135</v>
      </c>
      <c r="BH377" s="30" t="s">
        <v>151</v>
      </c>
      <c r="BI377" s="30" t="s">
        <v>1384</v>
      </c>
      <c r="BJ377" s="30" t="s">
        <v>8136</v>
      </c>
      <c r="BK377" s="30" t="s">
        <v>8137</v>
      </c>
      <c r="BL377" s="30" t="s">
        <v>1387</v>
      </c>
      <c r="BM377" s="30" t="s">
        <v>1388</v>
      </c>
      <c r="BN377" s="29" t="s">
        <v>1389</v>
      </c>
      <c r="BO377" s="30" t="s">
        <v>186</v>
      </c>
      <c r="BP377" s="29" t="s">
        <v>151</v>
      </c>
      <c r="BQ377" s="29" t="s">
        <v>151</v>
      </c>
      <c r="BR377" s="30" t="s">
        <v>151</v>
      </c>
      <c r="BS377" s="30" t="s">
        <v>187</v>
      </c>
      <c r="BT377" s="30" t="s">
        <v>188</v>
      </c>
      <c r="BU377" s="35">
        <v>45470</v>
      </c>
      <c r="BV377" s="37">
        <v>1</v>
      </c>
      <c r="BW377" s="30" t="s">
        <v>192</v>
      </c>
      <c r="BX377" s="37" t="s">
        <v>151</v>
      </c>
      <c r="BY377" s="30" t="s">
        <v>151</v>
      </c>
      <c r="BZ377" s="30" t="s">
        <v>293</v>
      </c>
      <c r="CA377" s="30" t="s">
        <v>293</v>
      </c>
      <c r="CB377" s="30" t="s">
        <v>151</v>
      </c>
      <c r="CC377" s="30" t="s">
        <v>165</v>
      </c>
      <c r="CD377" s="30" t="s">
        <v>151</v>
      </c>
      <c r="CE377" s="30" t="s">
        <v>191</v>
      </c>
      <c r="CF377" s="35">
        <v>45470</v>
      </c>
      <c r="CG377" s="37">
        <v>1</v>
      </c>
      <c r="CH377" s="30" t="s">
        <v>192</v>
      </c>
      <c r="CI377" s="37" t="s">
        <v>151</v>
      </c>
      <c r="CJ377" s="30" t="s">
        <v>151</v>
      </c>
      <c r="CK377" s="29" t="s">
        <v>151</v>
      </c>
      <c r="CL377" s="30" t="s">
        <v>293</v>
      </c>
      <c r="CM377" s="30" t="s">
        <v>293</v>
      </c>
      <c r="CN377" s="30" t="s">
        <v>151</v>
      </c>
      <c r="CO377" s="30" t="s">
        <v>165</v>
      </c>
      <c r="CP377" s="35">
        <v>45470</v>
      </c>
      <c r="CQ377" s="37" t="s">
        <v>151</v>
      </c>
      <c r="CR377" s="30" t="s">
        <v>151</v>
      </c>
      <c r="CS377" s="30" t="s">
        <v>191</v>
      </c>
      <c r="CT377" s="29" t="s">
        <v>151</v>
      </c>
      <c r="CU377" s="30" t="s">
        <v>151</v>
      </c>
      <c r="CV377" s="32" t="s">
        <v>151</v>
      </c>
      <c r="CW377" s="32" t="s">
        <v>151</v>
      </c>
      <c r="CX377" s="30" t="s">
        <v>151</v>
      </c>
      <c r="CY377" s="32" t="s">
        <v>151</v>
      </c>
      <c r="CZ377" s="32" t="s">
        <v>151</v>
      </c>
      <c r="DA377" s="37" t="s">
        <v>151</v>
      </c>
      <c r="DB377" s="35" t="s">
        <v>151</v>
      </c>
      <c r="DC377" s="30" t="s">
        <v>151</v>
      </c>
      <c r="DD377" s="29" t="s">
        <v>151</v>
      </c>
      <c r="DE377" s="32">
        <v>0.78</v>
      </c>
      <c r="DF377" s="34">
        <v>95</v>
      </c>
      <c r="DG377" s="32">
        <v>-0.78</v>
      </c>
      <c r="DH377" s="32">
        <v>-50</v>
      </c>
      <c r="DI377" s="32">
        <v>0</v>
      </c>
      <c r="DJ377" s="34">
        <v>10</v>
      </c>
      <c r="DK377" s="32" t="s">
        <v>151</v>
      </c>
      <c r="DL377" s="34" t="s">
        <v>151</v>
      </c>
      <c r="DM377" s="32">
        <v>0</v>
      </c>
      <c r="DN377" s="34">
        <v>10</v>
      </c>
      <c r="DO377" s="36">
        <v>2.24</v>
      </c>
      <c r="DP377" s="34">
        <v>69</v>
      </c>
      <c r="DQ377" s="36">
        <v>1.55</v>
      </c>
      <c r="DR377" s="32">
        <v>223.68</v>
      </c>
      <c r="DS377" s="36">
        <v>3.79</v>
      </c>
      <c r="DT377" s="34">
        <v>78</v>
      </c>
      <c r="DU377" s="36" t="s">
        <v>151</v>
      </c>
      <c r="DV377" s="34" t="s">
        <v>151</v>
      </c>
      <c r="DW377" s="36">
        <v>3.79</v>
      </c>
      <c r="DX377" s="34">
        <v>78</v>
      </c>
      <c r="DY377" s="31" t="s">
        <v>151</v>
      </c>
      <c r="DZ377" s="35" t="s">
        <v>151</v>
      </c>
      <c r="EA377" s="35" t="s">
        <v>151</v>
      </c>
      <c r="EB377" s="34" t="s">
        <v>151</v>
      </c>
      <c r="EC377" s="33" t="s">
        <v>151</v>
      </c>
      <c r="ED377" s="32" t="s">
        <v>151</v>
      </c>
      <c r="EE377" s="34">
        <v>72</v>
      </c>
      <c r="EF377" s="33">
        <v>0</v>
      </c>
      <c r="EG377" s="32">
        <v>0</v>
      </c>
      <c r="EH377" s="29" t="s">
        <v>198</v>
      </c>
      <c r="EI377" s="30" t="s">
        <v>151</v>
      </c>
      <c r="EJ377" s="30" t="s">
        <v>151</v>
      </c>
      <c r="EK377" s="31" t="s">
        <v>151</v>
      </c>
      <c r="EL377" s="31" t="s">
        <v>151</v>
      </c>
      <c r="EM377" s="31" t="s">
        <v>151</v>
      </c>
      <c r="EN377" s="31" t="s">
        <v>151</v>
      </c>
      <c r="EO377" s="31" t="s">
        <v>151</v>
      </c>
      <c r="EP377" s="30" t="s">
        <v>151</v>
      </c>
      <c r="EQ377" s="29" t="s">
        <v>151</v>
      </c>
      <c r="ER377" s="29" t="s">
        <v>151</v>
      </c>
      <c r="ES377" s="4">
        <f>HYPERLINK("https://my.pitchbook.com?c=606898-09","View Company Online")</f>
      </c>
    </row>
    <row r="378">
      <c r="A378" s="17" t="s">
        <v>8138</v>
      </c>
      <c r="B378" s="17" t="s">
        <v>8139</v>
      </c>
      <c r="C378" s="18" t="s">
        <v>151</v>
      </c>
      <c r="D378" s="17" t="s">
        <v>151</v>
      </c>
      <c r="E378" s="17" t="s">
        <v>151</v>
      </c>
      <c r="F378" s="17" t="s">
        <v>8140</v>
      </c>
      <c r="G378" s="17" t="s">
        <v>151</v>
      </c>
      <c r="H378" s="17" t="s">
        <v>151</v>
      </c>
      <c r="I378" s="17" t="s">
        <v>8141</v>
      </c>
      <c r="J378" s="17" t="s">
        <v>8138</v>
      </c>
      <c r="K378" s="17" t="s">
        <v>8142</v>
      </c>
      <c r="L378" s="17" t="s">
        <v>205</v>
      </c>
      <c r="M378" s="17" t="s">
        <v>206</v>
      </c>
      <c r="N378" s="17" t="s">
        <v>269</v>
      </c>
      <c r="O378" s="17" t="s">
        <v>1651</v>
      </c>
      <c r="P378" s="17" t="s">
        <v>8143</v>
      </c>
      <c r="Q378" s="17" t="s">
        <v>8144</v>
      </c>
      <c r="R378" s="17" t="s">
        <v>151</v>
      </c>
      <c r="S378" s="17" t="s">
        <v>162</v>
      </c>
      <c r="T378" s="24">
        <v>6.56</v>
      </c>
      <c r="U378" s="17" t="s">
        <v>4993</v>
      </c>
      <c r="V378" s="17" t="s">
        <v>164</v>
      </c>
      <c r="W378" s="17" t="s">
        <v>165</v>
      </c>
      <c r="X378" s="15" t="s">
        <v>8145</v>
      </c>
      <c r="Y378" s="15" t="s">
        <v>8146</v>
      </c>
      <c r="Z378" s="27">
        <v>41</v>
      </c>
      <c r="AA378" s="17" t="s">
        <v>8147</v>
      </c>
      <c r="AB378" s="17" t="s">
        <v>151</v>
      </c>
      <c r="AC378" s="17" t="s">
        <v>151</v>
      </c>
      <c r="AD378" s="26">
        <v>2018</v>
      </c>
      <c r="AE378" s="17" t="s">
        <v>151</v>
      </c>
      <c r="AF378" s="22">
        <v>45433</v>
      </c>
      <c r="AG378" s="17" t="s">
        <v>151</v>
      </c>
      <c r="AH378" s="17" t="s">
        <v>151</v>
      </c>
      <c r="AI378" s="25" t="s">
        <v>151</v>
      </c>
      <c r="AJ378" s="19" t="s">
        <v>151</v>
      </c>
      <c r="AK378" s="25" t="s">
        <v>151</v>
      </c>
      <c r="AL378" s="25" t="s">
        <v>151</v>
      </c>
      <c r="AM378" s="25" t="s">
        <v>151</v>
      </c>
      <c r="AN378" s="25" t="s">
        <v>151</v>
      </c>
      <c r="AO378" s="25" t="s">
        <v>151</v>
      </c>
      <c r="AP378" s="25" t="s">
        <v>151</v>
      </c>
      <c r="AQ378" s="25" t="s">
        <v>151</v>
      </c>
      <c r="AR378" s="16" t="s">
        <v>151</v>
      </c>
      <c r="AS378" s="17" t="s">
        <v>8148</v>
      </c>
      <c r="AT378" s="17" t="s">
        <v>8149</v>
      </c>
      <c r="AU378" s="18">
        <v>5</v>
      </c>
      <c r="AV378" s="17" t="s">
        <v>151</v>
      </c>
      <c r="AW378" s="17" t="s">
        <v>151</v>
      </c>
      <c r="AX378" s="17" t="s">
        <v>151</v>
      </c>
      <c r="AY378" s="17" t="s">
        <v>8150</v>
      </c>
      <c r="AZ378" s="17" t="s">
        <v>151</v>
      </c>
      <c r="BA378" s="17" t="s">
        <v>151</v>
      </c>
      <c r="BB378" s="17" t="s">
        <v>151</v>
      </c>
      <c r="BC378" s="17" t="s">
        <v>1115</v>
      </c>
      <c r="BD378" s="17" t="s">
        <v>8151</v>
      </c>
      <c r="BE378" s="17" t="s">
        <v>8152</v>
      </c>
      <c r="BF378" s="17" t="s">
        <v>546</v>
      </c>
      <c r="BG378" s="17" t="s">
        <v>8153</v>
      </c>
      <c r="BH378" s="17" t="s">
        <v>8154</v>
      </c>
      <c r="BI378" s="17" t="s">
        <v>5462</v>
      </c>
      <c r="BJ378" s="17" t="s">
        <v>5463</v>
      </c>
      <c r="BK378" s="17" t="s">
        <v>8155</v>
      </c>
      <c r="BL378" s="17" t="s">
        <v>5465</v>
      </c>
      <c r="BM378" s="17" t="s">
        <v>1388</v>
      </c>
      <c r="BN378" s="16" t="s">
        <v>5466</v>
      </c>
      <c r="BO378" s="17" t="s">
        <v>186</v>
      </c>
      <c r="BP378" s="16" t="s">
        <v>151</v>
      </c>
      <c r="BQ378" s="16" t="s">
        <v>151</v>
      </c>
      <c r="BR378" s="17" t="s">
        <v>8156</v>
      </c>
      <c r="BS378" s="17" t="s">
        <v>187</v>
      </c>
      <c r="BT378" s="17" t="s">
        <v>188</v>
      </c>
      <c r="BU378" s="22">
        <v>43101</v>
      </c>
      <c r="BV378" s="24" t="s">
        <v>151</v>
      </c>
      <c r="BW378" s="17" t="s">
        <v>151</v>
      </c>
      <c r="BX378" s="24" t="s">
        <v>151</v>
      </c>
      <c r="BY378" s="17" t="s">
        <v>151</v>
      </c>
      <c r="BZ378" s="17" t="s">
        <v>189</v>
      </c>
      <c r="CA378" s="17" t="s">
        <v>151</v>
      </c>
      <c r="CB378" s="17" t="s">
        <v>151</v>
      </c>
      <c r="CC378" s="17" t="s">
        <v>190</v>
      </c>
      <c r="CD378" s="17" t="s">
        <v>151</v>
      </c>
      <c r="CE378" s="17" t="s">
        <v>191</v>
      </c>
      <c r="CF378" s="22">
        <v>44586</v>
      </c>
      <c r="CG378" s="24">
        <v>6.5</v>
      </c>
      <c r="CH378" s="17" t="s">
        <v>192</v>
      </c>
      <c r="CI378" s="24" t="s">
        <v>151</v>
      </c>
      <c r="CJ378" s="17" t="s">
        <v>151</v>
      </c>
      <c r="CK378" s="16" t="s">
        <v>151</v>
      </c>
      <c r="CL378" s="17" t="s">
        <v>231</v>
      </c>
      <c r="CM378" s="17" t="s">
        <v>232</v>
      </c>
      <c r="CN378" s="17" t="s">
        <v>151</v>
      </c>
      <c r="CO378" s="17" t="s">
        <v>165</v>
      </c>
      <c r="CP378" s="22">
        <v>44586</v>
      </c>
      <c r="CQ378" s="24" t="s">
        <v>151</v>
      </c>
      <c r="CR378" s="17" t="s">
        <v>151</v>
      </c>
      <c r="CS378" s="17" t="s">
        <v>191</v>
      </c>
      <c r="CT378" s="16">
        <v>58</v>
      </c>
      <c r="CU378" s="17" t="s">
        <v>196</v>
      </c>
      <c r="CV378" s="19">
        <v>55</v>
      </c>
      <c r="CW378" s="19">
        <v>45</v>
      </c>
      <c r="CX378" s="17" t="s">
        <v>294</v>
      </c>
      <c r="CY378" s="19">
        <v>2</v>
      </c>
      <c r="CZ378" s="19">
        <v>53</v>
      </c>
      <c r="DA378" s="24" t="s">
        <v>151</v>
      </c>
      <c r="DB378" s="22" t="s">
        <v>151</v>
      </c>
      <c r="DC378" s="17" t="s">
        <v>151</v>
      </c>
      <c r="DD378" s="16" t="s">
        <v>151</v>
      </c>
      <c r="DE378" s="19">
        <v>1.37</v>
      </c>
      <c r="DF378" s="21">
        <v>97</v>
      </c>
      <c r="DG378" s="19">
        <v>0</v>
      </c>
      <c r="DH378" s="19">
        <v>0</v>
      </c>
      <c r="DI378" s="19">
        <v>1.09</v>
      </c>
      <c r="DJ378" s="21">
        <v>97</v>
      </c>
      <c r="DK378" s="19" t="s">
        <v>151</v>
      </c>
      <c r="DL378" s="21" t="s">
        <v>151</v>
      </c>
      <c r="DM378" s="19">
        <v>1.09</v>
      </c>
      <c r="DN378" s="21">
        <v>97</v>
      </c>
      <c r="DO378" s="23">
        <v>14.63</v>
      </c>
      <c r="DP378" s="21">
        <v>93</v>
      </c>
      <c r="DQ378" s="23">
        <v>0</v>
      </c>
      <c r="DR378" s="19">
        <v>0</v>
      </c>
      <c r="DS378" s="23">
        <v>26.11</v>
      </c>
      <c r="DT378" s="21">
        <v>96</v>
      </c>
      <c r="DU378" s="23" t="s">
        <v>151</v>
      </c>
      <c r="DV378" s="21" t="s">
        <v>151</v>
      </c>
      <c r="DW378" s="23">
        <v>26.11</v>
      </c>
      <c r="DX378" s="21">
        <v>96</v>
      </c>
      <c r="DY378" s="18" t="s">
        <v>151</v>
      </c>
      <c r="DZ378" s="22" t="s">
        <v>151</v>
      </c>
      <c r="EA378" s="22" t="s">
        <v>151</v>
      </c>
      <c r="EB378" s="21" t="s">
        <v>151</v>
      </c>
      <c r="EC378" s="20" t="s">
        <v>151</v>
      </c>
      <c r="ED378" s="19" t="s">
        <v>151</v>
      </c>
      <c r="EE378" s="21">
        <v>496</v>
      </c>
      <c r="EF378" s="20">
        <v>2</v>
      </c>
      <c r="EG378" s="19">
        <v>0.4</v>
      </c>
      <c r="EH378" s="16" t="s">
        <v>198</v>
      </c>
      <c r="EI378" s="17" t="s">
        <v>151</v>
      </c>
      <c r="EJ378" s="17" t="s">
        <v>151</v>
      </c>
      <c r="EK378" s="18" t="s">
        <v>151</v>
      </c>
      <c r="EL378" s="18" t="s">
        <v>151</v>
      </c>
      <c r="EM378" s="18" t="s">
        <v>151</v>
      </c>
      <c r="EN378" s="18" t="s">
        <v>151</v>
      </c>
      <c r="EO378" s="18" t="s">
        <v>151</v>
      </c>
      <c r="EP378" s="17" t="s">
        <v>151</v>
      </c>
      <c r="EQ378" s="16" t="s">
        <v>151</v>
      </c>
      <c r="ER378" s="16" t="s">
        <v>151</v>
      </c>
      <c r="ES378" s="3">
        <f>HYPERLINK("https://my.pitchbook.com?c=327146-95","View Company Online")</f>
      </c>
    </row>
    <row r="379">
      <c r="A379" s="30" t="s">
        <v>8157</v>
      </c>
      <c r="B379" s="30" t="s">
        <v>8158</v>
      </c>
      <c r="C379" s="31" t="s">
        <v>151</v>
      </c>
      <c r="D379" s="30" t="s">
        <v>151</v>
      </c>
      <c r="E379" s="30" t="s">
        <v>151</v>
      </c>
      <c r="F379" s="30" t="s">
        <v>8159</v>
      </c>
      <c r="G379" s="30" t="s">
        <v>151</v>
      </c>
      <c r="H379" s="30" t="s">
        <v>151</v>
      </c>
      <c r="I379" s="30" t="s">
        <v>151</v>
      </c>
      <c r="J379" s="30" t="s">
        <v>8157</v>
      </c>
      <c r="K379" s="30" t="s">
        <v>8160</v>
      </c>
      <c r="L379" s="30" t="s">
        <v>205</v>
      </c>
      <c r="M379" s="30" t="s">
        <v>206</v>
      </c>
      <c r="N379" s="30" t="s">
        <v>269</v>
      </c>
      <c r="O379" s="30" t="s">
        <v>563</v>
      </c>
      <c r="P379" s="30" t="s">
        <v>1107</v>
      </c>
      <c r="Q379" s="30" t="s">
        <v>8161</v>
      </c>
      <c r="R379" s="30" t="s">
        <v>151</v>
      </c>
      <c r="S379" s="30" t="s">
        <v>162</v>
      </c>
      <c r="T379" s="37">
        <v>6.4</v>
      </c>
      <c r="U379" s="30" t="s">
        <v>163</v>
      </c>
      <c r="V379" s="30" t="s">
        <v>164</v>
      </c>
      <c r="W379" s="30" t="s">
        <v>165</v>
      </c>
      <c r="X379" s="28" t="s">
        <v>8162</v>
      </c>
      <c r="Y379" s="28" t="s">
        <v>8163</v>
      </c>
      <c r="Z379" s="40">
        <v>12</v>
      </c>
      <c r="AA379" s="30" t="s">
        <v>8164</v>
      </c>
      <c r="AB379" s="30" t="s">
        <v>151</v>
      </c>
      <c r="AC379" s="30" t="s">
        <v>151</v>
      </c>
      <c r="AD379" s="39">
        <v>2020</v>
      </c>
      <c r="AE379" s="30" t="s">
        <v>151</v>
      </c>
      <c r="AF379" s="35">
        <v>45481</v>
      </c>
      <c r="AG379" s="30" t="s">
        <v>151</v>
      </c>
      <c r="AH379" s="30" t="s">
        <v>151</v>
      </c>
      <c r="AI379" s="38" t="s">
        <v>151</v>
      </c>
      <c r="AJ379" s="32" t="s">
        <v>151</v>
      </c>
      <c r="AK379" s="38" t="s">
        <v>151</v>
      </c>
      <c r="AL379" s="38" t="s">
        <v>151</v>
      </c>
      <c r="AM379" s="38" t="s">
        <v>151</v>
      </c>
      <c r="AN379" s="38" t="s">
        <v>151</v>
      </c>
      <c r="AO379" s="38" t="s">
        <v>151</v>
      </c>
      <c r="AP379" s="38" t="s">
        <v>151</v>
      </c>
      <c r="AQ379" s="38" t="s">
        <v>151</v>
      </c>
      <c r="AR379" s="29" t="s">
        <v>151</v>
      </c>
      <c r="AS379" s="30" t="s">
        <v>8165</v>
      </c>
      <c r="AT379" s="30" t="s">
        <v>8166</v>
      </c>
      <c r="AU379" s="31">
        <v>4</v>
      </c>
      <c r="AV379" s="30" t="s">
        <v>151</v>
      </c>
      <c r="AW379" s="30" t="s">
        <v>151</v>
      </c>
      <c r="AX379" s="30" t="s">
        <v>151</v>
      </c>
      <c r="AY379" s="30" t="s">
        <v>8167</v>
      </c>
      <c r="AZ379" s="30" t="s">
        <v>151</v>
      </c>
      <c r="BA379" s="30" t="s">
        <v>151</v>
      </c>
      <c r="BB379" s="30" t="s">
        <v>151</v>
      </c>
      <c r="BC379" s="30" t="s">
        <v>8168</v>
      </c>
      <c r="BD379" s="30" t="s">
        <v>8169</v>
      </c>
      <c r="BE379" s="30" t="s">
        <v>8170</v>
      </c>
      <c r="BF379" s="30" t="s">
        <v>430</v>
      </c>
      <c r="BG379" s="30" t="s">
        <v>8171</v>
      </c>
      <c r="BH379" s="30" t="s">
        <v>8172</v>
      </c>
      <c r="BI379" s="30" t="s">
        <v>8173</v>
      </c>
      <c r="BJ379" s="30" t="s">
        <v>8174</v>
      </c>
      <c r="BK379" s="30" t="s">
        <v>151</v>
      </c>
      <c r="BL379" s="30" t="s">
        <v>8175</v>
      </c>
      <c r="BM379" s="30" t="s">
        <v>184</v>
      </c>
      <c r="BN379" s="29" t="s">
        <v>8176</v>
      </c>
      <c r="BO379" s="30" t="s">
        <v>186</v>
      </c>
      <c r="BP379" s="29" t="s">
        <v>8177</v>
      </c>
      <c r="BQ379" s="29" t="s">
        <v>151</v>
      </c>
      <c r="BR379" s="30" t="s">
        <v>8178</v>
      </c>
      <c r="BS379" s="30" t="s">
        <v>187</v>
      </c>
      <c r="BT379" s="30" t="s">
        <v>188</v>
      </c>
      <c r="BU379" s="35">
        <v>44169</v>
      </c>
      <c r="BV379" s="37">
        <v>6.4</v>
      </c>
      <c r="BW379" s="30" t="s">
        <v>193</v>
      </c>
      <c r="BX379" s="37">
        <v>21.4</v>
      </c>
      <c r="BY379" s="30" t="s">
        <v>192</v>
      </c>
      <c r="BZ379" s="30" t="s">
        <v>293</v>
      </c>
      <c r="CA379" s="30" t="s">
        <v>293</v>
      </c>
      <c r="CB379" s="30" t="s">
        <v>151</v>
      </c>
      <c r="CC379" s="30" t="s">
        <v>165</v>
      </c>
      <c r="CD379" s="30" t="s">
        <v>151</v>
      </c>
      <c r="CE379" s="30" t="s">
        <v>191</v>
      </c>
      <c r="CF379" s="35">
        <v>45139</v>
      </c>
      <c r="CG379" s="37" t="s">
        <v>151</v>
      </c>
      <c r="CH379" s="30" t="s">
        <v>151</v>
      </c>
      <c r="CI379" s="37" t="s">
        <v>151</v>
      </c>
      <c r="CJ379" s="30" t="s">
        <v>151</v>
      </c>
      <c r="CK379" s="29" t="s">
        <v>151</v>
      </c>
      <c r="CL379" s="30" t="s">
        <v>231</v>
      </c>
      <c r="CM379" s="30" t="s">
        <v>151</v>
      </c>
      <c r="CN379" s="30" t="s">
        <v>151</v>
      </c>
      <c r="CO379" s="30" t="s">
        <v>165</v>
      </c>
      <c r="CP379" s="35">
        <v>45139</v>
      </c>
      <c r="CQ379" s="37" t="s">
        <v>151</v>
      </c>
      <c r="CR379" s="30" t="s">
        <v>151</v>
      </c>
      <c r="CS379" s="30" t="s">
        <v>191</v>
      </c>
      <c r="CT379" s="29">
        <v>50</v>
      </c>
      <c r="CU379" s="30" t="s">
        <v>263</v>
      </c>
      <c r="CV379" s="32">
        <v>48</v>
      </c>
      <c r="CW379" s="32">
        <v>52</v>
      </c>
      <c r="CX379" s="30" t="s">
        <v>263</v>
      </c>
      <c r="CY379" s="32">
        <v>1</v>
      </c>
      <c r="CZ379" s="32">
        <v>47</v>
      </c>
      <c r="DA379" s="37">
        <v>21.4</v>
      </c>
      <c r="DB379" s="35">
        <v>44169</v>
      </c>
      <c r="DC379" s="30" t="s">
        <v>293</v>
      </c>
      <c r="DD379" s="29" t="s">
        <v>151</v>
      </c>
      <c r="DE379" s="32">
        <v>-1.34</v>
      </c>
      <c r="DF379" s="34">
        <v>3</v>
      </c>
      <c r="DG379" s="32">
        <v>0</v>
      </c>
      <c r="DH379" s="32">
        <v>0</v>
      </c>
      <c r="DI379" s="32">
        <v>0</v>
      </c>
      <c r="DJ379" s="34">
        <v>10</v>
      </c>
      <c r="DK379" s="32" t="s">
        <v>151</v>
      </c>
      <c r="DL379" s="34" t="s">
        <v>151</v>
      </c>
      <c r="DM379" s="32">
        <v>0</v>
      </c>
      <c r="DN379" s="34">
        <v>10</v>
      </c>
      <c r="DO379" s="36">
        <v>0.88</v>
      </c>
      <c r="DP379" s="34">
        <v>47</v>
      </c>
      <c r="DQ379" s="36">
        <v>0</v>
      </c>
      <c r="DR379" s="32">
        <v>0</v>
      </c>
      <c r="DS379" s="36">
        <v>0.84</v>
      </c>
      <c r="DT379" s="34">
        <v>46</v>
      </c>
      <c r="DU379" s="36" t="s">
        <v>151</v>
      </c>
      <c r="DV379" s="34" t="s">
        <v>151</v>
      </c>
      <c r="DW379" s="36">
        <v>0.84</v>
      </c>
      <c r="DX379" s="34">
        <v>45</v>
      </c>
      <c r="DY379" s="31" t="s">
        <v>151</v>
      </c>
      <c r="DZ379" s="35" t="s">
        <v>151</v>
      </c>
      <c r="EA379" s="35" t="s">
        <v>151</v>
      </c>
      <c r="EB379" s="34">
        <v>0</v>
      </c>
      <c r="EC379" s="33">
        <v>0</v>
      </c>
      <c r="ED379" s="32">
        <v>0</v>
      </c>
      <c r="EE379" s="34">
        <v>16</v>
      </c>
      <c r="EF379" s="33">
        <v>0</v>
      </c>
      <c r="EG379" s="32">
        <v>0</v>
      </c>
      <c r="EH379" s="29" t="s">
        <v>198</v>
      </c>
      <c r="EI379" s="30" t="s">
        <v>151</v>
      </c>
      <c r="EJ379" s="30" t="s">
        <v>151</v>
      </c>
      <c r="EK379" s="31" t="s">
        <v>151</v>
      </c>
      <c r="EL379" s="31" t="s">
        <v>151</v>
      </c>
      <c r="EM379" s="31" t="s">
        <v>151</v>
      </c>
      <c r="EN379" s="31" t="s">
        <v>151</v>
      </c>
      <c r="EO379" s="31" t="s">
        <v>151</v>
      </c>
      <c r="EP379" s="30" t="s">
        <v>151</v>
      </c>
      <c r="EQ379" s="29" t="s">
        <v>151</v>
      </c>
      <c r="ER379" s="29" t="s">
        <v>151</v>
      </c>
      <c r="ES379" s="4">
        <f>HYPERLINK("https://my.pitchbook.com?c=462537-55","View Company Online")</f>
      </c>
    </row>
    <row r="380">
      <c r="A380" s="17" t="s">
        <v>8179</v>
      </c>
      <c r="B380" s="17" t="s">
        <v>8180</v>
      </c>
      <c r="C380" s="18" t="s">
        <v>151</v>
      </c>
      <c r="D380" s="17" t="s">
        <v>151</v>
      </c>
      <c r="E380" s="17" t="s">
        <v>151</v>
      </c>
      <c r="F380" s="17" t="s">
        <v>8181</v>
      </c>
      <c r="G380" s="17" t="s">
        <v>151</v>
      </c>
      <c r="H380" s="17" t="s">
        <v>151</v>
      </c>
      <c r="I380" s="17" t="s">
        <v>8182</v>
      </c>
      <c r="J380" s="17" t="s">
        <v>8179</v>
      </c>
      <c r="K380" s="17" t="s">
        <v>8183</v>
      </c>
      <c r="L380" s="17" t="s">
        <v>205</v>
      </c>
      <c r="M380" s="17" t="s">
        <v>206</v>
      </c>
      <c r="N380" s="17" t="s">
        <v>269</v>
      </c>
      <c r="O380" s="17" t="s">
        <v>3558</v>
      </c>
      <c r="P380" s="17" t="s">
        <v>1652</v>
      </c>
      <c r="Q380" s="17" t="s">
        <v>8184</v>
      </c>
      <c r="R380" s="17" t="s">
        <v>151</v>
      </c>
      <c r="S380" s="17" t="s">
        <v>162</v>
      </c>
      <c r="T380" s="24">
        <v>6.1</v>
      </c>
      <c r="U380" s="17" t="s">
        <v>163</v>
      </c>
      <c r="V380" s="17" t="s">
        <v>164</v>
      </c>
      <c r="W380" s="17" t="s">
        <v>165</v>
      </c>
      <c r="X380" s="15" t="s">
        <v>8185</v>
      </c>
      <c r="Y380" s="15" t="s">
        <v>8186</v>
      </c>
      <c r="Z380" s="27">
        <v>8</v>
      </c>
      <c r="AA380" s="17" t="s">
        <v>8187</v>
      </c>
      <c r="AB380" s="17" t="s">
        <v>151</v>
      </c>
      <c r="AC380" s="17" t="s">
        <v>151</v>
      </c>
      <c r="AD380" s="26">
        <v>2020</v>
      </c>
      <c r="AE380" s="17" t="s">
        <v>151</v>
      </c>
      <c r="AF380" s="22">
        <v>45553</v>
      </c>
      <c r="AG380" s="17" t="s">
        <v>151</v>
      </c>
      <c r="AH380" s="17" t="s">
        <v>151</v>
      </c>
      <c r="AI380" s="25" t="s">
        <v>151</v>
      </c>
      <c r="AJ380" s="19" t="s">
        <v>151</v>
      </c>
      <c r="AK380" s="25" t="s">
        <v>151</v>
      </c>
      <c r="AL380" s="25" t="s">
        <v>151</v>
      </c>
      <c r="AM380" s="25" t="s">
        <v>151</v>
      </c>
      <c r="AN380" s="25" t="s">
        <v>151</v>
      </c>
      <c r="AO380" s="25" t="s">
        <v>151</v>
      </c>
      <c r="AP380" s="25" t="s">
        <v>151</v>
      </c>
      <c r="AQ380" s="25" t="s">
        <v>151</v>
      </c>
      <c r="AR380" s="16" t="s">
        <v>151</v>
      </c>
      <c r="AS380" s="17" t="s">
        <v>8188</v>
      </c>
      <c r="AT380" s="17" t="s">
        <v>8189</v>
      </c>
      <c r="AU380" s="18">
        <v>13</v>
      </c>
      <c r="AV380" s="17" t="s">
        <v>151</v>
      </c>
      <c r="AW380" s="17" t="s">
        <v>151</v>
      </c>
      <c r="AX380" s="17" t="s">
        <v>151</v>
      </c>
      <c r="AY380" s="17" t="s">
        <v>8190</v>
      </c>
      <c r="AZ380" s="17" t="s">
        <v>151</v>
      </c>
      <c r="BA380" s="17" t="s">
        <v>151</v>
      </c>
      <c r="BB380" s="17" t="s">
        <v>8191</v>
      </c>
      <c r="BC380" s="17" t="s">
        <v>8191</v>
      </c>
      <c r="BD380" s="17" t="s">
        <v>8192</v>
      </c>
      <c r="BE380" s="17" t="s">
        <v>8193</v>
      </c>
      <c r="BF380" s="17" t="s">
        <v>493</v>
      </c>
      <c r="BG380" s="17" t="s">
        <v>8194</v>
      </c>
      <c r="BH380" s="17" t="s">
        <v>8195</v>
      </c>
      <c r="BI380" s="17" t="s">
        <v>467</v>
      </c>
      <c r="BJ380" s="17" t="s">
        <v>8196</v>
      </c>
      <c r="BK380" s="17" t="s">
        <v>8197</v>
      </c>
      <c r="BL380" s="17" t="s">
        <v>469</v>
      </c>
      <c r="BM380" s="17" t="s">
        <v>470</v>
      </c>
      <c r="BN380" s="16" t="s">
        <v>8198</v>
      </c>
      <c r="BO380" s="17" t="s">
        <v>186</v>
      </c>
      <c r="BP380" s="16" t="s">
        <v>8195</v>
      </c>
      <c r="BQ380" s="16" t="s">
        <v>151</v>
      </c>
      <c r="BR380" s="17" t="s">
        <v>8199</v>
      </c>
      <c r="BS380" s="17" t="s">
        <v>187</v>
      </c>
      <c r="BT380" s="17" t="s">
        <v>188</v>
      </c>
      <c r="BU380" s="22">
        <v>44286</v>
      </c>
      <c r="BV380" s="24">
        <v>1.3</v>
      </c>
      <c r="BW380" s="17" t="s">
        <v>192</v>
      </c>
      <c r="BX380" s="24">
        <v>5.6</v>
      </c>
      <c r="BY380" s="17" t="s">
        <v>192</v>
      </c>
      <c r="BZ380" s="17" t="s">
        <v>293</v>
      </c>
      <c r="CA380" s="17" t="s">
        <v>293</v>
      </c>
      <c r="CB380" s="17" t="s">
        <v>151</v>
      </c>
      <c r="CC380" s="17" t="s">
        <v>165</v>
      </c>
      <c r="CD380" s="17" t="s">
        <v>151</v>
      </c>
      <c r="CE380" s="17" t="s">
        <v>191</v>
      </c>
      <c r="CF380" s="22">
        <v>45360</v>
      </c>
      <c r="CG380" s="24" t="s">
        <v>151</v>
      </c>
      <c r="CH380" s="17" t="s">
        <v>151</v>
      </c>
      <c r="CI380" s="24" t="s">
        <v>151</v>
      </c>
      <c r="CJ380" s="17" t="s">
        <v>151</v>
      </c>
      <c r="CK380" s="16" t="s">
        <v>151</v>
      </c>
      <c r="CL380" s="17" t="s">
        <v>293</v>
      </c>
      <c r="CM380" s="17" t="s">
        <v>293</v>
      </c>
      <c r="CN380" s="17" t="s">
        <v>151</v>
      </c>
      <c r="CO380" s="17" t="s">
        <v>165</v>
      </c>
      <c r="CP380" s="22">
        <v>45360</v>
      </c>
      <c r="CQ380" s="24" t="s">
        <v>151</v>
      </c>
      <c r="CR380" s="17" t="s">
        <v>151</v>
      </c>
      <c r="CS380" s="17" t="s">
        <v>191</v>
      </c>
      <c r="CT380" s="16">
        <v>83</v>
      </c>
      <c r="CU380" s="17" t="s">
        <v>196</v>
      </c>
      <c r="CV380" s="19">
        <v>75</v>
      </c>
      <c r="CW380" s="19">
        <v>25</v>
      </c>
      <c r="CX380" s="17" t="s">
        <v>294</v>
      </c>
      <c r="CY380" s="19">
        <v>1</v>
      </c>
      <c r="CZ380" s="19">
        <v>74</v>
      </c>
      <c r="DA380" s="24">
        <v>12.3</v>
      </c>
      <c r="DB380" s="22">
        <v>44629</v>
      </c>
      <c r="DC380" s="17" t="s">
        <v>293</v>
      </c>
      <c r="DD380" s="16">
        <v>1.61</v>
      </c>
      <c r="DE380" s="19">
        <v>0</v>
      </c>
      <c r="DF380" s="21">
        <v>11</v>
      </c>
      <c r="DG380" s="19">
        <v>0</v>
      </c>
      <c r="DH380" s="19">
        <v>0</v>
      </c>
      <c r="DI380" s="19">
        <v>0</v>
      </c>
      <c r="DJ380" s="21">
        <v>10</v>
      </c>
      <c r="DK380" s="19" t="s">
        <v>151</v>
      </c>
      <c r="DL380" s="21" t="s">
        <v>151</v>
      </c>
      <c r="DM380" s="19">
        <v>0</v>
      </c>
      <c r="DN380" s="21">
        <v>10</v>
      </c>
      <c r="DO380" s="23">
        <v>2.53</v>
      </c>
      <c r="DP380" s="21">
        <v>71</v>
      </c>
      <c r="DQ380" s="23">
        <v>0</v>
      </c>
      <c r="DR380" s="19">
        <v>0</v>
      </c>
      <c r="DS380" s="23">
        <v>2.53</v>
      </c>
      <c r="DT380" s="21">
        <v>71</v>
      </c>
      <c r="DU380" s="23" t="s">
        <v>151</v>
      </c>
      <c r="DV380" s="21" t="s">
        <v>151</v>
      </c>
      <c r="DW380" s="23">
        <v>2.53</v>
      </c>
      <c r="DX380" s="21">
        <v>70</v>
      </c>
      <c r="DY380" s="18" t="s">
        <v>151</v>
      </c>
      <c r="DZ380" s="22" t="s">
        <v>151</v>
      </c>
      <c r="EA380" s="22" t="s">
        <v>151</v>
      </c>
      <c r="EB380" s="21">
        <v>908</v>
      </c>
      <c r="EC380" s="20">
        <v>-60</v>
      </c>
      <c r="ED380" s="19">
        <v>-6.2</v>
      </c>
      <c r="EE380" s="21">
        <v>48</v>
      </c>
      <c r="EF380" s="20">
        <v>0</v>
      </c>
      <c r="EG380" s="19">
        <v>0</v>
      </c>
      <c r="EH380" s="16" t="s">
        <v>198</v>
      </c>
      <c r="EI380" s="17" t="s">
        <v>151</v>
      </c>
      <c r="EJ380" s="17" t="s">
        <v>151</v>
      </c>
      <c r="EK380" s="18" t="s">
        <v>151</v>
      </c>
      <c r="EL380" s="18" t="s">
        <v>151</v>
      </c>
      <c r="EM380" s="18" t="s">
        <v>151</v>
      </c>
      <c r="EN380" s="18" t="s">
        <v>151</v>
      </c>
      <c r="EO380" s="18" t="s">
        <v>151</v>
      </c>
      <c r="EP380" s="17" t="s">
        <v>151</v>
      </c>
      <c r="EQ380" s="16" t="s">
        <v>151</v>
      </c>
      <c r="ER380" s="16" t="s">
        <v>151</v>
      </c>
      <c r="ES380" s="3">
        <f>HYPERLINK("https://my.pitchbook.com?c=460273-96","View Company Online")</f>
      </c>
    </row>
    <row r="381">
      <c r="A381" s="30" t="s">
        <v>8200</v>
      </c>
      <c r="B381" s="30" t="s">
        <v>8201</v>
      </c>
      <c r="C381" s="31" t="s">
        <v>151</v>
      </c>
      <c r="D381" s="30" t="s">
        <v>151</v>
      </c>
      <c r="E381" s="30" t="s">
        <v>151</v>
      </c>
      <c r="F381" s="30" t="s">
        <v>8202</v>
      </c>
      <c r="G381" s="30" t="s">
        <v>151</v>
      </c>
      <c r="H381" s="30" t="s">
        <v>151</v>
      </c>
      <c r="I381" s="30" t="s">
        <v>151</v>
      </c>
      <c r="J381" s="30" t="s">
        <v>8200</v>
      </c>
      <c r="K381" s="30" t="s">
        <v>8203</v>
      </c>
      <c r="L381" s="30" t="s">
        <v>205</v>
      </c>
      <c r="M381" s="30" t="s">
        <v>206</v>
      </c>
      <c r="N381" s="30" t="s">
        <v>207</v>
      </c>
      <c r="O381" s="30" t="s">
        <v>8204</v>
      </c>
      <c r="P381" s="30" t="s">
        <v>3577</v>
      </c>
      <c r="Q381" s="30" t="s">
        <v>8205</v>
      </c>
      <c r="R381" s="30" t="s">
        <v>151</v>
      </c>
      <c r="S381" s="30" t="s">
        <v>162</v>
      </c>
      <c r="T381" s="37">
        <v>19.45</v>
      </c>
      <c r="U381" s="30" t="s">
        <v>163</v>
      </c>
      <c r="V381" s="30" t="s">
        <v>164</v>
      </c>
      <c r="W381" s="30" t="s">
        <v>165</v>
      </c>
      <c r="X381" s="28" t="s">
        <v>8206</v>
      </c>
      <c r="Y381" s="28" t="s">
        <v>8207</v>
      </c>
      <c r="Z381" s="40">
        <v>50</v>
      </c>
      <c r="AA381" s="30" t="s">
        <v>8208</v>
      </c>
      <c r="AB381" s="30" t="s">
        <v>151</v>
      </c>
      <c r="AC381" s="30" t="s">
        <v>151</v>
      </c>
      <c r="AD381" s="39">
        <v>2018</v>
      </c>
      <c r="AE381" s="30" t="s">
        <v>151</v>
      </c>
      <c r="AF381" s="35">
        <v>45510</v>
      </c>
      <c r="AG381" s="30" t="s">
        <v>151</v>
      </c>
      <c r="AH381" s="30" t="s">
        <v>151</v>
      </c>
      <c r="AI381" s="38">
        <v>0</v>
      </c>
      <c r="AJ381" s="32" t="s">
        <v>151</v>
      </c>
      <c r="AK381" s="38" t="s">
        <v>151</v>
      </c>
      <c r="AL381" s="38" t="s">
        <v>151</v>
      </c>
      <c r="AM381" s="38" t="s">
        <v>151</v>
      </c>
      <c r="AN381" s="38" t="s">
        <v>151</v>
      </c>
      <c r="AO381" s="38" t="s">
        <v>151</v>
      </c>
      <c r="AP381" s="38" t="s">
        <v>151</v>
      </c>
      <c r="AQ381" s="38" t="s">
        <v>151</v>
      </c>
      <c r="AR381" s="29" t="s">
        <v>7190</v>
      </c>
      <c r="AS381" s="30" t="s">
        <v>8209</v>
      </c>
      <c r="AT381" s="30" t="s">
        <v>8210</v>
      </c>
      <c r="AU381" s="31">
        <v>22</v>
      </c>
      <c r="AV381" s="30" t="s">
        <v>151</v>
      </c>
      <c r="AW381" s="30" t="s">
        <v>151</v>
      </c>
      <c r="AX381" s="30" t="s">
        <v>151</v>
      </c>
      <c r="AY381" s="30" t="s">
        <v>8211</v>
      </c>
      <c r="AZ381" s="30" t="s">
        <v>151</v>
      </c>
      <c r="BA381" s="30" t="s">
        <v>151</v>
      </c>
      <c r="BB381" s="30" t="s">
        <v>151</v>
      </c>
      <c r="BC381" s="30" t="s">
        <v>343</v>
      </c>
      <c r="BD381" s="30" t="s">
        <v>8212</v>
      </c>
      <c r="BE381" s="30" t="s">
        <v>8213</v>
      </c>
      <c r="BF381" s="30" t="s">
        <v>493</v>
      </c>
      <c r="BG381" s="30" t="s">
        <v>8214</v>
      </c>
      <c r="BH381" s="30" t="s">
        <v>151</v>
      </c>
      <c r="BI381" s="30" t="s">
        <v>8215</v>
      </c>
      <c r="BJ381" s="30" t="s">
        <v>8216</v>
      </c>
      <c r="BK381" s="30" t="s">
        <v>8217</v>
      </c>
      <c r="BL381" s="30" t="s">
        <v>8218</v>
      </c>
      <c r="BM381" s="30" t="s">
        <v>184</v>
      </c>
      <c r="BN381" s="29" t="s">
        <v>8219</v>
      </c>
      <c r="BO381" s="30" t="s">
        <v>186</v>
      </c>
      <c r="BP381" s="29" t="s">
        <v>151</v>
      </c>
      <c r="BQ381" s="29" t="s">
        <v>151</v>
      </c>
      <c r="BR381" s="30" t="s">
        <v>151</v>
      </c>
      <c r="BS381" s="30" t="s">
        <v>187</v>
      </c>
      <c r="BT381" s="30" t="s">
        <v>188</v>
      </c>
      <c r="BU381" s="35">
        <v>44090</v>
      </c>
      <c r="BV381" s="37">
        <v>5.45</v>
      </c>
      <c r="BW381" s="30" t="s">
        <v>192</v>
      </c>
      <c r="BX381" s="37">
        <v>12.45</v>
      </c>
      <c r="BY381" s="30" t="s">
        <v>192</v>
      </c>
      <c r="BZ381" s="30" t="s">
        <v>293</v>
      </c>
      <c r="CA381" s="30" t="s">
        <v>293</v>
      </c>
      <c r="CB381" s="30" t="s">
        <v>151</v>
      </c>
      <c r="CC381" s="30" t="s">
        <v>165</v>
      </c>
      <c r="CD381" s="30" t="s">
        <v>151</v>
      </c>
      <c r="CE381" s="30" t="s">
        <v>191</v>
      </c>
      <c r="CF381" s="35">
        <v>44637</v>
      </c>
      <c r="CG381" s="37">
        <v>14</v>
      </c>
      <c r="CH381" s="30" t="s">
        <v>192</v>
      </c>
      <c r="CI381" s="37">
        <v>54</v>
      </c>
      <c r="CJ381" s="30" t="s">
        <v>192</v>
      </c>
      <c r="CK381" s="29">
        <v>3.21</v>
      </c>
      <c r="CL381" s="30" t="s">
        <v>231</v>
      </c>
      <c r="CM381" s="30" t="s">
        <v>232</v>
      </c>
      <c r="CN381" s="30" t="s">
        <v>151</v>
      </c>
      <c r="CO381" s="30" t="s">
        <v>165</v>
      </c>
      <c r="CP381" s="35">
        <v>44637</v>
      </c>
      <c r="CQ381" s="37" t="s">
        <v>151</v>
      </c>
      <c r="CR381" s="30" t="s">
        <v>151</v>
      </c>
      <c r="CS381" s="30" t="s">
        <v>191</v>
      </c>
      <c r="CT381" s="29">
        <v>94</v>
      </c>
      <c r="CU381" s="30" t="s">
        <v>196</v>
      </c>
      <c r="CV381" s="32">
        <v>87</v>
      </c>
      <c r="CW381" s="32">
        <v>13</v>
      </c>
      <c r="CX381" s="30" t="s">
        <v>294</v>
      </c>
      <c r="CY381" s="32">
        <v>2</v>
      </c>
      <c r="CZ381" s="32">
        <v>85</v>
      </c>
      <c r="DA381" s="37">
        <v>54</v>
      </c>
      <c r="DB381" s="35">
        <v>44637</v>
      </c>
      <c r="DC381" s="30" t="s">
        <v>231</v>
      </c>
      <c r="DD381" s="29">
        <v>3.21</v>
      </c>
      <c r="DE381" s="32" t="s">
        <v>151</v>
      </c>
      <c r="DF381" s="34" t="s">
        <v>151</v>
      </c>
      <c r="DG381" s="32" t="s">
        <v>151</v>
      </c>
      <c r="DH381" s="32" t="s">
        <v>151</v>
      </c>
      <c r="DI381" s="32" t="s">
        <v>151</v>
      </c>
      <c r="DJ381" s="34" t="s">
        <v>151</v>
      </c>
      <c r="DK381" s="32" t="s">
        <v>151</v>
      </c>
      <c r="DL381" s="34" t="s">
        <v>151</v>
      </c>
      <c r="DM381" s="32" t="s">
        <v>151</v>
      </c>
      <c r="DN381" s="34" t="s">
        <v>151</v>
      </c>
      <c r="DO381" s="36" t="s">
        <v>151</v>
      </c>
      <c r="DP381" s="34" t="s">
        <v>151</v>
      </c>
      <c r="DQ381" s="36" t="s">
        <v>151</v>
      </c>
      <c r="DR381" s="32" t="s">
        <v>151</v>
      </c>
      <c r="DS381" s="36" t="s">
        <v>151</v>
      </c>
      <c r="DT381" s="34" t="s">
        <v>151</v>
      </c>
      <c r="DU381" s="36" t="s">
        <v>151</v>
      </c>
      <c r="DV381" s="34" t="s">
        <v>151</v>
      </c>
      <c r="DW381" s="36" t="s">
        <v>151</v>
      </c>
      <c r="DX381" s="34" t="s">
        <v>151</v>
      </c>
      <c r="DY381" s="31" t="s">
        <v>151</v>
      </c>
      <c r="DZ381" s="35" t="s">
        <v>151</v>
      </c>
      <c r="EA381" s="35" t="s">
        <v>151</v>
      </c>
      <c r="EB381" s="34" t="s">
        <v>151</v>
      </c>
      <c r="EC381" s="33" t="s">
        <v>151</v>
      </c>
      <c r="ED381" s="32" t="s">
        <v>151</v>
      </c>
      <c r="EE381" s="34" t="s">
        <v>151</v>
      </c>
      <c r="EF381" s="33" t="s">
        <v>151</v>
      </c>
      <c r="EG381" s="32" t="s">
        <v>151</v>
      </c>
      <c r="EH381" s="29" t="s">
        <v>198</v>
      </c>
      <c r="EI381" s="30" t="s">
        <v>151</v>
      </c>
      <c r="EJ381" s="30" t="s">
        <v>151</v>
      </c>
      <c r="EK381" s="31" t="s">
        <v>151</v>
      </c>
      <c r="EL381" s="31" t="s">
        <v>151</v>
      </c>
      <c r="EM381" s="31" t="s">
        <v>151</v>
      </c>
      <c r="EN381" s="31" t="s">
        <v>151</v>
      </c>
      <c r="EO381" s="31" t="s">
        <v>151</v>
      </c>
      <c r="EP381" s="30" t="s">
        <v>151</v>
      </c>
      <c r="EQ381" s="29" t="s">
        <v>151</v>
      </c>
      <c r="ER381" s="29" t="s">
        <v>151</v>
      </c>
      <c r="ES381" s="4">
        <f>HYPERLINK("https://my.pitchbook.com?c=266250-61","View Company Online")</f>
      </c>
    </row>
    <row r="382">
      <c r="A382" s="17" t="s">
        <v>8220</v>
      </c>
      <c r="B382" s="17" t="s">
        <v>8221</v>
      </c>
      <c r="C382" s="18" t="s">
        <v>151</v>
      </c>
      <c r="D382" s="17" t="s">
        <v>151</v>
      </c>
      <c r="E382" s="17" t="s">
        <v>151</v>
      </c>
      <c r="F382" s="17" t="s">
        <v>8222</v>
      </c>
      <c r="G382" s="17" t="s">
        <v>151</v>
      </c>
      <c r="H382" s="17" t="s">
        <v>151</v>
      </c>
      <c r="I382" s="17" t="s">
        <v>151</v>
      </c>
      <c r="J382" s="17" t="s">
        <v>8220</v>
      </c>
      <c r="K382" s="17" t="s">
        <v>8223</v>
      </c>
      <c r="L382" s="17" t="s">
        <v>1178</v>
      </c>
      <c r="M382" s="17" t="s">
        <v>1179</v>
      </c>
      <c r="N382" s="17" t="s">
        <v>1179</v>
      </c>
      <c r="O382" s="17" t="s">
        <v>8224</v>
      </c>
      <c r="P382" s="17" t="s">
        <v>8225</v>
      </c>
      <c r="Q382" s="17" t="s">
        <v>8226</v>
      </c>
      <c r="R382" s="17" t="s">
        <v>151</v>
      </c>
      <c r="S382" s="17" t="s">
        <v>162</v>
      </c>
      <c r="T382" s="24">
        <v>2.15</v>
      </c>
      <c r="U382" s="17" t="s">
        <v>163</v>
      </c>
      <c r="V382" s="17" t="s">
        <v>164</v>
      </c>
      <c r="W382" s="17" t="s">
        <v>420</v>
      </c>
      <c r="X382" s="15" t="s">
        <v>8227</v>
      </c>
      <c r="Y382" s="15" t="s">
        <v>8228</v>
      </c>
      <c r="Z382" s="27">
        <v>9</v>
      </c>
      <c r="AA382" s="17" t="s">
        <v>8229</v>
      </c>
      <c r="AB382" s="17" t="s">
        <v>151</v>
      </c>
      <c r="AC382" s="17" t="s">
        <v>151</v>
      </c>
      <c r="AD382" s="26">
        <v>2018</v>
      </c>
      <c r="AE382" s="17" t="s">
        <v>151</v>
      </c>
      <c r="AF382" s="22">
        <v>45568</v>
      </c>
      <c r="AG382" s="17" t="s">
        <v>151</v>
      </c>
      <c r="AH382" s="17" t="s">
        <v>151</v>
      </c>
      <c r="AI382" s="25" t="s">
        <v>151</v>
      </c>
      <c r="AJ382" s="19" t="s">
        <v>151</v>
      </c>
      <c r="AK382" s="25" t="s">
        <v>151</v>
      </c>
      <c r="AL382" s="25" t="s">
        <v>151</v>
      </c>
      <c r="AM382" s="25" t="s">
        <v>151</v>
      </c>
      <c r="AN382" s="25" t="s">
        <v>151</v>
      </c>
      <c r="AO382" s="25" t="s">
        <v>151</v>
      </c>
      <c r="AP382" s="25" t="s">
        <v>151</v>
      </c>
      <c r="AQ382" s="25" t="s">
        <v>151</v>
      </c>
      <c r="AR382" s="16" t="s">
        <v>151</v>
      </c>
      <c r="AS382" s="17" t="s">
        <v>8230</v>
      </c>
      <c r="AT382" s="17" t="s">
        <v>8231</v>
      </c>
      <c r="AU382" s="18">
        <v>15</v>
      </c>
      <c r="AV382" s="17" t="s">
        <v>151</v>
      </c>
      <c r="AW382" s="17" t="s">
        <v>151</v>
      </c>
      <c r="AX382" s="17" t="s">
        <v>151</v>
      </c>
      <c r="AY382" s="17" t="s">
        <v>8232</v>
      </c>
      <c r="AZ382" s="17" t="s">
        <v>151</v>
      </c>
      <c r="BA382" s="17" t="s">
        <v>151</v>
      </c>
      <c r="BB382" s="17" t="s">
        <v>151</v>
      </c>
      <c r="BC382" s="17" t="s">
        <v>3756</v>
      </c>
      <c r="BD382" s="17" t="s">
        <v>8233</v>
      </c>
      <c r="BE382" s="17" t="s">
        <v>8234</v>
      </c>
      <c r="BF382" s="17" t="s">
        <v>221</v>
      </c>
      <c r="BG382" s="17" t="s">
        <v>8235</v>
      </c>
      <c r="BH382" s="17" t="s">
        <v>151</v>
      </c>
      <c r="BI382" s="17" t="s">
        <v>906</v>
      </c>
      <c r="BJ382" s="17" t="s">
        <v>151</v>
      </c>
      <c r="BK382" s="17" t="s">
        <v>151</v>
      </c>
      <c r="BL382" s="17" t="s">
        <v>259</v>
      </c>
      <c r="BM382" s="17" t="s">
        <v>259</v>
      </c>
      <c r="BN382" s="16" t="s">
        <v>151</v>
      </c>
      <c r="BO382" s="17" t="s">
        <v>186</v>
      </c>
      <c r="BP382" s="16" t="s">
        <v>151</v>
      </c>
      <c r="BQ382" s="16" t="s">
        <v>151</v>
      </c>
      <c r="BR382" s="17" t="s">
        <v>8236</v>
      </c>
      <c r="BS382" s="17" t="s">
        <v>187</v>
      </c>
      <c r="BT382" s="17" t="s">
        <v>188</v>
      </c>
      <c r="BU382" s="22">
        <v>43943</v>
      </c>
      <c r="BV382" s="24" t="s">
        <v>151</v>
      </c>
      <c r="BW382" s="17" t="s">
        <v>151</v>
      </c>
      <c r="BX382" s="24" t="s">
        <v>151</v>
      </c>
      <c r="BY382" s="17" t="s">
        <v>151</v>
      </c>
      <c r="BZ382" s="17" t="s">
        <v>189</v>
      </c>
      <c r="CA382" s="17" t="s">
        <v>151</v>
      </c>
      <c r="CB382" s="17" t="s">
        <v>151</v>
      </c>
      <c r="CC382" s="17" t="s">
        <v>190</v>
      </c>
      <c r="CD382" s="17" t="s">
        <v>151</v>
      </c>
      <c r="CE382" s="17" t="s">
        <v>191</v>
      </c>
      <c r="CF382" s="22" t="s">
        <v>151</v>
      </c>
      <c r="CG382" s="24" t="s">
        <v>151</v>
      </c>
      <c r="CH382" s="17" t="s">
        <v>151</v>
      </c>
      <c r="CI382" s="24" t="s">
        <v>151</v>
      </c>
      <c r="CJ382" s="17" t="s">
        <v>151</v>
      </c>
      <c r="CK382" s="16" t="s">
        <v>151</v>
      </c>
      <c r="CL382" s="17" t="s">
        <v>189</v>
      </c>
      <c r="CM382" s="17" t="s">
        <v>151</v>
      </c>
      <c r="CN382" s="17" t="s">
        <v>151</v>
      </c>
      <c r="CO382" s="17" t="s">
        <v>190</v>
      </c>
      <c r="CP382" s="22" t="s">
        <v>151</v>
      </c>
      <c r="CQ382" s="24" t="s">
        <v>151</v>
      </c>
      <c r="CR382" s="17" t="s">
        <v>151</v>
      </c>
      <c r="CS382" s="17" t="s">
        <v>191</v>
      </c>
      <c r="CT382" s="16">
        <v>31</v>
      </c>
      <c r="CU382" s="17" t="s">
        <v>263</v>
      </c>
      <c r="CV382" s="19">
        <v>32</v>
      </c>
      <c r="CW382" s="19">
        <v>68</v>
      </c>
      <c r="CX382" s="17" t="s">
        <v>263</v>
      </c>
      <c r="CY382" s="19">
        <v>1</v>
      </c>
      <c r="CZ382" s="19">
        <v>31</v>
      </c>
      <c r="DA382" s="24" t="s">
        <v>151</v>
      </c>
      <c r="DB382" s="22" t="s">
        <v>151</v>
      </c>
      <c r="DC382" s="17" t="s">
        <v>151</v>
      </c>
      <c r="DD382" s="16" t="s">
        <v>151</v>
      </c>
      <c r="DE382" s="19">
        <v>0</v>
      </c>
      <c r="DF382" s="21">
        <v>11</v>
      </c>
      <c r="DG382" s="19">
        <v>0</v>
      </c>
      <c r="DH382" s="19">
        <v>0</v>
      </c>
      <c r="DI382" s="19">
        <v>0</v>
      </c>
      <c r="DJ382" s="21">
        <v>10</v>
      </c>
      <c r="DK382" s="19" t="s">
        <v>151</v>
      </c>
      <c r="DL382" s="21" t="s">
        <v>151</v>
      </c>
      <c r="DM382" s="19">
        <v>0</v>
      </c>
      <c r="DN382" s="21">
        <v>10</v>
      </c>
      <c r="DO382" s="23">
        <v>1.95</v>
      </c>
      <c r="DP382" s="21">
        <v>65</v>
      </c>
      <c r="DQ382" s="23">
        <v>0</v>
      </c>
      <c r="DR382" s="19">
        <v>0</v>
      </c>
      <c r="DS382" s="23">
        <v>1.95</v>
      </c>
      <c r="DT382" s="21">
        <v>65</v>
      </c>
      <c r="DU382" s="23" t="s">
        <v>151</v>
      </c>
      <c r="DV382" s="21" t="s">
        <v>151</v>
      </c>
      <c r="DW382" s="23">
        <v>1.95</v>
      </c>
      <c r="DX382" s="21">
        <v>65</v>
      </c>
      <c r="DY382" s="18" t="s">
        <v>151</v>
      </c>
      <c r="DZ382" s="22" t="s">
        <v>151</v>
      </c>
      <c r="EA382" s="22" t="s">
        <v>151</v>
      </c>
      <c r="EB382" s="21">
        <v>16</v>
      </c>
      <c r="EC382" s="20">
        <v>-80</v>
      </c>
      <c r="ED382" s="19">
        <v>-83.33</v>
      </c>
      <c r="EE382" s="21">
        <v>37</v>
      </c>
      <c r="EF382" s="20">
        <v>0</v>
      </c>
      <c r="EG382" s="19">
        <v>0</v>
      </c>
      <c r="EH382" s="16" t="s">
        <v>198</v>
      </c>
      <c r="EI382" s="17" t="s">
        <v>151</v>
      </c>
      <c r="EJ382" s="17" t="s">
        <v>151</v>
      </c>
      <c r="EK382" s="18" t="s">
        <v>151</v>
      </c>
      <c r="EL382" s="18" t="s">
        <v>151</v>
      </c>
      <c r="EM382" s="18" t="s">
        <v>151</v>
      </c>
      <c r="EN382" s="18" t="s">
        <v>151</v>
      </c>
      <c r="EO382" s="18" t="s">
        <v>151</v>
      </c>
      <c r="EP382" s="17" t="s">
        <v>151</v>
      </c>
      <c r="EQ382" s="16" t="s">
        <v>151</v>
      </c>
      <c r="ER382" s="16" t="s">
        <v>151</v>
      </c>
      <c r="ES382" s="3">
        <f>HYPERLINK("https://my.pitchbook.com?c=435018-52","View Company Online")</f>
      </c>
    </row>
    <row r="383">
      <c r="A383" s="30" t="s">
        <v>8237</v>
      </c>
      <c r="B383" s="30" t="s">
        <v>8238</v>
      </c>
      <c r="C383" s="31" t="s">
        <v>151</v>
      </c>
      <c r="D383" s="30" t="s">
        <v>151</v>
      </c>
      <c r="E383" s="30" t="s">
        <v>151</v>
      </c>
      <c r="F383" s="30" t="s">
        <v>8239</v>
      </c>
      <c r="G383" s="30" t="s">
        <v>151</v>
      </c>
      <c r="H383" s="30" t="s">
        <v>151</v>
      </c>
      <c r="I383" s="30" t="s">
        <v>8240</v>
      </c>
      <c r="J383" s="30" t="s">
        <v>8237</v>
      </c>
      <c r="K383" s="30" t="s">
        <v>8241</v>
      </c>
      <c r="L383" s="30" t="s">
        <v>205</v>
      </c>
      <c r="M383" s="30" t="s">
        <v>206</v>
      </c>
      <c r="N383" s="30" t="s">
        <v>1940</v>
      </c>
      <c r="O383" s="30" t="s">
        <v>6692</v>
      </c>
      <c r="P383" s="30" t="s">
        <v>8242</v>
      </c>
      <c r="Q383" s="30" t="s">
        <v>8243</v>
      </c>
      <c r="R383" s="30" t="s">
        <v>151</v>
      </c>
      <c r="S383" s="30" t="s">
        <v>162</v>
      </c>
      <c r="T383" s="37">
        <v>0.5</v>
      </c>
      <c r="U383" s="30" t="s">
        <v>163</v>
      </c>
      <c r="V383" s="30" t="s">
        <v>164</v>
      </c>
      <c r="W383" s="30" t="s">
        <v>165</v>
      </c>
      <c r="X383" s="28" t="s">
        <v>8244</v>
      </c>
      <c r="Y383" s="28" t="s">
        <v>8245</v>
      </c>
      <c r="Z383" s="40">
        <v>9</v>
      </c>
      <c r="AA383" s="30" t="s">
        <v>8246</v>
      </c>
      <c r="AB383" s="30" t="s">
        <v>151</v>
      </c>
      <c r="AC383" s="30" t="s">
        <v>151</v>
      </c>
      <c r="AD383" s="39">
        <v>2020</v>
      </c>
      <c r="AE383" s="30" t="s">
        <v>151</v>
      </c>
      <c r="AF383" s="35">
        <v>45492</v>
      </c>
      <c r="AG383" s="30" t="s">
        <v>151</v>
      </c>
      <c r="AH383" s="30" t="s">
        <v>151</v>
      </c>
      <c r="AI383" s="38" t="s">
        <v>151</v>
      </c>
      <c r="AJ383" s="32" t="s">
        <v>151</v>
      </c>
      <c r="AK383" s="38" t="s">
        <v>151</v>
      </c>
      <c r="AL383" s="38" t="s">
        <v>151</v>
      </c>
      <c r="AM383" s="38" t="s">
        <v>151</v>
      </c>
      <c r="AN383" s="38" t="s">
        <v>151</v>
      </c>
      <c r="AO383" s="38" t="s">
        <v>151</v>
      </c>
      <c r="AP383" s="38" t="s">
        <v>151</v>
      </c>
      <c r="AQ383" s="38" t="s">
        <v>151</v>
      </c>
      <c r="AR383" s="29" t="s">
        <v>151</v>
      </c>
      <c r="AS383" s="30" t="s">
        <v>8247</v>
      </c>
      <c r="AT383" s="30" t="s">
        <v>8248</v>
      </c>
      <c r="AU383" s="31">
        <v>2</v>
      </c>
      <c r="AV383" s="30" t="s">
        <v>151</v>
      </c>
      <c r="AW383" s="30" t="s">
        <v>151</v>
      </c>
      <c r="AX383" s="30" t="s">
        <v>151</v>
      </c>
      <c r="AY383" s="30" t="s">
        <v>8249</v>
      </c>
      <c r="AZ383" s="30" t="s">
        <v>151</v>
      </c>
      <c r="BA383" s="30" t="s">
        <v>151</v>
      </c>
      <c r="BB383" s="30" t="s">
        <v>151</v>
      </c>
      <c r="BC383" s="30" t="s">
        <v>151</v>
      </c>
      <c r="BD383" s="30" t="s">
        <v>8250</v>
      </c>
      <c r="BE383" s="30" t="s">
        <v>8251</v>
      </c>
      <c r="BF383" s="30" t="s">
        <v>2140</v>
      </c>
      <c r="BG383" s="30" t="s">
        <v>8252</v>
      </c>
      <c r="BH383" s="30" t="s">
        <v>8253</v>
      </c>
      <c r="BI383" s="30" t="s">
        <v>8254</v>
      </c>
      <c r="BJ383" s="30" t="s">
        <v>8255</v>
      </c>
      <c r="BK383" s="30" t="s">
        <v>8256</v>
      </c>
      <c r="BL383" s="30" t="s">
        <v>8257</v>
      </c>
      <c r="BM383" s="30" t="s">
        <v>289</v>
      </c>
      <c r="BN383" s="29" t="s">
        <v>8258</v>
      </c>
      <c r="BO383" s="30" t="s">
        <v>186</v>
      </c>
      <c r="BP383" s="29" t="s">
        <v>8253</v>
      </c>
      <c r="BQ383" s="29" t="s">
        <v>8259</v>
      </c>
      <c r="BR383" s="30" t="s">
        <v>8260</v>
      </c>
      <c r="BS383" s="30" t="s">
        <v>187</v>
      </c>
      <c r="BT383" s="30" t="s">
        <v>188</v>
      </c>
      <c r="BU383" s="35">
        <v>44501</v>
      </c>
      <c r="BV383" s="37">
        <v>0.5</v>
      </c>
      <c r="BW383" s="30" t="s">
        <v>193</v>
      </c>
      <c r="BX383" s="37">
        <v>1.5</v>
      </c>
      <c r="BY383" s="30" t="s">
        <v>192</v>
      </c>
      <c r="BZ383" s="30" t="s">
        <v>293</v>
      </c>
      <c r="CA383" s="30" t="s">
        <v>293</v>
      </c>
      <c r="CB383" s="30" t="s">
        <v>151</v>
      </c>
      <c r="CC383" s="30" t="s">
        <v>165</v>
      </c>
      <c r="CD383" s="30" t="s">
        <v>151</v>
      </c>
      <c r="CE383" s="30" t="s">
        <v>191</v>
      </c>
      <c r="CF383" s="35">
        <v>44810</v>
      </c>
      <c r="CG383" s="37" t="s">
        <v>151</v>
      </c>
      <c r="CH383" s="30" t="s">
        <v>151</v>
      </c>
      <c r="CI383" s="37" t="s">
        <v>151</v>
      </c>
      <c r="CJ383" s="30" t="s">
        <v>151</v>
      </c>
      <c r="CK383" s="29" t="s">
        <v>151</v>
      </c>
      <c r="CL383" s="30" t="s">
        <v>189</v>
      </c>
      <c r="CM383" s="30" t="s">
        <v>151</v>
      </c>
      <c r="CN383" s="30" t="s">
        <v>151</v>
      </c>
      <c r="CO383" s="30" t="s">
        <v>190</v>
      </c>
      <c r="CP383" s="35">
        <v>44810</v>
      </c>
      <c r="CQ383" s="37" t="s">
        <v>151</v>
      </c>
      <c r="CR383" s="30" t="s">
        <v>151</v>
      </c>
      <c r="CS383" s="30" t="s">
        <v>191</v>
      </c>
      <c r="CT383" s="29" t="s">
        <v>151</v>
      </c>
      <c r="CU383" s="30" t="s">
        <v>151</v>
      </c>
      <c r="CV383" s="32" t="s">
        <v>151</v>
      </c>
      <c r="CW383" s="32" t="s">
        <v>151</v>
      </c>
      <c r="CX383" s="30" t="s">
        <v>151</v>
      </c>
      <c r="CY383" s="32" t="s">
        <v>151</v>
      </c>
      <c r="CZ383" s="32" t="s">
        <v>151</v>
      </c>
      <c r="DA383" s="37">
        <v>1.5</v>
      </c>
      <c r="DB383" s="35">
        <v>44501</v>
      </c>
      <c r="DC383" s="30" t="s">
        <v>293</v>
      </c>
      <c r="DD383" s="29" t="s">
        <v>151</v>
      </c>
      <c r="DE383" s="32">
        <v>0.78</v>
      </c>
      <c r="DF383" s="34">
        <v>95</v>
      </c>
      <c r="DG383" s="32">
        <v>0</v>
      </c>
      <c r="DH383" s="32">
        <v>0</v>
      </c>
      <c r="DI383" s="32">
        <v>0</v>
      </c>
      <c r="DJ383" s="34">
        <v>10</v>
      </c>
      <c r="DK383" s="32" t="s">
        <v>151</v>
      </c>
      <c r="DL383" s="34" t="s">
        <v>151</v>
      </c>
      <c r="DM383" s="32">
        <v>0</v>
      </c>
      <c r="DN383" s="34">
        <v>10</v>
      </c>
      <c r="DO383" s="36">
        <v>1.16</v>
      </c>
      <c r="DP383" s="34">
        <v>53</v>
      </c>
      <c r="DQ383" s="36">
        <v>0</v>
      </c>
      <c r="DR383" s="32">
        <v>0</v>
      </c>
      <c r="DS383" s="36">
        <v>1.63</v>
      </c>
      <c r="DT383" s="34">
        <v>61</v>
      </c>
      <c r="DU383" s="36" t="s">
        <v>151</v>
      </c>
      <c r="DV383" s="34" t="s">
        <v>151</v>
      </c>
      <c r="DW383" s="36">
        <v>1.63</v>
      </c>
      <c r="DX383" s="34">
        <v>61</v>
      </c>
      <c r="DY383" s="31" t="s">
        <v>151</v>
      </c>
      <c r="DZ383" s="35" t="s">
        <v>151</v>
      </c>
      <c r="EA383" s="35" t="s">
        <v>151</v>
      </c>
      <c r="EB383" s="34">
        <v>518</v>
      </c>
      <c r="EC383" s="33">
        <v>22</v>
      </c>
      <c r="ED383" s="32">
        <v>4.44</v>
      </c>
      <c r="EE383" s="34">
        <v>31</v>
      </c>
      <c r="EF383" s="33">
        <v>0</v>
      </c>
      <c r="EG383" s="32">
        <v>0</v>
      </c>
      <c r="EH383" s="29" t="s">
        <v>198</v>
      </c>
      <c r="EI383" s="30" t="s">
        <v>151</v>
      </c>
      <c r="EJ383" s="30" t="s">
        <v>151</v>
      </c>
      <c r="EK383" s="31" t="s">
        <v>151</v>
      </c>
      <c r="EL383" s="31" t="s">
        <v>151</v>
      </c>
      <c r="EM383" s="31" t="s">
        <v>151</v>
      </c>
      <c r="EN383" s="31" t="s">
        <v>151</v>
      </c>
      <c r="EO383" s="31" t="s">
        <v>151</v>
      </c>
      <c r="EP383" s="30" t="s">
        <v>151</v>
      </c>
      <c r="EQ383" s="29" t="s">
        <v>151</v>
      </c>
      <c r="ER383" s="29" t="s">
        <v>151</v>
      </c>
      <c r="ES383" s="4">
        <f>HYPERLINK("https://my.pitchbook.com?c=529264-27","View Company Online")</f>
      </c>
    </row>
    <row r="384">
      <c r="A384" s="17" t="s">
        <v>8261</v>
      </c>
      <c r="B384" s="17" t="s">
        <v>8262</v>
      </c>
      <c r="C384" s="18" t="s">
        <v>151</v>
      </c>
      <c r="D384" s="17" t="s">
        <v>151</v>
      </c>
      <c r="E384" s="17" t="s">
        <v>151</v>
      </c>
      <c r="F384" s="17" t="s">
        <v>8263</v>
      </c>
      <c r="G384" s="17" t="s">
        <v>151</v>
      </c>
      <c r="H384" s="17" t="s">
        <v>151</v>
      </c>
      <c r="I384" s="17" t="s">
        <v>8264</v>
      </c>
      <c r="J384" s="17" t="s">
        <v>8261</v>
      </c>
      <c r="K384" s="17" t="s">
        <v>8265</v>
      </c>
      <c r="L384" s="17" t="s">
        <v>205</v>
      </c>
      <c r="M384" s="17" t="s">
        <v>448</v>
      </c>
      <c r="N384" s="17" t="s">
        <v>478</v>
      </c>
      <c r="O384" s="17" t="s">
        <v>8266</v>
      </c>
      <c r="P384" s="17" t="s">
        <v>8267</v>
      </c>
      <c r="Q384" s="17" t="s">
        <v>8268</v>
      </c>
      <c r="R384" s="17" t="s">
        <v>151</v>
      </c>
      <c r="S384" s="17" t="s">
        <v>162</v>
      </c>
      <c r="T384" s="24">
        <v>5.57</v>
      </c>
      <c r="U384" s="17" t="s">
        <v>163</v>
      </c>
      <c r="V384" s="17" t="s">
        <v>164</v>
      </c>
      <c r="W384" s="17" t="s">
        <v>165</v>
      </c>
      <c r="X384" s="15" t="s">
        <v>8269</v>
      </c>
      <c r="Y384" s="15" t="s">
        <v>8270</v>
      </c>
      <c r="Z384" s="27">
        <v>33</v>
      </c>
      <c r="AA384" s="17" t="s">
        <v>8271</v>
      </c>
      <c r="AB384" s="17" t="s">
        <v>151</v>
      </c>
      <c r="AC384" s="17" t="s">
        <v>151</v>
      </c>
      <c r="AD384" s="26">
        <v>2019</v>
      </c>
      <c r="AE384" s="17" t="s">
        <v>151</v>
      </c>
      <c r="AF384" s="22">
        <v>45587</v>
      </c>
      <c r="AG384" s="17" t="s">
        <v>151</v>
      </c>
      <c r="AH384" s="17" t="s">
        <v>151</v>
      </c>
      <c r="AI384" s="25">
        <v>1.04</v>
      </c>
      <c r="AJ384" s="19">
        <v>166.67</v>
      </c>
      <c r="AK384" s="25" t="s">
        <v>151</v>
      </c>
      <c r="AL384" s="25" t="s">
        <v>151</v>
      </c>
      <c r="AM384" s="25" t="s">
        <v>151</v>
      </c>
      <c r="AN384" s="25" t="s">
        <v>151</v>
      </c>
      <c r="AO384" s="25" t="s">
        <v>151</v>
      </c>
      <c r="AP384" s="25" t="s">
        <v>151</v>
      </c>
      <c r="AQ384" s="25" t="s">
        <v>151</v>
      </c>
      <c r="AR384" s="16" t="s">
        <v>841</v>
      </c>
      <c r="AS384" s="17" t="s">
        <v>8272</v>
      </c>
      <c r="AT384" s="17" t="s">
        <v>8273</v>
      </c>
      <c r="AU384" s="18">
        <v>4</v>
      </c>
      <c r="AV384" s="17" t="s">
        <v>151</v>
      </c>
      <c r="AW384" s="17" t="s">
        <v>151</v>
      </c>
      <c r="AX384" s="17" t="s">
        <v>151</v>
      </c>
      <c r="AY384" s="17" t="s">
        <v>8274</v>
      </c>
      <c r="AZ384" s="17" t="s">
        <v>151</v>
      </c>
      <c r="BA384" s="17" t="s">
        <v>151</v>
      </c>
      <c r="BB384" s="17" t="s">
        <v>8275</v>
      </c>
      <c r="BC384" s="17" t="s">
        <v>151</v>
      </c>
      <c r="BD384" s="17" t="s">
        <v>8276</v>
      </c>
      <c r="BE384" s="17" t="s">
        <v>8277</v>
      </c>
      <c r="BF384" s="17" t="s">
        <v>8278</v>
      </c>
      <c r="BG384" s="17" t="s">
        <v>8279</v>
      </c>
      <c r="BH384" s="17" t="s">
        <v>8280</v>
      </c>
      <c r="BI384" s="17" t="s">
        <v>8281</v>
      </c>
      <c r="BJ384" s="17" t="s">
        <v>8282</v>
      </c>
      <c r="BK384" s="17" t="s">
        <v>1832</v>
      </c>
      <c r="BL384" s="17" t="s">
        <v>8283</v>
      </c>
      <c r="BM384" s="17" t="s">
        <v>184</v>
      </c>
      <c r="BN384" s="16" t="s">
        <v>8284</v>
      </c>
      <c r="BO384" s="17" t="s">
        <v>186</v>
      </c>
      <c r="BP384" s="16" t="s">
        <v>8285</v>
      </c>
      <c r="BQ384" s="16" t="s">
        <v>151</v>
      </c>
      <c r="BR384" s="17" t="s">
        <v>8286</v>
      </c>
      <c r="BS384" s="17" t="s">
        <v>187</v>
      </c>
      <c r="BT384" s="17" t="s">
        <v>188</v>
      </c>
      <c r="BU384" s="22">
        <v>43676</v>
      </c>
      <c r="BV384" s="24" t="s">
        <v>151</v>
      </c>
      <c r="BW384" s="17" t="s">
        <v>151</v>
      </c>
      <c r="BX384" s="24" t="s">
        <v>151</v>
      </c>
      <c r="BY384" s="17" t="s">
        <v>151</v>
      </c>
      <c r="BZ384" s="17" t="s">
        <v>189</v>
      </c>
      <c r="CA384" s="17" t="s">
        <v>151</v>
      </c>
      <c r="CB384" s="17" t="s">
        <v>151</v>
      </c>
      <c r="CC384" s="17" t="s">
        <v>190</v>
      </c>
      <c r="CD384" s="17" t="s">
        <v>151</v>
      </c>
      <c r="CE384" s="17" t="s">
        <v>191</v>
      </c>
      <c r="CF384" s="22">
        <v>45366</v>
      </c>
      <c r="CG384" s="24">
        <v>2.3</v>
      </c>
      <c r="CH384" s="17" t="s">
        <v>192</v>
      </c>
      <c r="CI384" s="24">
        <v>17.3</v>
      </c>
      <c r="CJ384" s="17" t="s">
        <v>192</v>
      </c>
      <c r="CK384" s="16" t="s">
        <v>151</v>
      </c>
      <c r="CL384" s="17" t="s">
        <v>194</v>
      </c>
      <c r="CM384" s="17" t="s">
        <v>151</v>
      </c>
      <c r="CN384" s="17" t="s">
        <v>151</v>
      </c>
      <c r="CO384" s="17" t="s">
        <v>165</v>
      </c>
      <c r="CP384" s="22">
        <v>45366</v>
      </c>
      <c r="CQ384" s="24" t="s">
        <v>151</v>
      </c>
      <c r="CR384" s="17" t="s">
        <v>151</v>
      </c>
      <c r="CS384" s="17" t="s">
        <v>191</v>
      </c>
      <c r="CT384" s="16">
        <v>72</v>
      </c>
      <c r="CU384" s="17" t="s">
        <v>196</v>
      </c>
      <c r="CV384" s="19">
        <v>67</v>
      </c>
      <c r="CW384" s="19">
        <v>33</v>
      </c>
      <c r="CX384" s="17" t="s">
        <v>294</v>
      </c>
      <c r="CY384" s="19">
        <v>1</v>
      </c>
      <c r="CZ384" s="19">
        <v>66</v>
      </c>
      <c r="DA384" s="24">
        <v>17.3</v>
      </c>
      <c r="DB384" s="22">
        <v>45366</v>
      </c>
      <c r="DC384" s="17" t="s">
        <v>194</v>
      </c>
      <c r="DD384" s="16">
        <v>1.45</v>
      </c>
      <c r="DE384" s="19">
        <v>0.53</v>
      </c>
      <c r="DF384" s="21">
        <v>94</v>
      </c>
      <c r="DG384" s="19">
        <v>0</v>
      </c>
      <c r="DH384" s="19">
        <v>0</v>
      </c>
      <c r="DI384" s="19">
        <v>0</v>
      </c>
      <c r="DJ384" s="21">
        <v>10</v>
      </c>
      <c r="DK384" s="19" t="s">
        <v>151</v>
      </c>
      <c r="DL384" s="21" t="s">
        <v>151</v>
      </c>
      <c r="DM384" s="19">
        <v>0</v>
      </c>
      <c r="DN384" s="21">
        <v>10</v>
      </c>
      <c r="DO384" s="23">
        <v>2.56</v>
      </c>
      <c r="DP384" s="21">
        <v>71</v>
      </c>
      <c r="DQ384" s="23">
        <v>0</v>
      </c>
      <c r="DR384" s="19">
        <v>0</v>
      </c>
      <c r="DS384" s="23">
        <v>2.58</v>
      </c>
      <c r="DT384" s="21">
        <v>71</v>
      </c>
      <c r="DU384" s="23" t="s">
        <v>151</v>
      </c>
      <c r="DV384" s="21" t="s">
        <v>151</v>
      </c>
      <c r="DW384" s="23">
        <v>2.58</v>
      </c>
      <c r="DX384" s="21">
        <v>71</v>
      </c>
      <c r="DY384" s="18" t="s">
        <v>151</v>
      </c>
      <c r="DZ384" s="22" t="s">
        <v>151</v>
      </c>
      <c r="EA384" s="22" t="s">
        <v>151</v>
      </c>
      <c r="EB384" s="21" t="s">
        <v>151</v>
      </c>
      <c r="EC384" s="20" t="s">
        <v>151</v>
      </c>
      <c r="ED384" s="19" t="s">
        <v>151</v>
      </c>
      <c r="EE384" s="21">
        <v>49</v>
      </c>
      <c r="EF384" s="20">
        <v>0</v>
      </c>
      <c r="EG384" s="19">
        <v>0</v>
      </c>
      <c r="EH384" s="16" t="s">
        <v>198</v>
      </c>
      <c r="EI384" s="17" t="s">
        <v>151</v>
      </c>
      <c r="EJ384" s="17" t="s">
        <v>151</v>
      </c>
      <c r="EK384" s="18" t="s">
        <v>151</v>
      </c>
      <c r="EL384" s="18" t="s">
        <v>151</v>
      </c>
      <c r="EM384" s="18" t="s">
        <v>151</v>
      </c>
      <c r="EN384" s="18" t="s">
        <v>151</v>
      </c>
      <c r="EO384" s="18" t="s">
        <v>151</v>
      </c>
      <c r="EP384" s="17" t="s">
        <v>151</v>
      </c>
      <c r="EQ384" s="16" t="s">
        <v>151</v>
      </c>
      <c r="ER384" s="16" t="s">
        <v>151</v>
      </c>
      <c r="ES384" s="3">
        <f>HYPERLINK("https://my.pitchbook.com?c=434832-22","View Company Online")</f>
      </c>
    </row>
    <row r="385">
      <c r="A385" s="30" t="s">
        <v>8287</v>
      </c>
      <c r="B385" s="30" t="s">
        <v>8288</v>
      </c>
      <c r="C385" s="31" t="s">
        <v>151</v>
      </c>
      <c r="D385" s="30" t="s">
        <v>151</v>
      </c>
      <c r="E385" s="30" t="s">
        <v>151</v>
      </c>
      <c r="F385" s="30" t="s">
        <v>8289</v>
      </c>
      <c r="G385" s="30" t="s">
        <v>151</v>
      </c>
      <c r="H385" s="30" t="s">
        <v>151</v>
      </c>
      <c r="I385" s="30" t="s">
        <v>8290</v>
      </c>
      <c r="J385" s="30" t="s">
        <v>8287</v>
      </c>
      <c r="K385" s="30" t="s">
        <v>8291</v>
      </c>
      <c r="L385" s="30" t="s">
        <v>205</v>
      </c>
      <c r="M385" s="30" t="s">
        <v>206</v>
      </c>
      <c r="N385" s="30" t="s">
        <v>269</v>
      </c>
      <c r="O385" s="30" t="s">
        <v>8292</v>
      </c>
      <c r="P385" s="30" t="s">
        <v>696</v>
      </c>
      <c r="Q385" s="30" t="s">
        <v>8293</v>
      </c>
      <c r="R385" s="30" t="s">
        <v>151</v>
      </c>
      <c r="S385" s="30" t="s">
        <v>162</v>
      </c>
      <c r="T385" s="37">
        <v>6.84</v>
      </c>
      <c r="U385" s="30" t="s">
        <v>163</v>
      </c>
      <c r="V385" s="30" t="s">
        <v>164</v>
      </c>
      <c r="W385" s="30" t="s">
        <v>165</v>
      </c>
      <c r="X385" s="28" t="s">
        <v>8294</v>
      </c>
      <c r="Y385" s="28" t="s">
        <v>8295</v>
      </c>
      <c r="Z385" s="40">
        <v>30</v>
      </c>
      <c r="AA385" s="30" t="s">
        <v>8296</v>
      </c>
      <c r="AB385" s="30" t="s">
        <v>151</v>
      </c>
      <c r="AC385" s="30" t="s">
        <v>151</v>
      </c>
      <c r="AD385" s="39">
        <v>2016</v>
      </c>
      <c r="AE385" s="30" t="s">
        <v>151</v>
      </c>
      <c r="AF385" s="35">
        <v>45596</v>
      </c>
      <c r="AG385" s="30" t="s">
        <v>151</v>
      </c>
      <c r="AH385" s="30" t="s">
        <v>151</v>
      </c>
      <c r="AI385" s="38" t="s">
        <v>151</v>
      </c>
      <c r="AJ385" s="32" t="s">
        <v>151</v>
      </c>
      <c r="AK385" s="38" t="s">
        <v>151</v>
      </c>
      <c r="AL385" s="38" t="s">
        <v>151</v>
      </c>
      <c r="AM385" s="38" t="s">
        <v>151</v>
      </c>
      <c r="AN385" s="38" t="s">
        <v>151</v>
      </c>
      <c r="AO385" s="38" t="s">
        <v>151</v>
      </c>
      <c r="AP385" s="38" t="s">
        <v>151</v>
      </c>
      <c r="AQ385" s="38" t="s">
        <v>151</v>
      </c>
      <c r="AR385" s="29" t="s">
        <v>151</v>
      </c>
      <c r="AS385" s="30" t="s">
        <v>8297</v>
      </c>
      <c r="AT385" s="30" t="s">
        <v>8298</v>
      </c>
      <c r="AU385" s="31">
        <v>4</v>
      </c>
      <c r="AV385" s="30" t="s">
        <v>151</v>
      </c>
      <c r="AW385" s="30" t="s">
        <v>151</v>
      </c>
      <c r="AX385" s="30" t="s">
        <v>151</v>
      </c>
      <c r="AY385" s="30" t="s">
        <v>8299</v>
      </c>
      <c r="AZ385" s="30" t="s">
        <v>151</v>
      </c>
      <c r="BA385" s="30" t="s">
        <v>151</v>
      </c>
      <c r="BB385" s="30" t="s">
        <v>8300</v>
      </c>
      <c r="BC385" s="30" t="s">
        <v>151</v>
      </c>
      <c r="BD385" s="30" t="s">
        <v>8301</v>
      </c>
      <c r="BE385" s="30" t="s">
        <v>8302</v>
      </c>
      <c r="BF385" s="30" t="s">
        <v>546</v>
      </c>
      <c r="BG385" s="30" t="s">
        <v>8303</v>
      </c>
      <c r="BH385" s="30" t="s">
        <v>8304</v>
      </c>
      <c r="BI385" s="30" t="s">
        <v>934</v>
      </c>
      <c r="BJ385" s="30" t="s">
        <v>8305</v>
      </c>
      <c r="BK385" s="30" t="s">
        <v>8306</v>
      </c>
      <c r="BL385" s="30" t="s">
        <v>937</v>
      </c>
      <c r="BM385" s="30" t="s">
        <v>184</v>
      </c>
      <c r="BN385" s="29" t="s">
        <v>8307</v>
      </c>
      <c r="BO385" s="30" t="s">
        <v>186</v>
      </c>
      <c r="BP385" s="29" t="s">
        <v>8308</v>
      </c>
      <c r="BQ385" s="29" t="s">
        <v>151</v>
      </c>
      <c r="BR385" s="30" t="s">
        <v>8309</v>
      </c>
      <c r="BS385" s="30" t="s">
        <v>187</v>
      </c>
      <c r="BT385" s="30" t="s">
        <v>188</v>
      </c>
      <c r="BU385" s="35">
        <v>45016</v>
      </c>
      <c r="BV385" s="37">
        <v>5.5</v>
      </c>
      <c r="BW385" s="30" t="s">
        <v>192</v>
      </c>
      <c r="BX385" s="37">
        <v>11.4</v>
      </c>
      <c r="BY385" s="30" t="s">
        <v>192</v>
      </c>
      <c r="BZ385" s="30" t="s">
        <v>293</v>
      </c>
      <c r="CA385" s="30" t="s">
        <v>293</v>
      </c>
      <c r="CB385" s="30" t="s">
        <v>151</v>
      </c>
      <c r="CC385" s="30" t="s">
        <v>165</v>
      </c>
      <c r="CD385" s="30" t="s">
        <v>151</v>
      </c>
      <c r="CE385" s="30" t="s">
        <v>191</v>
      </c>
      <c r="CF385" s="35" t="s">
        <v>151</v>
      </c>
      <c r="CG385" s="37" t="s">
        <v>151</v>
      </c>
      <c r="CH385" s="30" t="s">
        <v>151</v>
      </c>
      <c r="CI385" s="37" t="s">
        <v>151</v>
      </c>
      <c r="CJ385" s="30" t="s">
        <v>151</v>
      </c>
      <c r="CK385" s="29">
        <v>1.32</v>
      </c>
      <c r="CL385" s="30" t="s">
        <v>189</v>
      </c>
      <c r="CM385" s="30" t="s">
        <v>151</v>
      </c>
      <c r="CN385" s="30" t="s">
        <v>151</v>
      </c>
      <c r="CO385" s="30" t="s">
        <v>190</v>
      </c>
      <c r="CP385" s="35" t="s">
        <v>151</v>
      </c>
      <c r="CQ385" s="37" t="s">
        <v>151</v>
      </c>
      <c r="CR385" s="30" t="s">
        <v>151</v>
      </c>
      <c r="CS385" s="30" t="s">
        <v>191</v>
      </c>
      <c r="CT385" s="29">
        <v>81</v>
      </c>
      <c r="CU385" s="30" t="s">
        <v>196</v>
      </c>
      <c r="CV385" s="32">
        <v>74</v>
      </c>
      <c r="CW385" s="32">
        <v>26</v>
      </c>
      <c r="CX385" s="30" t="s">
        <v>294</v>
      </c>
      <c r="CY385" s="32">
        <v>1</v>
      </c>
      <c r="CZ385" s="32">
        <v>73</v>
      </c>
      <c r="DA385" s="37">
        <v>16.34</v>
      </c>
      <c r="DB385" s="35">
        <v>45230</v>
      </c>
      <c r="DC385" s="30" t="s">
        <v>293</v>
      </c>
      <c r="DD385" s="29">
        <v>1.32</v>
      </c>
      <c r="DE385" s="32">
        <v>0</v>
      </c>
      <c r="DF385" s="34">
        <v>11</v>
      </c>
      <c r="DG385" s="32">
        <v>0</v>
      </c>
      <c r="DH385" s="32">
        <v>0</v>
      </c>
      <c r="DI385" s="32">
        <v>0</v>
      </c>
      <c r="DJ385" s="34">
        <v>10</v>
      </c>
      <c r="DK385" s="32" t="s">
        <v>151</v>
      </c>
      <c r="DL385" s="34" t="s">
        <v>151</v>
      </c>
      <c r="DM385" s="32">
        <v>0</v>
      </c>
      <c r="DN385" s="34">
        <v>10</v>
      </c>
      <c r="DO385" s="36">
        <v>3.47</v>
      </c>
      <c r="DP385" s="34">
        <v>77</v>
      </c>
      <c r="DQ385" s="36">
        <v>0</v>
      </c>
      <c r="DR385" s="32">
        <v>0</v>
      </c>
      <c r="DS385" s="36">
        <v>3.47</v>
      </c>
      <c r="DT385" s="34">
        <v>77</v>
      </c>
      <c r="DU385" s="36" t="s">
        <v>151</v>
      </c>
      <c r="DV385" s="34" t="s">
        <v>151</v>
      </c>
      <c r="DW385" s="36">
        <v>3.47</v>
      </c>
      <c r="DX385" s="34">
        <v>76</v>
      </c>
      <c r="DY385" s="31" t="s">
        <v>151</v>
      </c>
      <c r="DZ385" s="35" t="s">
        <v>151</v>
      </c>
      <c r="EA385" s="35" t="s">
        <v>151</v>
      </c>
      <c r="EB385" s="34" t="s">
        <v>151</v>
      </c>
      <c r="EC385" s="33" t="s">
        <v>151</v>
      </c>
      <c r="ED385" s="32" t="s">
        <v>151</v>
      </c>
      <c r="EE385" s="34">
        <v>66</v>
      </c>
      <c r="EF385" s="33">
        <v>1</v>
      </c>
      <c r="EG385" s="32">
        <v>1.54</v>
      </c>
      <c r="EH385" s="29" t="s">
        <v>198</v>
      </c>
      <c r="EI385" s="30" t="s">
        <v>151</v>
      </c>
      <c r="EJ385" s="30" t="s">
        <v>151</v>
      </c>
      <c r="EK385" s="31" t="s">
        <v>151</v>
      </c>
      <c r="EL385" s="31" t="s">
        <v>151</v>
      </c>
      <c r="EM385" s="31" t="s">
        <v>151</v>
      </c>
      <c r="EN385" s="31" t="s">
        <v>151</v>
      </c>
      <c r="EO385" s="31" t="s">
        <v>151</v>
      </c>
      <c r="EP385" s="30" t="s">
        <v>151</v>
      </c>
      <c r="EQ385" s="29" t="s">
        <v>151</v>
      </c>
      <c r="ER385" s="29" t="s">
        <v>151</v>
      </c>
      <c r="ES385" s="4">
        <f>HYPERLINK("https://my.pitchbook.com?c=453570-22","View Company Online")</f>
      </c>
    </row>
    <row r="386">
      <c r="A386" s="17" t="s">
        <v>8310</v>
      </c>
      <c r="B386" s="17" t="s">
        <v>8311</v>
      </c>
      <c r="C386" s="18" t="s">
        <v>151</v>
      </c>
      <c r="D386" s="17" t="s">
        <v>151</v>
      </c>
      <c r="E386" s="17" t="s">
        <v>151</v>
      </c>
      <c r="F386" s="17" t="s">
        <v>8312</v>
      </c>
      <c r="G386" s="17" t="s">
        <v>151</v>
      </c>
      <c r="H386" s="17" t="s">
        <v>151</v>
      </c>
      <c r="I386" s="17" t="s">
        <v>151</v>
      </c>
      <c r="J386" s="17" t="s">
        <v>8310</v>
      </c>
      <c r="K386" s="17" t="s">
        <v>8313</v>
      </c>
      <c r="L386" s="17" t="s">
        <v>155</v>
      </c>
      <c r="M386" s="17" t="s">
        <v>2320</v>
      </c>
      <c r="N386" s="17" t="s">
        <v>2321</v>
      </c>
      <c r="O386" s="17" t="s">
        <v>2322</v>
      </c>
      <c r="P386" s="17" t="s">
        <v>696</v>
      </c>
      <c r="Q386" s="17" t="s">
        <v>8314</v>
      </c>
      <c r="R386" s="17" t="s">
        <v>151</v>
      </c>
      <c r="S386" s="17" t="s">
        <v>162</v>
      </c>
      <c r="T386" s="24">
        <v>33</v>
      </c>
      <c r="U386" s="17" t="s">
        <v>163</v>
      </c>
      <c r="V386" s="17" t="s">
        <v>164</v>
      </c>
      <c r="W386" s="17" t="s">
        <v>165</v>
      </c>
      <c r="X386" s="15" t="s">
        <v>8315</v>
      </c>
      <c r="Y386" s="15" t="s">
        <v>8316</v>
      </c>
      <c r="Z386" s="27">
        <v>45</v>
      </c>
      <c r="AA386" s="17" t="s">
        <v>8317</v>
      </c>
      <c r="AB386" s="17" t="s">
        <v>151</v>
      </c>
      <c r="AC386" s="17" t="s">
        <v>151</v>
      </c>
      <c r="AD386" s="26">
        <v>2022</v>
      </c>
      <c r="AE386" s="17" t="s">
        <v>151</v>
      </c>
      <c r="AF386" s="22">
        <v>45405</v>
      </c>
      <c r="AG386" s="17" t="s">
        <v>151</v>
      </c>
      <c r="AH386" s="17" t="s">
        <v>151</v>
      </c>
      <c r="AI386" s="25" t="s">
        <v>151</v>
      </c>
      <c r="AJ386" s="19" t="s">
        <v>151</v>
      </c>
      <c r="AK386" s="25" t="s">
        <v>151</v>
      </c>
      <c r="AL386" s="25" t="s">
        <v>151</v>
      </c>
      <c r="AM386" s="25" t="s">
        <v>151</v>
      </c>
      <c r="AN386" s="25" t="s">
        <v>151</v>
      </c>
      <c r="AO386" s="25" t="s">
        <v>151</v>
      </c>
      <c r="AP386" s="25" t="s">
        <v>151</v>
      </c>
      <c r="AQ386" s="25" t="s">
        <v>151</v>
      </c>
      <c r="AR386" s="16" t="s">
        <v>151</v>
      </c>
      <c r="AS386" s="17" t="s">
        <v>8318</v>
      </c>
      <c r="AT386" s="17" t="s">
        <v>8319</v>
      </c>
      <c r="AU386" s="18">
        <v>8</v>
      </c>
      <c r="AV386" s="17" t="s">
        <v>151</v>
      </c>
      <c r="AW386" s="17" t="s">
        <v>151</v>
      </c>
      <c r="AX386" s="17" t="s">
        <v>151</v>
      </c>
      <c r="AY386" s="17" t="s">
        <v>8320</v>
      </c>
      <c r="AZ386" s="17" t="s">
        <v>151</v>
      </c>
      <c r="BA386" s="17" t="s">
        <v>151</v>
      </c>
      <c r="BB386" s="17" t="s">
        <v>151</v>
      </c>
      <c r="BC386" s="17" t="s">
        <v>1115</v>
      </c>
      <c r="BD386" s="17" t="s">
        <v>8321</v>
      </c>
      <c r="BE386" s="17" t="s">
        <v>8322</v>
      </c>
      <c r="BF386" s="17" t="s">
        <v>221</v>
      </c>
      <c r="BG386" s="17" t="s">
        <v>151</v>
      </c>
      <c r="BH386" s="17" t="s">
        <v>8323</v>
      </c>
      <c r="BI386" s="17" t="s">
        <v>2652</v>
      </c>
      <c r="BJ386" s="17" t="s">
        <v>8324</v>
      </c>
      <c r="BK386" s="17" t="s">
        <v>8325</v>
      </c>
      <c r="BL386" s="17" t="s">
        <v>2654</v>
      </c>
      <c r="BM386" s="17" t="s">
        <v>1576</v>
      </c>
      <c r="BN386" s="16" t="s">
        <v>8326</v>
      </c>
      <c r="BO386" s="17" t="s">
        <v>186</v>
      </c>
      <c r="BP386" s="16" t="s">
        <v>8323</v>
      </c>
      <c r="BQ386" s="16" t="s">
        <v>151</v>
      </c>
      <c r="BR386" s="17" t="s">
        <v>151</v>
      </c>
      <c r="BS386" s="17" t="s">
        <v>187</v>
      </c>
      <c r="BT386" s="17" t="s">
        <v>188</v>
      </c>
      <c r="BU386" s="22">
        <v>45127</v>
      </c>
      <c r="BV386" s="24">
        <v>33</v>
      </c>
      <c r="BW386" s="17" t="s">
        <v>192</v>
      </c>
      <c r="BX386" s="24" t="s">
        <v>151</v>
      </c>
      <c r="BY386" s="17" t="s">
        <v>151</v>
      </c>
      <c r="BZ386" s="17" t="s">
        <v>231</v>
      </c>
      <c r="CA386" s="17" t="s">
        <v>232</v>
      </c>
      <c r="CB386" s="17" t="s">
        <v>151</v>
      </c>
      <c r="CC386" s="17" t="s">
        <v>165</v>
      </c>
      <c r="CD386" s="17" t="s">
        <v>151</v>
      </c>
      <c r="CE386" s="17" t="s">
        <v>191</v>
      </c>
      <c r="CF386" s="22">
        <v>45398</v>
      </c>
      <c r="CG386" s="24" t="s">
        <v>151</v>
      </c>
      <c r="CH386" s="17" t="s">
        <v>151</v>
      </c>
      <c r="CI386" s="24" t="s">
        <v>151</v>
      </c>
      <c r="CJ386" s="17" t="s">
        <v>151</v>
      </c>
      <c r="CK386" s="16" t="s">
        <v>151</v>
      </c>
      <c r="CL386" s="17" t="s">
        <v>231</v>
      </c>
      <c r="CM386" s="17" t="s">
        <v>151</v>
      </c>
      <c r="CN386" s="17" t="s">
        <v>151</v>
      </c>
      <c r="CO386" s="17" t="s">
        <v>165</v>
      </c>
      <c r="CP386" s="22">
        <v>45398</v>
      </c>
      <c r="CQ386" s="24" t="s">
        <v>151</v>
      </c>
      <c r="CR386" s="17" t="s">
        <v>151</v>
      </c>
      <c r="CS386" s="17" t="s">
        <v>191</v>
      </c>
      <c r="CT386" s="16">
        <v>71</v>
      </c>
      <c r="CU386" s="17" t="s">
        <v>196</v>
      </c>
      <c r="CV386" s="19">
        <v>63</v>
      </c>
      <c r="CW386" s="19">
        <v>37</v>
      </c>
      <c r="CX386" s="17" t="s">
        <v>294</v>
      </c>
      <c r="CY386" s="19">
        <v>5</v>
      </c>
      <c r="CZ386" s="19">
        <v>58</v>
      </c>
      <c r="DA386" s="24" t="s">
        <v>151</v>
      </c>
      <c r="DB386" s="22" t="s">
        <v>151</v>
      </c>
      <c r="DC386" s="17" t="s">
        <v>151</v>
      </c>
      <c r="DD386" s="16" t="s">
        <v>151</v>
      </c>
      <c r="DE386" s="19">
        <v>0</v>
      </c>
      <c r="DF386" s="21">
        <v>11</v>
      </c>
      <c r="DG386" s="19">
        <v>0</v>
      </c>
      <c r="DH386" s="19">
        <v>0</v>
      </c>
      <c r="DI386" s="19">
        <v>0</v>
      </c>
      <c r="DJ386" s="21">
        <v>10</v>
      </c>
      <c r="DK386" s="19" t="s">
        <v>151</v>
      </c>
      <c r="DL386" s="21" t="s">
        <v>151</v>
      </c>
      <c r="DM386" s="19">
        <v>0</v>
      </c>
      <c r="DN386" s="21">
        <v>10</v>
      </c>
      <c r="DO386" s="23">
        <v>3.68</v>
      </c>
      <c r="DP386" s="21">
        <v>78</v>
      </c>
      <c r="DQ386" s="23">
        <v>0</v>
      </c>
      <c r="DR386" s="19">
        <v>0</v>
      </c>
      <c r="DS386" s="23">
        <v>3.68</v>
      </c>
      <c r="DT386" s="21">
        <v>78</v>
      </c>
      <c r="DU386" s="23" t="s">
        <v>151</v>
      </c>
      <c r="DV386" s="21" t="s">
        <v>151</v>
      </c>
      <c r="DW386" s="23">
        <v>3.68</v>
      </c>
      <c r="DX386" s="21">
        <v>77</v>
      </c>
      <c r="DY386" s="18" t="s">
        <v>151</v>
      </c>
      <c r="DZ386" s="22" t="s">
        <v>151</v>
      </c>
      <c r="EA386" s="22" t="s">
        <v>151</v>
      </c>
      <c r="EB386" s="21">
        <v>2828</v>
      </c>
      <c r="EC386" s="20">
        <v>51</v>
      </c>
      <c r="ED386" s="19">
        <v>1.84</v>
      </c>
      <c r="EE386" s="21">
        <v>70</v>
      </c>
      <c r="EF386" s="20">
        <v>0</v>
      </c>
      <c r="EG386" s="19">
        <v>0</v>
      </c>
      <c r="EH386" s="16" t="s">
        <v>198</v>
      </c>
      <c r="EI386" s="17" t="s">
        <v>151</v>
      </c>
      <c r="EJ386" s="17" t="s">
        <v>151</v>
      </c>
      <c r="EK386" s="18" t="s">
        <v>151</v>
      </c>
      <c r="EL386" s="18" t="s">
        <v>151</v>
      </c>
      <c r="EM386" s="18" t="s">
        <v>151</v>
      </c>
      <c r="EN386" s="18" t="s">
        <v>151</v>
      </c>
      <c r="EO386" s="18" t="s">
        <v>151</v>
      </c>
      <c r="EP386" s="17" t="s">
        <v>151</v>
      </c>
      <c r="EQ386" s="16" t="s">
        <v>151</v>
      </c>
      <c r="ER386" s="16" t="s">
        <v>151</v>
      </c>
      <c r="ES386" s="3">
        <f>HYPERLINK("https://my.pitchbook.com?c=532506-97","View Company Online")</f>
      </c>
    </row>
    <row r="387">
      <c r="A387" s="30" t="s">
        <v>8327</v>
      </c>
      <c r="B387" s="30" t="s">
        <v>8328</v>
      </c>
      <c r="C387" s="31" t="s">
        <v>151</v>
      </c>
      <c r="D387" s="30" t="s">
        <v>151</v>
      </c>
      <c r="E387" s="30" t="s">
        <v>8329</v>
      </c>
      <c r="F387" s="30" t="s">
        <v>8330</v>
      </c>
      <c r="G387" s="30" t="s">
        <v>151</v>
      </c>
      <c r="H387" s="30" t="s">
        <v>151</v>
      </c>
      <c r="I387" s="30" t="s">
        <v>151</v>
      </c>
      <c r="J387" s="30" t="s">
        <v>8327</v>
      </c>
      <c r="K387" s="30" t="s">
        <v>8331</v>
      </c>
      <c r="L387" s="30" t="s">
        <v>205</v>
      </c>
      <c r="M387" s="30" t="s">
        <v>206</v>
      </c>
      <c r="N387" s="30" t="s">
        <v>207</v>
      </c>
      <c r="O387" s="30" t="s">
        <v>2707</v>
      </c>
      <c r="P387" s="30" t="s">
        <v>8332</v>
      </c>
      <c r="Q387" s="30" t="s">
        <v>8333</v>
      </c>
      <c r="R387" s="30" t="s">
        <v>151</v>
      </c>
      <c r="S387" s="30" t="s">
        <v>162</v>
      </c>
      <c r="T387" s="37">
        <v>0.5</v>
      </c>
      <c r="U387" s="30" t="s">
        <v>163</v>
      </c>
      <c r="V387" s="30" t="s">
        <v>164</v>
      </c>
      <c r="W387" s="30" t="s">
        <v>165</v>
      </c>
      <c r="X387" s="28" t="s">
        <v>8334</v>
      </c>
      <c r="Y387" s="28" t="s">
        <v>8335</v>
      </c>
      <c r="Z387" s="40">
        <v>2</v>
      </c>
      <c r="AA387" s="30" t="s">
        <v>8336</v>
      </c>
      <c r="AB387" s="30" t="s">
        <v>151</v>
      </c>
      <c r="AC387" s="30" t="s">
        <v>151</v>
      </c>
      <c r="AD387" s="39">
        <v>2019</v>
      </c>
      <c r="AE387" s="30" t="s">
        <v>151</v>
      </c>
      <c r="AF387" s="35">
        <v>45533</v>
      </c>
      <c r="AG387" s="30" t="s">
        <v>151</v>
      </c>
      <c r="AH387" s="30" t="s">
        <v>151</v>
      </c>
      <c r="AI387" s="38" t="s">
        <v>151</v>
      </c>
      <c r="AJ387" s="32" t="s">
        <v>151</v>
      </c>
      <c r="AK387" s="38" t="s">
        <v>151</v>
      </c>
      <c r="AL387" s="38" t="s">
        <v>151</v>
      </c>
      <c r="AM387" s="38" t="s">
        <v>151</v>
      </c>
      <c r="AN387" s="38" t="s">
        <v>151</v>
      </c>
      <c r="AO387" s="38" t="s">
        <v>151</v>
      </c>
      <c r="AP387" s="38" t="s">
        <v>151</v>
      </c>
      <c r="AQ387" s="38" t="s">
        <v>151</v>
      </c>
      <c r="AR387" s="29" t="s">
        <v>151</v>
      </c>
      <c r="AS387" s="30" t="s">
        <v>8337</v>
      </c>
      <c r="AT387" s="30" t="s">
        <v>8338</v>
      </c>
      <c r="AU387" s="31">
        <v>3</v>
      </c>
      <c r="AV387" s="30" t="s">
        <v>151</v>
      </c>
      <c r="AW387" s="30" t="s">
        <v>151</v>
      </c>
      <c r="AX387" s="30" t="s">
        <v>151</v>
      </c>
      <c r="AY387" s="30" t="s">
        <v>8339</v>
      </c>
      <c r="AZ387" s="30" t="s">
        <v>151</v>
      </c>
      <c r="BA387" s="30" t="s">
        <v>151</v>
      </c>
      <c r="BB387" s="30" t="s">
        <v>151</v>
      </c>
      <c r="BC387" s="30" t="s">
        <v>151</v>
      </c>
      <c r="BD387" s="30" t="s">
        <v>8340</v>
      </c>
      <c r="BE387" s="30" t="s">
        <v>8341</v>
      </c>
      <c r="BF387" s="30" t="s">
        <v>8342</v>
      </c>
      <c r="BG387" s="30" t="s">
        <v>8343</v>
      </c>
      <c r="BH387" s="30" t="s">
        <v>8344</v>
      </c>
      <c r="BI387" s="30" t="s">
        <v>3152</v>
      </c>
      <c r="BJ387" s="30" t="s">
        <v>8345</v>
      </c>
      <c r="BK387" s="30" t="s">
        <v>3506</v>
      </c>
      <c r="BL387" s="30" t="s">
        <v>3154</v>
      </c>
      <c r="BM387" s="30" t="s">
        <v>3155</v>
      </c>
      <c r="BN387" s="29" t="s">
        <v>3156</v>
      </c>
      <c r="BO387" s="30" t="s">
        <v>186</v>
      </c>
      <c r="BP387" s="29" t="s">
        <v>8346</v>
      </c>
      <c r="BQ387" s="29" t="s">
        <v>151</v>
      </c>
      <c r="BR387" s="30" t="s">
        <v>151</v>
      </c>
      <c r="BS387" s="30" t="s">
        <v>187</v>
      </c>
      <c r="BT387" s="30" t="s">
        <v>188</v>
      </c>
      <c r="BU387" s="35" t="s">
        <v>151</v>
      </c>
      <c r="BV387" s="37">
        <v>0.1</v>
      </c>
      <c r="BW387" s="30" t="s">
        <v>192</v>
      </c>
      <c r="BX387" s="37" t="s">
        <v>151</v>
      </c>
      <c r="BY387" s="30" t="s">
        <v>151</v>
      </c>
      <c r="BZ387" s="30" t="s">
        <v>501</v>
      </c>
      <c r="CA387" s="30" t="s">
        <v>151</v>
      </c>
      <c r="CB387" s="30" t="s">
        <v>151</v>
      </c>
      <c r="CC387" s="30" t="s">
        <v>190</v>
      </c>
      <c r="CD387" s="30" t="s">
        <v>151</v>
      </c>
      <c r="CE387" s="30" t="s">
        <v>191</v>
      </c>
      <c r="CF387" s="35">
        <v>44197</v>
      </c>
      <c r="CG387" s="37" t="s">
        <v>151</v>
      </c>
      <c r="CH387" s="30" t="s">
        <v>151</v>
      </c>
      <c r="CI387" s="37" t="s">
        <v>151</v>
      </c>
      <c r="CJ387" s="30" t="s">
        <v>151</v>
      </c>
      <c r="CK387" s="29" t="s">
        <v>151</v>
      </c>
      <c r="CL387" s="30" t="s">
        <v>189</v>
      </c>
      <c r="CM387" s="30" t="s">
        <v>151</v>
      </c>
      <c r="CN387" s="30" t="s">
        <v>151</v>
      </c>
      <c r="CO387" s="30" t="s">
        <v>190</v>
      </c>
      <c r="CP387" s="35">
        <v>44197</v>
      </c>
      <c r="CQ387" s="37" t="s">
        <v>151</v>
      </c>
      <c r="CR387" s="30" t="s">
        <v>151</v>
      </c>
      <c r="CS387" s="30" t="s">
        <v>191</v>
      </c>
      <c r="CT387" s="29">
        <v>9</v>
      </c>
      <c r="CU387" s="30" t="s">
        <v>263</v>
      </c>
      <c r="CV387" s="32">
        <v>10</v>
      </c>
      <c r="CW387" s="32">
        <v>90</v>
      </c>
      <c r="CX387" s="30" t="s">
        <v>263</v>
      </c>
      <c r="CY387" s="32">
        <v>1</v>
      </c>
      <c r="CZ387" s="32">
        <v>9</v>
      </c>
      <c r="DA387" s="37" t="s">
        <v>151</v>
      </c>
      <c r="DB387" s="35" t="s">
        <v>151</v>
      </c>
      <c r="DC387" s="30" t="s">
        <v>151</v>
      </c>
      <c r="DD387" s="29" t="s">
        <v>151</v>
      </c>
      <c r="DE387" s="32">
        <v>-0.08</v>
      </c>
      <c r="DF387" s="34">
        <v>11</v>
      </c>
      <c r="DG387" s="32">
        <v>0</v>
      </c>
      <c r="DH387" s="32">
        <v>0</v>
      </c>
      <c r="DI387" s="32">
        <v>-0.16</v>
      </c>
      <c r="DJ387" s="34">
        <v>9</v>
      </c>
      <c r="DK387" s="32" t="s">
        <v>151</v>
      </c>
      <c r="DL387" s="34" t="s">
        <v>151</v>
      </c>
      <c r="DM387" s="32">
        <v>-0.16</v>
      </c>
      <c r="DN387" s="34">
        <v>9</v>
      </c>
      <c r="DO387" s="36">
        <v>10.39</v>
      </c>
      <c r="DP387" s="34">
        <v>90</v>
      </c>
      <c r="DQ387" s="36">
        <v>0</v>
      </c>
      <c r="DR387" s="32">
        <v>0</v>
      </c>
      <c r="DS387" s="36">
        <v>20.63</v>
      </c>
      <c r="DT387" s="34">
        <v>95</v>
      </c>
      <c r="DU387" s="36" t="s">
        <v>151</v>
      </c>
      <c r="DV387" s="34" t="s">
        <v>151</v>
      </c>
      <c r="DW387" s="36">
        <v>20.63</v>
      </c>
      <c r="DX387" s="34">
        <v>95</v>
      </c>
      <c r="DY387" s="31" t="s">
        <v>151</v>
      </c>
      <c r="DZ387" s="35" t="s">
        <v>151</v>
      </c>
      <c r="EA387" s="35" t="s">
        <v>151</v>
      </c>
      <c r="EB387" s="34">
        <v>0</v>
      </c>
      <c r="EC387" s="33">
        <v>0</v>
      </c>
      <c r="ED387" s="32">
        <v>0</v>
      </c>
      <c r="EE387" s="34">
        <v>392</v>
      </c>
      <c r="EF387" s="33">
        <v>0</v>
      </c>
      <c r="EG387" s="32">
        <v>0</v>
      </c>
      <c r="EH387" s="29" t="s">
        <v>198</v>
      </c>
      <c r="EI387" s="30" t="s">
        <v>151</v>
      </c>
      <c r="EJ387" s="30" t="s">
        <v>151</v>
      </c>
      <c r="EK387" s="31" t="s">
        <v>151</v>
      </c>
      <c r="EL387" s="31" t="s">
        <v>151</v>
      </c>
      <c r="EM387" s="31" t="s">
        <v>151</v>
      </c>
      <c r="EN387" s="31" t="s">
        <v>151</v>
      </c>
      <c r="EO387" s="31" t="s">
        <v>151</v>
      </c>
      <c r="EP387" s="30" t="s">
        <v>151</v>
      </c>
      <c r="EQ387" s="29" t="s">
        <v>151</v>
      </c>
      <c r="ER387" s="29" t="s">
        <v>151</v>
      </c>
      <c r="ES387" s="4">
        <f>HYPERLINK("https://my.pitchbook.com?c=453512-62","View Company Online")</f>
      </c>
    </row>
    <row r="388">
      <c r="A388" s="17" t="s">
        <v>8347</v>
      </c>
      <c r="B388" s="17" t="s">
        <v>8348</v>
      </c>
      <c r="C388" s="18" t="s">
        <v>151</v>
      </c>
      <c r="D388" s="17" t="s">
        <v>151</v>
      </c>
      <c r="E388" s="17" t="s">
        <v>151</v>
      </c>
      <c r="F388" s="17" t="s">
        <v>8349</v>
      </c>
      <c r="G388" s="17" t="s">
        <v>151</v>
      </c>
      <c r="H388" s="17" t="s">
        <v>151</v>
      </c>
      <c r="I388" s="17" t="s">
        <v>151</v>
      </c>
      <c r="J388" s="17" t="s">
        <v>8347</v>
      </c>
      <c r="K388" s="17" t="s">
        <v>8350</v>
      </c>
      <c r="L388" s="17" t="s">
        <v>616</v>
      </c>
      <c r="M388" s="17" t="s">
        <v>834</v>
      </c>
      <c r="N388" s="17" t="s">
        <v>835</v>
      </c>
      <c r="O388" s="17" t="s">
        <v>8351</v>
      </c>
      <c r="P388" s="17" t="s">
        <v>973</v>
      </c>
      <c r="Q388" s="17" t="s">
        <v>8352</v>
      </c>
      <c r="R388" s="17" t="s">
        <v>8353</v>
      </c>
      <c r="S388" s="17" t="s">
        <v>162</v>
      </c>
      <c r="T388" s="24">
        <v>1.2</v>
      </c>
      <c r="U388" s="17" t="s">
        <v>163</v>
      </c>
      <c r="V388" s="17" t="s">
        <v>164</v>
      </c>
      <c r="W388" s="17" t="s">
        <v>165</v>
      </c>
      <c r="X388" s="15" t="s">
        <v>8354</v>
      </c>
      <c r="Y388" s="15" t="s">
        <v>8355</v>
      </c>
      <c r="Z388" s="27">
        <v>8</v>
      </c>
      <c r="AA388" s="17" t="s">
        <v>8356</v>
      </c>
      <c r="AB388" s="17" t="s">
        <v>151</v>
      </c>
      <c r="AC388" s="17" t="s">
        <v>151</v>
      </c>
      <c r="AD388" s="26">
        <v>2023</v>
      </c>
      <c r="AE388" s="17" t="s">
        <v>151</v>
      </c>
      <c r="AF388" s="22">
        <v>45565</v>
      </c>
      <c r="AG388" s="17" t="s">
        <v>151</v>
      </c>
      <c r="AH388" s="17" t="s">
        <v>151</v>
      </c>
      <c r="AI388" s="25" t="s">
        <v>151</v>
      </c>
      <c r="AJ388" s="19" t="s">
        <v>151</v>
      </c>
      <c r="AK388" s="25" t="s">
        <v>151</v>
      </c>
      <c r="AL388" s="25" t="s">
        <v>151</v>
      </c>
      <c r="AM388" s="25" t="s">
        <v>151</v>
      </c>
      <c r="AN388" s="25" t="s">
        <v>151</v>
      </c>
      <c r="AO388" s="25" t="s">
        <v>151</v>
      </c>
      <c r="AP388" s="25" t="s">
        <v>151</v>
      </c>
      <c r="AQ388" s="25" t="s">
        <v>151</v>
      </c>
      <c r="AR388" s="16" t="s">
        <v>151</v>
      </c>
      <c r="AS388" s="17" t="s">
        <v>8357</v>
      </c>
      <c r="AT388" s="17" t="s">
        <v>8358</v>
      </c>
      <c r="AU388" s="18">
        <v>8</v>
      </c>
      <c r="AV388" s="17" t="s">
        <v>151</v>
      </c>
      <c r="AW388" s="17" t="s">
        <v>151</v>
      </c>
      <c r="AX388" s="17" t="s">
        <v>151</v>
      </c>
      <c r="AY388" s="17" t="s">
        <v>8359</v>
      </c>
      <c r="AZ388" s="17" t="s">
        <v>151</v>
      </c>
      <c r="BA388" s="17" t="s">
        <v>151</v>
      </c>
      <c r="BB388" s="17" t="s">
        <v>151</v>
      </c>
      <c r="BC388" s="17" t="s">
        <v>151</v>
      </c>
      <c r="BD388" s="17" t="s">
        <v>8360</v>
      </c>
      <c r="BE388" s="17" t="s">
        <v>8361</v>
      </c>
      <c r="BF388" s="17" t="s">
        <v>282</v>
      </c>
      <c r="BG388" s="17" t="s">
        <v>151</v>
      </c>
      <c r="BH388" s="17" t="s">
        <v>8362</v>
      </c>
      <c r="BI388" s="17" t="s">
        <v>6124</v>
      </c>
      <c r="BJ388" s="17" t="s">
        <v>8363</v>
      </c>
      <c r="BK388" s="17" t="s">
        <v>151</v>
      </c>
      <c r="BL388" s="17" t="s">
        <v>6127</v>
      </c>
      <c r="BM388" s="17" t="s">
        <v>1388</v>
      </c>
      <c r="BN388" s="16" t="s">
        <v>8364</v>
      </c>
      <c r="BO388" s="17" t="s">
        <v>186</v>
      </c>
      <c r="BP388" s="16" t="s">
        <v>8362</v>
      </c>
      <c r="BQ388" s="16" t="s">
        <v>151</v>
      </c>
      <c r="BR388" s="17" t="s">
        <v>8365</v>
      </c>
      <c r="BS388" s="17" t="s">
        <v>187</v>
      </c>
      <c r="BT388" s="17" t="s">
        <v>188</v>
      </c>
      <c r="BU388" s="22" t="s">
        <v>151</v>
      </c>
      <c r="BV388" s="24" t="s">
        <v>151</v>
      </c>
      <c r="BW388" s="17" t="s">
        <v>151</v>
      </c>
      <c r="BX388" s="24" t="s">
        <v>151</v>
      </c>
      <c r="BY388" s="17" t="s">
        <v>151</v>
      </c>
      <c r="BZ388" s="17" t="s">
        <v>501</v>
      </c>
      <c r="CA388" s="17" t="s">
        <v>151</v>
      </c>
      <c r="CB388" s="17" t="s">
        <v>151</v>
      </c>
      <c r="CC388" s="17" t="s">
        <v>190</v>
      </c>
      <c r="CD388" s="17" t="s">
        <v>151</v>
      </c>
      <c r="CE388" s="17" t="s">
        <v>191</v>
      </c>
      <c r="CF388" s="22">
        <v>45539</v>
      </c>
      <c r="CG388" s="24">
        <v>1.2</v>
      </c>
      <c r="CH388" s="17" t="s">
        <v>192</v>
      </c>
      <c r="CI388" s="24" t="s">
        <v>151</v>
      </c>
      <c r="CJ388" s="17" t="s">
        <v>151</v>
      </c>
      <c r="CK388" s="16" t="s">
        <v>151</v>
      </c>
      <c r="CL388" s="17" t="s">
        <v>293</v>
      </c>
      <c r="CM388" s="17" t="s">
        <v>293</v>
      </c>
      <c r="CN388" s="17" t="s">
        <v>151</v>
      </c>
      <c r="CO388" s="17" t="s">
        <v>165</v>
      </c>
      <c r="CP388" s="22">
        <v>45539</v>
      </c>
      <c r="CQ388" s="24" t="s">
        <v>151</v>
      </c>
      <c r="CR388" s="17" t="s">
        <v>151</v>
      </c>
      <c r="CS388" s="17" t="s">
        <v>191</v>
      </c>
      <c r="CT388" s="16" t="s">
        <v>151</v>
      </c>
      <c r="CU388" s="17" t="s">
        <v>151</v>
      </c>
      <c r="CV388" s="19" t="s">
        <v>151</v>
      </c>
      <c r="CW388" s="19" t="s">
        <v>151</v>
      </c>
      <c r="CX388" s="17" t="s">
        <v>151</v>
      </c>
      <c r="CY388" s="19" t="s">
        <v>151</v>
      </c>
      <c r="CZ388" s="19" t="s">
        <v>151</v>
      </c>
      <c r="DA388" s="24" t="s">
        <v>151</v>
      </c>
      <c r="DB388" s="22" t="s">
        <v>151</v>
      </c>
      <c r="DC388" s="17" t="s">
        <v>151</v>
      </c>
      <c r="DD388" s="16" t="s">
        <v>151</v>
      </c>
      <c r="DE388" s="19">
        <v>6.37</v>
      </c>
      <c r="DF388" s="21">
        <v>100</v>
      </c>
      <c r="DG388" s="19">
        <v>0</v>
      </c>
      <c r="DH388" s="19">
        <v>0</v>
      </c>
      <c r="DI388" s="19" t="s">
        <v>151</v>
      </c>
      <c r="DJ388" s="21" t="s">
        <v>151</v>
      </c>
      <c r="DK388" s="19" t="s">
        <v>151</v>
      </c>
      <c r="DL388" s="21" t="s">
        <v>151</v>
      </c>
      <c r="DM388" s="19" t="s">
        <v>151</v>
      </c>
      <c r="DN388" s="21" t="s">
        <v>151</v>
      </c>
      <c r="DO388" s="23">
        <v>0.62</v>
      </c>
      <c r="DP388" s="21">
        <v>38</v>
      </c>
      <c r="DQ388" s="23">
        <v>0</v>
      </c>
      <c r="DR388" s="19">
        <v>0</v>
      </c>
      <c r="DS388" s="23" t="s">
        <v>151</v>
      </c>
      <c r="DT388" s="21" t="s">
        <v>151</v>
      </c>
      <c r="DU388" s="23" t="s">
        <v>151</v>
      </c>
      <c r="DV388" s="21" t="s">
        <v>151</v>
      </c>
      <c r="DW388" s="23" t="s">
        <v>151</v>
      </c>
      <c r="DX388" s="21" t="s">
        <v>151</v>
      </c>
      <c r="DY388" s="18" t="s">
        <v>151</v>
      </c>
      <c r="DZ388" s="22" t="s">
        <v>151</v>
      </c>
      <c r="EA388" s="22" t="s">
        <v>151</v>
      </c>
      <c r="EB388" s="21">
        <v>385</v>
      </c>
      <c r="EC388" s="20">
        <v>7</v>
      </c>
      <c r="ED388" s="19">
        <v>1.85</v>
      </c>
      <c r="EE388" s="21" t="s">
        <v>151</v>
      </c>
      <c r="EF388" s="20" t="s">
        <v>151</v>
      </c>
      <c r="EG388" s="19" t="s">
        <v>151</v>
      </c>
      <c r="EH388" s="16" t="s">
        <v>198</v>
      </c>
      <c r="EI388" s="17" t="s">
        <v>151</v>
      </c>
      <c r="EJ388" s="17" t="s">
        <v>151</v>
      </c>
      <c r="EK388" s="18" t="s">
        <v>151</v>
      </c>
      <c r="EL388" s="18" t="s">
        <v>151</v>
      </c>
      <c r="EM388" s="18" t="s">
        <v>151</v>
      </c>
      <c r="EN388" s="18" t="s">
        <v>151</v>
      </c>
      <c r="EO388" s="18" t="s">
        <v>151</v>
      </c>
      <c r="EP388" s="17" t="s">
        <v>151</v>
      </c>
      <c r="EQ388" s="16" t="s">
        <v>151</v>
      </c>
      <c r="ER388" s="16" t="s">
        <v>151</v>
      </c>
      <c r="ES388" s="3">
        <f>HYPERLINK("https://my.pitchbook.com?c=537944-50","View Company Online")</f>
      </c>
    </row>
    <row r="389">
      <c r="A389" s="30" t="s">
        <v>8366</v>
      </c>
      <c r="B389" s="30" t="s">
        <v>8367</v>
      </c>
      <c r="C389" s="31" t="s">
        <v>151</v>
      </c>
      <c r="D389" s="30" t="s">
        <v>151</v>
      </c>
      <c r="E389" s="30" t="s">
        <v>151</v>
      </c>
      <c r="F389" s="30" t="s">
        <v>8368</v>
      </c>
      <c r="G389" s="30" t="s">
        <v>151</v>
      </c>
      <c r="H389" s="30" t="s">
        <v>151</v>
      </c>
      <c r="I389" s="30" t="s">
        <v>8369</v>
      </c>
      <c r="J389" s="30" t="s">
        <v>8366</v>
      </c>
      <c r="K389" s="30" t="s">
        <v>8370</v>
      </c>
      <c r="L389" s="30" t="s">
        <v>616</v>
      </c>
      <c r="M389" s="30" t="s">
        <v>834</v>
      </c>
      <c r="N389" s="30" t="s">
        <v>3897</v>
      </c>
      <c r="O389" s="30" t="s">
        <v>8371</v>
      </c>
      <c r="P389" s="30" t="s">
        <v>8372</v>
      </c>
      <c r="Q389" s="30" t="s">
        <v>8373</v>
      </c>
      <c r="R389" s="30" t="s">
        <v>151</v>
      </c>
      <c r="S389" s="30" t="s">
        <v>162</v>
      </c>
      <c r="T389" s="37">
        <v>0.27</v>
      </c>
      <c r="U389" s="30" t="s">
        <v>163</v>
      </c>
      <c r="V389" s="30" t="s">
        <v>164</v>
      </c>
      <c r="W389" s="30" t="s">
        <v>165</v>
      </c>
      <c r="X389" s="28" t="s">
        <v>8374</v>
      </c>
      <c r="Y389" s="28" t="s">
        <v>8375</v>
      </c>
      <c r="Z389" s="40">
        <v>6</v>
      </c>
      <c r="AA389" s="30" t="s">
        <v>8376</v>
      </c>
      <c r="AB389" s="30" t="s">
        <v>151</v>
      </c>
      <c r="AC389" s="30" t="s">
        <v>151</v>
      </c>
      <c r="AD389" s="39">
        <v>2017</v>
      </c>
      <c r="AE389" s="30" t="s">
        <v>151</v>
      </c>
      <c r="AF389" s="35">
        <v>45420</v>
      </c>
      <c r="AG389" s="30" t="s">
        <v>151</v>
      </c>
      <c r="AH389" s="30" t="s">
        <v>151</v>
      </c>
      <c r="AI389" s="38" t="s">
        <v>151</v>
      </c>
      <c r="AJ389" s="32" t="s">
        <v>151</v>
      </c>
      <c r="AK389" s="38" t="s">
        <v>151</v>
      </c>
      <c r="AL389" s="38" t="s">
        <v>151</v>
      </c>
      <c r="AM389" s="38" t="s">
        <v>151</v>
      </c>
      <c r="AN389" s="38" t="s">
        <v>151</v>
      </c>
      <c r="AO389" s="38" t="s">
        <v>151</v>
      </c>
      <c r="AP389" s="38" t="s">
        <v>151</v>
      </c>
      <c r="AQ389" s="38" t="s">
        <v>151</v>
      </c>
      <c r="AR389" s="29" t="s">
        <v>151</v>
      </c>
      <c r="AS389" s="30" t="s">
        <v>8377</v>
      </c>
      <c r="AT389" s="30" t="s">
        <v>8378</v>
      </c>
      <c r="AU389" s="31">
        <v>4</v>
      </c>
      <c r="AV389" s="30" t="s">
        <v>151</v>
      </c>
      <c r="AW389" s="30" t="s">
        <v>151</v>
      </c>
      <c r="AX389" s="30" t="s">
        <v>151</v>
      </c>
      <c r="AY389" s="30" t="s">
        <v>8379</v>
      </c>
      <c r="AZ389" s="30" t="s">
        <v>151</v>
      </c>
      <c r="BA389" s="30" t="s">
        <v>151</v>
      </c>
      <c r="BB389" s="30" t="s">
        <v>8380</v>
      </c>
      <c r="BC389" s="30" t="s">
        <v>3711</v>
      </c>
      <c r="BD389" s="30" t="s">
        <v>8381</v>
      </c>
      <c r="BE389" s="30" t="s">
        <v>8382</v>
      </c>
      <c r="BF389" s="30" t="s">
        <v>8383</v>
      </c>
      <c r="BG389" s="30" t="s">
        <v>8384</v>
      </c>
      <c r="BH389" s="30" t="s">
        <v>8385</v>
      </c>
      <c r="BI389" s="30" t="s">
        <v>8386</v>
      </c>
      <c r="BJ389" s="30" t="s">
        <v>8387</v>
      </c>
      <c r="BK389" s="30" t="s">
        <v>151</v>
      </c>
      <c r="BL389" s="30" t="s">
        <v>8388</v>
      </c>
      <c r="BM389" s="30" t="s">
        <v>3717</v>
      </c>
      <c r="BN389" s="29" t="s">
        <v>8389</v>
      </c>
      <c r="BO389" s="30" t="s">
        <v>186</v>
      </c>
      <c r="BP389" s="29" t="s">
        <v>8385</v>
      </c>
      <c r="BQ389" s="29" t="s">
        <v>151</v>
      </c>
      <c r="BR389" s="30" t="s">
        <v>8390</v>
      </c>
      <c r="BS389" s="30" t="s">
        <v>187</v>
      </c>
      <c r="BT389" s="30" t="s">
        <v>188</v>
      </c>
      <c r="BU389" s="35">
        <v>44406</v>
      </c>
      <c r="BV389" s="37">
        <v>0.12</v>
      </c>
      <c r="BW389" s="30" t="s">
        <v>192</v>
      </c>
      <c r="BX389" s="37">
        <v>1.37</v>
      </c>
      <c r="BY389" s="30" t="s">
        <v>192</v>
      </c>
      <c r="BZ389" s="30" t="s">
        <v>231</v>
      </c>
      <c r="CA389" s="30" t="s">
        <v>151</v>
      </c>
      <c r="CB389" s="30" t="s">
        <v>151</v>
      </c>
      <c r="CC389" s="30" t="s">
        <v>165</v>
      </c>
      <c r="CD389" s="30" t="s">
        <v>151</v>
      </c>
      <c r="CE389" s="30" t="s">
        <v>191</v>
      </c>
      <c r="CF389" s="35">
        <v>45418</v>
      </c>
      <c r="CG389" s="37" t="s">
        <v>151</v>
      </c>
      <c r="CH389" s="30" t="s">
        <v>151</v>
      </c>
      <c r="CI389" s="37" t="s">
        <v>151</v>
      </c>
      <c r="CJ389" s="30" t="s">
        <v>151</v>
      </c>
      <c r="CK389" s="29" t="s">
        <v>151</v>
      </c>
      <c r="CL389" s="30" t="s">
        <v>189</v>
      </c>
      <c r="CM389" s="30" t="s">
        <v>151</v>
      </c>
      <c r="CN389" s="30" t="s">
        <v>151</v>
      </c>
      <c r="CO389" s="30" t="s">
        <v>190</v>
      </c>
      <c r="CP389" s="35">
        <v>45418</v>
      </c>
      <c r="CQ389" s="37" t="s">
        <v>151</v>
      </c>
      <c r="CR389" s="30" t="s">
        <v>151</v>
      </c>
      <c r="CS389" s="30" t="s">
        <v>191</v>
      </c>
      <c r="CT389" s="29">
        <v>29</v>
      </c>
      <c r="CU389" s="30" t="s">
        <v>263</v>
      </c>
      <c r="CV389" s="32">
        <v>41</v>
      </c>
      <c r="CW389" s="32">
        <v>59</v>
      </c>
      <c r="CX389" s="30" t="s">
        <v>263</v>
      </c>
      <c r="CY389" s="32">
        <v>1</v>
      </c>
      <c r="CZ389" s="32">
        <v>40</v>
      </c>
      <c r="DA389" s="37">
        <v>1.37</v>
      </c>
      <c r="DB389" s="35">
        <v>44406</v>
      </c>
      <c r="DC389" s="30" t="s">
        <v>231</v>
      </c>
      <c r="DD389" s="29" t="s">
        <v>151</v>
      </c>
      <c r="DE389" s="32">
        <v>0</v>
      </c>
      <c r="DF389" s="34">
        <v>11</v>
      </c>
      <c r="DG389" s="32">
        <v>0</v>
      </c>
      <c r="DH389" s="32">
        <v>0</v>
      </c>
      <c r="DI389" s="32">
        <v>0</v>
      </c>
      <c r="DJ389" s="34">
        <v>10</v>
      </c>
      <c r="DK389" s="32" t="s">
        <v>151</v>
      </c>
      <c r="DL389" s="34" t="s">
        <v>151</v>
      </c>
      <c r="DM389" s="32">
        <v>0</v>
      </c>
      <c r="DN389" s="34">
        <v>10</v>
      </c>
      <c r="DO389" s="36">
        <v>1.7</v>
      </c>
      <c r="DP389" s="34">
        <v>63</v>
      </c>
      <c r="DQ389" s="36">
        <v>0</v>
      </c>
      <c r="DR389" s="32">
        <v>0</v>
      </c>
      <c r="DS389" s="36">
        <v>2.95</v>
      </c>
      <c r="DT389" s="34">
        <v>74</v>
      </c>
      <c r="DU389" s="36" t="s">
        <v>151</v>
      </c>
      <c r="DV389" s="34" t="s">
        <v>151</v>
      </c>
      <c r="DW389" s="36">
        <v>2.95</v>
      </c>
      <c r="DX389" s="34">
        <v>73</v>
      </c>
      <c r="DY389" s="31" t="s">
        <v>151</v>
      </c>
      <c r="DZ389" s="35" t="s">
        <v>151</v>
      </c>
      <c r="EA389" s="35" t="s">
        <v>151</v>
      </c>
      <c r="EB389" s="34">
        <v>11</v>
      </c>
      <c r="EC389" s="33">
        <v>-55</v>
      </c>
      <c r="ED389" s="32">
        <v>-83.33</v>
      </c>
      <c r="EE389" s="34">
        <v>56</v>
      </c>
      <c r="EF389" s="33">
        <v>0</v>
      </c>
      <c r="EG389" s="32">
        <v>0</v>
      </c>
      <c r="EH389" s="29" t="s">
        <v>198</v>
      </c>
      <c r="EI389" s="30" t="s">
        <v>151</v>
      </c>
      <c r="EJ389" s="30" t="s">
        <v>151</v>
      </c>
      <c r="EK389" s="31" t="s">
        <v>151</v>
      </c>
      <c r="EL389" s="31" t="s">
        <v>151</v>
      </c>
      <c r="EM389" s="31" t="s">
        <v>151</v>
      </c>
      <c r="EN389" s="31" t="s">
        <v>151</v>
      </c>
      <c r="EO389" s="31" t="s">
        <v>151</v>
      </c>
      <c r="EP389" s="30" t="s">
        <v>151</v>
      </c>
      <c r="EQ389" s="29" t="s">
        <v>151</v>
      </c>
      <c r="ER389" s="29" t="s">
        <v>151</v>
      </c>
      <c r="ES389" s="4">
        <f>HYPERLINK("https://my.pitchbook.com?c=470920-42","View Company Online")</f>
      </c>
    </row>
    <row r="390">
      <c r="A390" s="17" t="s">
        <v>8391</v>
      </c>
      <c r="B390" s="17" t="s">
        <v>8392</v>
      </c>
      <c r="C390" s="18" t="s">
        <v>151</v>
      </c>
      <c r="D390" s="17" t="s">
        <v>151</v>
      </c>
      <c r="E390" s="17" t="s">
        <v>151</v>
      </c>
      <c r="F390" s="17" t="s">
        <v>8393</v>
      </c>
      <c r="G390" s="17" t="s">
        <v>151</v>
      </c>
      <c r="H390" s="17" t="s">
        <v>151</v>
      </c>
      <c r="I390" s="17" t="s">
        <v>151</v>
      </c>
      <c r="J390" s="17" t="s">
        <v>8391</v>
      </c>
      <c r="K390" s="17" t="s">
        <v>8394</v>
      </c>
      <c r="L390" s="17" t="s">
        <v>205</v>
      </c>
      <c r="M390" s="17" t="s">
        <v>206</v>
      </c>
      <c r="N390" s="17" t="s">
        <v>1940</v>
      </c>
      <c r="O390" s="17" t="s">
        <v>1941</v>
      </c>
      <c r="P390" s="17" t="s">
        <v>2174</v>
      </c>
      <c r="Q390" s="17" t="s">
        <v>8395</v>
      </c>
      <c r="R390" s="17" t="s">
        <v>151</v>
      </c>
      <c r="S390" s="17" t="s">
        <v>162</v>
      </c>
      <c r="T390" s="24">
        <v>0.76</v>
      </c>
      <c r="U390" s="17" t="s">
        <v>163</v>
      </c>
      <c r="V390" s="17" t="s">
        <v>164</v>
      </c>
      <c r="W390" s="17" t="s">
        <v>165</v>
      </c>
      <c r="X390" s="15" t="s">
        <v>8396</v>
      </c>
      <c r="Y390" s="15" t="s">
        <v>8397</v>
      </c>
      <c r="Z390" s="27">
        <v>9</v>
      </c>
      <c r="AA390" s="17" t="s">
        <v>8398</v>
      </c>
      <c r="AB390" s="17" t="s">
        <v>151</v>
      </c>
      <c r="AC390" s="17" t="s">
        <v>151</v>
      </c>
      <c r="AD390" s="26">
        <v>2018</v>
      </c>
      <c r="AE390" s="17" t="s">
        <v>151</v>
      </c>
      <c r="AF390" s="22">
        <v>45512</v>
      </c>
      <c r="AG390" s="17" t="s">
        <v>151</v>
      </c>
      <c r="AH390" s="17" t="s">
        <v>151</v>
      </c>
      <c r="AI390" s="25">
        <v>0.03</v>
      </c>
      <c r="AJ390" s="19" t="s">
        <v>151</v>
      </c>
      <c r="AK390" s="25" t="s">
        <v>151</v>
      </c>
      <c r="AL390" s="25" t="s">
        <v>151</v>
      </c>
      <c r="AM390" s="25" t="s">
        <v>151</v>
      </c>
      <c r="AN390" s="25" t="s">
        <v>151</v>
      </c>
      <c r="AO390" s="25" t="s">
        <v>151</v>
      </c>
      <c r="AP390" s="25" t="s">
        <v>151</v>
      </c>
      <c r="AQ390" s="25" t="s">
        <v>151</v>
      </c>
      <c r="AR390" s="16" t="s">
        <v>3435</v>
      </c>
      <c r="AS390" s="17" t="s">
        <v>8399</v>
      </c>
      <c r="AT390" s="17" t="s">
        <v>8400</v>
      </c>
      <c r="AU390" s="18">
        <v>2</v>
      </c>
      <c r="AV390" s="17" t="s">
        <v>151</v>
      </c>
      <c r="AW390" s="17" t="s">
        <v>151</v>
      </c>
      <c r="AX390" s="17" t="s">
        <v>151</v>
      </c>
      <c r="AY390" s="17" t="s">
        <v>8401</v>
      </c>
      <c r="AZ390" s="17" t="s">
        <v>151</v>
      </c>
      <c r="BA390" s="17" t="s">
        <v>151</v>
      </c>
      <c r="BB390" s="17" t="s">
        <v>151</v>
      </c>
      <c r="BC390" s="17" t="s">
        <v>151</v>
      </c>
      <c r="BD390" s="17" t="s">
        <v>8402</v>
      </c>
      <c r="BE390" s="17" t="s">
        <v>8403</v>
      </c>
      <c r="BF390" s="17" t="s">
        <v>6269</v>
      </c>
      <c r="BG390" s="17" t="s">
        <v>8404</v>
      </c>
      <c r="BH390" s="17" t="s">
        <v>8405</v>
      </c>
      <c r="BI390" s="17" t="s">
        <v>8406</v>
      </c>
      <c r="BJ390" s="17" t="s">
        <v>8407</v>
      </c>
      <c r="BK390" s="17" t="s">
        <v>151</v>
      </c>
      <c r="BL390" s="17" t="s">
        <v>8408</v>
      </c>
      <c r="BM390" s="17" t="s">
        <v>855</v>
      </c>
      <c r="BN390" s="16" t="s">
        <v>8409</v>
      </c>
      <c r="BO390" s="17" t="s">
        <v>186</v>
      </c>
      <c r="BP390" s="16" t="s">
        <v>8405</v>
      </c>
      <c r="BQ390" s="16" t="s">
        <v>151</v>
      </c>
      <c r="BR390" s="17" t="s">
        <v>151</v>
      </c>
      <c r="BS390" s="17" t="s">
        <v>187</v>
      </c>
      <c r="BT390" s="17" t="s">
        <v>188</v>
      </c>
      <c r="BU390" s="22" t="s">
        <v>151</v>
      </c>
      <c r="BV390" s="24">
        <v>0.26</v>
      </c>
      <c r="BW390" s="17" t="s">
        <v>192</v>
      </c>
      <c r="BX390" s="24" t="s">
        <v>151</v>
      </c>
      <c r="BY390" s="17" t="s">
        <v>151</v>
      </c>
      <c r="BZ390" s="17" t="s">
        <v>1075</v>
      </c>
      <c r="CA390" s="17" t="s">
        <v>1075</v>
      </c>
      <c r="CB390" s="17" t="s">
        <v>151</v>
      </c>
      <c r="CC390" s="17" t="s">
        <v>585</v>
      </c>
      <c r="CD390" s="17" t="s">
        <v>151</v>
      </c>
      <c r="CE390" s="17" t="s">
        <v>191</v>
      </c>
      <c r="CF390" s="22">
        <v>44113</v>
      </c>
      <c r="CG390" s="24">
        <v>0.5</v>
      </c>
      <c r="CH390" s="17" t="s">
        <v>192</v>
      </c>
      <c r="CI390" s="24" t="s">
        <v>151</v>
      </c>
      <c r="CJ390" s="17" t="s">
        <v>151</v>
      </c>
      <c r="CK390" s="16" t="s">
        <v>151</v>
      </c>
      <c r="CL390" s="17" t="s">
        <v>1075</v>
      </c>
      <c r="CM390" s="17" t="s">
        <v>1075</v>
      </c>
      <c r="CN390" s="17" t="s">
        <v>151</v>
      </c>
      <c r="CO390" s="17" t="s">
        <v>585</v>
      </c>
      <c r="CP390" s="22">
        <v>44113</v>
      </c>
      <c r="CQ390" s="24" t="s">
        <v>151</v>
      </c>
      <c r="CR390" s="17" t="s">
        <v>151</v>
      </c>
      <c r="CS390" s="17" t="s">
        <v>1887</v>
      </c>
      <c r="CT390" s="16">
        <v>4</v>
      </c>
      <c r="CU390" s="17" t="s">
        <v>263</v>
      </c>
      <c r="CV390" s="19">
        <v>5</v>
      </c>
      <c r="CW390" s="19">
        <v>95</v>
      </c>
      <c r="CX390" s="17" t="s">
        <v>263</v>
      </c>
      <c r="CY390" s="19">
        <v>1</v>
      </c>
      <c r="CZ390" s="19">
        <v>4</v>
      </c>
      <c r="DA390" s="24">
        <v>3</v>
      </c>
      <c r="DB390" s="22">
        <v>44095</v>
      </c>
      <c r="DC390" s="17" t="s">
        <v>293</v>
      </c>
      <c r="DD390" s="16" t="s">
        <v>151</v>
      </c>
      <c r="DE390" s="19">
        <v>3.7</v>
      </c>
      <c r="DF390" s="21">
        <v>100</v>
      </c>
      <c r="DG390" s="19">
        <v>0</v>
      </c>
      <c r="DH390" s="19">
        <v>0</v>
      </c>
      <c r="DI390" s="19">
        <v>3.7</v>
      </c>
      <c r="DJ390" s="21">
        <v>100</v>
      </c>
      <c r="DK390" s="19" t="s">
        <v>151</v>
      </c>
      <c r="DL390" s="21" t="s">
        <v>151</v>
      </c>
      <c r="DM390" s="19">
        <v>3.7</v>
      </c>
      <c r="DN390" s="21">
        <v>100</v>
      </c>
      <c r="DO390" s="23">
        <v>7.53</v>
      </c>
      <c r="DP390" s="21">
        <v>87</v>
      </c>
      <c r="DQ390" s="23">
        <v>0</v>
      </c>
      <c r="DR390" s="19">
        <v>0</v>
      </c>
      <c r="DS390" s="23">
        <v>7.53</v>
      </c>
      <c r="DT390" s="21">
        <v>87</v>
      </c>
      <c r="DU390" s="23" t="s">
        <v>151</v>
      </c>
      <c r="DV390" s="21" t="s">
        <v>151</v>
      </c>
      <c r="DW390" s="23">
        <v>7.53</v>
      </c>
      <c r="DX390" s="21">
        <v>87</v>
      </c>
      <c r="DY390" s="18" t="s">
        <v>151</v>
      </c>
      <c r="DZ390" s="22" t="s">
        <v>151</v>
      </c>
      <c r="EA390" s="22" t="s">
        <v>151</v>
      </c>
      <c r="EB390" s="21" t="s">
        <v>151</v>
      </c>
      <c r="EC390" s="20" t="s">
        <v>151</v>
      </c>
      <c r="ED390" s="19" t="s">
        <v>151</v>
      </c>
      <c r="EE390" s="21">
        <v>143</v>
      </c>
      <c r="EF390" s="20">
        <v>4</v>
      </c>
      <c r="EG390" s="19">
        <v>2.88</v>
      </c>
      <c r="EH390" s="16" t="s">
        <v>198</v>
      </c>
      <c r="EI390" s="17" t="s">
        <v>151</v>
      </c>
      <c r="EJ390" s="17" t="s">
        <v>151</v>
      </c>
      <c r="EK390" s="18" t="s">
        <v>151</v>
      </c>
      <c r="EL390" s="18" t="s">
        <v>151</v>
      </c>
      <c r="EM390" s="18" t="s">
        <v>151</v>
      </c>
      <c r="EN390" s="18" t="s">
        <v>151</v>
      </c>
      <c r="EO390" s="18" t="s">
        <v>151</v>
      </c>
      <c r="EP390" s="17" t="s">
        <v>151</v>
      </c>
      <c r="EQ390" s="16" t="s">
        <v>151</v>
      </c>
      <c r="ER390" s="16" t="s">
        <v>151</v>
      </c>
      <c r="ES390" s="3">
        <f>HYPERLINK("https://my.pitchbook.com?c=431616-34","View Company Online")</f>
      </c>
    </row>
    <row r="391">
      <c r="A391" s="30" t="s">
        <v>8410</v>
      </c>
      <c r="B391" s="30" t="s">
        <v>8411</v>
      </c>
      <c r="C391" s="31" t="s">
        <v>151</v>
      </c>
      <c r="D391" s="30" t="s">
        <v>151</v>
      </c>
      <c r="E391" s="30" t="s">
        <v>151</v>
      </c>
      <c r="F391" s="30" t="s">
        <v>8412</v>
      </c>
      <c r="G391" s="30" t="s">
        <v>151</v>
      </c>
      <c r="H391" s="30" t="s">
        <v>151</v>
      </c>
      <c r="I391" s="30" t="s">
        <v>151</v>
      </c>
      <c r="J391" s="30" t="s">
        <v>8410</v>
      </c>
      <c r="K391" s="30" t="s">
        <v>8413</v>
      </c>
      <c r="L391" s="30" t="s">
        <v>205</v>
      </c>
      <c r="M391" s="30" t="s">
        <v>206</v>
      </c>
      <c r="N391" s="30" t="s">
        <v>1082</v>
      </c>
      <c r="O391" s="30" t="s">
        <v>8414</v>
      </c>
      <c r="P391" s="30" t="s">
        <v>8415</v>
      </c>
      <c r="Q391" s="30" t="s">
        <v>8416</v>
      </c>
      <c r="R391" s="30" t="s">
        <v>151</v>
      </c>
      <c r="S391" s="30" t="s">
        <v>162</v>
      </c>
      <c r="T391" s="37">
        <v>4.96</v>
      </c>
      <c r="U391" s="30" t="s">
        <v>163</v>
      </c>
      <c r="V391" s="30" t="s">
        <v>164</v>
      </c>
      <c r="W391" s="30" t="s">
        <v>165</v>
      </c>
      <c r="X391" s="28" t="s">
        <v>8417</v>
      </c>
      <c r="Y391" s="28" t="s">
        <v>8418</v>
      </c>
      <c r="Z391" s="40">
        <v>9</v>
      </c>
      <c r="AA391" s="30" t="s">
        <v>7329</v>
      </c>
      <c r="AB391" s="30" t="s">
        <v>151</v>
      </c>
      <c r="AC391" s="30" t="s">
        <v>151</v>
      </c>
      <c r="AD391" s="39">
        <v>2024</v>
      </c>
      <c r="AE391" s="30" t="s">
        <v>151</v>
      </c>
      <c r="AF391" s="35">
        <v>45594</v>
      </c>
      <c r="AG391" s="30" t="s">
        <v>151</v>
      </c>
      <c r="AH391" s="30" t="s">
        <v>151</v>
      </c>
      <c r="AI391" s="38" t="s">
        <v>151</v>
      </c>
      <c r="AJ391" s="32" t="s">
        <v>151</v>
      </c>
      <c r="AK391" s="38" t="s">
        <v>151</v>
      </c>
      <c r="AL391" s="38" t="s">
        <v>151</v>
      </c>
      <c r="AM391" s="38" t="s">
        <v>151</v>
      </c>
      <c r="AN391" s="38" t="s">
        <v>151</v>
      </c>
      <c r="AO391" s="38" t="s">
        <v>151</v>
      </c>
      <c r="AP391" s="38" t="s">
        <v>151</v>
      </c>
      <c r="AQ391" s="38" t="s">
        <v>151</v>
      </c>
      <c r="AR391" s="29" t="s">
        <v>151</v>
      </c>
      <c r="AS391" s="30" t="s">
        <v>8419</v>
      </c>
      <c r="AT391" s="30" t="s">
        <v>8420</v>
      </c>
      <c r="AU391" s="31">
        <v>13</v>
      </c>
      <c r="AV391" s="30" t="s">
        <v>151</v>
      </c>
      <c r="AW391" s="30" t="s">
        <v>151</v>
      </c>
      <c r="AX391" s="30" t="s">
        <v>151</v>
      </c>
      <c r="AY391" s="30" t="s">
        <v>8421</v>
      </c>
      <c r="AZ391" s="30" t="s">
        <v>151</v>
      </c>
      <c r="BA391" s="30" t="s">
        <v>151</v>
      </c>
      <c r="BB391" s="30" t="s">
        <v>151</v>
      </c>
      <c r="BC391" s="30" t="s">
        <v>374</v>
      </c>
      <c r="BD391" s="30" t="s">
        <v>8422</v>
      </c>
      <c r="BE391" s="30" t="s">
        <v>8423</v>
      </c>
      <c r="BF391" s="30" t="s">
        <v>493</v>
      </c>
      <c r="BG391" s="30" t="s">
        <v>151</v>
      </c>
      <c r="BH391" s="30" t="s">
        <v>8424</v>
      </c>
      <c r="BI391" s="30" t="s">
        <v>285</v>
      </c>
      <c r="BJ391" s="30" t="s">
        <v>8425</v>
      </c>
      <c r="BK391" s="30" t="s">
        <v>8426</v>
      </c>
      <c r="BL391" s="30" t="s">
        <v>288</v>
      </c>
      <c r="BM391" s="30" t="s">
        <v>289</v>
      </c>
      <c r="BN391" s="29" t="s">
        <v>8427</v>
      </c>
      <c r="BO391" s="30" t="s">
        <v>186</v>
      </c>
      <c r="BP391" s="29" t="s">
        <v>8424</v>
      </c>
      <c r="BQ391" s="29" t="s">
        <v>151</v>
      </c>
      <c r="BR391" s="30" t="s">
        <v>8428</v>
      </c>
      <c r="BS391" s="30" t="s">
        <v>187</v>
      </c>
      <c r="BT391" s="30" t="s">
        <v>188</v>
      </c>
      <c r="BU391" s="35">
        <v>45524</v>
      </c>
      <c r="BV391" s="37">
        <v>4.96</v>
      </c>
      <c r="BW391" s="30" t="s">
        <v>192</v>
      </c>
      <c r="BX391" s="37">
        <v>14.96</v>
      </c>
      <c r="BY391" s="30" t="s">
        <v>192</v>
      </c>
      <c r="BZ391" s="30" t="s">
        <v>293</v>
      </c>
      <c r="CA391" s="30" t="s">
        <v>293</v>
      </c>
      <c r="CB391" s="30" t="s">
        <v>151</v>
      </c>
      <c r="CC391" s="30" t="s">
        <v>165</v>
      </c>
      <c r="CD391" s="30" t="s">
        <v>151</v>
      </c>
      <c r="CE391" s="30" t="s">
        <v>191</v>
      </c>
      <c r="CF391" s="35">
        <v>45524</v>
      </c>
      <c r="CG391" s="37">
        <v>4.96</v>
      </c>
      <c r="CH391" s="30" t="s">
        <v>192</v>
      </c>
      <c r="CI391" s="37">
        <v>14.96</v>
      </c>
      <c r="CJ391" s="30" t="s">
        <v>192</v>
      </c>
      <c r="CK391" s="29" t="s">
        <v>151</v>
      </c>
      <c r="CL391" s="30" t="s">
        <v>293</v>
      </c>
      <c r="CM391" s="30" t="s">
        <v>293</v>
      </c>
      <c r="CN391" s="30" t="s">
        <v>151</v>
      </c>
      <c r="CO391" s="30" t="s">
        <v>165</v>
      </c>
      <c r="CP391" s="35">
        <v>45524</v>
      </c>
      <c r="CQ391" s="37" t="s">
        <v>151</v>
      </c>
      <c r="CR391" s="30" t="s">
        <v>151</v>
      </c>
      <c r="CS391" s="30" t="s">
        <v>191</v>
      </c>
      <c r="CT391" s="29" t="s">
        <v>151</v>
      </c>
      <c r="CU391" s="30" t="s">
        <v>151</v>
      </c>
      <c r="CV391" s="32" t="s">
        <v>151</v>
      </c>
      <c r="CW391" s="32" t="s">
        <v>151</v>
      </c>
      <c r="CX391" s="30" t="s">
        <v>151</v>
      </c>
      <c r="CY391" s="32" t="s">
        <v>151</v>
      </c>
      <c r="CZ391" s="32" t="s">
        <v>151</v>
      </c>
      <c r="DA391" s="37">
        <v>14.96</v>
      </c>
      <c r="DB391" s="35">
        <v>45524</v>
      </c>
      <c r="DC391" s="30" t="s">
        <v>293</v>
      </c>
      <c r="DD391" s="29" t="s">
        <v>151</v>
      </c>
      <c r="DE391" s="32" t="s">
        <v>151</v>
      </c>
      <c r="DF391" s="34" t="s">
        <v>151</v>
      </c>
      <c r="DG391" s="32" t="s">
        <v>151</v>
      </c>
      <c r="DH391" s="32" t="s">
        <v>151</v>
      </c>
      <c r="DI391" s="32" t="s">
        <v>151</v>
      </c>
      <c r="DJ391" s="34" t="s">
        <v>151</v>
      </c>
      <c r="DK391" s="32" t="s">
        <v>151</v>
      </c>
      <c r="DL391" s="34" t="s">
        <v>151</v>
      </c>
      <c r="DM391" s="32" t="s">
        <v>151</v>
      </c>
      <c r="DN391" s="34" t="s">
        <v>151</v>
      </c>
      <c r="DO391" s="36" t="s">
        <v>151</v>
      </c>
      <c r="DP391" s="34" t="s">
        <v>151</v>
      </c>
      <c r="DQ391" s="36" t="s">
        <v>151</v>
      </c>
      <c r="DR391" s="32" t="s">
        <v>151</v>
      </c>
      <c r="DS391" s="36" t="s">
        <v>151</v>
      </c>
      <c r="DT391" s="34" t="s">
        <v>151</v>
      </c>
      <c r="DU391" s="36" t="s">
        <v>151</v>
      </c>
      <c r="DV391" s="34" t="s">
        <v>151</v>
      </c>
      <c r="DW391" s="36" t="s">
        <v>151</v>
      </c>
      <c r="DX391" s="34" t="s">
        <v>151</v>
      </c>
      <c r="DY391" s="31" t="s">
        <v>151</v>
      </c>
      <c r="DZ391" s="35" t="s">
        <v>151</v>
      </c>
      <c r="EA391" s="35" t="s">
        <v>151</v>
      </c>
      <c r="EB391" s="34" t="s">
        <v>151</v>
      </c>
      <c r="EC391" s="33" t="s">
        <v>151</v>
      </c>
      <c r="ED391" s="32" t="s">
        <v>151</v>
      </c>
      <c r="EE391" s="34" t="s">
        <v>151</v>
      </c>
      <c r="EF391" s="33" t="s">
        <v>151</v>
      </c>
      <c r="EG391" s="32" t="s">
        <v>151</v>
      </c>
      <c r="EH391" s="29" t="s">
        <v>198</v>
      </c>
      <c r="EI391" s="30" t="s">
        <v>151</v>
      </c>
      <c r="EJ391" s="30" t="s">
        <v>151</v>
      </c>
      <c r="EK391" s="31" t="s">
        <v>151</v>
      </c>
      <c r="EL391" s="31" t="s">
        <v>151</v>
      </c>
      <c r="EM391" s="31" t="s">
        <v>151</v>
      </c>
      <c r="EN391" s="31" t="s">
        <v>151</v>
      </c>
      <c r="EO391" s="31" t="s">
        <v>151</v>
      </c>
      <c r="EP391" s="30" t="s">
        <v>151</v>
      </c>
      <c r="EQ391" s="29" t="s">
        <v>151</v>
      </c>
      <c r="ER391" s="29" t="s">
        <v>151</v>
      </c>
      <c r="ES391" s="4">
        <f>HYPERLINK("https://my.pitchbook.com?c=641891-26","View Company Online")</f>
      </c>
    </row>
    <row r="392">
      <c r="A392" s="17" t="s">
        <v>8429</v>
      </c>
      <c r="B392" s="17" t="s">
        <v>8430</v>
      </c>
      <c r="C392" s="18" t="s">
        <v>151</v>
      </c>
      <c r="D392" s="17" t="s">
        <v>151</v>
      </c>
      <c r="E392" s="17" t="s">
        <v>151</v>
      </c>
      <c r="F392" s="17" t="s">
        <v>8431</v>
      </c>
      <c r="G392" s="17" t="s">
        <v>151</v>
      </c>
      <c r="H392" s="17" t="s">
        <v>151</v>
      </c>
      <c r="I392" s="17" t="s">
        <v>8432</v>
      </c>
      <c r="J392" s="17" t="s">
        <v>8429</v>
      </c>
      <c r="K392" s="17" t="s">
        <v>8433</v>
      </c>
      <c r="L392" s="17" t="s">
        <v>205</v>
      </c>
      <c r="M392" s="17" t="s">
        <v>206</v>
      </c>
      <c r="N392" s="17" t="s">
        <v>1940</v>
      </c>
      <c r="O392" s="17" t="s">
        <v>5396</v>
      </c>
      <c r="P392" s="17" t="s">
        <v>2174</v>
      </c>
      <c r="Q392" s="17" t="s">
        <v>8434</v>
      </c>
      <c r="R392" s="17" t="s">
        <v>151</v>
      </c>
      <c r="S392" s="17" t="s">
        <v>162</v>
      </c>
      <c r="T392" s="24">
        <v>5.8</v>
      </c>
      <c r="U392" s="17" t="s">
        <v>163</v>
      </c>
      <c r="V392" s="17" t="s">
        <v>164</v>
      </c>
      <c r="W392" s="17" t="s">
        <v>165</v>
      </c>
      <c r="X392" s="15" t="s">
        <v>8435</v>
      </c>
      <c r="Y392" s="15" t="s">
        <v>8436</v>
      </c>
      <c r="Z392" s="27">
        <v>6</v>
      </c>
      <c r="AA392" s="17" t="s">
        <v>8437</v>
      </c>
      <c r="AB392" s="17" t="s">
        <v>151</v>
      </c>
      <c r="AC392" s="17" t="s">
        <v>151</v>
      </c>
      <c r="AD392" s="26">
        <v>2019</v>
      </c>
      <c r="AE392" s="17" t="s">
        <v>151</v>
      </c>
      <c r="AF392" s="22">
        <v>45607</v>
      </c>
      <c r="AG392" s="17" t="s">
        <v>151</v>
      </c>
      <c r="AH392" s="17" t="s">
        <v>151</v>
      </c>
      <c r="AI392" s="25">
        <v>0.46</v>
      </c>
      <c r="AJ392" s="19">
        <v>378.95</v>
      </c>
      <c r="AK392" s="25" t="s">
        <v>151</v>
      </c>
      <c r="AL392" s="25" t="s">
        <v>151</v>
      </c>
      <c r="AM392" s="25" t="s">
        <v>151</v>
      </c>
      <c r="AN392" s="25" t="s">
        <v>151</v>
      </c>
      <c r="AO392" s="25" t="s">
        <v>151</v>
      </c>
      <c r="AP392" s="25" t="s">
        <v>151</v>
      </c>
      <c r="AQ392" s="25" t="s">
        <v>151</v>
      </c>
      <c r="AR392" s="16" t="s">
        <v>810</v>
      </c>
      <c r="AS392" s="17" t="s">
        <v>8438</v>
      </c>
      <c r="AT392" s="17" t="s">
        <v>8439</v>
      </c>
      <c r="AU392" s="18">
        <v>4</v>
      </c>
      <c r="AV392" s="17" t="s">
        <v>151</v>
      </c>
      <c r="AW392" s="17" t="s">
        <v>151</v>
      </c>
      <c r="AX392" s="17" t="s">
        <v>151</v>
      </c>
      <c r="AY392" s="17" t="s">
        <v>8440</v>
      </c>
      <c r="AZ392" s="17" t="s">
        <v>151</v>
      </c>
      <c r="BA392" s="17" t="s">
        <v>151</v>
      </c>
      <c r="BB392" s="17" t="s">
        <v>8441</v>
      </c>
      <c r="BC392" s="17" t="s">
        <v>8442</v>
      </c>
      <c r="BD392" s="17" t="s">
        <v>8443</v>
      </c>
      <c r="BE392" s="17" t="s">
        <v>8444</v>
      </c>
      <c r="BF392" s="17" t="s">
        <v>221</v>
      </c>
      <c r="BG392" s="17" t="s">
        <v>8445</v>
      </c>
      <c r="BH392" s="17" t="s">
        <v>8446</v>
      </c>
      <c r="BI392" s="17" t="s">
        <v>2652</v>
      </c>
      <c r="BJ392" s="17" t="s">
        <v>8447</v>
      </c>
      <c r="BK392" s="17" t="s">
        <v>1475</v>
      </c>
      <c r="BL392" s="17" t="s">
        <v>2654</v>
      </c>
      <c r="BM392" s="17" t="s">
        <v>1576</v>
      </c>
      <c r="BN392" s="16" t="s">
        <v>4611</v>
      </c>
      <c r="BO392" s="17" t="s">
        <v>186</v>
      </c>
      <c r="BP392" s="16" t="s">
        <v>8446</v>
      </c>
      <c r="BQ392" s="16" t="s">
        <v>151</v>
      </c>
      <c r="BR392" s="17" t="s">
        <v>8448</v>
      </c>
      <c r="BS392" s="17" t="s">
        <v>187</v>
      </c>
      <c r="BT392" s="17" t="s">
        <v>188</v>
      </c>
      <c r="BU392" s="22">
        <v>44154</v>
      </c>
      <c r="BV392" s="24">
        <v>0.7</v>
      </c>
      <c r="BW392" s="17" t="s">
        <v>192</v>
      </c>
      <c r="BX392" s="24">
        <v>1.7</v>
      </c>
      <c r="BY392" s="17" t="s">
        <v>192</v>
      </c>
      <c r="BZ392" s="17" t="s">
        <v>293</v>
      </c>
      <c r="CA392" s="17" t="s">
        <v>293</v>
      </c>
      <c r="CB392" s="17" t="s">
        <v>151</v>
      </c>
      <c r="CC392" s="17" t="s">
        <v>165</v>
      </c>
      <c r="CD392" s="17" t="s">
        <v>151</v>
      </c>
      <c r="CE392" s="17" t="s">
        <v>191</v>
      </c>
      <c r="CF392" s="22">
        <v>45379</v>
      </c>
      <c r="CG392" s="24">
        <v>4</v>
      </c>
      <c r="CH392" s="17" t="s">
        <v>192</v>
      </c>
      <c r="CI392" s="24">
        <v>15</v>
      </c>
      <c r="CJ392" s="17" t="s">
        <v>192</v>
      </c>
      <c r="CK392" s="16">
        <v>1.8</v>
      </c>
      <c r="CL392" s="17" t="s">
        <v>293</v>
      </c>
      <c r="CM392" s="17" t="s">
        <v>293</v>
      </c>
      <c r="CN392" s="17" t="s">
        <v>151</v>
      </c>
      <c r="CO392" s="17" t="s">
        <v>165</v>
      </c>
      <c r="CP392" s="22">
        <v>45379</v>
      </c>
      <c r="CQ392" s="24" t="s">
        <v>151</v>
      </c>
      <c r="CR392" s="17" t="s">
        <v>151</v>
      </c>
      <c r="CS392" s="17" t="s">
        <v>191</v>
      </c>
      <c r="CT392" s="16">
        <v>78</v>
      </c>
      <c r="CU392" s="17" t="s">
        <v>196</v>
      </c>
      <c r="CV392" s="19">
        <v>72</v>
      </c>
      <c r="CW392" s="19">
        <v>28</v>
      </c>
      <c r="CX392" s="17" t="s">
        <v>294</v>
      </c>
      <c r="CY392" s="19">
        <v>1</v>
      </c>
      <c r="CZ392" s="19">
        <v>71</v>
      </c>
      <c r="DA392" s="24">
        <v>15</v>
      </c>
      <c r="DB392" s="22">
        <v>45379</v>
      </c>
      <c r="DC392" s="17" t="s">
        <v>293</v>
      </c>
      <c r="DD392" s="16">
        <v>1.8</v>
      </c>
      <c r="DE392" s="19">
        <v>0</v>
      </c>
      <c r="DF392" s="21">
        <v>11</v>
      </c>
      <c r="DG392" s="19">
        <v>0</v>
      </c>
      <c r="DH392" s="19">
        <v>0</v>
      </c>
      <c r="DI392" s="19">
        <v>0</v>
      </c>
      <c r="DJ392" s="21">
        <v>10</v>
      </c>
      <c r="DK392" s="19" t="s">
        <v>151</v>
      </c>
      <c r="DL392" s="21" t="s">
        <v>151</v>
      </c>
      <c r="DM392" s="19">
        <v>0</v>
      </c>
      <c r="DN392" s="21">
        <v>10</v>
      </c>
      <c r="DO392" s="23">
        <v>2.95</v>
      </c>
      <c r="DP392" s="21">
        <v>74</v>
      </c>
      <c r="DQ392" s="23">
        <v>0</v>
      </c>
      <c r="DR392" s="19">
        <v>0</v>
      </c>
      <c r="DS392" s="23">
        <v>2.95</v>
      </c>
      <c r="DT392" s="21">
        <v>74</v>
      </c>
      <c r="DU392" s="23" t="s">
        <v>151</v>
      </c>
      <c r="DV392" s="21" t="s">
        <v>151</v>
      </c>
      <c r="DW392" s="23">
        <v>2.95</v>
      </c>
      <c r="DX392" s="21">
        <v>73</v>
      </c>
      <c r="DY392" s="18" t="s">
        <v>151</v>
      </c>
      <c r="DZ392" s="22" t="s">
        <v>151</v>
      </c>
      <c r="EA392" s="22" t="s">
        <v>151</v>
      </c>
      <c r="EB392" s="21">
        <v>242</v>
      </c>
      <c r="EC392" s="20">
        <v>32</v>
      </c>
      <c r="ED392" s="19">
        <v>15.24</v>
      </c>
      <c r="EE392" s="21">
        <v>56</v>
      </c>
      <c r="EF392" s="20">
        <v>1</v>
      </c>
      <c r="EG392" s="19">
        <v>1.82</v>
      </c>
      <c r="EH392" s="16" t="s">
        <v>198</v>
      </c>
      <c r="EI392" s="17" t="s">
        <v>151</v>
      </c>
      <c r="EJ392" s="17" t="s">
        <v>151</v>
      </c>
      <c r="EK392" s="18" t="s">
        <v>151</v>
      </c>
      <c r="EL392" s="18" t="s">
        <v>151</v>
      </c>
      <c r="EM392" s="18" t="s">
        <v>151</v>
      </c>
      <c r="EN392" s="18" t="s">
        <v>151</v>
      </c>
      <c r="EO392" s="18" t="s">
        <v>151</v>
      </c>
      <c r="EP392" s="17" t="s">
        <v>151</v>
      </c>
      <c r="EQ392" s="16" t="s">
        <v>151</v>
      </c>
      <c r="ER392" s="16" t="s">
        <v>151</v>
      </c>
      <c r="ES392" s="3">
        <f>HYPERLINK("https://my.pitchbook.com?c=471034-90","View Company Online")</f>
      </c>
    </row>
    <row r="393">
      <c r="A393" s="30" t="s">
        <v>8449</v>
      </c>
      <c r="B393" s="30" t="s">
        <v>8450</v>
      </c>
      <c r="C393" s="31" t="s">
        <v>151</v>
      </c>
      <c r="D393" s="30" t="s">
        <v>151</v>
      </c>
      <c r="E393" s="30" t="s">
        <v>151</v>
      </c>
      <c r="F393" s="30" t="s">
        <v>8451</v>
      </c>
      <c r="G393" s="30" t="s">
        <v>151</v>
      </c>
      <c r="H393" s="30" t="s">
        <v>151</v>
      </c>
      <c r="I393" s="30" t="s">
        <v>151</v>
      </c>
      <c r="J393" s="30" t="s">
        <v>8449</v>
      </c>
      <c r="K393" s="30" t="s">
        <v>8452</v>
      </c>
      <c r="L393" s="30" t="s">
        <v>205</v>
      </c>
      <c r="M393" s="30" t="s">
        <v>206</v>
      </c>
      <c r="N393" s="30" t="s">
        <v>1940</v>
      </c>
      <c r="O393" s="30" t="s">
        <v>8453</v>
      </c>
      <c r="P393" s="30" t="s">
        <v>1942</v>
      </c>
      <c r="Q393" s="30" t="s">
        <v>8454</v>
      </c>
      <c r="R393" s="30" t="s">
        <v>151</v>
      </c>
      <c r="S393" s="30" t="s">
        <v>162</v>
      </c>
      <c r="T393" s="37">
        <v>1.7</v>
      </c>
      <c r="U393" s="30" t="s">
        <v>163</v>
      </c>
      <c r="V393" s="30" t="s">
        <v>164</v>
      </c>
      <c r="W393" s="30" t="s">
        <v>165</v>
      </c>
      <c r="X393" s="28" t="s">
        <v>8455</v>
      </c>
      <c r="Y393" s="28" t="s">
        <v>8456</v>
      </c>
      <c r="Z393" s="40">
        <v>26</v>
      </c>
      <c r="AA393" s="30" t="s">
        <v>8457</v>
      </c>
      <c r="AB393" s="30" t="s">
        <v>151</v>
      </c>
      <c r="AC393" s="30" t="s">
        <v>151</v>
      </c>
      <c r="AD393" s="39">
        <v>2019</v>
      </c>
      <c r="AE393" s="30" t="s">
        <v>151</v>
      </c>
      <c r="AF393" s="35">
        <v>45212</v>
      </c>
      <c r="AG393" s="30" t="s">
        <v>151</v>
      </c>
      <c r="AH393" s="30" t="s">
        <v>151</v>
      </c>
      <c r="AI393" s="38" t="s">
        <v>151</v>
      </c>
      <c r="AJ393" s="32" t="s">
        <v>151</v>
      </c>
      <c r="AK393" s="38" t="s">
        <v>151</v>
      </c>
      <c r="AL393" s="38" t="s">
        <v>151</v>
      </c>
      <c r="AM393" s="38" t="s">
        <v>151</v>
      </c>
      <c r="AN393" s="38" t="s">
        <v>151</v>
      </c>
      <c r="AO393" s="38" t="s">
        <v>151</v>
      </c>
      <c r="AP393" s="38" t="s">
        <v>151</v>
      </c>
      <c r="AQ393" s="38" t="s">
        <v>151</v>
      </c>
      <c r="AR393" s="29" t="s">
        <v>151</v>
      </c>
      <c r="AS393" s="30" t="s">
        <v>8458</v>
      </c>
      <c r="AT393" s="30" t="s">
        <v>8459</v>
      </c>
      <c r="AU393" s="31">
        <v>17</v>
      </c>
      <c r="AV393" s="30" t="s">
        <v>151</v>
      </c>
      <c r="AW393" s="30" t="s">
        <v>151</v>
      </c>
      <c r="AX393" s="30" t="s">
        <v>151</v>
      </c>
      <c r="AY393" s="30" t="s">
        <v>8460</v>
      </c>
      <c r="AZ393" s="30" t="s">
        <v>151</v>
      </c>
      <c r="BA393" s="30" t="s">
        <v>151</v>
      </c>
      <c r="BB393" s="30" t="s">
        <v>151</v>
      </c>
      <c r="BC393" s="30" t="s">
        <v>151</v>
      </c>
      <c r="BD393" s="30" t="s">
        <v>8461</v>
      </c>
      <c r="BE393" s="30" t="s">
        <v>8462</v>
      </c>
      <c r="BF393" s="30" t="s">
        <v>221</v>
      </c>
      <c r="BG393" s="30" t="s">
        <v>8463</v>
      </c>
      <c r="BH393" s="30" t="s">
        <v>8464</v>
      </c>
      <c r="BI393" s="30" t="s">
        <v>764</v>
      </c>
      <c r="BJ393" s="30" t="s">
        <v>8465</v>
      </c>
      <c r="BK393" s="30" t="s">
        <v>151</v>
      </c>
      <c r="BL393" s="30" t="s">
        <v>767</v>
      </c>
      <c r="BM393" s="30" t="s">
        <v>184</v>
      </c>
      <c r="BN393" s="29" t="s">
        <v>768</v>
      </c>
      <c r="BO393" s="30" t="s">
        <v>186</v>
      </c>
      <c r="BP393" s="29" t="s">
        <v>8464</v>
      </c>
      <c r="BQ393" s="29" t="s">
        <v>151</v>
      </c>
      <c r="BR393" s="30" t="s">
        <v>8466</v>
      </c>
      <c r="BS393" s="30" t="s">
        <v>187</v>
      </c>
      <c r="BT393" s="30" t="s">
        <v>188</v>
      </c>
      <c r="BU393" s="35">
        <v>43908</v>
      </c>
      <c r="BV393" s="37">
        <v>0.15</v>
      </c>
      <c r="BW393" s="30" t="s">
        <v>192</v>
      </c>
      <c r="BX393" s="37">
        <v>2.14</v>
      </c>
      <c r="BY393" s="30" t="s">
        <v>192</v>
      </c>
      <c r="BZ393" s="30" t="s">
        <v>189</v>
      </c>
      <c r="CA393" s="30" t="s">
        <v>151</v>
      </c>
      <c r="CB393" s="30" t="s">
        <v>151</v>
      </c>
      <c r="CC393" s="30" t="s">
        <v>190</v>
      </c>
      <c r="CD393" s="30" t="s">
        <v>151</v>
      </c>
      <c r="CE393" s="30" t="s">
        <v>191</v>
      </c>
      <c r="CF393" s="35">
        <v>45120</v>
      </c>
      <c r="CG393" s="37">
        <v>0.15</v>
      </c>
      <c r="CH393" s="30" t="s">
        <v>192</v>
      </c>
      <c r="CI393" s="37" t="s">
        <v>151</v>
      </c>
      <c r="CJ393" s="30" t="s">
        <v>151</v>
      </c>
      <c r="CK393" s="29" t="s">
        <v>151</v>
      </c>
      <c r="CL393" s="30" t="s">
        <v>189</v>
      </c>
      <c r="CM393" s="30" t="s">
        <v>151</v>
      </c>
      <c r="CN393" s="30" t="s">
        <v>151</v>
      </c>
      <c r="CO393" s="30" t="s">
        <v>190</v>
      </c>
      <c r="CP393" s="35">
        <v>45120</v>
      </c>
      <c r="CQ393" s="37" t="s">
        <v>151</v>
      </c>
      <c r="CR393" s="30" t="s">
        <v>151</v>
      </c>
      <c r="CS393" s="30" t="s">
        <v>191</v>
      </c>
      <c r="CT393" s="29" t="s">
        <v>151</v>
      </c>
      <c r="CU393" s="30" t="s">
        <v>151</v>
      </c>
      <c r="CV393" s="32" t="s">
        <v>151</v>
      </c>
      <c r="CW393" s="32" t="s">
        <v>151</v>
      </c>
      <c r="CX393" s="30" t="s">
        <v>151</v>
      </c>
      <c r="CY393" s="32" t="s">
        <v>151</v>
      </c>
      <c r="CZ393" s="32" t="s">
        <v>151</v>
      </c>
      <c r="DA393" s="37">
        <v>2.14</v>
      </c>
      <c r="DB393" s="35">
        <v>43908</v>
      </c>
      <c r="DC393" s="30" t="s">
        <v>189</v>
      </c>
      <c r="DD393" s="29" t="s">
        <v>151</v>
      </c>
      <c r="DE393" s="32">
        <v>-2.45</v>
      </c>
      <c r="DF393" s="34">
        <v>2</v>
      </c>
      <c r="DG393" s="32">
        <v>0</v>
      </c>
      <c r="DH393" s="32">
        <v>0</v>
      </c>
      <c r="DI393" s="32">
        <v>-2.45</v>
      </c>
      <c r="DJ393" s="34">
        <v>2</v>
      </c>
      <c r="DK393" s="32" t="s">
        <v>151</v>
      </c>
      <c r="DL393" s="34" t="s">
        <v>151</v>
      </c>
      <c r="DM393" s="32">
        <v>-2.45</v>
      </c>
      <c r="DN393" s="34">
        <v>1</v>
      </c>
      <c r="DO393" s="36">
        <v>7.16</v>
      </c>
      <c r="DP393" s="34">
        <v>87</v>
      </c>
      <c r="DQ393" s="36">
        <v>0</v>
      </c>
      <c r="DR393" s="32">
        <v>0</v>
      </c>
      <c r="DS393" s="36">
        <v>7.16</v>
      </c>
      <c r="DT393" s="34">
        <v>86</v>
      </c>
      <c r="DU393" s="36" t="s">
        <v>151</v>
      </c>
      <c r="DV393" s="34" t="s">
        <v>151</v>
      </c>
      <c r="DW393" s="36">
        <v>7.16</v>
      </c>
      <c r="DX393" s="34">
        <v>86</v>
      </c>
      <c r="DY393" s="31" t="s">
        <v>151</v>
      </c>
      <c r="DZ393" s="35" t="s">
        <v>151</v>
      </c>
      <c r="EA393" s="35" t="s">
        <v>151</v>
      </c>
      <c r="EB393" s="34">
        <v>909</v>
      </c>
      <c r="EC393" s="33">
        <v>25</v>
      </c>
      <c r="ED393" s="32">
        <v>2.83</v>
      </c>
      <c r="EE393" s="34">
        <v>136</v>
      </c>
      <c r="EF393" s="33">
        <v>-1</v>
      </c>
      <c r="EG393" s="32">
        <v>-0.73</v>
      </c>
      <c r="EH393" s="29" t="s">
        <v>198</v>
      </c>
      <c r="EI393" s="30" t="s">
        <v>151</v>
      </c>
      <c r="EJ393" s="30" t="s">
        <v>151</v>
      </c>
      <c r="EK393" s="31" t="s">
        <v>151</v>
      </c>
      <c r="EL393" s="31" t="s">
        <v>151</v>
      </c>
      <c r="EM393" s="31" t="s">
        <v>151</v>
      </c>
      <c r="EN393" s="31" t="s">
        <v>151</v>
      </c>
      <c r="EO393" s="31" t="s">
        <v>151</v>
      </c>
      <c r="EP393" s="30" t="s">
        <v>151</v>
      </c>
      <c r="EQ393" s="29" t="s">
        <v>151</v>
      </c>
      <c r="ER393" s="29" t="s">
        <v>151</v>
      </c>
      <c r="ES393" s="4">
        <f>HYPERLINK("https://my.pitchbook.com?c=433405-45","View Company Online")</f>
      </c>
    </row>
    <row r="394">
      <c r="A394" s="17" t="s">
        <v>8467</v>
      </c>
      <c r="B394" s="17" t="s">
        <v>8468</v>
      </c>
      <c r="C394" s="18" t="s">
        <v>151</v>
      </c>
      <c r="D394" s="17" t="s">
        <v>8469</v>
      </c>
      <c r="E394" s="17" t="s">
        <v>151</v>
      </c>
      <c r="F394" s="17" t="s">
        <v>8470</v>
      </c>
      <c r="G394" s="17" t="s">
        <v>151</v>
      </c>
      <c r="H394" s="17" t="s">
        <v>151</v>
      </c>
      <c r="I394" s="17" t="s">
        <v>151</v>
      </c>
      <c r="J394" s="17" t="s">
        <v>8467</v>
      </c>
      <c r="K394" s="17" t="s">
        <v>8471</v>
      </c>
      <c r="L394" s="17" t="s">
        <v>205</v>
      </c>
      <c r="M394" s="17" t="s">
        <v>206</v>
      </c>
      <c r="N394" s="17" t="s">
        <v>269</v>
      </c>
      <c r="O394" s="17" t="s">
        <v>1819</v>
      </c>
      <c r="P394" s="17" t="s">
        <v>1107</v>
      </c>
      <c r="Q394" s="17" t="s">
        <v>8472</v>
      </c>
      <c r="R394" s="17" t="s">
        <v>151</v>
      </c>
      <c r="S394" s="17" t="s">
        <v>162</v>
      </c>
      <c r="T394" s="24">
        <v>8.48</v>
      </c>
      <c r="U394" s="17" t="s">
        <v>163</v>
      </c>
      <c r="V394" s="17" t="s">
        <v>164</v>
      </c>
      <c r="W394" s="17" t="s">
        <v>165</v>
      </c>
      <c r="X394" s="15" t="s">
        <v>8473</v>
      </c>
      <c r="Y394" s="15" t="s">
        <v>8474</v>
      </c>
      <c r="Z394" s="27">
        <v>45</v>
      </c>
      <c r="AA394" s="17" t="s">
        <v>8475</v>
      </c>
      <c r="AB394" s="17" t="s">
        <v>151</v>
      </c>
      <c r="AC394" s="17" t="s">
        <v>151</v>
      </c>
      <c r="AD394" s="26">
        <v>2017</v>
      </c>
      <c r="AE394" s="17" t="s">
        <v>151</v>
      </c>
      <c r="AF394" s="22">
        <v>45489</v>
      </c>
      <c r="AG394" s="17" t="s">
        <v>151</v>
      </c>
      <c r="AH394" s="17" t="s">
        <v>151</v>
      </c>
      <c r="AI394" s="25" t="s">
        <v>151</v>
      </c>
      <c r="AJ394" s="19" t="s">
        <v>151</v>
      </c>
      <c r="AK394" s="25" t="s">
        <v>151</v>
      </c>
      <c r="AL394" s="25" t="s">
        <v>151</v>
      </c>
      <c r="AM394" s="25" t="s">
        <v>151</v>
      </c>
      <c r="AN394" s="25" t="s">
        <v>151</v>
      </c>
      <c r="AO394" s="25" t="s">
        <v>151</v>
      </c>
      <c r="AP394" s="25" t="s">
        <v>151</v>
      </c>
      <c r="AQ394" s="25" t="s">
        <v>151</v>
      </c>
      <c r="AR394" s="16" t="s">
        <v>151</v>
      </c>
      <c r="AS394" s="17" t="s">
        <v>8476</v>
      </c>
      <c r="AT394" s="17" t="s">
        <v>8477</v>
      </c>
      <c r="AU394" s="18">
        <v>18</v>
      </c>
      <c r="AV394" s="17" t="s">
        <v>151</v>
      </c>
      <c r="AW394" s="17" t="s">
        <v>8478</v>
      </c>
      <c r="AX394" s="17" t="s">
        <v>151</v>
      </c>
      <c r="AY394" s="17" t="s">
        <v>8479</v>
      </c>
      <c r="AZ394" s="17" t="s">
        <v>8480</v>
      </c>
      <c r="BA394" s="17" t="s">
        <v>151</v>
      </c>
      <c r="BB394" s="17" t="s">
        <v>151</v>
      </c>
      <c r="BC394" s="17" t="s">
        <v>1115</v>
      </c>
      <c r="BD394" s="17" t="s">
        <v>8481</v>
      </c>
      <c r="BE394" s="17" t="s">
        <v>8482</v>
      </c>
      <c r="BF394" s="17" t="s">
        <v>4135</v>
      </c>
      <c r="BG394" s="17" t="s">
        <v>8483</v>
      </c>
      <c r="BH394" s="17" t="s">
        <v>8484</v>
      </c>
      <c r="BI394" s="17" t="s">
        <v>906</v>
      </c>
      <c r="BJ394" s="17" t="s">
        <v>8485</v>
      </c>
      <c r="BK394" s="17" t="s">
        <v>151</v>
      </c>
      <c r="BL394" s="17" t="s">
        <v>259</v>
      </c>
      <c r="BM394" s="17" t="s">
        <v>259</v>
      </c>
      <c r="BN394" s="16" t="s">
        <v>4983</v>
      </c>
      <c r="BO394" s="17" t="s">
        <v>186</v>
      </c>
      <c r="BP394" s="16" t="s">
        <v>8484</v>
      </c>
      <c r="BQ394" s="16" t="s">
        <v>151</v>
      </c>
      <c r="BR394" s="17" t="s">
        <v>8486</v>
      </c>
      <c r="BS394" s="17" t="s">
        <v>187</v>
      </c>
      <c r="BT394" s="17" t="s">
        <v>188</v>
      </c>
      <c r="BU394" s="22">
        <v>43297</v>
      </c>
      <c r="BV394" s="24">
        <v>0.02</v>
      </c>
      <c r="BW394" s="17" t="s">
        <v>192</v>
      </c>
      <c r="BX394" s="24">
        <v>0.33</v>
      </c>
      <c r="BY394" s="17" t="s">
        <v>192</v>
      </c>
      <c r="BZ394" s="17" t="s">
        <v>189</v>
      </c>
      <c r="CA394" s="17" t="s">
        <v>151</v>
      </c>
      <c r="CB394" s="17" t="s">
        <v>151</v>
      </c>
      <c r="CC394" s="17" t="s">
        <v>190</v>
      </c>
      <c r="CD394" s="17" t="s">
        <v>151</v>
      </c>
      <c r="CE394" s="17" t="s">
        <v>191</v>
      </c>
      <c r="CF394" s="22">
        <v>44805</v>
      </c>
      <c r="CG394" s="24" t="s">
        <v>151</v>
      </c>
      <c r="CH394" s="17" t="s">
        <v>151</v>
      </c>
      <c r="CI394" s="24" t="s">
        <v>151</v>
      </c>
      <c r="CJ394" s="17" t="s">
        <v>151</v>
      </c>
      <c r="CK394" s="16">
        <v>4.05</v>
      </c>
      <c r="CL394" s="17" t="s">
        <v>911</v>
      </c>
      <c r="CM394" s="17" t="s">
        <v>151</v>
      </c>
      <c r="CN394" s="17" t="s">
        <v>151</v>
      </c>
      <c r="CO394" s="17" t="s">
        <v>165</v>
      </c>
      <c r="CP394" s="22">
        <v>44805</v>
      </c>
      <c r="CQ394" s="24" t="s">
        <v>151</v>
      </c>
      <c r="CR394" s="17" t="s">
        <v>151</v>
      </c>
      <c r="CS394" s="17" t="s">
        <v>191</v>
      </c>
      <c r="CT394" s="16">
        <v>87</v>
      </c>
      <c r="CU394" s="17" t="s">
        <v>196</v>
      </c>
      <c r="CV394" s="19">
        <v>79</v>
      </c>
      <c r="CW394" s="19">
        <v>21</v>
      </c>
      <c r="CX394" s="17" t="s">
        <v>294</v>
      </c>
      <c r="CY394" s="19">
        <v>1</v>
      </c>
      <c r="CZ394" s="19">
        <v>78</v>
      </c>
      <c r="DA394" s="24">
        <v>21.74</v>
      </c>
      <c r="DB394" s="22">
        <v>44467</v>
      </c>
      <c r="DC394" s="17" t="s">
        <v>231</v>
      </c>
      <c r="DD394" s="16">
        <v>4.05</v>
      </c>
      <c r="DE394" s="19">
        <v>0.32</v>
      </c>
      <c r="DF394" s="21">
        <v>93</v>
      </c>
      <c r="DG394" s="19">
        <v>-0.16</v>
      </c>
      <c r="DH394" s="19">
        <v>-32.34</v>
      </c>
      <c r="DI394" s="19">
        <v>0.36</v>
      </c>
      <c r="DJ394" s="21">
        <v>94</v>
      </c>
      <c r="DK394" s="19">
        <v>-1.78</v>
      </c>
      <c r="DL394" s="21">
        <v>7</v>
      </c>
      <c r="DM394" s="19">
        <v>2.51</v>
      </c>
      <c r="DN394" s="21">
        <v>99</v>
      </c>
      <c r="DO394" s="23">
        <v>5.77</v>
      </c>
      <c r="DP394" s="21">
        <v>84</v>
      </c>
      <c r="DQ394" s="23">
        <v>0.01</v>
      </c>
      <c r="DR394" s="19">
        <v>0.23</v>
      </c>
      <c r="DS394" s="23">
        <v>8.08</v>
      </c>
      <c r="DT394" s="21">
        <v>88</v>
      </c>
      <c r="DU394" s="23">
        <v>1.2</v>
      </c>
      <c r="DV394" s="21">
        <v>59</v>
      </c>
      <c r="DW394" s="23">
        <v>14.95</v>
      </c>
      <c r="DX394" s="21">
        <v>93</v>
      </c>
      <c r="DY394" s="18" t="s">
        <v>151</v>
      </c>
      <c r="DZ394" s="22" t="s">
        <v>151</v>
      </c>
      <c r="EA394" s="22" t="s">
        <v>151</v>
      </c>
      <c r="EB394" s="21">
        <v>250</v>
      </c>
      <c r="EC394" s="20">
        <v>-17</v>
      </c>
      <c r="ED394" s="19">
        <v>-6.37</v>
      </c>
      <c r="EE394" s="21">
        <v>284</v>
      </c>
      <c r="EF394" s="20">
        <v>4</v>
      </c>
      <c r="EG394" s="19">
        <v>1.43</v>
      </c>
      <c r="EH394" s="16" t="s">
        <v>198</v>
      </c>
      <c r="EI394" s="17" t="s">
        <v>151</v>
      </c>
      <c r="EJ394" s="17" t="s">
        <v>151</v>
      </c>
      <c r="EK394" s="18" t="s">
        <v>151</v>
      </c>
      <c r="EL394" s="18" t="s">
        <v>151</v>
      </c>
      <c r="EM394" s="18" t="s">
        <v>151</v>
      </c>
      <c r="EN394" s="18" t="s">
        <v>151</v>
      </c>
      <c r="EO394" s="18" t="s">
        <v>151</v>
      </c>
      <c r="EP394" s="17" t="s">
        <v>151</v>
      </c>
      <c r="EQ394" s="16" t="s">
        <v>151</v>
      </c>
      <c r="ER394" s="16" t="s">
        <v>151</v>
      </c>
      <c r="ES394" s="3">
        <f>HYPERLINK("https://my.pitchbook.com?c=322216-21","View Company Online")</f>
      </c>
    </row>
    <row r="395">
      <c r="A395" s="30" t="s">
        <v>8487</v>
      </c>
      <c r="B395" s="30" t="s">
        <v>8488</v>
      </c>
      <c r="C395" s="31" t="s">
        <v>151</v>
      </c>
      <c r="D395" s="30" t="s">
        <v>151</v>
      </c>
      <c r="E395" s="30" t="s">
        <v>151</v>
      </c>
      <c r="F395" s="30" t="s">
        <v>8489</v>
      </c>
      <c r="G395" s="30" t="s">
        <v>151</v>
      </c>
      <c r="H395" s="30" t="s">
        <v>151</v>
      </c>
      <c r="I395" s="30" t="s">
        <v>151</v>
      </c>
      <c r="J395" s="30" t="s">
        <v>8487</v>
      </c>
      <c r="K395" s="30" t="s">
        <v>8490</v>
      </c>
      <c r="L395" s="30" t="s">
        <v>155</v>
      </c>
      <c r="M395" s="30" t="s">
        <v>7474</v>
      </c>
      <c r="N395" s="30" t="s">
        <v>7475</v>
      </c>
      <c r="O395" s="30" t="s">
        <v>8491</v>
      </c>
      <c r="P395" s="30" t="s">
        <v>151</v>
      </c>
      <c r="Q395" s="30" t="s">
        <v>8492</v>
      </c>
      <c r="R395" s="30" t="s">
        <v>151</v>
      </c>
      <c r="S395" s="30" t="s">
        <v>162</v>
      </c>
      <c r="T395" s="37">
        <v>1.1</v>
      </c>
      <c r="U395" s="30" t="s">
        <v>163</v>
      </c>
      <c r="V395" s="30" t="s">
        <v>164</v>
      </c>
      <c r="W395" s="30" t="s">
        <v>165</v>
      </c>
      <c r="X395" s="28" t="s">
        <v>8493</v>
      </c>
      <c r="Y395" s="28" t="s">
        <v>8494</v>
      </c>
      <c r="Z395" s="40">
        <v>7</v>
      </c>
      <c r="AA395" s="30" t="s">
        <v>8495</v>
      </c>
      <c r="AB395" s="30" t="s">
        <v>151</v>
      </c>
      <c r="AC395" s="30" t="s">
        <v>151</v>
      </c>
      <c r="AD395" s="39">
        <v>2014</v>
      </c>
      <c r="AE395" s="30" t="s">
        <v>151</v>
      </c>
      <c r="AF395" s="35">
        <v>45583</v>
      </c>
      <c r="AG395" s="30" t="s">
        <v>151</v>
      </c>
      <c r="AH395" s="30" t="s">
        <v>151</v>
      </c>
      <c r="AI395" s="38" t="s">
        <v>151</v>
      </c>
      <c r="AJ395" s="32" t="s">
        <v>151</v>
      </c>
      <c r="AK395" s="38" t="s">
        <v>151</v>
      </c>
      <c r="AL395" s="38" t="s">
        <v>151</v>
      </c>
      <c r="AM395" s="38" t="s">
        <v>151</v>
      </c>
      <c r="AN395" s="38" t="s">
        <v>151</v>
      </c>
      <c r="AO395" s="38" t="s">
        <v>151</v>
      </c>
      <c r="AP395" s="38" t="s">
        <v>151</v>
      </c>
      <c r="AQ395" s="38" t="s">
        <v>151</v>
      </c>
      <c r="AR395" s="29" t="s">
        <v>151</v>
      </c>
      <c r="AS395" s="30" t="s">
        <v>8496</v>
      </c>
      <c r="AT395" s="30" t="s">
        <v>8497</v>
      </c>
      <c r="AU395" s="31">
        <v>7</v>
      </c>
      <c r="AV395" s="30" t="s">
        <v>151</v>
      </c>
      <c r="AW395" s="30" t="s">
        <v>151</v>
      </c>
      <c r="AX395" s="30" t="s">
        <v>151</v>
      </c>
      <c r="AY395" s="30" t="s">
        <v>8498</v>
      </c>
      <c r="AZ395" s="30" t="s">
        <v>151</v>
      </c>
      <c r="BA395" s="30" t="s">
        <v>151</v>
      </c>
      <c r="BB395" s="30" t="s">
        <v>151</v>
      </c>
      <c r="BC395" s="30" t="s">
        <v>151</v>
      </c>
      <c r="BD395" s="30" t="s">
        <v>8499</v>
      </c>
      <c r="BE395" s="30" t="s">
        <v>8500</v>
      </c>
      <c r="BF395" s="30" t="s">
        <v>221</v>
      </c>
      <c r="BG395" s="30" t="s">
        <v>8501</v>
      </c>
      <c r="BH395" s="30" t="s">
        <v>8502</v>
      </c>
      <c r="BI395" s="30" t="s">
        <v>2162</v>
      </c>
      <c r="BJ395" s="30" t="s">
        <v>8503</v>
      </c>
      <c r="BK395" s="30" t="s">
        <v>151</v>
      </c>
      <c r="BL395" s="30" t="s">
        <v>289</v>
      </c>
      <c r="BM395" s="30" t="s">
        <v>2165</v>
      </c>
      <c r="BN395" s="29" t="s">
        <v>8504</v>
      </c>
      <c r="BO395" s="30" t="s">
        <v>186</v>
      </c>
      <c r="BP395" s="29" t="s">
        <v>8502</v>
      </c>
      <c r="BQ395" s="29" t="s">
        <v>151</v>
      </c>
      <c r="BR395" s="30" t="s">
        <v>8505</v>
      </c>
      <c r="BS395" s="30" t="s">
        <v>187</v>
      </c>
      <c r="BT395" s="30" t="s">
        <v>188</v>
      </c>
      <c r="BU395" s="35">
        <v>44980</v>
      </c>
      <c r="BV395" s="37">
        <v>1.1</v>
      </c>
      <c r="BW395" s="30" t="s">
        <v>192</v>
      </c>
      <c r="BX395" s="37" t="s">
        <v>151</v>
      </c>
      <c r="BY395" s="30" t="s">
        <v>151</v>
      </c>
      <c r="BZ395" s="30" t="s">
        <v>293</v>
      </c>
      <c r="CA395" s="30" t="s">
        <v>293</v>
      </c>
      <c r="CB395" s="30" t="s">
        <v>151</v>
      </c>
      <c r="CC395" s="30" t="s">
        <v>165</v>
      </c>
      <c r="CD395" s="30" t="s">
        <v>151</v>
      </c>
      <c r="CE395" s="30" t="s">
        <v>191</v>
      </c>
      <c r="CF395" s="35">
        <v>45215</v>
      </c>
      <c r="CG395" s="37" t="s">
        <v>151</v>
      </c>
      <c r="CH395" s="30" t="s">
        <v>151</v>
      </c>
      <c r="CI395" s="37" t="s">
        <v>151</v>
      </c>
      <c r="CJ395" s="30" t="s">
        <v>151</v>
      </c>
      <c r="CK395" s="29" t="s">
        <v>151</v>
      </c>
      <c r="CL395" s="30" t="s">
        <v>189</v>
      </c>
      <c r="CM395" s="30" t="s">
        <v>151</v>
      </c>
      <c r="CN395" s="30" t="s">
        <v>151</v>
      </c>
      <c r="CO395" s="30" t="s">
        <v>190</v>
      </c>
      <c r="CP395" s="35">
        <v>45215</v>
      </c>
      <c r="CQ395" s="37" t="s">
        <v>151</v>
      </c>
      <c r="CR395" s="30" t="s">
        <v>151</v>
      </c>
      <c r="CS395" s="30" t="s">
        <v>191</v>
      </c>
      <c r="CT395" s="29" t="s">
        <v>151</v>
      </c>
      <c r="CU395" s="30" t="s">
        <v>151</v>
      </c>
      <c r="CV395" s="32" t="s">
        <v>151</v>
      </c>
      <c r="CW395" s="32" t="s">
        <v>151</v>
      </c>
      <c r="CX395" s="30" t="s">
        <v>151</v>
      </c>
      <c r="CY395" s="32" t="s">
        <v>151</v>
      </c>
      <c r="CZ395" s="32" t="s">
        <v>151</v>
      </c>
      <c r="DA395" s="37" t="s">
        <v>151</v>
      </c>
      <c r="DB395" s="35" t="s">
        <v>151</v>
      </c>
      <c r="DC395" s="30" t="s">
        <v>151</v>
      </c>
      <c r="DD395" s="29" t="s">
        <v>151</v>
      </c>
      <c r="DE395" s="32">
        <v>-0.93</v>
      </c>
      <c r="DF395" s="34">
        <v>5</v>
      </c>
      <c r="DG395" s="32">
        <v>0</v>
      </c>
      <c r="DH395" s="32">
        <v>0</v>
      </c>
      <c r="DI395" s="32">
        <v>-0.31</v>
      </c>
      <c r="DJ395" s="34">
        <v>8</v>
      </c>
      <c r="DK395" s="32" t="s">
        <v>151</v>
      </c>
      <c r="DL395" s="34" t="s">
        <v>151</v>
      </c>
      <c r="DM395" s="32">
        <v>-0.31</v>
      </c>
      <c r="DN395" s="34">
        <v>8</v>
      </c>
      <c r="DO395" s="36">
        <v>6.61</v>
      </c>
      <c r="DP395" s="34">
        <v>86</v>
      </c>
      <c r="DQ395" s="36">
        <v>0</v>
      </c>
      <c r="DR395" s="32">
        <v>0</v>
      </c>
      <c r="DS395" s="36">
        <v>12.68</v>
      </c>
      <c r="DT395" s="34">
        <v>92</v>
      </c>
      <c r="DU395" s="36" t="s">
        <v>151</v>
      </c>
      <c r="DV395" s="34" t="s">
        <v>151</v>
      </c>
      <c r="DW395" s="36">
        <v>12.68</v>
      </c>
      <c r="DX395" s="34">
        <v>92</v>
      </c>
      <c r="DY395" s="31" t="s">
        <v>151</v>
      </c>
      <c r="DZ395" s="35" t="s">
        <v>151</v>
      </c>
      <c r="EA395" s="35" t="s">
        <v>151</v>
      </c>
      <c r="EB395" s="34">
        <v>1801</v>
      </c>
      <c r="EC395" s="33">
        <v>-149</v>
      </c>
      <c r="ED395" s="32">
        <v>-7.64</v>
      </c>
      <c r="EE395" s="34">
        <v>241</v>
      </c>
      <c r="EF395" s="33">
        <v>0</v>
      </c>
      <c r="EG395" s="32">
        <v>0</v>
      </c>
      <c r="EH395" s="29" t="s">
        <v>198</v>
      </c>
      <c r="EI395" s="30" t="s">
        <v>151</v>
      </c>
      <c r="EJ395" s="30" t="s">
        <v>151</v>
      </c>
      <c r="EK395" s="31" t="s">
        <v>151</v>
      </c>
      <c r="EL395" s="31" t="s">
        <v>151</v>
      </c>
      <c r="EM395" s="31" t="s">
        <v>151</v>
      </c>
      <c r="EN395" s="31" t="s">
        <v>151</v>
      </c>
      <c r="EO395" s="31" t="s">
        <v>151</v>
      </c>
      <c r="EP395" s="30" t="s">
        <v>151</v>
      </c>
      <c r="EQ395" s="29" t="s">
        <v>151</v>
      </c>
      <c r="ER395" s="29" t="s">
        <v>151</v>
      </c>
      <c r="ES395" s="4">
        <f>HYPERLINK("https://my.pitchbook.com?c=255138-49","View Company Online")</f>
      </c>
    </row>
    <row r="396">
      <c r="A396" s="17" t="s">
        <v>8506</v>
      </c>
      <c r="B396" s="17" t="s">
        <v>8507</v>
      </c>
      <c r="C396" s="18" t="s">
        <v>151</v>
      </c>
      <c r="D396" s="17" t="s">
        <v>151</v>
      </c>
      <c r="E396" s="17" t="s">
        <v>151</v>
      </c>
      <c r="F396" s="17" t="s">
        <v>8508</v>
      </c>
      <c r="G396" s="17" t="s">
        <v>151</v>
      </c>
      <c r="H396" s="17" t="s">
        <v>151</v>
      </c>
      <c r="I396" s="17" t="s">
        <v>8509</v>
      </c>
      <c r="J396" s="17" t="s">
        <v>8506</v>
      </c>
      <c r="K396" s="17" t="s">
        <v>8510</v>
      </c>
      <c r="L396" s="17" t="s">
        <v>616</v>
      </c>
      <c r="M396" s="17" t="s">
        <v>834</v>
      </c>
      <c r="N396" s="17" t="s">
        <v>2059</v>
      </c>
      <c r="O396" s="17" t="s">
        <v>8511</v>
      </c>
      <c r="P396" s="17" t="s">
        <v>2174</v>
      </c>
      <c r="Q396" s="17" t="s">
        <v>8512</v>
      </c>
      <c r="R396" s="17" t="s">
        <v>151</v>
      </c>
      <c r="S396" s="17" t="s">
        <v>162</v>
      </c>
      <c r="T396" s="24">
        <v>0.2</v>
      </c>
      <c r="U396" s="17" t="s">
        <v>163</v>
      </c>
      <c r="V396" s="17" t="s">
        <v>164</v>
      </c>
      <c r="W396" s="17" t="s">
        <v>165</v>
      </c>
      <c r="X396" s="15" t="s">
        <v>8513</v>
      </c>
      <c r="Y396" s="15" t="s">
        <v>8514</v>
      </c>
      <c r="Z396" s="27">
        <v>35</v>
      </c>
      <c r="AA396" s="17" t="s">
        <v>8515</v>
      </c>
      <c r="AB396" s="17" t="s">
        <v>151</v>
      </c>
      <c r="AC396" s="17" t="s">
        <v>151</v>
      </c>
      <c r="AD396" s="26">
        <v>2023</v>
      </c>
      <c r="AE396" s="17" t="s">
        <v>151</v>
      </c>
      <c r="AF396" s="22">
        <v>45537</v>
      </c>
      <c r="AG396" s="17" t="s">
        <v>151</v>
      </c>
      <c r="AH396" s="17" t="s">
        <v>151</v>
      </c>
      <c r="AI396" s="25" t="s">
        <v>151</v>
      </c>
      <c r="AJ396" s="19" t="s">
        <v>151</v>
      </c>
      <c r="AK396" s="25" t="s">
        <v>151</v>
      </c>
      <c r="AL396" s="25" t="s">
        <v>151</v>
      </c>
      <c r="AM396" s="25" t="s">
        <v>151</v>
      </c>
      <c r="AN396" s="25" t="s">
        <v>151</v>
      </c>
      <c r="AO396" s="25" t="s">
        <v>151</v>
      </c>
      <c r="AP396" s="25" t="s">
        <v>151</v>
      </c>
      <c r="AQ396" s="25" t="s">
        <v>151</v>
      </c>
      <c r="AR396" s="16" t="s">
        <v>151</v>
      </c>
      <c r="AS396" s="17" t="s">
        <v>8516</v>
      </c>
      <c r="AT396" s="17" t="s">
        <v>8517</v>
      </c>
      <c r="AU396" s="18">
        <v>1</v>
      </c>
      <c r="AV396" s="17" t="s">
        <v>151</v>
      </c>
      <c r="AW396" s="17" t="s">
        <v>151</v>
      </c>
      <c r="AX396" s="17" t="s">
        <v>151</v>
      </c>
      <c r="AY396" s="17" t="s">
        <v>8518</v>
      </c>
      <c r="AZ396" s="17" t="s">
        <v>151</v>
      </c>
      <c r="BA396" s="17" t="s">
        <v>151</v>
      </c>
      <c r="BB396" s="17" t="s">
        <v>151</v>
      </c>
      <c r="BC396" s="17" t="s">
        <v>151</v>
      </c>
      <c r="BD396" s="17" t="s">
        <v>8519</v>
      </c>
      <c r="BE396" s="17" t="s">
        <v>8520</v>
      </c>
      <c r="BF396" s="17" t="s">
        <v>221</v>
      </c>
      <c r="BG396" s="17" t="s">
        <v>8521</v>
      </c>
      <c r="BH396" s="17" t="s">
        <v>8522</v>
      </c>
      <c r="BI396" s="17" t="s">
        <v>8523</v>
      </c>
      <c r="BJ396" s="17" t="s">
        <v>8524</v>
      </c>
      <c r="BK396" s="17" t="s">
        <v>8525</v>
      </c>
      <c r="BL396" s="17" t="s">
        <v>8526</v>
      </c>
      <c r="BM396" s="17" t="s">
        <v>184</v>
      </c>
      <c r="BN396" s="16" t="s">
        <v>8527</v>
      </c>
      <c r="BO396" s="17" t="s">
        <v>186</v>
      </c>
      <c r="BP396" s="16" t="s">
        <v>8522</v>
      </c>
      <c r="BQ396" s="16" t="s">
        <v>151</v>
      </c>
      <c r="BR396" s="17" t="s">
        <v>8528</v>
      </c>
      <c r="BS396" s="17" t="s">
        <v>187</v>
      </c>
      <c r="BT396" s="17" t="s">
        <v>188</v>
      </c>
      <c r="BU396" s="22">
        <v>45261</v>
      </c>
      <c r="BV396" s="24">
        <v>0.2</v>
      </c>
      <c r="BW396" s="17" t="s">
        <v>192</v>
      </c>
      <c r="BX396" s="24">
        <v>5</v>
      </c>
      <c r="BY396" s="17" t="s">
        <v>192</v>
      </c>
      <c r="BZ396" s="17" t="s">
        <v>293</v>
      </c>
      <c r="CA396" s="17" t="s">
        <v>293</v>
      </c>
      <c r="CB396" s="17" t="s">
        <v>151</v>
      </c>
      <c r="CC396" s="17" t="s">
        <v>165</v>
      </c>
      <c r="CD396" s="17" t="s">
        <v>151</v>
      </c>
      <c r="CE396" s="17" t="s">
        <v>191</v>
      </c>
      <c r="CF396" s="22">
        <v>45261</v>
      </c>
      <c r="CG396" s="24">
        <v>0.2</v>
      </c>
      <c r="CH396" s="17" t="s">
        <v>192</v>
      </c>
      <c r="CI396" s="24">
        <v>5</v>
      </c>
      <c r="CJ396" s="17" t="s">
        <v>192</v>
      </c>
      <c r="CK396" s="16" t="s">
        <v>151</v>
      </c>
      <c r="CL396" s="17" t="s">
        <v>293</v>
      </c>
      <c r="CM396" s="17" t="s">
        <v>293</v>
      </c>
      <c r="CN396" s="17" t="s">
        <v>151</v>
      </c>
      <c r="CO396" s="17" t="s">
        <v>165</v>
      </c>
      <c r="CP396" s="22">
        <v>45261</v>
      </c>
      <c r="CQ396" s="24" t="s">
        <v>151</v>
      </c>
      <c r="CR396" s="17" t="s">
        <v>151</v>
      </c>
      <c r="CS396" s="17" t="s">
        <v>191</v>
      </c>
      <c r="CT396" s="16" t="s">
        <v>151</v>
      </c>
      <c r="CU396" s="17" t="s">
        <v>151</v>
      </c>
      <c r="CV396" s="19" t="s">
        <v>151</v>
      </c>
      <c r="CW396" s="19" t="s">
        <v>151</v>
      </c>
      <c r="CX396" s="17" t="s">
        <v>151</v>
      </c>
      <c r="CY396" s="19" t="s">
        <v>151</v>
      </c>
      <c r="CZ396" s="19" t="s">
        <v>151</v>
      </c>
      <c r="DA396" s="24">
        <v>5</v>
      </c>
      <c r="DB396" s="22">
        <v>45261</v>
      </c>
      <c r="DC396" s="17" t="s">
        <v>293</v>
      </c>
      <c r="DD396" s="16" t="s">
        <v>151</v>
      </c>
      <c r="DE396" s="19">
        <v>2.39</v>
      </c>
      <c r="DF396" s="21">
        <v>99</v>
      </c>
      <c r="DG396" s="19">
        <v>0</v>
      </c>
      <c r="DH396" s="19">
        <v>0</v>
      </c>
      <c r="DI396" s="19" t="s">
        <v>151</v>
      </c>
      <c r="DJ396" s="21" t="s">
        <v>151</v>
      </c>
      <c r="DK396" s="19" t="s">
        <v>151</v>
      </c>
      <c r="DL396" s="21" t="s">
        <v>151</v>
      </c>
      <c r="DM396" s="19" t="s">
        <v>151</v>
      </c>
      <c r="DN396" s="21" t="s">
        <v>151</v>
      </c>
      <c r="DO396" s="23">
        <v>2.69</v>
      </c>
      <c r="DP396" s="21">
        <v>72</v>
      </c>
      <c r="DQ396" s="23">
        <v>0</v>
      </c>
      <c r="DR396" s="19">
        <v>0</v>
      </c>
      <c r="DS396" s="23" t="s">
        <v>151</v>
      </c>
      <c r="DT396" s="21" t="s">
        <v>151</v>
      </c>
      <c r="DU396" s="23" t="s">
        <v>151</v>
      </c>
      <c r="DV396" s="21" t="s">
        <v>151</v>
      </c>
      <c r="DW396" s="23" t="s">
        <v>151</v>
      </c>
      <c r="DX396" s="21" t="s">
        <v>151</v>
      </c>
      <c r="DY396" s="18" t="s">
        <v>151</v>
      </c>
      <c r="DZ396" s="22" t="s">
        <v>151</v>
      </c>
      <c r="EA396" s="22" t="s">
        <v>151</v>
      </c>
      <c r="EB396" s="21">
        <v>1991</v>
      </c>
      <c r="EC396" s="20">
        <v>44</v>
      </c>
      <c r="ED396" s="19">
        <v>2.26</v>
      </c>
      <c r="EE396" s="21" t="s">
        <v>151</v>
      </c>
      <c r="EF396" s="20" t="s">
        <v>151</v>
      </c>
      <c r="EG396" s="19" t="s">
        <v>151</v>
      </c>
      <c r="EH396" s="16" t="s">
        <v>198</v>
      </c>
      <c r="EI396" s="17" t="s">
        <v>151</v>
      </c>
      <c r="EJ396" s="17" t="s">
        <v>151</v>
      </c>
      <c r="EK396" s="18" t="s">
        <v>151</v>
      </c>
      <c r="EL396" s="18" t="s">
        <v>151</v>
      </c>
      <c r="EM396" s="18" t="s">
        <v>151</v>
      </c>
      <c r="EN396" s="18" t="s">
        <v>151</v>
      </c>
      <c r="EO396" s="18" t="s">
        <v>151</v>
      </c>
      <c r="EP396" s="17" t="s">
        <v>151</v>
      </c>
      <c r="EQ396" s="16" t="s">
        <v>151</v>
      </c>
      <c r="ER396" s="16" t="s">
        <v>151</v>
      </c>
      <c r="ES396" s="3">
        <f>HYPERLINK("https://my.pitchbook.com?c=539592-76","View Company Online")</f>
      </c>
    </row>
    <row r="397">
      <c r="A397" s="30" t="s">
        <v>8529</v>
      </c>
      <c r="B397" s="30" t="s">
        <v>8530</v>
      </c>
      <c r="C397" s="31" t="s">
        <v>151</v>
      </c>
      <c r="D397" s="30" t="s">
        <v>151</v>
      </c>
      <c r="E397" s="30" t="s">
        <v>151</v>
      </c>
      <c r="F397" s="30" t="s">
        <v>8531</v>
      </c>
      <c r="G397" s="30" t="s">
        <v>151</v>
      </c>
      <c r="H397" s="30" t="s">
        <v>151</v>
      </c>
      <c r="I397" s="30" t="s">
        <v>151</v>
      </c>
      <c r="J397" s="30" t="s">
        <v>8529</v>
      </c>
      <c r="K397" s="30" t="s">
        <v>8532</v>
      </c>
      <c r="L397" s="30" t="s">
        <v>616</v>
      </c>
      <c r="M397" s="30" t="s">
        <v>834</v>
      </c>
      <c r="N397" s="30" t="s">
        <v>835</v>
      </c>
      <c r="O397" s="30" t="s">
        <v>8533</v>
      </c>
      <c r="P397" s="30" t="s">
        <v>6478</v>
      </c>
      <c r="Q397" s="30" t="s">
        <v>8534</v>
      </c>
      <c r="R397" s="30" t="s">
        <v>151</v>
      </c>
      <c r="S397" s="30" t="s">
        <v>162</v>
      </c>
      <c r="T397" s="37">
        <v>5</v>
      </c>
      <c r="U397" s="30" t="s">
        <v>163</v>
      </c>
      <c r="V397" s="30" t="s">
        <v>164</v>
      </c>
      <c r="W397" s="30" t="s">
        <v>165</v>
      </c>
      <c r="X397" s="28" t="s">
        <v>8535</v>
      </c>
      <c r="Y397" s="28" t="s">
        <v>8536</v>
      </c>
      <c r="Z397" s="40">
        <v>10</v>
      </c>
      <c r="AA397" s="30" t="s">
        <v>6436</v>
      </c>
      <c r="AB397" s="30" t="s">
        <v>151</v>
      </c>
      <c r="AC397" s="30" t="s">
        <v>151</v>
      </c>
      <c r="AD397" s="39">
        <v>2020</v>
      </c>
      <c r="AE397" s="30" t="s">
        <v>151</v>
      </c>
      <c r="AF397" s="35">
        <v>45595</v>
      </c>
      <c r="AG397" s="30" t="s">
        <v>151</v>
      </c>
      <c r="AH397" s="30" t="s">
        <v>151</v>
      </c>
      <c r="AI397" s="38" t="s">
        <v>151</v>
      </c>
      <c r="AJ397" s="32" t="s">
        <v>151</v>
      </c>
      <c r="AK397" s="38" t="s">
        <v>151</v>
      </c>
      <c r="AL397" s="38" t="s">
        <v>151</v>
      </c>
      <c r="AM397" s="38" t="s">
        <v>151</v>
      </c>
      <c r="AN397" s="38" t="s">
        <v>151</v>
      </c>
      <c r="AO397" s="38" t="s">
        <v>151</v>
      </c>
      <c r="AP397" s="38" t="s">
        <v>151</v>
      </c>
      <c r="AQ397" s="38" t="s">
        <v>151</v>
      </c>
      <c r="AR397" s="29" t="s">
        <v>151</v>
      </c>
      <c r="AS397" s="30" t="s">
        <v>701</v>
      </c>
      <c r="AT397" s="30" t="s">
        <v>8537</v>
      </c>
      <c r="AU397" s="31">
        <v>10</v>
      </c>
      <c r="AV397" s="30" t="s">
        <v>151</v>
      </c>
      <c r="AW397" s="30" t="s">
        <v>151</v>
      </c>
      <c r="AX397" s="30" t="s">
        <v>151</v>
      </c>
      <c r="AY397" s="30" t="s">
        <v>8538</v>
      </c>
      <c r="AZ397" s="30" t="s">
        <v>151</v>
      </c>
      <c r="BA397" s="30" t="s">
        <v>151</v>
      </c>
      <c r="BB397" s="30" t="s">
        <v>151</v>
      </c>
      <c r="BC397" s="30" t="s">
        <v>601</v>
      </c>
      <c r="BD397" s="30" t="s">
        <v>8539</v>
      </c>
      <c r="BE397" s="30" t="s">
        <v>8540</v>
      </c>
      <c r="BF397" s="30" t="s">
        <v>493</v>
      </c>
      <c r="BG397" s="30" t="s">
        <v>8541</v>
      </c>
      <c r="BH397" s="30" t="s">
        <v>8542</v>
      </c>
      <c r="BI397" s="30" t="s">
        <v>1808</v>
      </c>
      <c r="BJ397" s="30" t="s">
        <v>8543</v>
      </c>
      <c r="BK397" s="30" t="s">
        <v>1712</v>
      </c>
      <c r="BL397" s="30" t="s">
        <v>1811</v>
      </c>
      <c r="BM397" s="30" t="s">
        <v>525</v>
      </c>
      <c r="BN397" s="29" t="s">
        <v>1812</v>
      </c>
      <c r="BO397" s="30" t="s">
        <v>186</v>
      </c>
      <c r="BP397" s="29" t="s">
        <v>8542</v>
      </c>
      <c r="BQ397" s="29" t="s">
        <v>151</v>
      </c>
      <c r="BR397" s="30" t="s">
        <v>8544</v>
      </c>
      <c r="BS397" s="30" t="s">
        <v>187</v>
      </c>
      <c r="BT397" s="30" t="s">
        <v>188</v>
      </c>
      <c r="BU397" s="35">
        <v>44406</v>
      </c>
      <c r="BV397" s="37">
        <v>0.32</v>
      </c>
      <c r="BW397" s="30" t="s">
        <v>192</v>
      </c>
      <c r="BX397" s="37" t="s">
        <v>151</v>
      </c>
      <c r="BY397" s="30" t="s">
        <v>151</v>
      </c>
      <c r="BZ397" s="30" t="s">
        <v>501</v>
      </c>
      <c r="CA397" s="30" t="s">
        <v>151</v>
      </c>
      <c r="CB397" s="30" t="s">
        <v>151</v>
      </c>
      <c r="CC397" s="30" t="s">
        <v>190</v>
      </c>
      <c r="CD397" s="30" t="s">
        <v>151</v>
      </c>
      <c r="CE397" s="30" t="s">
        <v>191</v>
      </c>
      <c r="CF397" s="35" t="s">
        <v>151</v>
      </c>
      <c r="CG397" s="37" t="s">
        <v>151</v>
      </c>
      <c r="CH397" s="30" t="s">
        <v>151</v>
      </c>
      <c r="CI397" s="37" t="s">
        <v>151</v>
      </c>
      <c r="CJ397" s="30" t="s">
        <v>151</v>
      </c>
      <c r="CK397" s="29" t="s">
        <v>151</v>
      </c>
      <c r="CL397" s="30" t="s">
        <v>189</v>
      </c>
      <c r="CM397" s="30" t="s">
        <v>151</v>
      </c>
      <c r="CN397" s="30" t="s">
        <v>151</v>
      </c>
      <c r="CO397" s="30" t="s">
        <v>190</v>
      </c>
      <c r="CP397" s="35" t="s">
        <v>151</v>
      </c>
      <c r="CQ397" s="37" t="s">
        <v>151</v>
      </c>
      <c r="CR397" s="30" t="s">
        <v>151</v>
      </c>
      <c r="CS397" s="30" t="s">
        <v>191</v>
      </c>
      <c r="CT397" s="29" t="s">
        <v>151</v>
      </c>
      <c r="CU397" s="30" t="s">
        <v>151</v>
      </c>
      <c r="CV397" s="32" t="s">
        <v>151</v>
      </c>
      <c r="CW397" s="32" t="s">
        <v>151</v>
      </c>
      <c r="CX397" s="30" t="s">
        <v>151</v>
      </c>
      <c r="CY397" s="32" t="s">
        <v>151</v>
      </c>
      <c r="CZ397" s="32" t="s">
        <v>151</v>
      </c>
      <c r="DA397" s="37">
        <v>15</v>
      </c>
      <c r="DB397" s="35">
        <v>45154</v>
      </c>
      <c r="DC397" s="30" t="s">
        <v>293</v>
      </c>
      <c r="DD397" s="29" t="s">
        <v>151</v>
      </c>
      <c r="DE397" s="32">
        <v>0</v>
      </c>
      <c r="DF397" s="34">
        <v>11</v>
      </c>
      <c r="DG397" s="32">
        <v>0</v>
      </c>
      <c r="DH397" s="32">
        <v>0</v>
      </c>
      <c r="DI397" s="32">
        <v>0</v>
      </c>
      <c r="DJ397" s="34">
        <v>10</v>
      </c>
      <c r="DK397" s="32" t="s">
        <v>151</v>
      </c>
      <c r="DL397" s="34" t="s">
        <v>151</v>
      </c>
      <c r="DM397" s="32">
        <v>0</v>
      </c>
      <c r="DN397" s="34">
        <v>10</v>
      </c>
      <c r="DO397" s="36">
        <v>1.68</v>
      </c>
      <c r="DP397" s="34">
        <v>62</v>
      </c>
      <c r="DQ397" s="36">
        <v>0</v>
      </c>
      <c r="DR397" s="32">
        <v>0</v>
      </c>
      <c r="DS397" s="36">
        <v>1.68</v>
      </c>
      <c r="DT397" s="34">
        <v>62</v>
      </c>
      <c r="DU397" s="36" t="s">
        <v>151</v>
      </c>
      <c r="DV397" s="34" t="s">
        <v>151</v>
      </c>
      <c r="DW397" s="36">
        <v>1.68</v>
      </c>
      <c r="DX397" s="34">
        <v>61</v>
      </c>
      <c r="DY397" s="31" t="s">
        <v>151</v>
      </c>
      <c r="DZ397" s="35" t="s">
        <v>151</v>
      </c>
      <c r="EA397" s="35" t="s">
        <v>151</v>
      </c>
      <c r="EB397" s="34">
        <v>575</v>
      </c>
      <c r="EC397" s="33">
        <v>-77</v>
      </c>
      <c r="ED397" s="32">
        <v>-11.81</v>
      </c>
      <c r="EE397" s="34">
        <v>32</v>
      </c>
      <c r="EF397" s="33">
        <v>0</v>
      </c>
      <c r="EG397" s="32">
        <v>0</v>
      </c>
      <c r="EH397" s="29" t="s">
        <v>198</v>
      </c>
      <c r="EI397" s="30" t="s">
        <v>151</v>
      </c>
      <c r="EJ397" s="30" t="s">
        <v>151</v>
      </c>
      <c r="EK397" s="31" t="s">
        <v>151</v>
      </c>
      <c r="EL397" s="31" t="s">
        <v>151</v>
      </c>
      <c r="EM397" s="31" t="s">
        <v>151</v>
      </c>
      <c r="EN397" s="31" t="s">
        <v>151</v>
      </c>
      <c r="EO397" s="31" t="s">
        <v>151</v>
      </c>
      <c r="EP397" s="30" t="s">
        <v>151</v>
      </c>
      <c r="EQ397" s="29" t="s">
        <v>151</v>
      </c>
      <c r="ER397" s="29" t="s">
        <v>151</v>
      </c>
      <c r="ES397" s="4">
        <f>HYPERLINK("https://my.pitchbook.com?c=484099-39","View Company Online")</f>
      </c>
    </row>
    <row r="398">
      <c r="A398" s="17" t="s">
        <v>8545</v>
      </c>
      <c r="B398" s="17" t="s">
        <v>8546</v>
      </c>
      <c r="C398" s="18" t="s">
        <v>151</v>
      </c>
      <c r="D398" s="17" t="s">
        <v>151</v>
      </c>
      <c r="E398" s="17" t="s">
        <v>8547</v>
      </c>
      <c r="F398" s="17" t="s">
        <v>151</v>
      </c>
      <c r="G398" s="17" t="s">
        <v>151</v>
      </c>
      <c r="H398" s="17" t="s">
        <v>151</v>
      </c>
      <c r="I398" s="17" t="s">
        <v>151</v>
      </c>
      <c r="J398" s="17" t="s">
        <v>8545</v>
      </c>
      <c r="K398" s="17" t="s">
        <v>8548</v>
      </c>
      <c r="L398" s="17" t="s">
        <v>155</v>
      </c>
      <c r="M398" s="17" t="s">
        <v>239</v>
      </c>
      <c r="N398" s="17" t="s">
        <v>8549</v>
      </c>
      <c r="O398" s="17" t="s">
        <v>8550</v>
      </c>
      <c r="P398" s="17" t="s">
        <v>304</v>
      </c>
      <c r="Q398" s="17" t="s">
        <v>8551</v>
      </c>
      <c r="R398" s="17" t="s">
        <v>151</v>
      </c>
      <c r="S398" s="17" t="s">
        <v>162</v>
      </c>
      <c r="T398" s="24">
        <v>0.1</v>
      </c>
      <c r="U398" s="17" t="s">
        <v>163</v>
      </c>
      <c r="V398" s="17" t="s">
        <v>164</v>
      </c>
      <c r="W398" s="17" t="s">
        <v>165</v>
      </c>
      <c r="X398" s="15" t="s">
        <v>8552</v>
      </c>
      <c r="Y398" s="15" t="s">
        <v>8553</v>
      </c>
      <c r="Z398" s="27">
        <v>3</v>
      </c>
      <c r="AA398" s="17" t="s">
        <v>8554</v>
      </c>
      <c r="AB398" s="17" t="s">
        <v>151</v>
      </c>
      <c r="AC398" s="17" t="s">
        <v>151</v>
      </c>
      <c r="AD398" s="26">
        <v>2021</v>
      </c>
      <c r="AE398" s="17" t="s">
        <v>151</v>
      </c>
      <c r="AF398" s="22">
        <v>45454</v>
      </c>
      <c r="AG398" s="17" t="s">
        <v>151</v>
      </c>
      <c r="AH398" s="17" t="s">
        <v>151</v>
      </c>
      <c r="AI398" s="25" t="s">
        <v>151</v>
      </c>
      <c r="AJ398" s="19" t="s">
        <v>151</v>
      </c>
      <c r="AK398" s="25" t="s">
        <v>151</v>
      </c>
      <c r="AL398" s="25" t="s">
        <v>151</v>
      </c>
      <c r="AM398" s="25" t="s">
        <v>151</v>
      </c>
      <c r="AN398" s="25" t="s">
        <v>151</v>
      </c>
      <c r="AO398" s="25" t="s">
        <v>151</v>
      </c>
      <c r="AP398" s="25" t="s">
        <v>151</v>
      </c>
      <c r="AQ398" s="25" t="s">
        <v>151</v>
      </c>
      <c r="AR398" s="16" t="s">
        <v>151</v>
      </c>
      <c r="AS398" s="17" t="s">
        <v>8555</v>
      </c>
      <c r="AT398" s="17" t="s">
        <v>8556</v>
      </c>
      <c r="AU398" s="18">
        <v>4</v>
      </c>
      <c r="AV398" s="17" t="s">
        <v>151</v>
      </c>
      <c r="AW398" s="17" t="s">
        <v>151</v>
      </c>
      <c r="AX398" s="17" t="s">
        <v>8557</v>
      </c>
      <c r="AY398" s="17" t="s">
        <v>8558</v>
      </c>
      <c r="AZ398" s="17" t="s">
        <v>151</v>
      </c>
      <c r="BA398" s="17" t="s">
        <v>151</v>
      </c>
      <c r="BB398" s="17" t="s">
        <v>151</v>
      </c>
      <c r="BC398" s="17" t="s">
        <v>5675</v>
      </c>
      <c r="BD398" s="17" t="s">
        <v>8559</v>
      </c>
      <c r="BE398" s="17" t="s">
        <v>8560</v>
      </c>
      <c r="BF398" s="17" t="s">
        <v>403</v>
      </c>
      <c r="BG398" s="17" t="s">
        <v>151</v>
      </c>
      <c r="BH398" s="17" t="s">
        <v>151</v>
      </c>
      <c r="BI398" s="17" t="s">
        <v>224</v>
      </c>
      <c r="BJ398" s="17" t="s">
        <v>151</v>
      </c>
      <c r="BK398" s="17" t="s">
        <v>151</v>
      </c>
      <c r="BL398" s="17" t="s">
        <v>227</v>
      </c>
      <c r="BM398" s="17" t="s">
        <v>184</v>
      </c>
      <c r="BN398" s="16" t="s">
        <v>151</v>
      </c>
      <c r="BO398" s="17" t="s">
        <v>186</v>
      </c>
      <c r="BP398" s="16" t="s">
        <v>151</v>
      </c>
      <c r="BQ398" s="16" t="s">
        <v>151</v>
      </c>
      <c r="BR398" s="17" t="s">
        <v>151</v>
      </c>
      <c r="BS398" s="17" t="s">
        <v>187</v>
      </c>
      <c r="BT398" s="17" t="s">
        <v>188</v>
      </c>
      <c r="BU398" s="22">
        <v>44835</v>
      </c>
      <c r="BV398" s="24">
        <v>0.1</v>
      </c>
      <c r="BW398" s="17" t="s">
        <v>192</v>
      </c>
      <c r="BX398" s="24" t="s">
        <v>151</v>
      </c>
      <c r="BY398" s="17" t="s">
        <v>151</v>
      </c>
      <c r="BZ398" s="17" t="s">
        <v>231</v>
      </c>
      <c r="CA398" s="17" t="s">
        <v>151</v>
      </c>
      <c r="CB398" s="17" t="s">
        <v>151</v>
      </c>
      <c r="CC398" s="17" t="s">
        <v>165</v>
      </c>
      <c r="CD398" s="17" t="s">
        <v>151</v>
      </c>
      <c r="CE398" s="17" t="s">
        <v>191</v>
      </c>
      <c r="CF398" s="22" t="s">
        <v>8561</v>
      </c>
      <c r="CG398" s="24" t="s">
        <v>151</v>
      </c>
      <c r="CH398" s="17" t="s">
        <v>151</v>
      </c>
      <c r="CI398" s="24" t="s">
        <v>151</v>
      </c>
      <c r="CJ398" s="17" t="s">
        <v>151</v>
      </c>
      <c r="CK398" s="16" t="s">
        <v>151</v>
      </c>
      <c r="CL398" s="17" t="s">
        <v>858</v>
      </c>
      <c r="CM398" s="17" t="s">
        <v>151</v>
      </c>
      <c r="CN398" s="17" t="s">
        <v>151</v>
      </c>
      <c r="CO398" s="17" t="s">
        <v>585</v>
      </c>
      <c r="CP398" s="22" t="s">
        <v>8561</v>
      </c>
      <c r="CQ398" s="24" t="s">
        <v>151</v>
      </c>
      <c r="CR398" s="17" t="s">
        <v>151</v>
      </c>
      <c r="CS398" s="17" t="s">
        <v>1125</v>
      </c>
      <c r="CT398" s="16">
        <v>29</v>
      </c>
      <c r="CU398" s="17" t="s">
        <v>263</v>
      </c>
      <c r="CV398" s="19">
        <v>29</v>
      </c>
      <c r="CW398" s="19">
        <v>71</v>
      </c>
      <c r="CX398" s="17" t="s">
        <v>263</v>
      </c>
      <c r="CY398" s="19">
        <v>1</v>
      </c>
      <c r="CZ398" s="19">
        <v>28</v>
      </c>
      <c r="DA398" s="24" t="s">
        <v>151</v>
      </c>
      <c r="DB398" s="22" t="s">
        <v>151</v>
      </c>
      <c r="DC398" s="17" t="s">
        <v>151</v>
      </c>
      <c r="DD398" s="16" t="s">
        <v>151</v>
      </c>
      <c r="DE398" s="19">
        <v>0</v>
      </c>
      <c r="DF398" s="21">
        <v>11</v>
      </c>
      <c r="DG398" s="19">
        <v>0</v>
      </c>
      <c r="DH398" s="19">
        <v>0</v>
      </c>
      <c r="DI398" s="19">
        <v>0</v>
      </c>
      <c r="DJ398" s="21">
        <v>10</v>
      </c>
      <c r="DK398" s="19" t="s">
        <v>151</v>
      </c>
      <c r="DL398" s="21" t="s">
        <v>151</v>
      </c>
      <c r="DM398" s="19">
        <v>0</v>
      </c>
      <c r="DN398" s="21">
        <v>10</v>
      </c>
      <c r="DO398" s="23">
        <v>1.04</v>
      </c>
      <c r="DP398" s="21">
        <v>51</v>
      </c>
      <c r="DQ398" s="23">
        <v>0</v>
      </c>
      <c r="DR398" s="19">
        <v>0</v>
      </c>
      <c r="DS398" s="23">
        <v>1.84</v>
      </c>
      <c r="DT398" s="21">
        <v>64</v>
      </c>
      <c r="DU398" s="23" t="s">
        <v>151</v>
      </c>
      <c r="DV398" s="21" t="s">
        <v>151</v>
      </c>
      <c r="DW398" s="23">
        <v>1.84</v>
      </c>
      <c r="DX398" s="21">
        <v>64</v>
      </c>
      <c r="DY398" s="18" t="s">
        <v>151</v>
      </c>
      <c r="DZ398" s="22" t="s">
        <v>151</v>
      </c>
      <c r="EA398" s="22" t="s">
        <v>151</v>
      </c>
      <c r="EB398" s="21">
        <v>0</v>
      </c>
      <c r="EC398" s="20">
        <v>-42</v>
      </c>
      <c r="ED398" s="19">
        <v>-100</v>
      </c>
      <c r="EE398" s="21">
        <v>35</v>
      </c>
      <c r="EF398" s="20">
        <v>0</v>
      </c>
      <c r="EG398" s="19">
        <v>0</v>
      </c>
      <c r="EH398" s="16" t="s">
        <v>198</v>
      </c>
      <c r="EI398" s="17" t="s">
        <v>151</v>
      </c>
      <c r="EJ398" s="17" t="s">
        <v>151</v>
      </c>
      <c r="EK398" s="18" t="s">
        <v>151</v>
      </c>
      <c r="EL398" s="18" t="s">
        <v>151</v>
      </c>
      <c r="EM398" s="18" t="s">
        <v>151</v>
      </c>
      <c r="EN398" s="18" t="s">
        <v>151</v>
      </c>
      <c r="EO398" s="18" t="s">
        <v>151</v>
      </c>
      <c r="EP398" s="17" t="s">
        <v>151</v>
      </c>
      <c r="EQ398" s="16" t="s">
        <v>151</v>
      </c>
      <c r="ER398" s="16" t="s">
        <v>151</v>
      </c>
      <c r="ES398" s="3">
        <f>HYPERLINK("https://my.pitchbook.com?c=510694-57","View Company Online")</f>
      </c>
    </row>
    <row r="399">
      <c r="A399" s="30" t="s">
        <v>8562</v>
      </c>
      <c r="B399" s="30" t="s">
        <v>8563</v>
      </c>
      <c r="C399" s="31" t="s">
        <v>151</v>
      </c>
      <c r="D399" s="30" t="s">
        <v>151</v>
      </c>
      <c r="E399" s="30" t="s">
        <v>151</v>
      </c>
      <c r="F399" s="30" t="s">
        <v>8564</v>
      </c>
      <c r="G399" s="30" t="s">
        <v>151</v>
      </c>
      <c r="H399" s="30" t="s">
        <v>151</v>
      </c>
      <c r="I399" s="30" t="s">
        <v>151</v>
      </c>
      <c r="J399" s="30" t="s">
        <v>8562</v>
      </c>
      <c r="K399" s="30" t="s">
        <v>8565</v>
      </c>
      <c r="L399" s="30" t="s">
        <v>205</v>
      </c>
      <c r="M399" s="30" t="s">
        <v>8566</v>
      </c>
      <c r="N399" s="30" t="s">
        <v>8567</v>
      </c>
      <c r="O399" s="30" t="s">
        <v>8568</v>
      </c>
      <c r="P399" s="30" t="s">
        <v>151</v>
      </c>
      <c r="Q399" s="30" t="s">
        <v>8569</v>
      </c>
      <c r="R399" s="30" t="s">
        <v>151</v>
      </c>
      <c r="S399" s="30" t="s">
        <v>162</v>
      </c>
      <c r="T399" s="37">
        <v>7.5</v>
      </c>
      <c r="U399" s="30" t="s">
        <v>163</v>
      </c>
      <c r="V399" s="30" t="s">
        <v>164</v>
      </c>
      <c r="W399" s="30" t="s">
        <v>165</v>
      </c>
      <c r="X399" s="28" t="s">
        <v>8570</v>
      </c>
      <c r="Y399" s="28" t="s">
        <v>8571</v>
      </c>
      <c r="Z399" s="40">
        <v>10</v>
      </c>
      <c r="AA399" s="30" t="s">
        <v>6945</v>
      </c>
      <c r="AB399" s="30" t="s">
        <v>151</v>
      </c>
      <c r="AC399" s="30" t="s">
        <v>151</v>
      </c>
      <c r="AD399" s="39">
        <v>2016</v>
      </c>
      <c r="AE399" s="30" t="s">
        <v>151</v>
      </c>
      <c r="AF399" s="35">
        <v>45482</v>
      </c>
      <c r="AG399" s="30" t="s">
        <v>151</v>
      </c>
      <c r="AH399" s="30" t="s">
        <v>151</v>
      </c>
      <c r="AI399" s="38" t="s">
        <v>151</v>
      </c>
      <c r="AJ399" s="32" t="s">
        <v>151</v>
      </c>
      <c r="AK399" s="38" t="s">
        <v>151</v>
      </c>
      <c r="AL399" s="38" t="s">
        <v>151</v>
      </c>
      <c r="AM399" s="38" t="s">
        <v>151</v>
      </c>
      <c r="AN399" s="38" t="s">
        <v>151</v>
      </c>
      <c r="AO399" s="38" t="s">
        <v>151</v>
      </c>
      <c r="AP399" s="38" t="s">
        <v>151</v>
      </c>
      <c r="AQ399" s="38" t="s">
        <v>151</v>
      </c>
      <c r="AR399" s="29" t="s">
        <v>151</v>
      </c>
      <c r="AS399" s="30" t="s">
        <v>8572</v>
      </c>
      <c r="AT399" s="30" t="s">
        <v>8573</v>
      </c>
      <c r="AU399" s="31">
        <v>9</v>
      </c>
      <c r="AV399" s="30" t="s">
        <v>151</v>
      </c>
      <c r="AW399" s="30" t="s">
        <v>151</v>
      </c>
      <c r="AX399" s="30" t="s">
        <v>151</v>
      </c>
      <c r="AY399" s="30" t="s">
        <v>8574</v>
      </c>
      <c r="AZ399" s="30" t="s">
        <v>151</v>
      </c>
      <c r="BA399" s="30" t="s">
        <v>151</v>
      </c>
      <c r="BB399" s="30" t="s">
        <v>151</v>
      </c>
      <c r="BC399" s="30" t="s">
        <v>490</v>
      </c>
      <c r="BD399" s="30" t="s">
        <v>8575</v>
      </c>
      <c r="BE399" s="30" t="s">
        <v>8576</v>
      </c>
      <c r="BF399" s="30" t="s">
        <v>1118</v>
      </c>
      <c r="BG399" s="30" t="s">
        <v>8577</v>
      </c>
      <c r="BH399" s="30" t="s">
        <v>151</v>
      </c>
      <c r="BI399" s="30" t="s">
        <v>764</v>
      </c>
      <c r="BJ399" s="30" t="s">
        <v>8578</v>
      </c>
      <c r="BK399" s="30" t="s">
        <v>151</v>
      </c>
      <c r="BL399" s="30" t="s">
        <v>767</v>
      </c>
      <c r="BM399" s="30" t="s">
        <v>184</v>
      </c>
      <c r="BN399" s="29" t="s">
        <v>5006</v>
      </c>
      <c r="BO399" s="30" t="s">
        <v>186</v>
      </c>
      <c r="BP399" s="29" t="s">
        <v>151</v>
      </c>
      <c r="BQ399" s="29" t="s">
        <v>151</v>
      </c>
      <c r="BR399" s="30" t="s">
        <v>8579</v>
      </c>
      <c r="BS399" s="30" t="s">
        <v>187</v>
      </c>
      <c r="BT399" s="30" t="s">
        <v>188</v>
      </c>
      <c r="BU399" s="35">
        <v>44181</v>
      </c>
      <c r="BV399" s="37" t="s">
        <v>151</v>
      </c>
      <c r="BW399" s="30" t="s">
        <v>151</v>
      </c>
      <c r="BX399" s="37" t="s">
        <v>151</v>
      </c>
      <c r="BY399" s="30" t="s">
        <v>151</v>
      </c>
      <c r="BZ399" s="30" t="s">
        <v>189</v>
      </c>
      <c r="CA399" s="30" t="s">
        <v>151</v>
      </c>
      <c r="CB399" s="30" t="s">
        <v>151</v>
      </c>
      <c r="CC399" s="30" t="s">
        <v>190</v>
      </c>
      <c r="CD399" s="30" t="s">
        <v>151</v>
      </c>
      <c r="CE399" s="30" t="s">
        <v>191</v>
      </c>
      <c r="CF399" s="35">
        <v>44358</v>
      </c>
      <c r="CG399" s="37">
        <v>7.5</v>
      </c>
      <c r="CH399" s="30" t="s">
        <v>192</v>
      </c>
      <c r="CI399" s="37">
        <v>22.5</v>
      </c>
      <c r="CJ399" s="30" t="s">
        <v>192</v>
      </c>
      <c r="CK399" s="29" t="s">
        <v>151</v>
      </c>
      <c r="CL399" s="30" t="s">
        <v>293</v>
      </c>
      <c r="CM399" s="30" t="s">
        <v>293</v>
      </c>
      <c r="CN399" s="30" t="s">
        <v>151</v>
      </c>
      <c r="CO399" s="30" t="s">
        <v>165</v>
      </c>
      <c r="CP399" s="35">
        <v>44358</v>
      </c>
      <c r="CQ399" s="37" t="s">
        <v>151</v>
      </c>
      <c r="CR399" s="30" t="s">
        <v>151</v>
      </c>
      <c r="CS399" s="30" t="s">
        <v>191</v>
      </c>
      <c r="CT399" s="29" t="s">
        <v>151</v>
      </c>
      <c r="CU399" s="30" t="s">
        <v>151</v>
      </c>
      <c r="CV399" s="32" t="s">
        <v>151</v>
      </c>
      <c r="CW399" s="32" t="s">
        <v>151</v>
      </c>
      <c r="CX399" s="30" t="s">
        <v>151</v>
      </c>
      <c r="CY399" s="32" t="s">
        <v>151</v>
      </c>
      <c r="CZ399" s="32" t="s">
        <v>151</v>
      </c>
      <c r="DA399" s="37">
        <v>22.5</v>
      </c>
      <c r="DB399" s="35">
        <v>44358</v>
      </c>
      <c r="DC399" s="30" t="s">
        <v>293</v>
      </c>
      <c r="DD399" s="29" t="s">
        <v>151</v>
      </c>
      <c r="DE399" s="32">
        <v>0</v>
      </c>
      <c r="DF399" s="34">
        <v>11</v>
      </c>
      <c r="DG399" s="32">
        <v>0</v>
      </c>
      <c r="DH399" s="32">
        <v>0</v>
      </c>
      <c r="DI399" s="32">
        <v>0</v>
      </c>
      <c r="DJ399" s="34">
        <v>10</v>
      </c>
      <c r="DK399" s="32" t="s">
        <v>151</v>
      </c>
      <c r="DL399" s="34" t="s">
        <v>151</v>
      </c>
      <c r="DM399" s="32">
        <v>0</v>
      </c>
      <c r="DN399" s="34">
        <v>10</v>
      </c>
      <c r="DO399" s="36">
        <v>2.21</v>
      </c>
      <c r="DP399" s="34">
        <v>68</v>
      </c>
      <c r="DQ399" s="36">
        <v>0</v>
      </c>
      <c r="DR399" s="32">
        <v>0</v>
      </c>
      <c r="DS399" s="36">
        <v>2.21</v>
      </c>
      <c r="DT399" s="34">
        <v>68</v>
      </c>
      <c r="DU399" s="36" t="s">
        <v>151</v>
      </c>
      <c r="DV399" s="34" t="s">
        <v>151</v>
      </c>
      <c r="DW399" s="36">
        <v>2.21</v>
      </c>
      <c r="DX399" s="34">
        <v>68</v>
      </c>
      <c r="DY399" s="31" t="s">
        <v>151</v>
      </c>
      <c r="DZ399" s="35" t="s">
        <v>151</v>
      </c>
      <c r="EA399" s="35" t="s">
        <v>151</v>
      </c>
      <c r="EB399" s="34" t="s">
        <v>151</v>
      </c>
      <c r="EC399" s="33" t="s">
        <v>151</v>
      </c>
      <c r="ED399" s="32" t="s">
        <v>151</v>
      </c>
      <c r="EE399" s="34">
        <v>42</v>
      </c>
      <c r="EF399" s="33">
        <v>0</v>
      </c>
      <c r="EG399" s="32">
        <v>0</v>
      </c>
      <c r="EH399" s="29" t="s">
        <v>198</v>
      </c>
      <c r="EI399" s="30" t="s">
        <v>151</v>
      </c>
      <c r="EJ399" s="30" t="s">
        <v>151</v>
      </c>
      <c r="EK399" s="31" t="s">
        <v>151</v>
      </c>
      <c r="EL399" s="31" t="s">
        <v>151</v>
      </c>
      <c r="EM399" s="31" t="s">
        <v>151</v>
      </c>
      <c r="EN399" s="31" t="s">
        <v>151</v>
      </c>
      <c r="EO399" s="31" t="s">
        <v>151</v>
      </c>
      <c r="EP399" s="30" t="s">
        <v>151</v>
      </c>
      <c r="EQ399" s="29" t="s">
        <v>151</v>
      </c>
      <c r="ER399" s="29" t="s">
        <v>151</v>
      </c>
      <c r="ES399" s="4">
        <f>HYPERLINK("https://my.pitchbook.com?c=300282-94","View Company Online")</f>
      </c>
    </row>
    <row r="400">
      <c r="A400" s="17" t="s">
        <v>8580</v>
      </c>
      <c r="B400" s="17" t="s">
        <v>8581</v>
      </c>
      <c r="C400" s="18" t="s">
        <v>151</v>
      </c>
      <c r="D400" s="17" t="s">
        <v>151</v>
      </c>
      <c r="E400" s="17" t="s">
        <v>151</v>
      </c>
      <c r="F400" s="17" t="s">
        <v>8582</v>
      </c>
      <c r="G400" s="17" t="s">
        <v>151</v>
      </c>
      <c r="H400" s="17" t="s">
        <v>151</v>
      </c>
      <c r="I400" s="17" t="s">
        <v>8583</v>
      </c>
      <c r="J400" s="17" t="s">
        <v>8580</v>
      </c>
      <c r="K400" s="17" t="s">
        <v>8584</v>
      </c>
      <c r="L400" s="17" t="s">
        <v>1792</v>
      </c>
      <c r="M400" s="17" t="s">
        <v>2199</v>
      </c>
      <c r="N400" s="17" t="s">
        <v>2200</v>
      </c>
      <c r="O400" s="17" t="s">
        <v>8585</v>
      </c>
      <c r="P400" s="17" t="s">
        <v>8586</v>
      </c>
      <c r="Q400" s="17" t="s">
        <v>8587</v>
      </c>
      <c r="R400" s="17" t="s">
        <v>151</v>
      </c>
      <c r="S400" s="17" t="s">
        <v>162</v>
      </c>
      <c r="T400" s="24">
        <v>7.58</v>
      </c>
      <c r="U400" s="17" t="s">
        <v>163</v>
      </c>
      <c r="V400" s="17" t="s">
        <v>164</v>
      </c>
      <c r="W400" s="17" t="s">
        <v>165</v>
      </c>
      <c r="X400" s="15" t="s">
        <v>8588</v>
      </c>
      <c r="Y400" s="15" t="s">
        <v>8589</v>
      </c>
      <c r="Z400" s="27">
        <v>27</v>
      </c>
      <c r="AA400" s="17" t="s">
        <v>8590</v>
      </c>
      <c r="AB400" s="17" t="s">
        <v>151</v>
      </c>
      <c r="AC400" s="17" t="s">
        <v>151</v>
      </c>
      <c r="AD400" s="26">
        <v>2016</v>
      </c>
      <c r="AE400" s="17" t="s">
        <v>151</v>
      </c>
      <c r="AF400" s="22">
        <v>45596</v>
      </c>
      <c r="AG400" s="17" t="s">
        <v>151</v>
      </c>
      <c r="AH400" s="17" t="s">
        <v>151</v>
      </c>
      <c r="AI400" s="25" t="s">
        <v>151</v>
      </c>
      <c r="AJ400" s="19" t="s">
        <v>151</v>
      </c>
      <c r="AK400" s="25" t="s">
        <v>151</v>
      </c>
      <c r="AL400" s="25" t="s">
        <v>151</v>
      </c>
      <c r="AM400" s="25" t="s">
        <v>151</v>
      </c>
      <c r="AN400" s="25" t="s">
        <v>151</v>
      </c>
      <c r="AO400" s="25" t="s">
        <v>151</v>
      </c>
      <c r="AP400" s="25" t="s">
        <v>151</v>
      </c>
      <c r="AQ400" s="25" t="s">
        <v>151</v>
      </c>
      <c r="AR400" s="16" t="s">
        <v>151</v>
      </c>
      <c r="AS400" s="17" t="s">
        <v>8591</v>
      </c>
      <c r="AT400" s="17" t="s">
        <v>8592</v>
      </c>
      <c r="AU400" s="18">
        <v>15</v>
      </c>
      <c r="AV400" s="17" t="s">
        <v>151</v>
      </c>
      <c r="AW400" s="17" t="s">
        <v>151</v>
      </c>
      <c r="AX400" s="17" t="s">
        <v>151</v>
      </c>
      <c r="AY400" s="17" t="s">
        <v>8593</v>
      </c>
      <c r="AZ400" s="17" t="s">
        <v>151</v>
      </c>
      <c r="BA400" s="17" t="s">
        <v>151</v>
      </c>
      <c r="BB400" s="17" t="s">
        <v>151</v>
      </c>
      <c r="BC400" s="17" t="s">
        <v>3711</v>
      </c>
      <c r="BD400" s="17" t="s">
        <v>8594</v>
      </c>
      <c r="BE400" s="17" t="s">
        <v>8595</v>
      </c>
      <c r="BF400" s="17" t="s">
        <v>221</v>
      </c>
      <c r="BG400" s="17" t="s">
        <v>8596</v>
      </c>
      <c r="BH400" s="17" t="s">
        <v>8597</v>
      </c>
      <c r="BI400" s="17" t="s">
        <v>8215</v>
      </c>
      <c r="BJ400" s="17" t="s">
        <v>8598</v>
      </c>
      <c r="BK400" s="17" t="s">
        <v>8599</v>
      </c>
      <c r="BL400" s="17" t="s">
        <v>8218</v>
      </c>
      <c r="BM400" s="17" t="s">
        <v>184</v>
      </c>
      <c r="BN400" s="16" t="s">
        <v>8219</v>
      </c>
      <c r="BO400" s="17" t="s">
        <v>186</v>
      </c>
      <c r="BP400" s="16" t="s">
        <v>8597</v>
      </c>
      <c r="BQ400" s="16" t="s">
        <v>151</v>
      </c>
      <c r="BR400" s="17" t="s">
        <v>8600</v>
      </c>
      <c r="BS400" s="17" t="s">
        <v>187</v>
      </c>
      <c r="BT400" s="17" t="s">
        <v>188</v>
      </c>
      <c r="BU400" s="22">
        <v>42643</v>
      </c>
      <c r="BV400" s="24">
        <v>0.03</v>
      </c>
      <c r="BW400" s="17" t="s">
        <v>192</v>
      </c>
      <c r="BX400" s="24" t="s">
        <v>151</v>
      </c>
      <c r="BY400" s="17" t="s">
        <v>151</v>
      </c>
      <c r="BZ400" s="17" t="s">
        <v>189</v>
      </c>
      <c r="CA400" s="17" t="s">
        <v>151</v>
      </c>
      <c r="CB400" s="17" t="s">
        <v>151</v>
      </c>
      <c r="CC400" s="17" t="s">
        <v>190</v>
      </c>
      <c r="CD400" s="17" t="s">
        <v>151</v>
      </c>
      <c r="CE400" s="17" t="s">
        <v>191</v>
      </c>
      <c r="CF400" s="22" t="s">
        <v>151</v>
      </c>
      <c r="CG400" s="24" t="s">
        <v>151</v>
      </c>
      <c r="CH400" s="17" t="s">
        <v>151</v>
      </c>
      <c r="CI400" s="24" t="s">
        <v>151</v>
      </c>
      <c r="CJ400" s="17" t="s">
        <v>151</v>
      </c>
      <c r="CK400" s="16">
        <v>1</v>
      </c>
      <c r="CL400" s="17" t="s">
        <v>189</v>
      </c>
      <c r="CM400" s="17" t="s">
        <v>151</v>
      </c>
      <c r="CN400" s="17" t="s">
        <v>151</v>
      </c>
      <c r="CO400" s="17" t="s">
        <v>190</v>
      </c>
      <c r="CP400" s="22" t="s">
        <v>151</v>
      </c>
      <c r="CQ400" s="24" t="s">
        <v>151</v>
      </c>
      <c r="CR400" s="17" t="s">
        <v>151</v>
      </c>
      <c r="CS400" s="17" t="s">
        <v>191</v>
      </c>
      <c r="CT400" s="16">
        <v>47</v>
      </c>
      <c r="CU400" s="17" t="s">
        <v>263</v>
      </c>
      <c r="CV400" s="19">
        <v>46</v>
      </c>
      <c r="CW400" s="19">
        <v>54</v>
      </c>
      <c r="CX400" s="17" t="s">
        <v>263</v>
      </c>
      <c r="CY400" s="19">
        <v>1</v>
      </c>
      <c r="CZ400" s="19">
        <v>45</v>
      </c>
      <c r="DA400" s="24">
        <v>15.7</v>
      </c>
      <c r="DB400" s="22">
        <v>44227</v>
      </c>
      <c r="DC400" s="17" t="s">
        <v>293</v>
      </c>
      <c r="DD400" s="16">
        <v>1</v>
      </c>
      <c r="DE400" s="19">
        <v>0.57</v>
      </c>
      <c r="DF400" s="21">
        <v>94</v>
      </c>
      <c r="DG400" s="19">
        <v>0</v>
      </c>
      <c r="DH400" s="19">
        <v>0</v>
      </c>
      <c r="DI400" s="19">
        <v>-0.36</v>
      </c>
      <c r="DJ400" s="21">
        <v>8</v>
      </c>
      <c r="DK400" s="19" t="s">
        <v>151</v>
      </c>
      <c r="DL400" s="21" t="s">
        <v>151</v>
      </c>
      <c r="DM400" s="19">
        <v>-0.36</v>
      </c>
      <c r="DN400" s="21">
        <v>8</v>
      </c>
      <c r="DO400" s="23">
        <v>10.83</v>
      </c>
      <c r="DP400" s="21">
        <v>91</v>
      </c>
      <c r="DQ400" s="23">
        <v>0</v>
      </c>
      <c r="DR400" s="19">
        <v>0</v>
      </c>
      <c r="DS400" s="23">
        <v>19.58</v>
      </c>
      <c r="DT400" s="21">
        <v>95</v>
      </c>
      <c r="DU400" s="23" t="s">
        <v>151</v>
      </c>
      <c r="DV400" s="21" t="s">
        <v>151</v>
      </c>
      <c r="DW400" s="23">
        <v>19.58</v>
      </c>
      <c r="DX400" s="21">
        <v>95</v>
      </c>
      <c r="DY400" s="18" t="s">
        <v>151</v>
      </c>
      <c r="DZ400" s="22" t="s">
        <v>151</v>
      </c>
      <c r="EA400" s="22" t="s">
        <v>151</v>
      </c>
      <c r="EB400" s="21">
        <v>885</v>
      </c>
      <c r="EC400" s="20">
        <v>-64</v>
      </c>
      <c r="ED400" s="19">
        <v>-6.74</v>
      </c>
      <c r="EE400" s="21">
        <v>372</v>
      </c>
      <c r="EF400" s="20">
        <v>-1</v>
      </c>
      <c r="EG400" s="19">
        <v>-0.27</v>
      </c>
      <c r="EH400" s="16" t="s">
        <v>198</v>
      </c>
      <c r="EI400" s="17" t="s">
        <v>151</v>
      </c>
      <c r="EJ400" s="17" t="s">
        <v>151</v>
      </c>
      <c r="EK400" s="18" t="s">
        <v>151</v>
      </c>
      <c r="EL400" s="18" t="s">
        <v>151</v>
      </c>
      <c r="EM400" s="18" t="s">
        <v>151</v>
      </c>
      <c r="EN400" s="18" t="s">
        <v>151</v>
      </c>
      <c r="EO400" s="18" t="s">
        <v>151</v>
      </c>
      <c r="EP400" s="17" t="s">
        <v>151</v>
      </c>
      <c r="EQ400" s="16" t="s">
        <v>151</v>
      </c>
      <c r="ER400" s="16" t="s">
        <v>151</v>
      </c>
      <c r="ES400" s="3">
        <f>HYPERLINK("https://my.pitchbook.com?c=167043-61","View Company Online")</f>
      </c>
    </row>
    <row r="401">
      <c r="A401" s="30" t="s">
        <v>8601</v>
      </c>
      <c r="B401" s="30" t="s">
        <v>8602</v>
      </c>
      <c r="C401" s="31" t="s">
        <v>151</v>
      </c>
      <c r="D401" s="30" t="s">
        <v>151</v>
      </c>
      <c r="E401" s="30" t="s">
        <v>151</v>
      </c>
      <c r="F401" s="30" t="s">
        <v>8603</v>
      </c>
      <c r="G401" s="30" t="s">
        <v>151</v>
      </c>
      <c r="H401" s="30" t="s">
        <v>151</v>
      </c>
      <c r="I401" s="30" t="s">
        <v>151</v>
      </c>
      <c r="J401" s="30" t="s">
        <v>8601</v>
      </c>
      <c r="K401" s="30" t="s">
        <v>8604</v>
      </c>
      <c r="L401" s="30" t="s">
        <v>205</v>
      </c>
      <c r="M401" s="30" t="s">
        <v>206</v>
      </c>
      <c r="N401" s="30" t="s">
        <v>269</v>
      </c>
      <c r="O401" s="30" t="s">
        <v>563</v>
      </c>
      <c r="P401" s="30" t="s">
        <v>8605</v>
      </c>
      <c r="Q401" s="30" t="s">
        <v>8606</v>
      </c>
      <c r="R401" s="30" t="s">
        <v>8607</v>
      </c>
      <c r="S401" s="30" t="s">
        <v>162</v>
      </c>
      <c r="T401" s="37">
        <v>5.93</v>
      </c>
      <c r="U401" s="30" t="s">
        <v>163</v>
      </c>
      <c r="V401" s="30" t="s">
        <v>164</v>
      </c>
      <c r="W401" s="30" t="s">
        <v>165</v>
      </c>
      <c r="X401" s="28" t="s">
        <v>8608</v>
      </c>
      <c r="Y401" s="28" t="s">
        <v>8609</v>
      </c>
      <c r="Z401" s="40">
        <v>9</v>
      </c>
      <c r="AA401" s="30" t="s">
        <v>5474</v>
      </c>
      <c r="AB401" s="30" t="s">
        <v>151</v>
      </c>
      <c r="AC401" s="30" t="s">
        <v>151</v>
      </c>
      <c r="AD401" s="39">
        <v>2022</v>
      </c>
      <c r="AE401" s="30" t="s">
        <v>151</v>
      </c>
      <c r="AF401" s="35">
        <v>45259</v>
      </c>
      <c r="AG401" s="30" t="s">
        <v>151</v>
      </c>
      <c r="AH401" s="30" t="s">
        <v>151</v>
      </c>
      <c r="AI401" s="38" t="s">
        <v>151</v>
      </c>
      <c r="AJ401" s="32" t="s">
        <v>151</v>
      </c>
      <c r="AK401" s="38" t="s">
        <v>151</v>
      </c>
      <c r="AL401" s="38" t="s">
        <v>151</v>
      </c>
      <c r="AM401" s="38" t="s">
        <v>151</v>
      </c>
      <c r="AN401" s="38" t="s">
        <v>151</v>
      </c>
      <c r="AO401" s="38" t="s">
        <v>151</v>
      </c>
      <c r="AP401" s="38" t="s">
        <v>151</v>
      </c>
      <c r="AQ401" s="38" t="s">
        <v>151</v>
      </c>
      <c r="AR401" s="29" t="s">
        <v>151</v>
      </c>
      <c r="AS401" s="30" t="s">
        <v>8610</v>
      </c>
      <c r="AT401" s="30" t="s">
        <v>8611</v>
      </c>
      <c r="AU401" s="31">
        <v>2</v>
      </c>
      <c r="AV401" s="30" t="s">
        <v>151</v>
      </c>
      <c r="AW401" s="30" t="s">
        <v>151</v>
      </c>
      <c r="AX401" s="30" t="s">
        <v>151</v>
      </c>
      <c r="AY401" s="30" t="s">
        <v>8612</v>
      </c>
      <c r="AZ401" s="30" t="s">
        <v>151</v>
      </c>
      <c r="BA401" s="30" t="s">
        <v>151</v>
      </c>
      <c r="BB401" s="30" t="s">
        <v>151</v>
      </c>
      <c r="BC401" s="30" t="s">
        <v>151</v>
      </c>
      <c r="BD401" s="30" t="s">
        <v>8613</v>
      </c>
      <c r="BE401" s="30" t="s">
        <v>8614</v>
      </c>
      <c r="BF401" s="30" t="s">
        <v>493</v>
      </c>
      <c r="BG401" s="30" t="s">
        <v>8615</v>
      </c>
      <c r="BH401" s="30" t="s">
        <v>8616</v>
      </c>
      <c r="BI401" s="30" t="s">
        <v>5030</v>
      </c>
      <c r="BJ401" s="30" t="s">
        <v>8617</v>
      </c>
      <c r="BK401" s="30" t="s">
        <v>8618</v>
      </c>
      <c r="BL401" s="30" t="s">
        <v>5032</v>
      </c>
      <c r="BM401" s="30" t="s">
        <v>3217</v>
      </c>
      <c r="BN401" s="29" t="s">
        <v>8619</v>
      </c>
      <c r="BO401" s="30" t="s">
        <v>186</v>
      </c>
      <c r="BP401" s="29" t="s">
        <v>8620</v>
      </c>
      <c r="BQ401" s="29" t="s">
        <v>151</v>
      </c>
      <c r="BR401" s="30" t="s">
        <v>8621</v>
      </c>
      <c r="BS401" s="30" t="s">
        <v>187</v>
      </c>
      <c r="BT401" s="30" t="s">
        <v>188</v>
      </c>
      <c r="BU401" s="35">
        <v>44811</v>
      </c>
      <c r="BV401" s="37">
        <v>3</v>
      </c>
      <c r="BW401" s="30" t="s">
        <v>192</v>
      </c>
      <c r="BX401" s="37" t="s">
        <v>151</v>
      </c>
      <c r="BY401" s="30" t="s">
        <v>151</v>
      </c>
      <c r="BZ401" s="30" t="s">
        <v>293</v>
      </c>
      <c r="CA401" s="30" t="s">
        <v>293</v>
      </c>
      <c r="CB401" s="30" t="s">
        <v>151</v>
      </c>
      <c r="CC401" s="30" t="s">
        <v>165</v>
      </c>
      <c r="CD401" s="30" t="s">
        <v>151</v>
      </c>
      <c r="CE401" s="30" t="s">
        <v>191</v>
      </c>
      <c r="CF401" s="35">
        <v>45243</v>
      </c>
      <c r="CG401" s="37">
        <v>2.93</v>
      </c>
      <c r="CH401" s="30" t="s">
        <v>192</v>
      </c>
      <c r="CI401" s="37" t="s">
        <v>151</v>
      </c>
      <c r="CJ401" s="30" t="s">
        <v>151</v>
      </c>
      <c r="CK401" s="29" t="s">
        <v>151</v>
      </c>
      <c r="CL401" s="30" t="s">
        <v>231</v>
      </c>
      <c r="CM401" s="30" t="s">
        <v>151</v>
      </c>
      <c r="CN401" s="30" t="s">
        <v>151</v>
      </c>
      <c r="CO401" s="30" t="s">
        <v>165</v>
      </c>
      <c r="CP401" s="35">
        <v>45243</v>
      </c>
      <c r="CQ401" s="37">
        <v>2.93</v>
      </c>
      <c r="CR401" s="30" t="s">
        <v>8622</v>
      </c>
      <c r="CS401" s="30" t="s">
        <v>191</v>
      </c>
      <c r="CT401" s="29">
        <v>43</v>
      </c>
      <c r="CU401" s="30" t="s">
        <v>263</v>
      </c>
      <c r="CV401" s="32">
        <v>43</v>
      </c>
      <c r="CW401" s="32">
        <v>57</v>
      </c>
      <c r="CX401" s="30" t="s">
        <v>263</v>
      </c>
      <c r="CY401" s="32">
        <v>1</v>
      </c>
      <c r="CZ401" s="32">
        <v>42</v>
      </c>
      <c r="DA401" s="37" t="s">
        <v>151</v>
      </c>
      <c r="DB401" s="35" t="s">
        <v>151</v>
      </c>
      <c r="DC401" s="30" t="s">
        <v>151</v>
      </c>
      <c r="DD401" s="29" t="s">
        <v>151</v>
      </c>
      <c r="DE401" s="32">
        <v>0</v>
      </c>
      <c r="DF401" s="34">
        <v>11</v>
      </c>
      <c r="DG401" s="32">
        <v>0</v>
      </c>
      <c r="DH401" s="32">
        <v>0</v>
      </c>
      <c r="DI401" s="32">
        <v>0</v>
      </c>
      <c r="DJ401" s="34">
        <v>10</v>
      </c>
      <c r="DK401" s="32">
        <v>0</v>
      </c>
      <c r="DL401" s="34">
        <v>11</v>
      </c>
      <c r="DM401" s="32" t="s">
        <v>151</v>
      </c>
      <c r="DN401" s="34" t="s">
        <v>151</v>
      </c>
      <c r="DO401" s="36">
        <v>0.05</v>
      </c>
      <c r="DP401" s="34">
        <v>1</v>
      </c>
      <c r="DQ401" s="36">
        <v>0</v>
      </c>
      <c r="DR401" s="32">
        <v>0</v>
      </c>
      <c r="DS401" s="36">
        <v>0.05</v>
      </c>
      <c r="DT401" s="34">
        <v>1</v>
      </c>
      <c r="DU401" s="36">
        <v>0.05</v>
      </c>
      <c r="DV401" s="34">
        <v>26</v>
      </c>
      <c r="DW401" s="36" t="s">
        <v>151</v>
      </c>
      <c r="DX401" s="34" t="s">
        <v>151</v>
      </c>
      <c r="DY401" s="31" t="s">
        <v>151</v>
      </c>
      <c r="DZ401" s="35" t="s">
        <v>151</v>
      </c>
      <c r="EA401" s="35" t="s">
        <v>151</v>
      </c>
      <c r="EB401" s="34">
        <v>0</v>
      </c>
      <c r="EC401" s="33">
        <v>-40</v>
      </c>
      <c r="ED401" s="32">
        <v>-100</v>
      </c>
      <c r="EE401" s="34" t="s">
        <v>151</v>
      </c>
      <c r="EF401" s="33" t="s">
        <v>151</v>
      </c>
      <c r="EG401" s="32" t="s">
        <v>151</v>
      </c>
      <c r="EH401" s="29" t="s">
        <v>198</v>
      </c>
      <c r="EI401" s="30" t="s">
        <v>151</v>
      </c>
      <c r="EJ401" s="30" t="s">
        <v>151</v>
      </c>
      <c r="EK401" s="31" t="s">
        <v>151</v>
      </c>
      <c r="EL401" s="31" t="s">
        <v>151</v>
      </c>
      <c r="EM401" s="31" t="s">
        <v>151</v>
      </c>
      <c r="EN401" s="31" t="s">
        <v>151</v>
      </c>
      <c r="EO401" s="31" t="s">
        <v>151</v>
      </c>
      <c r="EP401" s="30" t="s">
        <v>151</v>
      </c>
      <c r="EQ401" s="29" t="s">
        <v>151</v>
      </c>
      <c r="ER401" s="29" t="s">
        <v>151</v>
      </c>
      <c r="ES401" s="4">
        <f>HYPERLINK("https://my.pitchbook.com?c=507071-44","View Company Online")</f>
      </c>
    </row>
    <row r="402">
      <c r="A402" s="17" t="s">
        <v>8623</v>
      </c>
      <c r="B402" s="17" t="s">
        <v>8624</v>
      </c>
      <c r="C402" s="18" t="s">
        <v>151</v>
      </c>
      <c r="D402" s="17" t="s">
        <v>8625</v>
      </c>
      <c r="E402" s="17" t="s">
        <v>151</v>
      </c>
      <c r="F402" s="17" t="s">
        <v>8626</v>
      </c>
      <c r="G402" s="17" t="s">
        <v>151</v>
      </c>
      <c r="H402" s="17" t="s">
        <v>151</v>
      </c>
      <c r="I402" s="17" t="s">
        <v>8627</v>
      </c>
      <c r="J402" s="17" t="s">
        <v>8623</v>
      </c>
      <c r="K402" s="17" t="s">
        <v>8628</v>
      </c>
      <c r="L402" s="17" t="s">
        <v>155</v>
      </c>
      <c r="M402" s="17" t="s">
        <v>2320</v>
      </c>
      <c r="N402" s="17" t="s">
        <v>2321</v>
      </c>
      <c r="O402" s="17" t="s">
        <v>2322</v>
      </c>
      <c r="P402" s="17" t="s">
        <v>5611</v>
      </c>
      <c r="Q402" s="17" t="s">
        <v>8629</v>
      </c>
      <c r="R402" s="17" t="s">
        <v>151</v>
      </c>
      <c r="S402" s="17" t="s">
        <v>162</v>
      </c>
      <c r="T402" s="24">
        <v>0.66</v>
      </c>
      <c r="U402" s="17" t="s">
        <v>1727</v>
      </c>
      <c r="V402" s="17" t="s">
        <v>164</v>
      </c>
      <c r="W402" s="17" t="s">
        <v>165</v>
      </c>
      <c r="X402" s="15" t="s">
        <v>8630</v>
      </c>
      <c r="Y402" s="15" t="s">
        <v>151</v>
      </c>
      <c r="Z402" s="27">
        <v>31</v>
      </c>
      <c r="AA402" s="17" t="s">
        <v>8631</v>
      </c>
      <c r="AB402" s="17" t="s">
        <v>151</v>
      </c>
      <c r="AC402" s="17" t="s">
        <v>151</v>
      </c>
      <c r="AD402" s="26">
        <v>2016</v>
      </c>
      <c r="AE402" s="17" t="s">
        <v>151</v>
      </c>
      <c r="AF402" s="22">
        <v>45568</v>
      </c>
      <c r="AG402" s="17" t="s">
        <v>151</v>
      </c>
      <c r="AH402" s="17" t="s">
        <v>151</v>
      </c>
      <c r="AI402" s="25" t="s">
        <v>151</v>
      </c>
      <c r="AJ402" s="19" t="s">
        <v>151</v>
      </c>
      <c r="AK402" s="25" t="s">
        <v>151</v>
      </c>
      <c r="AL402" s="25" t="s">
        <v>151</v>
      </c>
      <c r="AM402" s="25" t="s">
        <v>151</v>
      </c>
      <c r="AN402" s="25" t="s">
        <v>151</v>
      </c>
      <c r="AO402" s="25" t="s">
        <v>151</v>
      </c>
      <c r="AP402" s="25" t="s">
        <v>151</v>
      </c>
      <c r="AQ402" s="25" t="s">
        <v>151</v>
      </c>
      <c r="AR402" s="16" t="s">
        <v>151</v>
      </c>
      <c r="AS402" s="17" t="s">
        <v>8632</v>
      </c>
      <c r="AT402" s="17" t="s">
        <v>8633</v>
      </c>
      <c r="AU402" s="18">
        <v>1</v>
      </c>
      <c r="AV402" s="17" t="s">
        <v>151</v>
      </c>
      <c r="AW402" s="17" t="s">
        <v>151</v>
      </c>
      <c r="AX402" s="17" t="s">
        <v>151</v>
      </c>
      <c r="AY402" s="17" t="s">
        <v>8634</v>
      </c>
      <c r="AZ402" s="17" t="s">
        <v>151</v>
      </c>
      <c r="BA402" s="17" t="s">
        <v>151</v>
      </c>
      <c r="BB402" s="17" t="s">
        <v>8635</v>
      </c>
      <c r="BC402" s="17" t="s">
        <v>151</v>
      </c>
      <c r="BD402" s="17" t="s">
        <v>8636</v>
      </c>
      <c r="BE402" s="17" t="s">
        <v>8637</v>
      </c>
      <c r="BF402" s="17" t="s">
        <v>1951</v>
      </c>
      <c r="BG402" s="17" t="s">
        <v>151</v>
      </c>
      <c r="BH402" s="17" t="s">
        <v>8638</v>
      </c>
      <c r="BI402" s="17" t="s">
        <v>8639</v>
      </c>
      <c r="BJ402" s="17" t="s">
        <v>8640</v>
      </c>
      <c r="BK402" s="17" t="s">
        <v>2073</v>
      </c>
      <c r="BL402" s="17" t="s">
        <v>8641</v>
      </c>
      <c r="BM402" s="17" t="s">
        <v>322</v>
      </c>
      <c r="BN402" s="16" t="s">
        <v>8642</v>
      </c>
      <c r="BO402" s="17" t="s">
        <v>186</v>
      </c>
      <c r="BP402" s="16" t="s">
        <v>8638</v>
      </c>
      <c r="BQ402" s="16" t="s">
        <v>151</v>
      </c>
      <c r="BR402" s="17" t="s">
        <v>8643</v>
      </c>
      <c r="BS402" s="17" t="s">
        <v>187</v>
      </c>
      <c r="BT402" s="17" t="s">
        <v>188</v>
      </c>
      <c r="BU402" s="22">
        <v>43804</v>
      </c>
      <c r="BV402" s="24">
        <v>0.06</v>
      </c>
      <c r="BW402" s="17" t="s">
        <v>192</v>
      </c>
      <c r="BX402" s="24" t="s">
        <v>151</v>
      </c>
      <c r="BY402" s="17" t="s">
        <v>151</v>
      </c>
      <c r="BZ402" s="17" t="s">
        <v>1075</v>
      </c>
      <c r="CA402" s="17" t="s">
        <v>1075</v>
      </c>
      <c r="CB402" s="17" t="s">
        <v>151</v>
      </c>
      <c r="CC402" s="17" t="s">
        <v>585</v>
      </c>
      <c r="CD402" s="17" t="s">
        <v>151</v>
      </c>
      <c r="CE402" s="17" t="s">
        <v>191</v>
      </c>
      <c r="CF402" s="22">
        <v>44927</v>
      </c>
      <c r="CG402" s="24" t="s">
        <v>151</v>
      </c>
      <c r="CH402" s="17" t="s">
        <v>151</v>
      </c>
      <c r="CI402" s="24" t="s">
        <v>151</v>
      </c>
      <c r="CJ402" s="17" t="s">
        <v>151</v>
      </c>
      <c r="CK402" s="16" t="s">
        <v>151</v>
      </c>
      <c r="CL402" s="17" t="s">
        <v>293</v>
      </c>
      <c r="CM402" s="17" t="s">
        <v>293</v>
      </c>
      <c r="CN402" s="17" t="s">
        <v>151</v>
      </c>
      <c r="CO402" s="17" t="s">
        <v>165</v>
      </c>
      <c r="CP402" s="22">
        <v>44927</v>
      </c>
      <c r="CQ402" s="24" t="s">
        <v>151</v>
      </c>
      <c r="CR402" s="17" t="s">
        <v>151</v>
      </c>
      <c r="CS402" s="17" t="s">
        <v>191</v>
      </c>
      <c r="CT402" s="16">
        <v>56</v>
      </c>
      <c r="CU402" s="17" t="s">
        <v>196</v>
      </c>
      <c r="CV402" s="19">
        <v>53</v>
      </c>
      <c r="CW402" s="19">
        <v>47</v>
      </c>
      <c r="CX402" s="17" t="s">
        <v>294</v>
      </c>
      <c r="CY402" s="19">
        <v>1</v>
      </c>
      <c r="CZ402" s="19">
        <v>52</v>
      </c>
      <c r="DA402" s="24">
        <v>3.7</v>
      </c>
      <c r="DB402" s="22">
        <v>44315</v>
      </c>
      <c r="DC402" s="17" t="s">
        <v>293</v>
      </c>
      <c r="DD402" s="16" t="s">
        <v>151</v>
      </c>
      <c r="DE402" s="19" t="s">
        <v>151</v>
      </c>
      <c r="DF402" s="21" t="s">
        <v>151</v>
      </c>
      <c r="DG402" s="19" t="s">
        <v>151</v>
      </c>
      <c r="DH402" s="19" t="s">
        <v>151</v>
      </c>
      <c r="DI402" s="19" t="s">
        <v>151</v>
      </c>
      <c r="DJ402" s="21" t="s">
        <v>151</v>
      </c>
      <c r="DK402" s="19" t="s">
        <v>151</v>
      </c>
      <c r="DL402" s="21" t="s">
        <v>151</v>
      </c>
      <c r="DM402" s="19" t="s">
        <v>151</v>
      </c>
      <c r="DN402" s="21" t="s">
        <v>151</v>
      </c>
      <c r="DO402" s="23" t="s">
        <v>151</v>
      </c>
      <c r="DP402" s="21" t="s">
        <v>151</v>
      </c>
      <c r="DQ402" s="23" t="s">
        <v>151</v>
      </c>
      <c r="DR402" s="19" t="s">
        <v>151</v>
      </c>
      <c r="DS402" s="23" t="s">
        <v>151</v>
      </c>
      <c r="DT402" s="21" t="s">
        <v>151</v>
      </c>
      <c r="DU402" s="23" t="s">
        <v>151</v>
      </c>
      <c r="DV402" s="21" t="s">
        <v>151</v>
      </c>
      <c r="DW402" s="23" t="s">
        <v>151</v>
      </c>
      <c r="DX402" s="21" t="s">
        <v>151</v>
      </c>
      <c r="DY402" s="18" t="s">
        <v>151</v>
      </c>
      <c r="DZ402" s="22" t="s">
        <v>151</v>
      </c>
      <c r="EA402" s="22" t="s">
        <v>151</v>
      </c>
      <c r="EB402" s="21" t="s">
        <v>151</v>
      </c>
      <c r="EC402" s="20" t="s">
        <v>151</v>
      </c>
      <c r="ED402" s="19" t="s">
        <v>151</v>
      </c>
      <c r="EE402" s="21" t="s">
        <v>151</v>
      </c>
      <c r="EF402" s="20" t="s">
        <v>151</v>
      </c>
      <c r="EG402" s="19" t="s">
        <v>151</v>
      </c>
      <c r="EH402" s="16" t="s">
        <v>198</v>
      </c>
      <c r="EI402" s="17" t="s">
        <v>151</v>
      </c>
      <c r="EJ402" s="17" t="s">
        <v>151</v>
      </c>
      <c r="EK402" s="18" t="s">
        <v>151</v>
      </c>
      <c r="EL402" s="18" t="s">
        <v>151</v>
      </c>
      <c r="EM402" s="18" t="s">
        <v>151</v>
      </c>
      <c r="EN402" s="18" t="s">
        <v>151</v>
      </c>
      <c r="EO402" s="18" t="s">
        <v>151</v>
      </c>
      <c r="EP402" s="17" t="s">
        <v>151</v>
      </c>
      <c r="EQ402" s="16" t="s">
        <v>151</v>
      </c>
      <c r="ER402" s="16" t="s">
        <v>151</v>
      </c>
      <c r="ES402" s="3">
        <f>HYPERLINK("https://my.pitchbook.com?c=327126-70","View Company Online")</f>
      </c>
    </row>
    <row r="403">
      <c r="A403" s="30" t="s">
        <v>8644</v>
      </c>
      <c r="B403" s="30" t="s">
        <v>8645</v>
      </c>
      <c r="C403" s="31" t="s">
        <v>151</v>
      </c>
      <c r="D403" s="30" t="s">
        <v>151</v>
      </c>
      <c r="E403" s="30" t="s">
        <v>151</v>
      </c>
      <c r="F403" s="30" t="s">
        <v>8646</v>
      </c>
      <c r="G403" s="30" t="s">
        <v>151</v>
      </c>
      <c r="H403" s="30" t="s">
        <v>151</v>
      </c>
      <c r="I403" s="30" t="s">
        <v>8647</v>
      </c>
      <c r="J403" s="30" t="s">
        <v>8644</v>
      </c>
      <c r="K403" s="30" t="s">
        <v>8648</v>
      </c>
      <c r="L403" s="30" t="s">
        <v>205</v>
      </c>
      <c r="M403" s="30" t="s">
        <v>206</v>
      </c>
      <c r="N403" s="30" t="s">
        <v>269</v>
      </c>
      <c r="O403" s="30" t="s">
        <v>1819</v>
      </c>
      <c r="P403" s="30" t="s">
        <v>8649</v>
      </c>
      <c r="Q403" s="30" t="s">
        <v>8650</v>
      </c>
      <c r="R403" s="30" t="s">
        <v>8651</v>
      </c>
      <c r="S403" s="30" t="s">
        <v>162</v>
      </c>
      <c r="T403" s="37">
        <v>18.93</v>
      </c>
      <c r="U403" s="30" t="s">
        <v>163</v>
      </c>
      <c r="V403" s="30" t="s">
        <v>164</v>
      </c>
      <c r="W403" s="30" t="s">
        <v>165</v>
      </c>
      <c r="X403" s="28" t="s">
        <v>8652</v>
      </c>
      <c r="Y403" s="28" t="s">
        <v>8653</v>
      </c>
      <c r="Z403" s="40">
        <v>32</v>
      </c>
      <c r="AA403" s="30" t="s">
        <v>8654</v>
      </c>
      <c r="AB403" s="30" t="s">
        <v>151</v>
      </c>
      <c r="AC403" s="30" t="s">
        <v>151</v>
      </c>
      <c r="AD403" s="39">
        <v>2021</v>
      </c>
      <c r="AE403" s="30" t="s">
        <v>151</v>
      </c>
      <c r="AF403" s="35">
        <v>45617</v>
      </c>
      <c r="AG403" s="30" t="s">
        <v>151</v>
      </c>
      <c r="AH403" s="30" t="s">
        <v>151</v>
      </c>
      <c r="AI403" s="38" t="s">
        <v>151</v>
      </c>
      <c r="AJ403" s="32" t="s">
        <v>151</v>
      </c>
      <c r="AK403" s="38" t="s">
        <v>151</v>
      </c>
      <c r="AL403" s="38" t="s">
        <v>151</v>
      </c>
      <c r="AM403" s="38" t="s">
        <v>151</v>
      </c>
      <c r="AN403" s="38" t="s">
        <v>151</v>
      </c>
      <c r="AO403" s="38" t="s">
        <v>151</v>
      </c>
      <c r="AP403" s="38" t="s">
        <v>151</v>
      </c>
      <c r="AQ403" s="38" t="s">
        <v>151</v>
      </c>
      <c r="AR403" s="29" t="s">
        <v>151</v>
      </c>
      <c r="AS403" s="30" t="s">
        <v>8655</v>
      </c>
      <c r="AT403" s="30" t="s">
        <v>8656</v>
      </c>
      <c r="AU403" s="31">
        <v>15</v>
      </c>
      <c r="AV403" s="30" t="s">
        <v>151</v>
      </c>
      <c r="AW403" s="30" t="s">
        <v>151</v>
      </c>
      <c r="AX403" s="30" t="s">
        <v>151</v>
      </c>
      <c r="AY403" s="30" t="s">
        <v>8657</v>
      </c>
      <c r="AZ403" s="30" t="s">
        <v>151</v>
      </c>
      <c r="BA403" s="30" t="s">
        <v>151</v>
      </c>
      <c r="BB403" s="30" t="s">
        <v>8658</v>
      </c>
      <c r="BC403" s="30" t="s">
        <v>2400</v>
      </c>
      <c r="BD403" s="30" t="s">
        <v>8659</v>
      </c>
      <c r="BE403" s="30" t="s">
        <v>8660</v>
      </c>
      <c r="BF403" s="30" t="s">
        <v>8661</v>
      </c>
      <c r="BG403" s="30" t="s">
        <v>8662</v>
      </c>
      <c r="BH403" s="30" t="s">
        <v>8663</v>
      </c>
      <c r="BI403" s="30" t="s">
        <v>1710</v>
      </c>
      <c r="BJ403" s="30" t="s">
        <v>8664</v>
      </c>
      <c r="BK403" s="30" t="s">
        <v>8665</v>
      </c>
      <c r="BL403" s="30" t="s">
        <v>1713</v>
      </c>
      <c r="BM403" s="30" t="s">
        <v>184</v>
      </c>
      <c r="BN403" s="29" t="s">
        <v>8666</v>
      </c>
      <c r="BO403" s="30" t="s">
        <v>186</v>
      </c>
      <c r="BP403" s="29" t="s">
        <v>8663</v>
      </c>
      <c r="BQ403" s="29" t="s">
        <v>151</v>
      </c>
      <c r="BR403" s="30" t="s">
        <v>8667</v>
      </c>
      <c r="BS403" s="30" t="s">
        <v>187</v>
      </c>
      <c r="BT403" s="30" t="s">
        <v>188</v>
      </c>
      <c r="BU403" s="35">
        <v>44273</v>
      </c>
      <c r="BV403" s="37">
        <v>1</v>
      </c>
      <c r="BW403" s="30" t="s">
        <v>192</v>
      </c>
      <c r="BX403" s="37">
        <v>3</v>
      </c>
      <c r="BY403" s="30" t="s">
        <v>192</v>
      </c>
      <c r="BZ403" s="30" t="s">
        <v>231</v>
      </c>
      <c r="CA403" s="30" t="s">
        <v>232</v>
      </c>
      <c r="CB403" s="30" t="s">
        <v>151</v>
      </c>
      <c r="CC403" s="30" t="s">
        <v>165</v>
      </c>
      <c r="CD403" s="30" t="s">
        <v>151</v>
      </c>
      <c r="CE403" s="30" t="s">
        <v>191</v>
      </c>
      <c r="CF403" s="35">
        <v>44754</v>
      </c>
      <c r="CG403" s="37">
        <v>15</v>
      </c>
      <c r="CH403" s="30" t="s">
        <v>192</v>
      </c>
      <c r="CI403" s="37">
        <v>75</v>
      </c>
      <c r="CJ403" s="30" t="s">
        <v>192</v>
      </c>
      <c r="CK403" s="29">
        <v>1.48</v>
      </c>
      <c r="CL403" s="30" t="s">
        <v>231</v>
      </c>
      <c r="CM403" s="30" t="s">
        <v>1239</v>
      </c>
      <c r="CN403" s="30" t="s">
        <v>151</v>
      </c>
      <c r="CO403" s="30" t="s">
        <v>165</v>
      </c>
      <c r="CP403" s="35">
        <v>44754</v>
      </c>
      <c r="CQ403" s="37" t="s">
        <v>151</v>
      </c>
      <c r="CR403" s="30" t="s">
        <v>151</v>
      </c>
      <c r="CS403" s="30" t="s">
        <v>191</v>
      </c>
      <c r="CT403" s="29">
        <v>97</v>
      </c>
      <c r="CU403" s="30" t="s">
        <v>196</v>
      </c>
      <c r="CV403" s="32">
        <v>87</v>
      </c>
      <c r="CW403" s="32">
        <v>13</v>
      </c>
      <c r="CX403" s="30" t="s">
        <v>294</v>
      </c>
      <c r="CY403" s="32">
        <v>9</v>
      </c>
      <c r="CZ403" s="32">
        <v>78</v>
      </c>
      <c r="DA403" s="37">
        <v>75</v>
      </c>
      <c r="DB403" s="35">
        <v>44754</v>
      </c>
      <c r="DC403" s="30" t="s">
        <v>231</v>
      </c>
      <c r="DD403" s="29">
        <v>1.48</v>
      </c>
      <c r="DE403" s="32">
        <v>-0.75</v>
      </c>
      <c r="DF403" s="34">
        <v>5</v>
      </c>
      <c r="DG403" s="32">
        <v>0</v>
      </c>
      <c r="DH403" s="32">
        <v>0</v>
      </c>
      <c r="DI403" s="32" t="s">
        <v>151</v>
      </c>
      <c r="DJ403" s="34" t="s">
        <v>151</v>
      </c>
      <c r="DK403" s="32" t="s">
        <v>151</v>
      </c>
      <c r="DL403" s="34" t="s">
        <v>151</v>
      </c>
      <c r="DM403" s="32" t="s">
        <v>151</v>
      </c>
      <c r="DN403" s="34" t="s">
        <v>151</v>
      </c>
      <c r="DO403" s="36">
        <v>2.46</v>
      </c>
      <c r="DP403" s="34">
        <v>71</v>
      </c>
      <c r="DQ403" s="36">
        <v>0</v>
      </c>
      <c r="DR403" s="32">
        <v>0</v>
      </c>
      <c r="DS403" s="36" t="s">
        <v>151</v>
      </c>
      <c r="DT403" s="34" t="s">
        <v>151</v>
      </c>
      <c r="DU403" s="36" t="s">
        <v>151</v>
      </c>
      <c r="DV403" s="34" t="s">
        <v>151</v>
      </c>
      <c r="DW403" s="36" t="s">
        <v>151</v>
      </c>
      <c r="DX403" s="34" t="s">
        <v>151</v>
      </c>
      <c r="DY403" s="31" t="s">
        <v>151</v>
      </c>
      <c r="DZ403" s="35" t="s">
        <v>151</v>
      </c>
      <c r="EA403" s="35" t="s">
        <v>151</v>
      </c>
      <c r="EB403" s="34">
        <v>3186</v>
      </c>
      <c r="EC403" s="33">
        <v>374</v>
      </c>
      <c r="ED403" s="32">
        <v>13.3</v>
      </c>
      <c r="EE403" s="34" t="s">
        <v>151</v>
      </c>
      <c r="EF403" s="33" t="s">
        <v>151</v>
      </c>
      <c r="EG403" s="32" t="s">
        <v>151</v>
      </c>
      <c r="EH403" s="29" t="s">
        <v>198</v>
      </c>
      <c r="EI403" s="30" t="s">
        <v>151</v>
      </c>
      <c r="EJ403" s="30" t="s">
        <v>151</v>
      </c>
      <c r="EK403" s="31" t="s">
        <v>151</v>
      </c>
      <c r="EL403" s="31" t="s">
        <v>151</v>
      </c>
      <c r="EM403" s="31" t="s">
        <v>151</v>
      </c>
      <c r="EN403" s="31" t="s">
        <v>151</v>
      </c>
      <c r="EO403" s="31" t="s">
        <v>151</v>
      </c>
      <c r="EP403" s="30" t="s">
        <v>151</v>
      </c>
      <c r="EQ403" s="29" t="s">
        <v>151</v>
      </c>
      <c r="ER403" s="29" t="s">
        <v>151</v>
      </c>
      <c r="ES403" s="4">
        <f>HYPERLINK("https://my.pitchbook.com?c=462630-25","View Company Online")</f>
      </c>
    </row>
    <row r="404">
      <c r="A404" s="17" t="s">
        <v>8668</v>
      </c>
      <c r="B404" s="17" t="s">
        <v>8669</v>
      </c>
      <c r="C404" s="18" t="s">
        <v>151</v>
      </c>
      <c r="D404" s="17" t="s">
        <v>151</v>
      </c>
      <c r="E404" s="17" t="s">
        <v>8670</v>
      </c>
      <c r="F404" s="17" t="s">
        <v>8671</v>
      </c>
      <c r="G404" s="17" t="s">
        <v>151</v>
      </c>
      <c r="H404" s="17" t="s">
        <v>151</v>
      </c>
      <c r="I404" s="17" t="s">
        <v>8672</v>
      </c>
      <c r="J404" s="17" t="s">
        <v>8668</v>
      </c>
      <c r="K404" s="17" t="s">
        <v>8673</v>
      </c>
      <c r="L404" s="17" t="s">
        <v>616</v>
      </c>
      <c r="M404" s="17" t="s">
        <v>834</v>
      </c>
      <c r="N404" s="17" t="s">
        <v>1246</v>
      </c>
      <c r="O404" s="17" t="s">
        <v>4080</v>
      </c>
      <c r="P404" s="17" t="s">
        <v>8674</v>
      </c>
      <c r="Q404" s="17" t="s">
        <v>8675</v>
      </c>
      <c r="R404" s="17" t="s">
        <v>151</v>
      </c>
      <c r="S404" s="17" t="s">
        <v>162</v>
      </c>
      <c r="T404" s="24">
        <v>1.5</v>
      </c>
      <c r="U404" s="17" t="s">
        <v>4045</v>
      </c>
      <c r="V404" s="17" t="s">
        <v>164</v>
      </c>
      <c r="W404" s="17" t="s">
        <v>165</v>
      </c>
      <c r="X404" s="15" t="s">
        <v>8676</v>
      </c>
      <c r="Y404" s="15" t="s">
        <v>8677</v>
      </c>
      <c r="Z404" s="27">
        <v>6</v>
      </c>
      <c r="AA404" s="17" t="s">
        <v>4663</v>
      </c>
      <c r="AB404" s="17" t="s">
        <v>151</v>
      </c>
      <c r="AC404" s="17" t="s">
        <v>151</v>
      </c>
      <c r="AD404" s="26">
        <v>2023</v>
      </c>
      <c r="AE404" s="17" t="s">
        <v>151</v>
      </c>
      <c r="AF404" s="22">
        <v>45341</v>
      </c>
      <c r="AG404" s="17" t="s">
        <v>151</v>
      </c>
      <c r="AH404" s="17" t="s">
        <v>151</v>
      </c>
      <c r="AI404" s="25" t="s">
        <v>151</v>
      </c>
      <c r="AJ404" s="19" t="s">
        <v>151</v>
      </c>
      <c r="AK404" s="25" t="s">
        <v>151</v>
      </c>
      <c r="AL404" s="25" t="s">
        <v>151</v>
      </c>
      <c r="AM404" s="25" t="s">
        <v>151</v>
      </c>
      <c r="AN404" s="25" t="s">
        <v>151</v>
      </c>
      <c r="AO404" s="25" t="s">
        <v>151</v>
      </c>
      <c r="AP404" s="25" t="s">
        <v>151</v>
      </c>
      <c r="AQ404" s="25" t="s">
        <v>151</v>
      </c>
      <c r="AR404" s="16" t="s">
        <v>151</v>
      </c>
      <c r="AS404" s="17" t="s">
        <v>8678</v>
      </c>
      <c r="AT404" s="17" t="s">
        <v>8679</v>
      </c>
      <c r="AU404" s="18">
        <v>2</v>
      </c>
      <c r="AV404" s="17" t="s">
        <v>151</v>
      </c>
      <c r="AW404" s="17" t="s">
        <v>151</v>
      </c>
      <c r="AX404" s="17" t="s">
        <v>151</v>
      </c>
      <c r="AY404" s="17" t="s">
        <v>8680</v>
      </c>
      <c r="AZ404" s="17" t="s">
        <v>151</v>
      </c>
      <c r="BA404" s="17" t="s">
        <v>151</v>
      </c>
      <c r="BB404" s="17" t="s">
        <v>151</v>
      </c>
      <c r="BC404" s="17" t="s">
        <v>151</v>
      </c>
      <c r="BD404" s="17" t="s">
        <v>8681</v>
      </c>
      <c r="BE404" s="17" t="s">
        <v>8682</v>
      </c>
      <c r="BF404" s="17" t="s">
        <v>403</v>
      </c>
      <c r="BG404" s="17" t="s">
        <v>8683</v>
      </c>
      <c r="BH404" s="17" t="s">
        <v>151</v>
      </c>
      <c r="BI404" s="17" t="s">
        <v>906</v>
      </c>
      <c r="BJ404" s="17" t="s">
        <v>1932</v>
      </c>
      <c r="BK404" s="17" t="s">
        <v>151</v>
      </c>
      <c r="BL404" s="17" t="s">
        <v>259</v>
      </c>
      <c r="BM404" s="17" t="s">
        <v>259</v>
      </c>
      <c r="BN404" s="16" t="s">
        <v>1933</v>
      </c>
      <c r="BO404" s="17" t="s">
        <v>186</v>
      </c>
      <c r="BP404" s="16" t="s">
        <v>151</v>
      </c>
      <c r="BQ404" s="16" t="s">
        <v>151</v>
      </c>
      <c r="BR404" s="17" t="s">
        <v>8684</v>
      </c>
      <c r="BS404" s="17" t="s">
        <v>187</v>
      </c>
      <c r="BT404" s="17" t="s">
        <v>188</v>
      </c>
      <c r="BU404" s="22">
        <v>45211</v>
      </c>
      <c r="BV404" s="24">
        <v>1.5</v>
      </c>
      <c r="BW404" s="17" t="s">
        <v>192</v>
      </c>
      <c r="BX404" s="24" t="s">
        <v>151</v>
      </c>
      <c r="BY404" s="17" t="s">
        <v>151</v>
      </c>
      <c r="BZ404" s="17" t="s">
        <v>293</v>
      </c>
      <c r="CA404" s="17" t="s">
        <v>293</v>
      </c>
      <c r="CB404" s="17" t="s">
        <v>151</v>
      </c>
      <c r="CC404" s="17" t="s">
        <v>165</v>
      </c>
      <c r="CD404" s="17" t="s">
        <v>151</v>
      </c>
      <c r="CE404" s="17" t="s">
        <v>191</v>
      </c>
      <c r="CF404" s="22">
        <v>45211</v>
      </c>
      <c r="CG404" s="24">
        <v>1.5</v>
      </c>
      <c r="CH404" s="17" t="s">
        <v>192</v>
      </c>
      <c r="CI404" s="24" t="s">
        <v>151</v>
      </c>
      <c r="CJ404" s="17" t="s">
        <v>151</v>
      </c>
      <c r="CK404" s="16" t="s">
        <v>151</v>
      </c>
      <c r="CL404" s="17" t="s">
        <v>293</v>
      </c>
      <c r="CM404" s="17" t="s">
        <v>293</v>
      </c>
      <c r="CN404" s="17" t="s">
        <v>151</v>
      </c>
      <c r="CO404" s="17" t="s">
        <v>165</v>
      </c>
      <c r="CP404" s="22">
        <v>45211</v>
      </c>
      <c r="CQ404" s="24" t="s">
        <v>151</v>
      </c>
      <c r="CR404" s="17" t="s">
        <v>151</v>
      </c>
      <c r="CS404" s="17" t="s">
        <v>191</v>
      </c>
      <c r="CT404" s="16" t="s">
        <v>151</v>
      </c>
      <c r="CU404" s="17" t="s">
        <v>151</v>
      </c>
      <c r="CV404" s="19" t="s">
        <v>151</v>
      </c>
      <c r="CW404" s="19" t="s">
        <v>151</v>
      </c>
      <c r="CX404" s="17" t="s">
        <v>151</v>
      </c>
      <c r="CY404" s="19" t="s">
        <v>151</v>
      </c>
      <c r="CZ404" s="19" t="s">
        <v>151</v>
      </c>
      <c r="DA404" s="24" t="s">
        <v>151</v>
      </c>
      <c r="DB404" s="22" t="s">
        <v>151</v>
      </c>
      <c r="DC404" s="17" t="s">
        <v>151</v>
      </c>
      <c r="DD404" s="16" t="s">
        <v>151</v>
      </c>
      <c r="DE404" s="19">
        <v>0</v>
      </c>
      <c r="DF404" s="21">
        <v>11</v>
      </c>
      <c r="DG404" s="19">
        <v>0</v>
      </c>
      <c r="DH404" s="19">
        <v>0</v>
      </c>
      <c r="DI404" s="19">
        <v>0</v>
      </c>
      <c r="DJ404" s="21">
        <v>10</v>
      </c>
      <c r="DK404" s="19" t="s">
        <v>151</v>
      </c>
      <c r="DL404" s="21" t="s">
        <v>151</v>
      </c>
      <c r="DM404" s="19">
        <v>0</v>
      </c>
      <c r="DN404" s="21">
        <v>10</v>
      </c>
      <c r="DO404" s="23">
        <v>0.98</v>
      </c>
      <c r="DP404" s="21">
        <v>49</v>
      </c>
      <c r="DQ404" s="23">
        <v>0</v>
      </c>
      <c r="DR404" s="19">
        <v>0</v>
      </c>
      <c r="DS404" s="23">
        <v>1.74</v>
      </c>
      <c r="DT404" s="21">
        <v>63</v>
      </c>
      <c r="DU404" s="23" t="s">
        <v>151</v>
      </c>
      <c r="DV404" s="21" t="s">
        <v>151</v>
      </c>
      <c r="DW404" s="23">
        <v>1.74</v>
      </c>
      <c r="DX404" s="21">
        <v>62</v>
      </c>
      <c r="DY404" s="18" t="s">
        <v>151</v>
      </c>
      <c r="DZ404" s="22" t="s">
        <v>151</v>
      </c>
      <c r="EA404" s="22" t="s">
        <v>151</v>
      </c>
      <c r="EB404" s="21">
        <v>8</v>
      </c>
      <c r="EC404" s="20">
        <v>-44</v>
      </c>
      <c r="ED404" s="19">
        <v>-84.62</v>
      </c>
      <c r="EE404" s="21">
        <v>33</v>
      </c>
      <c r="EF404" s="20">
        <v>0</v>
      </c>
      <c r="EG404" s="19">
        <v>0</v>
      </c>
      <c r="EH404" s="16" t="s">
        <v>198</v>
      </c>
      <c r="EI404" s="17" t="s">
        <v>151</v>
      </c>
      <c r="EJ404" s="17" t="s">
        <v>151</v>
      </c>
      <c r="EK404" s="18" t="s">
        <v>151</v>
      </c>
      <c r="EL404" s="18" t="s">
        <v>151</v>
      </c>
      <c r="EM404" s="18" t="s">
        <v>151</v>
      </c>
      <c r="EN404" s="18" t="s">
        <v>151</v>
      </c>
      <c r="EO404" s="18" t="s">
        <v>151</v>
      </c>
      <c r="EP404" s="17" t="s">
        <v>151</v>
      </c>
      <c r="EQ404" s="16" t="s">
        <v>151</v>
      </c>
      <c r="ER404" s="16" t="s">
        <v>151</v>
      </c>
      <c r="ES404" s="3">
        <f>HYPERLINK("https://my.pitchbook.com?c=537975-46","View Company Online")</f>
      </c>
    </row>
    <row r="405">
      <c r="A405" s="30" t="s">
        <v>8685</v>
      </c>
      <c r="B405" s="30" t="s">
        <v>8686</v>
      </c>
      <c r="C405" s="31" t="s">
        <v>151</v>
      </c>
      <c r="D405" s="30" t="s">
        <v>151</v>
      </c>
      <c r="E405" s="30" t="s">
        <v>151</v>
      </c>
      <c r="F405" s="30" t="s">
        <v>8687</v>
      </c>
      <c r="G405" s="30" t="s">
        <v>151</v>
      </c>
      <c r="H405" s="30" t="s">
        <v>151</v>
      </c>
      <c r="I405" s="30" t="s">
        <v>151</v>
      </c>
      <c r="J405" s="30" t="s">
        <v>8685</v>
      </c>
      <c r="K405" s="30" t="s">
        <v>8688</v>
      </c>
      <c r="L405" s="30" t="s">
        <v>616</v>
      </c>
      <c r="M405" s="30" t="s">
        <v>834</v>
      </c>
      <c r="N405" s="30" t="s">
        <v>835</v>
      </c>
      <c r="O405" s="30" t="s">
        <v>1992</v>
      </c>
      <c r="P405" s="30" t="s">
        <v>304</v>
      </c>
      <c r="Q405" s="30" t="s">
        <v>8689</v>
      </c>
      <c r="R405" s="30" t="s">
        <v>151</v>
      </c>
      <c r="S405" s="30" t="s">
        <v>162</v>
      </c>
      <c r="T405" s="37">
        <v>4</v>
      </c>
      <c r="U405" s="30" t="s">
        <v>163</v>
      </c>
      <c r="V405" s="30" t="s">
        <v>164</v>
      </c>
      <c r="W405" s="30" t="s">
        <v>165</v>
      </c>
      <c r="X405" s="28" t="s">
        <v>8690</v>
      </c>
      <c r="Y405" s="28" t="s">
        <v>8691</v>
      </c>
      <c r="Z405" s="40">
        <v>4</v>
      </c>
      <c r="AA405" s="30" t="s">
        <v>8692</v>
      </c>
      <c r="AB405" s="30" t="s">
        <v>151</v>
      </c>
      <c r="AC405" s="30" t="s">
        <v>151</v>
      </c>
      <c r="AD405" s="39" t="s">
        <v>151</v>
      </c>
      <c r="AE405" s="30" t="s">
        <v>151</v>
      </c>
      <c r="AF405" s="35">
        <v>45575</v>
      </c>
      <c r="AG405" s="30" t="s">
        <v>151</v>
      </c>
      <c r="AH405" s="30" t="s">
        <v>151</v>
      </c>
      <c r="AI405" s="38" t="s">
        <v>151</v>
      </c>
      <c r="AJ405" s="32" t="s">
        <v>151</v>
      </c>
      <c r="AK405" s="38" t="s">
        <v>151</v>
      </c>
      <c r="AL405" s="38" t="s">
        <v>151</v>
      </c>
      <c r="AM405" s="38" t="s">
        <v>151</v>
      </c>
      <c r="AN405" s="38" t="s">
        <v>151</v>
      </c>
      <c r="AO405" s="38" t="s">
        <v>151</v>
      </c>
      <c r="AP405" s="38" t="s">
        <v>151</v>
      </c>
      <c r="AQ405" s="38" t="s">
        <v>151</v>
      </c>
      <c r="AR405" s="29" t="s">
        <v>151</v>
      </c>
      <c r="AS405" s="30" t="s">
        <v>8693</v>
      </c>
      <c r="AT405" s="30" t="s">
        <v>8694</v>
      </c>
      <c r="AU405" s="31">
        <v>1</v>
      </c>
      <c r="AV405" s="30" t="s">
        <v>151</v>
      </c>
      <c r="AW405" s="30" t="s">
        <v>151</v>
      </c>
      <c r="AX405" s="30" t="s">
        <v>151</v>
      </c>
      <c r="AY405" s="30" t="s">
        <v>8695</v>
      </c>
      <c r="AZ405" s="30" t="s">
        <v>151</v>
      </c>
      <c r="BA405" s="30" t="s">
        <v>151</v>
      </c>
      <c r="BB405" s="30" t="s">
        <v>151</v>
      </c>
      <c r="BC405" s="30" t="s">
        <v>151</v>
      </c>
      <c r="BD405" s="30" t="s">
        <v>8696</v>
      </c>
      <c r="BE405" s="30" t="s">
        <v>8697</v>
      </c>
      <c r="BF405" s="30" t="s">
        <v>493</v>
      </c>
      <c r="BG405" s="30" t="s">
        <v>151</v>
      </c>
      <c r="BH405" s="30" t="s">
        <v>8698</v>
      </c>
      <c r="BI405" s="30" t="s">
        <v>1040</v>
      </c>
      <c r="BJ405" s="30" t="s">
        <v>8699</v>
      </c>
      <c r="BK405" s="30" t="s">
        <v>8700</v>
      </c>
      <c r="BL405" s="30" t="s">
        <v>1042</v>
      </c>
      <c r="BM405" s="30" t="s">
        <v>1043</v>
      </c>
      <c r="BN405" s="29" t="s">
        <v>7834</v>
      </c>
      <c r="BO405" s="30" t="s">
        <v>186</v>
      </c>
      <c r="BP405" s="29" t="s">
        <v>8698</v>
      </c>
      <c r="BQ405" s="29" t="s">
        <v>151</v>
      </c>
      <c r="BR405" s="30" t="s">
        <v>8701</v>
      </c>
      <c r="BS405" s="30" t="s">
        <v>187</v>
      </c>
      <c r="BT405" s="30" t="s">
        <v>188</v>
      </c>
      <c r="BU405" s="35">
        <v>44677</v>
      </c>
      <c r="BV405" s="37">
        <v>4</v>
      </c>
      <c r="BW405" s="30" t="s">
        <v>193</v>
      </c>
      <c r="BX405" s="37">
        <v>13.71</v>
      </c>
      <c r="BY405" s="30" t="s">
        <v>193</v>
      </c>
      <c r="BZ405" s="30" t="s">
        <v>293</v>
      </c>
      <c r="CA405" s="30" t="s">
        <v>293</v>
      </c>
      <c r="CB405" s="30" t="s">
        <v>151</v>
      </c>
      <c r="CC405" s="30" t="s">
        <v>165</v>
      </c>
      <c r="CD405" s="30" t="s">
        <v>151</v>
      </c>
      <c r="CE405" s="30" t="s">
        <v>191</v>
      </c>
      <c r="CF405" s="35">
        <v>44677</v>
      </c>
      <c r="CG405" s="37">
        <v>4</v>
      </c>
      <c r="CH405" s="30" t="s">
        <v>193</v>
      </c>
      <c r="CI405" s="37">
        <v>13.71</v>
      </c>
      <c r="CJ405" s="30" t="s">
        <v>193</v>
      </c>
      <c r="CK405" s="29" t="s">
        <v>151</v>
      </c>
      <c r="CL405" s="30" t="s">
        <v>293</v>
      </c>
      <c r="CM405" s="30" t="s">
        <v>293</v>
      </c>
      <c r="CN405" s="30" t="s">
        <v>151</v>
      </c>
      <c r="CO405" s="30" t="s">
        <v>165</v>
      </c>
      <c r="CP405" s="35">
        <v>44677</v>
      </c>
      <c r="CQ405" s="37" t="s">
        <v>151</v>
      </c>
      <c r="CR405" s="30" t="s">
        <v>151</v>
      </c>
      <c r="CS405" s="30" t="s">
        <v>191</v>
      </c>
      <c r="CT405" s="29" t="s">
        <v>151</v>
      </c>
      <c r="CU405" s="30" t="s">
        <v>151</v>
      </c>
      <c r="CV405" s="32" t="s">
        <v>151</v>
      </c>
      <c r="CW405" s="32" t="s">
        <v>151</v>
      </c>
      <c r="CX405" s="30" t="s">
        <v>151</v>
      </c>
      <c r="CY405" s="32" t="s">
        <v>151</v>
      </c>
      <c r="CZ405" s="32" t="s">
        <v>151</v>
      </c>
      <c r="DA405" s="37">
        <v>13.71</v>
      </c>
      <c r="DB405" s="35">
        <v>44677</v>
      </c>
      <c r="DC405" s="30" t="s">
        <v>293</v>
      </c>
      <c r="DD405" s="29" t="s">
        <v>151</v>
      </c>
      <c r="DE405" s="32">
        <v>0</v>
      </c>
      <c r="DF405" s="34">
        <v>11</v>
      </c>
      <c r="DG405" s="32">
        <v>0</v>
      </c>
      <c r="DH405" s="32">
        <v>0</v>
      </c>
      <c r="DI405" s="32">
        <v>0</v>
      </c>
      <c r="DJ405" s="34">
        <v>10</v>
      </c>
      <c r="DK405" s="32" t="s">
        <v>151</v>
      </c>
      <c r="DL405" s="34" t="s">
        <v>151</v>
      </c>
      <c r="DM405" s="32">
        <v>0</v>
      </c>
      <c r="DN405" s="34">
        <v>10</v>
      </c>
      <c r="DO405" s="36">
        <v>0.26</v>
      </c>
      <c r="DP405" s="34">
        <v>17</v>
      </c>
      <c r="DQ405" s="36">
        <v>0</v>
      </c>
      <c r="DR405" s="32">
        <v>0</v>
      </c>
      <c r="DS405" s="36">
        <v>0.26</v>
      </c>
      <c r="DT405" s="34">
        <v>18</v>
      </c>
      <c r="DU405" s="36" t="s">
        <v>151</v>
      </c>
      <c r="DV405" s="34" t="s">
        <v>151</v>
      </c>
      <c r="DW405" s="36">
        <v>0.26</v>
      </c>
      <c r="DX405" s="34">
        <v>18</v>
      </c>
      <c r="DY405" s="31" t="s">
        <v>151</v>
      </c>
      <c r="DZ405" s="35" t="s">
        <v>151</v>
      </c>
      <c r="EA405" s="35" t="s">
        <v>151</v>
      </c>
      <c r="EB405" s="34">
        <v>0</v>
      </c>
      <c r="EC405" s="33">
        <v>0</v>
      </c>
      <c r="ED405" s="32">
        <v>0</v>
      </c>
      <c r="EE405" s="34">
        <v>5</v>
      </c>
      <c r="EF405" s="33">
        <v>0</v>
      </c>
      <c r="EG405" s="32">
        <v>0</v>
      </c>
      <c r="EH405" s="29" t="s">
        <v>198</v>
      </c>
      <c r="EI405" s="30" t="s">
        <v>151</v>
      </c>
      <c r="EJ405" s="30" t="s">
        <v>151</v>
      </c>
      <c r="EK405" s="31" t="s">
        <v>151</v>
      </c>
      <c r="EL405" s="31" t="s">
        <v>151</v>
      </c>
      <c r="EM405" s="31" t="s">
        <v>151</v>
      </c>
      <c r="EN405" s="31" t="s">
        <v>151</v>
      </c>
      <c r="EO405" s="31" t="s">
        <v>151</v>
      </c>
      <c r="EP405" s="30" t="s">
        <v>151</v>
      </c>
      <c r="EQ405" s="29" t="s">
        <v>151</v>
      </c>
      <c r="ER405" s="29" t="s">
        <v>151</v>
      </c>
      <c r="ES405" s="4">
        <f>HYPERLINK("https://my.pitchbook.com?c=572084-20","View Company Online")</f>
      </c>
    </row>
    <row r="406">
      <c r="A406" s="17" t="s">
        <v>8702</v>
      </c>
      <c r="B406" s="17" t="s">
        <v>8703</v>
      </c>
      <c r="C406" s="18" t="s">
        <v>151</v>
      </c>
      <c r="D406" s="17" t="s">
        <v>151</v>
      </c>
      <c r="E406" s="17" t="s">
        <v>151</v>
      </c>
      <c r="F406" s="17" t="s">
        <v>8704</v>
      </c>
      <c r="G406" s="17" t="s">
        <v>151</v>
      </c>
      <c r="H406" s="17" t="s">
        <v>151</v>
      </c>
      <c r="I406" s="17" t="s">
        <v>151</v>
      </c>
      <c r="J406" s="17" t="s">
        <v>8702</v>
      </c>
      <c r="K406" s="17" t="s">
        <v>8705</v>
      </c>
      <c r="L406" s="17" t="s">
        <v>205</v>
      </c>
      <c r="M406" s="17" t="s">
        <v>206</v>
      </c>
      <c r="N406" s="17" t="s">
        <v>269</v>
      </c>
      <c r="O406" s="17" t="s">
        <v>1819</v>
      </c>
      <c r="P406" s="17" t="s">
        <v>919</v>
      </c>
      <c r="Q406" s="17" t="s">
        <v>8706</v>
      </c>
      <c r="R406" s="17" t="s">
        <v>151</v>
      </c>
      <c r="S406" s="17" t="s">
        <v>162</v>
      </c>
      <c r="T406" s="24">
        <v>6.25</v>
      </c>
      <c r="U406" s="17" t="s">
        <v>163</v>
      </c>
      <c r="V406" s="17" t="s">
        <v>164</v>
      </c>
      <c r="W406" s="17" t="s">
        <v>165</v>
      </c>
      <c r="X406" s="15" t="s">
        <v>8707</v>
      </c>
      <c r="Y406" s="15" t="s">
        <v>8708</v>
      </c>
      <c r="Z406" s="27">
        <v>17</v>
      </c>
      <c r="AA406" s="17" t="s">
        <v>8709</v>
      </c>
      <c r="AB406" s="17" t="s">
        <v>151</v>
      </c>
      <c r="AC406" s="17" t="s">
        <v>151</v>
      </c>
      <c r="AD406" s="26">
        <v>2023</v>
      </c>
      <c r="AE406" s="17" t="s">
        <v>151</v>
      </c>
      <c r="AF406" s="22">
        <v>45610</v>
      </c>
      <c r="AG406" s="17" t="s">
        <v>151</v>
      </c>
      <c r="AH406" s="17" t="s">
        <v>151</v>
      </c>
      <c r="AI406" s="25" t="s">
        <v>151</v>
      </c>
      <c r="AJ406" s="19" t="s">
        <v>151</v>
      </c>
      <c r="AK406" s="25" t="s">
        <v>151</v>
      </c>
      <c r="AL406" s="25" t="s">
        <v>151</v>
      </c>
      <c r="AM406" s="25" t="s">
        <v>151</v>
      </c>
      <c r="AN406" s="25" t="s">
        <v>151</v>
      </c>
      <c r="AO406" s="25" t="s">
        <v>151</v>
      </c>
      <c r="AP406" s="25" t="s">
        <v>151</v>
      </c>
      <c r="AQ406" s="25" t="s">
        <v>151</v>
      </c>
      <c r="AR406" s="16" t="s">
        <v>151</v>
      </c>
      <c r="AS406" s="17" t="s">
        <v>8710</v>
      </c>
      <c r="AT406" s="17" t="s">
        <v>8711</v>
      </c>
      <c r="AU406" s="18">
        <v>5</v>
      </c>
      <c r="AV406" s="17" t="s">
        <v>151</v>
      </c>
      <c r="AW406" s="17" t="s">
        <v>151</v>
      </c>
      <c r="AX406" s="17" t="s">
        <v>151</v>
      </c>
      <c r="AY406" s="17" t="s">
        <v>8712</v>
      </c>
      <c r="AZ406" s="17" t="s">
        <v>151</v>
      </c>
      <c r="BA406" s="17" t="s">
        <v>151</v>
      </c>
      <c r="BB406" s="17" t="s">
        <v>151</v>
      </c>
      <c r="BC406" s="17" t="s">
        <v>151</v>
      </c>
      <c r="BD406" s="17" t="s">
        <v>8713</v>
      </c>
      <c r="BE406" s="17" t="s">
        <v>8714</v>
      </c>
      <c r="BF406" s="17" t="s">
        <v>221</v>
      </c>
      <c r="BG406" s="17" t="s">
        <v>8715</v>
      </c>
      <c r="BH406" s="17" t="s">
        <v>151</v>
      </c>
      <c r="BI406" s="17" t="s">
        <v>8716</v>
      </c>
      <c r="BJ406" s="17" t="s">
        <v>151</v>
      </c>
      <c r="BK406" s="17" t="s">
        <v>151</v>
      </c>
      <c r="BL406" s="17" t="s">
        <v>8717</v>
      </c>
      <c r="BM406" s="17" t="s">
        <v>184</v>
      </c>
      <c r="BN406" s="16" t="s">
        <v>151</v>
      </c>
      <c r="BO406" s="17" t="s">
        <v>186</v>
      </c>
      <c r="BP406" s="16" t="s">
        <v>151</v>
      </c>
      <c r="BQ406" s="16" t="s">
        <v>151</v>
      </c>
      <c r="BR406" s="17" t="s">
        <v>151</v>
      </c>
      <c r="BS406" s="17" t="s">
        <v>187</v>
      </c>
      <c r="BT406" s="17" t="s">
        <v>188</v>
      </c>
      <c r="BU406" s="22">
        <v>45370</v>
      </c>
      <c r="BV406" s="24">
        <v>6.25</v>
      </c>
      <c r="BW406" s="17" t="s">
        <v>192</v>
      </c>
      <c r="BX406" s="24" t="s">
        <v>151</v>
      </c>
      <c r="BY406" s="17" t="s">
        <v>151</v>
      </c>
      <c r="BZ406" s="17" t="s">
        <v>293</v>
      </c>
      <c r="CA406" s="17" t="s">
        <v>293</v>
      </c>
      <c r="CB406" s="17" t="s">
        <v>151</v>
      </c>
      <c r="CC406" s="17" t="s">
        <v>165</v>
      </c>
      <c r="CD406" s="17" t="s">
        <v>151</v>
      </c>
      <c r="CE406" s="17" t="s">
        <v>191</v>
      </c>
      <c r="CF406" s="22">
        <v>45370</v>
      </c>
      <c r="CG406" s="24">
        <v>6.25</v>
      </c>
      <c r="CH406" s="17" t="s">
        <v>192</v>
      </c>
      <c r="CI406" s="24" t="s">
        <v>151</v>
      </c>
      <c r="CJ406" s="17" t="s">
        <v>151</v>
      </c>
      <c r="CK406" s="16" t="s">
        <v>151</v>
      </c>
      <c r="CL406" s="17" t="s">
        <v>293</v>
      </c>
      <c r="CM406" s="17" t="s">
        <v>293</v>
      </c>
      <c r="CN406" s="17" t="s">
        <v>151</v>
      </c>
      <c r="CO406" s="17" t="s">
        <v>165</v>
      </c>
      <c r="CP406" s="22">
        <v>45370</v>
      </c>
      <c r="CQ406" s="24" t="s">
        <v>151</v>
      </c>
      <c r="CR406" s="17" t="s">
        <v>151</v>
      </c>
      <c r="CS406" s="17" t="s">
        <v>191</v>
      </c>
      <c r="CT406" s="16" t="s">
        <v>151</v>
      </c>
      <c r="CU406" s="17" t="s">
        <v>151</v>
      </c>
      <c r="CV406" s="19" t="s">
        <v>151</v>
      </c>
      <c r="CW406" s="19" t="s">
        <v>151</v>
      </c>
      <c r="CX406" s="17" t="s">
        <v>151</v>
      </c>
      <c r="CY406" s="19" t="s">
        <v>151</v>
      </c>
      <c r="CZ406" s="19" t="s">
        <v>151</v>
      </c>
      <c r="DA406" s="24" t="s">
        <v>151</v>
      </c>
      <c r="DB406" s="22" t="s">
        <v>151</v>
      </c>
      <c r="DC406" s="17" t="s">
        <v>151</v>
      </c>
      <c r="DD406" s="16" t="s">
        <v>151</v>
      </c>
      <c r="DE406" s="19" t="s">
        <v>151</v>
      </c>
      <c r="DF406" s="21" t="s">
        <v>151</v>
      </c>
      <c r="DG406" s="19" t="s">
        <v>151</v>
      </c>
      <c r="DH406" s="19" t="s">
        <v>151</v>
      </c>
      <c r="DI406" s="19" t="s">
        <v>151</v>
      </c>
      <c r="DJ406" s="21" t="s">
        <v>151</v>
      </c>
      <c r="DK406" s="19" t="s">
        <v>151</v>
      </c>
      <c r="DL406" s="21" t="s">
        <v>151</v>
      </c>
      <c r="DM406" s="19" t="s">
        <v>151</v>
      </c>
      <c r="DN406" s="21" t="s">
        <v>151</v>
      </c>
      <c r="DO406" s="23" t="s">
        <v>151</v>
      </c>
      <c r="DP406" s="21" t="s">
        <v>151</v>
      </c>
      <c r="DQ406" s="23" t="s">
        <v>151</v>
      </c>
      <c r="DR406" s="19" t="s">
        <v>151</v>
      </c>
      <c r="DS406" s="23" t="s">
        <v>151</v>
      </c>
      <c r="DT406" s="21" t="s">
        <v>151</v>
      </c>
      <c r="DU406" s="23" t="s">
        <v>151</v>
      </c>
      <c r="DV406" s="21" t="s">
        <v>151</v>
      </c>
      <c r="DW406" s="23" t="s">
        <v>151</v>
      </c>
      <c r="DX406" s="21" t="s">
        <v>151</v>
      </c>
      <c r="DY406" s="18" t="s">
        <v>151</v>
      </c>
      <c r="DZ406" s="22" t="s">
        <v>151</v>
      </c>
      <c r="EA406" s="22" t="s">
        <v>151</v>
      </c>
      <c r="EB406" s="21" t="s">
        <v>151</v>
      </c>
      <c r="EC406" s="20" t="s">
        <v>151</v>
      </c>
      <c r="ED406" s="19" t="s">
        <v>151</v>
      </c>
      <c r="EE406" s="21" t="s">
        <v>151</v>
      </c>
      <c r="EF406" s="20" t="s">
        <v>151</v>
      </c>
      <c r="EG406" s="19" t="s">
        <v>151</v>
      </c>
      <c r="EH406" s="16" t="s">
        <v>198</v>
      </c>
      <c r="EI406" s="17" t="s">
        <v>151</v>
      </c>
      <c r="EJ406" s="17" t="s">
        <v>151</v>
      </c>
      <c r="EK406" s="18" t="s">
        <v>151</v>
      </c>
      <c r="EL406" s="18" t="s">
        <v>151</v>
      </c>
      <c r="EM406" s="18" t="s">
        <v>151</v>
      </c>
      <c r="EN406" s="18" t="s">
        <v>151</v>
      </c>
      <c r="EO406" s="18" t="s">
        <v>151</v>
      </c>
      <c r="EP406" s="17" t="s">
        <v>151</v>
      </c>
      <c r="EQ406" s="16" t="s">
        <v>151</v>
      </c>
      <c r="ER406" s="16" t="s">
        <v>151</v>
      </c>
      <c r="ES406" s="3">
        <f>HYPERLINK("https://my.pitchbook.com?c=540733-60","View Company Online")</f>
      </c>
    </row>
    <row r="407">
      <c r="A407" s="30" t="s">
        <v>8718</v>
      </c>
      <c r="B407" s="30" t="s">
        <v>8719</v>
      </c>
      <c r="C407" s="31" t="s">
        <v>151</v>
      </c>
      <c r="D407" s="30" t="s">
        <v>151</v>
      </c>
      <c r="E407" s="30" t="s">
        <v>8720</v>
      </c>
      <c r="F407" s="30" t="s">
        <v>8721</v>
      </c>
      <c r="G407" s="30" t="s">
        <v>151</v>
      </c>
      <c r="H407" s="30" t="s">
        <v>151</v>
      </c>
      <c r="I407" s="30" t="s">
        <v>8722</v>
      </c>
      <c r="J407" s="30" t="s">
        <v>8718</v>
      </c>
      <c r="K407" s="30" t="s">
        <v>8723</v>
      </c>
      <c r="L407" s="30" t="s">
        <v>205</v>
      </c>
      <c r="M407" s="30" t="s">
        <v>206</v>
      </c>
      <c r="N407" s="30" t="s">
        <v>1268</v>
      </c>
      <c r="O407" s="30" t="s">
        <v>2461</v>
      </c>
      <c r="P407" s="30" t="s">
        <v>1205</v>
      </c>
      <c r="Q407" s="30" t="s">
        <v>8724</v>
      </c>
      <c r="R407" s="30" t="s">
        <v>151</v>
      </c>
      <c r="S407" s="30" t="s">
        <v>162</v>
      </c>
      <c r="T407" s="37">
        <v>0.74</v>
      </c>
      <c r="U407" s="30" t="s">
        <v>163</v>
      </c>
      <c r="V407" s="30" t="s">
        <v>164</v>
      </c>
      <c r="W407" s="30" t="s">
        <v>165</v>
      </c>
      <c r="X407" s="28" t="s">
        <v>8725</v>
      </c>
      <c r="Y407" s="28" t="s">
        <v>8726</v>
      </c>
      <c r="Z407" s="40">
        <v>8</v>
      </c>
      <c r="AA407" s="30" t="s">
        <v>8727</v>
      </c>
      <c r="AB407" s="30" t="s">
        <v>151</v>
      </c>
      <c r="AC407" s="30" t="s">
        <v>151</v>
      </c>
      <c r="AD407" s="39">
        <v>2019</v>
      </c>
      <c r="AE407" s="30" t="s">
        <v>151</v>
      </c>
      <c r="AF407" s="35">
        <v>45453</v>
      </c>
      <c r="AG407" s="30" t="s">
        <v>151</v>
      </c>
      <c r="AH407" s="30" t="s">
        <v>151</v>
      </c>
      <c r="AI407" s="38">
        <v>0.3</v>
      </c>
      <c r="AJ407" s="32" t="s">
        <v>151</v>
      </c>
      <c r="AK407" s="38" t="s">
        <v>151</v>
      </c>
      <c r="AL407" s="38">
        <v>0.05</v>
      </c>
      <c r="AM407" s="38" t="s">
        <v>151</v>
      </c>
      <c r="AN407" s="38" t="s">
        <v>151</v>
      </c>
      <c r="AO407" s="38" t="s">
        <v>151</v>
      </c>
      <c r="AP407" s="38" t="s">
        <v>151</v>
      </c>
      <c r="AQ407" s="38" t="s">
        <v>151</v>
      </c>
      <c r="AR407" s="29" t="s">
        <v>456</v>
      </c>
      <c r="AS407" s="30" t="s">
        <v>8728</v>
      </c>
      <c r="AT407" s="30" t="s">
        <v>8729</v>
      </c>
      <c r="AU407" s="31">
        <v>11</v>
      </c>
      <c r="AV407" s="30" t="s">
        <v>151</v>
      </c>
      <c r="AW407" s="30" t="s">
        <v>151</v>
      </c>
      <c r="AX407" s="30" t="s">
        <v>151</v>
      </c>
      <c r="AY407" s="30" t="s">
        <v>8730</v>
      </c>
      <c r="AZ407" s="30" t="s">
        <v>151</v>
      </c>
      <c r="BA407" s="30" t="s">
        <v>151</v>
      </c>
      <c r="BB407" s="30" t="s">
        <v>151</v>
      </c>
      <c r="BC407" s="30" t="s">
        <v>5675</v>
      </c>
      <c r="BD407" s="30" t="s">
        <v>8731</v>
      </c>
      <c r="BE407" s="30" t="s">
        <v>8732</v>
      </c>
      <c r="BF407" s="30" t="s">
        <v>221</v>
      </c>
      <c r="BG407" s="30" t="s">
        <v>8733</v>
      </c>
      <c r="BH407" s="30" t="s">
        <v>8734</v>
      </c>
      <c r="BI407" s="30" t="s">
        <v>2265</v>
      </c>
      <c r="BJ407" s="30" t="s">
        <v>8735</v>
      </c>
      <c r="BK407" s="30" t="s">
        <v>151</v>
      </c>
      <c r="BL407" s="30" t="s">
        <v>2267</v>
      </c>
      <c r="BM407" s="30" t="s">
        <v>855</v>
      </c>
      <c r="BN407" s="29" t="s">
        <v>2268</v>
      </c>
      <c r="BO407" s="30" t="s">
        <v>186</v>
      </c>
      <c r="BP407" s="29" t="s">
        <v>8734</v>
      </c>
      <c r="BQ407" s="29" t="s">
        <v>151</v>
      </c>
      <c r="BR407" s="30" t="s">
        <v>8736</v>
      </c>
      <c r="BS407" s="30" t="s">
        <v>187</v>
      </c>
      <c r="BT407" s="30" t="s">
        <v>188</v>
      </c>
      <c r="BU407" s="35">
        <v>44119</v>
      </c>
      <c r="BV407" s="37">
        <v>0.01</v>
      </c>
      <c r="BW407" s="30" t="s">
        <v>192</v>
      </c>
      <c r="BX407" s="37" t="s">
        <v>151</v>
      </c>
      <c r="BY407" s="30" t="s">
        <v>151</v>
      </c>
      <c r="BZ407" s="30" t="s">
        <v>858</v>
      </c>
      <c r="CA407" s="30" t="s">
        <v>151</v>
      </c>
      <c r="CB407" s="30" t="s">
        <v>151</v>
      </c>
      <c r="CC407" s="30" t="s">
        <v>585</v>
      </c>
      <c r="CD407" s="30" t="s">
        <v>151</v>
      </c>
      <c r="CE407" s="30" t="s">
        <v>191</v>
      </c>
      <c r="CF407" s="35">
        <v>44831</v>
      </c>
      <c r="CG407" s="37">
        <v>0.13</v>
      </c>
      <c r="CH407" s="30" t="s">
        <v>192</v>
      </c>
      <c r="CI407" s="37" t="s">
        <v>151</v>
      </c>
      <c r="CJ407" s="30" t="s">
        <v>151</v>
      </c>
      <c r="CK407" s="29" t="s">
        <v>151</v>
      </c>
      <c r="CL407" s="30" t="s">
        <v>189</v>
      </c>
      <c r="CM407" s="30" t="s">
        <v>151</v>
      </c>
      <c r="CN407" s="30" t="s">
        <v>151</v>
      </c>
      <c r="CO407" s="30" t="s">
        <v>190</v>
      </c>
      <c r="CP407" s="35">
        <v>44831</v>
      </c>
      <c r="CQ407" s="37" t="s">
        <v>151</v>
      </c>
      <c r="CR407" s="30" t="s">
        <v>151</v>
      </c>
      <c r="CS407" s="30" t="s">
        <v>191</v>
      </c>
      <c r="CT407" s="29" t="s">
        <v>151</v>
      </c>
      <c r="CU407" s="30" t="s">
        <v>151</v>
      </c>
      <c r="CV407" s="32" t="s">
        <v>151</v>
      </c>
      <c r="CW407" s="32" t="s">
        <v>151</v>
      </c>
      <c r="CX407" s="30" t="s">
        <v>151</v>
      </c>
      <c r="CY407" s="32" t="s">
        <v>151</v>
      </c>
      <c r="CZ407" s="32" t="s">
        <v>151</v>
      </c>
      <c r="DA407" s="37">
        <v>3.5</v>
      </c>
      <c r="DB407" s="35">
        <v>44244</v>
      </c>
      <c r="DC407" s="30" t="s">
        <v>293</v>
      </c>
      <c r="DD407" s="29" t="s">
        <v>151</v>
      </c>
      <c r="DE407" s="32">
        <v>0</v>
      </c>
      <c r="DF407" s="34">
        <v>11</v>
      </c>
      <c r="DG407" s="32">
        <v>0</v>
      </c>
      <c r="DH407" s="32">
        <v>0</v>
      </c>
      <c r="DI407" s="32">
        <v>0</v>
      </c>
      <c r="DJ407" s="34">
        <v>10</v>
      </c>
      <c r="DK407" s="32">
        <v>0</v>
      </c>
      <c r="DL407" s="34">
        <v>11</v>
      </c>
      <c r="DM407" s="32">
        <v>0</v>
      </c>
      <c r="DN407" s="34">
        <v>10</v>
      </c>
      <c r="DO407" s="36">
        <v>1.99</v>
      </c>
      <c r="DP407" s="34">
        <v>66</v>
      </c>
      <c r="DQ407" s="36">
        <v>0</v>
      </c>
      <c r="DR407" s="32">
        <v>0</v>
      </c>
      <c r="DS407" s="36">
        <v>1.99</v>
      </c>
      <c r="DT407" s="34">
        <v>66</v>
      </c>
      <c r="DU407" s="36">
        <v>0.03</v>
      </c>
      <c r="DV407" s="34">
        <v>15</v>
      </c>
      <c r="DW407" s="36">
        <v>3.95</v>
      </c>
      <c r="DX407" s="34">
        <v>78</v>
      </c>
      <c r="DY407" s="31" t="s">
        <v>151</v>
      </c>
      <c r="DZ407" s="35" t="s">
        <v>151</v>
      </c>
      <c r="EA407" s="35" t="s">
        <v>151</v>
      </c>
      <c r="EB407" s="34">
        <v>3</v>
      </c>
      <c r="EC407" s="33">
        <v>-27</v>
      </c>
      <c r="ED407" s="32">
        <v>-90</v>
      </c>
      <c r="EE407" s="34">
        <v>75</v>
      </c>
      <c r="EF407" s="33">
        <v>0</v>
      </c>
      <c r="EG407" s="32">
        <v>0</v>
      </c>
      <c r="EH407" s="29" t="s">
        <v>198</v>
      </c>
      <c r="EI407" s="30" t="s">
        <v>151</v>
      </c>
      <c r="EJ407" s="30" t="s">
        <v>151</v>
      </c>
      <c r="EK407" s="31" t="s">
        <v>151</v>
      </c>
      <c r="EL407" s="31" t="s">
        <v>151</v>
      </c>
      <c r="EM407" s="31" t="s">
        <v>151</v>
      </c>
      <c r="EN407" s="31" t="s">
        <v>151</v>
      </c>
      <c r="EO407" s="31" t="s">
        <v>151</v>
      </c>
      <c r="EP407" s="30" t="s">
        <v>151</v>
      </c>
      <c r="EQ407" s="29" t="s">
        <v>151</v>
      </c>
      <c r="ER407" s="29" t="s">
        <v>151</v>
      </c>
      <c r="ES407" s="4">
        <f>HYPERLINK("https://my.pitchbook.com?c=463195-36","View Company Online")</f>
      </c>
    </row>
    <row r="408">
      <c r="A408" s="17" t="s">
        <v>8737</v>
      </c>
      <c r="B408" s="17" t="s">
        <v>8738</v>
      </c>
      <c r="C408" s="18" t="s">
        <v>151</v>
      </c>
      <c r="D408" s="17" t="s">
        <v>8739</v>
      </c>
      <c r="E408" s="17" t="s">
        <v>151</v>
      </c>
      <c r="F408" s="17" t="s">
        <v>8740</v>
      </c>
      <c r="G408" s="17" t="s">
        <v>151</v>
      </c>
      <c r="H408" s="17" t="s">
        <v>151</v>
      </c>
      <c r="I408" s="17" t="s">
        <v>151</v>
      </c>
      <c r="J408" s="17" t="s">
        <v>8737</v>
      </c>
      <c r="K408" s="17" t="s">
        <v>8741</v>
      </c>
      <c r="L408" s="17" t="s">
        <v>155</v>
      </c>
      <c r="M408" s="17" t="s">
        <v>361</v>
      </c>
      <c r="N408" s="17" t="s">
        <v>362</v>
      </c>
      <c r="O408" s="17" t="s">
        <v>8742</v>
      </c>
      <c r="P408" s="17" t="s">
        <v>8743</v>
      </c>
      <c r="Q408" s="17" t="s">
        <v>8744</v>
      </c>
      <c r="R408" s="17" t="s">
        <v>151</v>
      </c>
      <c r="S408" s="17" t="s">
        <v>162</v>
      </c>
      <c r="T408" s="24">
        <v>1.87</v>
      </c>
      <c r="U408" s="17" t="s">
        <v>163</v>
      </c>
      <c r="V408" s="17" t="s">
        <v>164</v>
      </c>
      <c r="W408" s="17" t="s">
        <v>165</v>
      </c>
      <c r="X408" s="15" t="s">
        <v>8745</v>
      </c>
      <c r="Y408" s="15" t="s">
        <v>8746</v>
      </c>
      <c r="Z408" s="27">
        <v>17</v>
      </c>
      <c r="AA408" s="17" t="s">
        <v>8747</v>
      </c>
      <c r="AB408" s="17" t="s">
        <v>151</v>
      </c>
      <c r="AC408" s="17" t="s">
        <v>151</v>
      </c>
      <c r="AD408" s="26">
        <v>2018</v>
      </c>
      <c r="AE408" s="17" t="s">
        <v>151</v>
      </c>
      <c r="AF408" s="22">
        <v>45594</v>
      </c>
      <c r="AG408" s="17" t="s">
        <v>151</v>
      </c>
      <c r="AH408" s="17" t="s">
        <v>151</v>
      </c>
      <c r="AI408" s="25" t="s">
        <v>151</v>
      </c>
      <c r="AJ408" s="19" t="s">
        <v>151</v>
      </c>
      <c r="AK408" s="25" t="s">
        <v>151</v>
      </c>
      <c r="AL408" s="25" t="s">
        <v>151</v>
      </c>
      <c r="AM408" s="25" t="s">
        <v>151</v>
      </c>
      <c r="AN408" s="25" t="s">
        <v>151</v>
      </c>
      <c r="AO408" s="25" t="s">
        <v>151</v>
      </c>
      <c r="AP408" s="25" t="s">
        <v>151</v>
      </c>
      <c r="AQ408" s="25" t="s">
        <v>151</v>
      </c>
      <c r="AR408" s="16" t="s">
        <v>151</v>
      </c>
      <c r="AS408" s="17" t="s">
        <v>8748</v>
      </c>
      <c r="AT408" s="17" t="s">
        <v>8749</v>
      </c>
      <c r="AU408" s="18">
        <v>12</v>
      </c>
      <c r="AV408" s="17" t="s">
        <v>151</v>
      </c>
      <c r="AW408" s="17" t="s">
        <v>151</v>
      </c>
      <c r="AX408" s="17" t="s">
        <v>151</v>
      </c>
      <c r="AY408" s="17" t="s">
        <v>8750</v>
      </c>
      <c r="AZ408" s="17" t="s">
        <v>151</v>
      </c>
      <c r="BA408" s="17" t="s">
        <v>151</v>
      </c>
      <c r="BB408" s="17" t="s">
        <v>151</v>
      </c>
      <c r="BC408" s="17" t="s">
        <v>151</v>
      </c>
      <c r="BD408" s="17" t="s">
        <v>8751</v>
      </c>
      <c r="BE408" s="17" t="s">
        <v>8752</v>
      </c>
      <c r="BF408" s="17" t="s">
        <v>493</v>
      </c>
      <c r="BG408" s="17" t="s">
        <v>8753</v>
      </c>
      <c r="BH408" s="17" t="s">
        <v>8754</v>
      </c>
      <c r="BI408" s="17" t="s">
        <v>906</v>
      </c>
      <c r="BJ408" s="17" t="s">
        <v>8755</v>
      </c>
      <c r="BK408" s="17" t="s">
        <v>8756</v>
      </c>
      <c r="BL408" s="17" t="s">
        <v>259</v>
      </c>
      <c r="BM408" s="17" t="s">
        <v>259</v>
      </c>
      <c r="BN408" s="16" t="s">
        <v>3738</v>
      </c>
      <c r="BO408" s="17" t="s">
        <v>186</v>
      </c>
      <c r="BP408" s="16" t="s">
        <v>8754</v>
      </c>
      <c r="BQ408" s="16" t="s">
        <v>151</v>
      </c>
      <c r="BR408" s="17" t="s">
        <v>8757</v>
      </c>
      <c r="BS408" s="17" t="s">
        <v>187</v>
      </c>
      <c r="BT408" s="17" t="s">
        <v>188</v>
      </c>
      <c r="BU408" s="22">
        <v>43661</v>
      </c>
      <c r="BV408" s="24">
        <v>0.02</v>
      </c>
      <c r="BW408" s="17" t="s">
        <v>192</v>
      </c>
      <c r="BX408" s="24">
        <v>0.33</v>
      </c>
      <c r="BY408" s="17" t="s">
        <v>192</v>
      </c>
      <c r="BZ408" s="17" t="s">
        <v>189</v>
      </c>
      <c r="CA408" s="17" t="s">
        <v>151</v>
      </c>
      <c r="CB408" s="17" t="s">
        <v>151</v>
      </c>
      <c r="CC408" s="17" t="s">
        <v>190</v>
      </c>
      <c r="CD408" s="17" t="s">
        <v>151</v>
      </c>
      <c r="CE408" s="17" t="s">
        <v>191</v>
      </c>
      <c r="CF408" s="22">
        <v>43851</v>
      </c>
      <c r="CG408" s="24">
        <v>1.85</v>
      </c>
      <c r="CH408" s="17" t="s">
        <v>192</v>
      </c>
      <c r="CI408" s="24">
        <v>6.85</v>
      </c>
      <c r="CJ408" s="17" t="s">
        <v>192</v>
      </c>
      <c r="CK408" s="16" t="s">
        <v>151</v>
      </c>
      <c r="CL408" s="17" t="s">
        <v>293</v>
      </c>
      <c r="CM408" s="17" t="s">
        <v>293</v>
      </c>
      <c r="CN408" s="17" t="s">
        <v>151</v>
      </c>
      <c r="CO408" s="17" t="s">
        <v>165</v>
      </c>
      <c r="CP408" s="22">
        <v>43851</v>
      </c>
      <c r="CQ408" s="24" t="s">
        <v>151</v>
      </c>
      <c r="CR408" s="17" t="s">
        <v>151</v>
      </c>
      <c r="CS408" s="17" t="s">
        <v>191</v>
      </c>
      <c r="CT408" s="16" t="s">
        <v>151</v>
      </c>
      <c r="CU408" s="17" t="s">
        <v>151</v>
      </c>
      <c r="CV408" s="19" t="s">
        <v>151</v>
      </c>
      <c r="CW408" s="19" t="s">
        <v>151</v>
      </c>
      <c r="CX408" s="17" t="s">
        <v>151</v>
      </c>
      <c r="CY408" s="19" t="s">
        <v>151</v>
      </c>
      <c r="CZ408" s="19" t="s">
        <v>151</v>
      </c>
      <c r="DA408" s="24">
        <v>6.85</v>
      </c>
      <c r="DB408" s="22">
        <v>43851</v>
      </c>
      <c r="DC408" s="17" t="s">
        <v>293</v>
      </c>
      <c r="DD408" s="16" t="s">
        <v>151</v>
      </c>
      <c r="DE408" s="19">
        <v>0</v>
      </c>
      <c r="DF408" s="21">
        <v>11</v>
      </c>
      <c r="DG408" s="19">
        <v>0</v>
      </c>
      <c r="DH408" s="19">
        <v>0</v>
      </c>
      <c r="DI408" s="19" t="s">
        <v>151</v>
      </c>
      <c r="DJ408" s="21" t="s">
        <v>151</v>
      </c>
      <c r="DK408" s="19" t="s">
        <v>151</v>
      </c>
      <c r="DL408" s="21" t="s">
        <v>151</v>
      </c>
      <c r="DM408" s="19" t="s">
        <v>151</v>
      </c>
      <c r="DN408" s="21" t="s">
        <v>151</v>
      </c>
      <c r="DO408" s="23">
        <v>1.31</v>
      </c>
      <c r="DP408" s="21">
        <v>56</v>
      </c>
      <c r="DQ408" s="23">
        <v>0</v>
      </c>
      <c r="DR408" s="19">
        <v>0</v>
      </c>
      <c r="DS408" s="23" t="s">
        <v>151</v>
      </c>
      <c r="DT408" s="21" t="s">
        <v>151</v>
      </c>
      <c r="DU408" s="23" t="s">
        <v>151</v>
      </c>
      <c r="DV408" s="21" t="s">
        <v>151</v>
      </c>
      <c r="DW408" s="23" t="s">
        <v>151</v>
      </c>
      <c r="DX408" s="21" t="s">
        <v>151</v>
      </c>
      <c r="DY408" s="18" t="s">
        <v>151</v>
      </c>
      <c r="DZ408" s="22" t="s">
        <v>151</v>
      </c>
      <c r="EA408" s="22" t="s">
        <v>151</v>
      </c>
      <c r="EB408" s="21">
        <v>9759</v>
      </c>
      <c r="EC408" s="20">
        <v>901</v>
      </c>
      <c r="ED408" s="19">
        <v>10.17</v>
      </c>
      <c r="EE408" s="21" t="s">
        <v>151</v>
      </c>
      <c r="EF408" s="20" t="s">
        <v>151</v>
      </c>
      <c r="EG408" s="19" t="s">
        <v>151</v>
      </c>
      <c r="EH408" s="16" t="s">
        <v>198</v>
      </c>
      <c r="EI408" s="17" t="s">
        <v>151</v>
      </c>
      <c r="EJ408" s="17" t="s">
        <v>151</v>
      </c>
      <c r="EK408" s="18" t="s">
        <v>151</v>
      </c>
      <c r="EL408" s="18" t="s">
        <v>151</v>
      </c>
      <c r="EM408" s="18" t="s">
        <v>151</v>
      </c>
      <c r="EN408" s="18" t="s">
        <v>151</v>
      </c>
      <c r="EO408" s="18" t="s">
        <v>151</v>
      </c>
      <c r="EP408" s="17" t="s">
        <v>151</v>
      </c>
      <c r="EQ408" s="16" t="s">
        <v>151</v>
      </c>
      <c r="ER408" s="16" t="s">
        <v>151</v>
      </c>
      <c r="ES408" s="3">
        <f>HYPERLINK("https://my.pitchbook.com?c=224124-22","View Company Online")</f>
      </c>
    </row>
    <row r="409">
      <c r="A409" s="30" t="s">
        <v>8758</v>
      </c>
      <c r="B409" s="30" t="s">
        <v>8759</v>
      </c>
      <c r="C409" s="31" t="s">
        <v>151</v>
      </c>
      <c r="D409" s="30" t="s">
        <v>8760</v>
      </c>
      <c r="E409" s="30" t="s">
        <v>151</v>
      </c>
      <c r="F409" s="30" t="s">
        <v>8761</v>
      </c>
      <c r="G409" s="30" t="s">
        <v>151</v>
      </c>
      <c r="H409" s="30" t="s">
        <v>151</v>
      </c>
      <c r="I409" s="30" t="s">
        <v>8762</v>
      </c>
      <c r="J409" s="30" t="s">
        <v>8758</v>
      </c>
      <c r="K409" s="30" t="s">
        <v>8763</v>
      </c>
      <c r="L409" s="30" t="s">
        <v>205</v>
      </c>
      <c r="M409" s="30" t="s">
        <v>206</v>
      </c>
      <c r="N409" s="30" t="s">
        <v>1268</v>
      </c>
      <c r="O409" s="30" t="s">
        <v>8764</v>
      </c>
      <c r="P409" s="30" t="s">
        <v>8765</v>
      </c>
      <c r="Q409" s="30" t="s">
        <v>8766</v>
      </c>
      <c r="R409" s="30" t="s">
        <v>151</v>
      </c>
      <c r="S409" s="30" t="s">
        <v>162</v>
      </c>
      <c r="T409" s="37">
        <v>70.91</v>
      </c>
      <c r="U409" s="30" t="s">
        <v>163</v>
      </c>
      <c r="V409" s="30" t="s">
        <v>164</v>
      </c>
      <c r="W409" s="30" t="s">
        <v>420</v>
      </c>
      <c r="X409" s="28" t="s">
        <v>8767</v>
      </c>
      <c r="Y409" s="28" t="s">
        <v>8768</v>
      </c>
      <c r="Z409" s="40">
        <v>61</v>
      </c>
      <c r="AA409" s="30" t="s">
        <v>8769</v>
      </c>
      <c r="AB409" s="30" t="s">
        <v>151</v>
      </c>
      <c r="AC409" s="30" t="s">
        <v>151</v>
      </c>
      <c r="AD409" s="39">
        <v>2021</v>
      </c>
      <c r="AE409" s="30" t="s">
        <v>151</v>
      </c>
      <c r="AF409" s="35">
        <v>45616</v>
      </c>
      <c r="AG409" s="30" t="s">
        <v>151</v>
      </c>
      <c r="AH409" s="30" t="s">
        <v>151</v>
      </c>
      <c r="AI409" s="38" t="s">
        <v>151</v>
      </c>
      <c r="AJ409" s="32" t="s">
        <v>151</v>
      </c>
      <c r="AK409" s="38" t="s">
        <v>151</v>
      </c>
      <c r="AL409" s="38" t="s">
        <v>151</v>
      </c>
      <c r="AM409" s="38" t="s">
        <v>151</v>
      </c>
      <c r="AN409" s="38" t="s">
        <v>151</v>
      </c>
      <c r="AO409" s="38" t="s">
        <v>151</v>
      </c>
      <c r="AP409" s="38" t="s">
        <v>151</v>
      </c>
      <c r="AQ409" s="38" t="s">
        <v>151</v>
      </c>
      <c r="AR409" s="29" t="s">
        <v>151</v>
      </c>
      <c r="AS409" s="30" t="s">
        <v>8770</v>
      </c>
      <c r="AT409" s="30" t="s">
        <v>8771</v>
      </c>
      <c r="AU409" s="31">
        <v>37</v>
      </c>
      <c r="AV409" s="30" t="s">
        <v>151</v>
      </c>
      <c r="AW409" s="30" t="s">
        <v>151</v>
      </c>
      <c r="AX409" s="30" t="s">
        <v>151</v>
      </c>
      <c r="AY409" s="30" t="s">
        <v>8772</v>
      </c>
      <c r="AZ409" s="30" t="s">
        <v>151</v>
      </c>
      <c r="BA409" s="30" t="s">
        <v>151</v>
      </c>
      <c r="BB409" s="30" t="s">
        <v>8773</v>
      </c>
      <c r="BC409" s="30" t="s">
        <v>1214</v>
      </c>
      <c r="BD409" s="30" t="s">
        <v>8774</v>
      </c>
      <c r="BE409" s="30" t="s">
        <v>8775</v>
      </c>
      <c r="BF409" s="30" t="s">
        <v>7946</v>
      </c>
      <c r="BG409" s="30" t="s">
        <v>8776</v>
      </c>
      <c r="BH409" s="30" t="s">
        <v>8777</v>
      </c>
      <c r="BI409" s="30" t="s">
        <v>906</v>
      </c>
      <c r="BJ409" s="30" t="s">
        <v>8778</v>
      </c>
      <c r="BK409" s="30" t="s">
        <v>523</v>
      </c>
      <c r="BL409" s="30" t="s">
        <v>259</v>
      </c>
      <c r="BM409" s="30" t="s">
        <v>259</v>
      </c>
      <c r="BN409" s="29" t="s">
        <v>5984</v>
      </c>
      <c r="BO409" s="30" t="s">
        <v>186</v>
      </c>
      <c r="BP409" s="29" t="s">
        <v>8777</v>
      </c>
      <c r="BQ409" s="29" t="s">
        <v>151</v>
      </c>
      <c r="BR409" s="30" t="s">
        <v>151</v>
      </c>
      <c r="BS409" s="30" t="s">
        <v>187</v>
      </c>
      <c r="BT409" s="30" t="s">
        <v>188</v>
      </c>
      <c r="BU409" s="35">
        <v>44470</v>
      </c>
      <c r="BV409" s="37">
        <v>6.3</v>
      </c>
      <c r="BW409" s="30" t="s">
        <v>192</v>
      </c>
      <c r="BX409" s="37" t="s">
        <v>151</v>
      </c>
      <c r="BY409" s="30" t="s">
        <v>151</v>
      </c>
      <c r="BZ409" s="30" t="s">
        <v>293</v>
      </c>
      <c r="CA409" s="30" t="s">
        <v>293</v>
      </c>
      <c r="CB409" s="30" t="s">
        <v>151</v>
      </c>
      <c r="CC409" s="30" t="s">
        <v>165</v>
      </c>
      <c r="CD409" s="30" t="s">
        <v>151</v>
      </c>
      <c r="CE409" s="30" t="s">
        <v>191</v>
      </c>
      <c r="CF409" s="35">
        <v>45139</v>
      </c>
      <c r="CG409" s="37" t="s">
        <v>151</v>
      </c>
      <c r="CH409" s="30" t="s">
        <v>151</v>
      </c>
      <c r="CI409" s="37" t="s">
        <v>151</v>
      </c>
      <c r="CJ409" s="30" t="s">
        <v>151</v>
      </c>
      <c r="CK409" s="29" t="s">
        <v>151</v>
      </c>
      <c r="CL409" s="30" t="s">
        <v>231</v>
      </c>
      <c r="CM409" s="30" t="s">
        <v>151</v>
      </c>
      <c r="CN409" s="30" t="s">
        <v>151</v>
      </c>
      <c r="CO409" s="30" t="s">
        <v>165</v>
      </c>
      <c r="CP409" s="35">
        <v>45139</v>
      </c>
      <c r="CQ409" s="37" t="s">
        <v>151</v>
      </c>
      <c r="CR409" s="30" t="s">
        <v>151</v>
      </c>
      <c r="CS409" s="30" t="s">
        <v>191</v>
      </c>
      <c r="CT409" s="29">
        <v>98</v>
      </c>
      <c r="CU409" s="30" t="s">
        <v>196</v>
      </c>
      <c r="CV409" s="32">
        <v>95</v>
      </c>
      <c r="CW409" s="32">
        <v>5</v>
      </c>
      <c r="CX409" s="30" t="s">
        <v>294</v>
      </c>
      <c r="CY409" s="32">
        <v>3</v>
      </c>
      <c r="CZ409" s="32">
        <v>92</v>
      </c>
      <c r="DA409" s="37">
        <v>195</v>
      </c>
      <c r="DB409" s="35">
        <v>44621</v>
      </c>
      <c r="DC409" s="30" t="s">
        <v>231</v>
      </c>
      <c r="DD409" s="29" t="s">
        <v>151</v>
      </c>
      <c r="DE409" s="32">
        <v>0.66</v>
      </c>
      <c r="DF409" s="34">
        <v>95</v>
      </c>
      <c r="DG409" s="32">
        <v>0</v>
      </c>
      <c r="DH409" s="32">
        <v>0</v>
      </c>
      <c r="DI409" s="32">
        <v>0.01</v>
      </c>
      <c r="DJ409" s="34">
        <v>92</v>
      </c>
      <c r="DK409" s="32">
        <v>0</v>
      </c>
      <c r="DL409" s="34">
        <v>11</v>
      </c>
      <c r="DM409" s="32">
        <v>0.03</v>
      </c>
      <c r="DN409" s="34">
        <v>92</v>
      </c>
      <c r="DO409" s="36">
        <v>9.55</v>
      </c>
      <c r="DP409" s="34">
        <v>90</v>
      </c>
      <c r="DQ409" s="36">
        <v>0</v>
      </c>
      <c r="DR409" s="32">
        <v>0</v>
      </c>
      <c r="DS409" s="36">
        <v>14.4</v>
      </c>
      <c r="DT409" s="34">
        <v>93</v>
      </c>
      <c r="DU409" s="36">
        <v>4.33</v>
      </c>
      <c r="DV409" s="34">
        <v>80</v>
      </c>
      <c r="DW409" s="36">
        <v>24.47</v>
      </c>
      <c r="DX409" s="34">
        <v>96</v>
      </c>
      <c r="DY409" s="31" t="s">
        <v>151</v>
      </c>
      <c r="DZ409" s="35" t="s">
        <v>151</v>
      </c>
      <c r="EA409" s="35" t="s">
        <v>151</v>
      </c>
      <c r="EB409" s="34">
        <v>893</v>
      </c>
      <c r="EC409" s="33">
        <v>38</v>
      </c>
      <c r="ED409" s="32">
        <v>4.44</v>
      </c>
      <c r="EE409" s="34">
        <v>465</v>
      </c>
      <c r="EF409" s="33">
        <v>0</v>
      </c>
      <c r="EG409" s="32">
        <v>0</v>
      </c>
      <c r="EH409" s="29" t="s">
        <v>198</v>
      </c>
      <c r="EI409" s="30" t="s">
        <v>151</v>
      </c>
      <c r="EJ409" s="30" t="s">
        <v>151</v>
      </c>
      <c r="EK409" s="31" t="s">
        <v>151</v>
      </c>
      <c r="EL409" s="31" t="s">
        <v>151</v>
      </c>
      <c r="EM409" s="31" t="s">
        <v>151</v>
      </c>
      <c r="EN409" s="31" t="s">
        <v>151</v>
      </c>
      <c r="EO409" s="31" t="s">
        <v>151</v>
      </c>
      <c r="EP409" s="30" t="s">
        <v>151</v>
      </c>
      <c r="EQ409" s="29" t="s">
        <v>151</v>
      </c>
      <c r="ER409" s="29" t="s">
        <v>151</v>
      </c>
      <c r="ES409" s="4">
        <f>HYPERLINK("https://my.pitchbook.com?c=466427-44","View Company Online")</f>
      </c>
    </row>
    <row r="410">
      <c r="A410" s="17" t="s">
        <v>8779</v>
      </c>
      <c r="B410" s="17" t="s">
        <v>8780</v>
      </c>
      <c r="C410" s="18" t="s">
        <v>151</v>
      </c>
      <c r="D410" s="17" t="s">
        <v>8781</v>
      </c>
      <c r="E410" s="17" t="s">
        <v>151</v>
      </c>
      <c r="F410" s="17" t="s">
        <v>8782</v>
      </c>
      <c r="G410" s="17" t="s">
        <v>151</v>
      </c>
      <c r="H410" s="17" t="s">
        <v>151</v>
      </c>
      <c r="I410" s="17" t="s">
        <v>151</v>
      </c>
      <c r="J410" s="17" t="s">
        <v>8779</v>
      </c>
      <c r="K410" s="17" t="s">
        <v>8783</v>
      </c>
      <c r="L410" s="17" t="s">
        <v>205</v>
      </c>
      <c r="M410" s="17" t="s">
        <v>206</v>
      </c>
      <c r="N410" s="17" t="s">
        <v>269</v>
      </c>
      <c r="O410" s="17" t="s">
        <v>3558</v>
      </c>
      <c r="P410" s="17" t="s">
        <v>1652</v>
      </c>
      <c r="Q410" s="17" t="s">
        <v>8784</v>
      </c>
      <c r="R410" s="17" t="s">
        <v>151</v>
      </c>
      <c r="S410" s="17" t="s">
        <v>162</v>
      </c>
      <c r="T410" s="24">
        <v>6</v>
      </c>
      <c r="U410" s="17" t="s">
        <v>163</v>
      </c>
      <c r="V410" s="17" t="s">
        <v>164</v>
      </c>
      <c r="W410" s="17" t="s">
        <v>165</v>
      </c>
      <c r="X410" s="15" t="s">
        <v>8785</v>
      </c>
      <c r="Y410" s="15" t="s">
        <v>8786</v>
      </c>
      <c r="Z410" s="27">
        <v>42</v>
      </c>
      <c r="AA410" s="17" t="s">
        <v>8787</v>
      </c>
      <c r="AB410" s="17" t="s">
        <v>151</v>
      </c>
      <c r="AC410" s="17" t="s">
        <v>151</v>
      </c>
      <c r="AD410" s="26">
        <v>2015</v>
      </c>
      <c r="AE410" s="17" t="s">
        <v>151</v>
      </c>
      <c r="AF410" s="22">
        <v>45587</v>
      </c>
      <c r="AG410" s="17" t="s">
        <v>151</v>
      </c>
      <c r="AH410" s="17" t="s">
        <v>151</v>
      </c>
      <c r="AI410" s="25" t="s">
        <v>151</v>
      </c>
      <c r="AJ410" s="19" t="s">
        <v>151</v>
      </c>
      <c r="AK410" s="25" t="s">
        <v>151</v>
      </c>
      <c r="AL410" s="25" t="s">
        <v>151</v>
      </c>
      <c r="AM410" s="25" t="s">
        <v>151</v>
      </c>
      <c r="AN410" s="25" t="s">
        <v>151</v>
      </c>
      <c r="AO410" s="25" t="s">
        <v>151</v>
      </c>
      <c r="AP410" s="25" t="s">
        <v>151</v>
      </c>
      <c r="AQ410" s="25" t="s">
        <v>151</v>
      </c>
      <c r="AR410" s="16" t="s">
        <v>151</v>
      </c>
      <c r="AS410" s="17" t="s">
        <v>8788</v>
      </c>
      <c r="AT410" s="17" t="s">
        <v>8789</v>
      </c>
      <c r="AU410" s="18">
        <v>6</v>
      </c>
      <c r="AV410" s="17" t="s">
        <v>151</v>
      </c>
      <c r="AW410" s="17" t="s">
        <v>151</v>
      </c>
      <c r="AX410" s="17" t="s">
        <v>151</v>
      </c>
      <c r="AY410" s="17" t="s">
        <v>8790</v>
      </c>
      <c r="AZ410" s="17" t="s">
        <v>151</v>
      </c>
      <c r="BA410" s="17" t="s">
        <v>151</v>
      </c>
      <c r="BB410" s="17" t="s">
        <v>151</v>
      </c>
      <c r="BC410" s="17" t="s">
        <v>490</v>
      </c>
      <c r="BD410" s="17" t="s">
        <v>8791</v>
      </c>
      <c r="BE410" s="17" t="s">
        <v>8792</v>
      </c>
      <c r="BF410" s="17" t="s">
        <v>931</v>
      </c>
      <c r="BG410" s="17" t="s">
        <v>8793</v>
      </c>
      <c r="BH410" s="17" t="s">
        <v>8794</v>
      </c>
      <c r="BI410" s="17" t="s">
        <v>8795</v>
      </c>
      <c r="BJ410" s="17" t="s">
        <v>8796</v>
      </c>
      <c r="BK410" s="17" t="s">
        <v>151</v>
      </c>
      <c r="BL410" s="17" t="s">
        <v>8797</v>
      </c>
      <c r="BM410" s="17" t="s">
        <v>184</v>
      </c>
      <c r="BN410" s="16" t="s">
        <v>8798</v>
      </c>
      <c r="BO410" s="17" t="s">
        <v>186</v>
      </c>
      <c r="BP410" s="16" t="s">
        <v>8799</v>
      </c>
      <c r="BQ410" s="16" t="s">
        <v>151</v>
      </c>
      <c r="BR410" s="17" t="s">
        <v>8800</v>
      </c>
      <c r="BS410" s="17" t="s">
        <v>187</v>
      </c>
      <c r="BT410" s="17" t="s">
        <v>188</v>
      </c>
      <c r="BU410" s="22">
        <v>44317</v>
      </c>
      <c r="BV410" s="24">
        <v>2</v>
      </c>
      <c r="BW410" s="17" t="s">
        <v>192</v>
      </c>
      <c r="BX410" s="24">
        <v>6</v>
      </c>
      <c r="BY410" s="17" t="s">
        <v>192</v>
      </c>
      <c r="BZ410" s="17" t="s">
        <v>293</v>
      </c>
      <c r="CA410" s="17" t="s">
        <v>293</v>
      </c>
      <c r="CB410" s="17" t="s">
        <v>151</v>
      </c>
      <c r="CC410" s="17" t="s">
        <v>165</v>
      </c>
      <c r="CD410" s="17" t="s">
        <v>151</v>
      </c>
      <c r="CE410" s="17" t="s">
        <v>191</v>
      </c>
      <c r="CF410" s="22">
        <v>45364</v>
      </c>
      <c r="CG410" s="24">
        <v>4</v>
      </c>
      <c r="CH410" s="17" t="s">
        <v>192</v>
      </c>
      <c r="CI410" s="24">
        <v>15</v>
      </c>
      <c r="CJ410" s="17" t="s">
        <v>193</v>
      </c>
      <c r="CK410" s="16">
        <v>1.83</v>
      </c>
      <c r="CL410" s="17" t="s">
        <v>293</v>
      </c>
      <c r="CM410" s="17" t="s">
        <v>293</v>
      </c>
      <c r="CN410" s="17" t="s">
        <v>151</v>
      </c>
      <c r="CO410" s="17" t="s">
        <v>165</v>
      </c>
      <c r="CP410" s="22">
        <v>45364</v>
      </c>
      <c r="CQ410" s="24" t="s">
        <v>151</v>
      </c>
      <c r="CR410" s="17" t="s">
        <v>151</v>
      </c>
      <c r="CS410" s="17" t="s">
        <v>191</v>
      </c>
      <c r="CT410" s="16">
        <v>83</v>
      </c>
      <c r="CU410" s="17" t="s">
        <v>196</v>
      </c>
      <c r="CV410" s="19">
        <v>76</v>
      </c>
      <c r="CW410" s="19">
        <v>24</v>
      </c>
      <c r="CX410" s="17" t="s">
        <v>294</v>
      </c>
      <c r="CY410" s="19">
        <v>1</v>
      </c>
      <c r="CZ410" s="19">
        <v>75</v>
      </c>
      <c r="DA410" s="24">
        <v>15</v>
      </c>
      <c r="DB410" s="22">
        <v>45364</v>
      </c>
      <c r="DC410" s="17" t="s">
        <v>293</v>
      </c>
      <c r="DD410" s="16">
        <v>1.83</v>
      </c>
      <c r="DE410" s="19">
        <v>1.57</v>
      </c>
      <c r="DF410" s="21">
        <v>98</v>
      </c>
      <c r="DG410" s="19">
        <v>0</v>
      </c>
      <c r="DH410" s="19">
        <v>0</v>
      </c>
      <c r="DI410" s="19">
        <v>3.11</v>
      </c>
      <c r="DJ410" s="21">
        <v>99</v>
      </c>
      <c r="DK410" s="19" t="s">
        <v>151</v>
      </c>
      <c r="DL410" s="21" t="s">
        <v>151</v>
      </c>
      <c r="DM410" s="19">
        <v>3.11</v>
      </c>
      <c r="DN410" s="21">
        <v>99</v>
      </c>
      <c r="DO410" s="23">
        <v>5.67</v>
      </c>
      <c r="DP410" s="21">
        <v>84</v>
      </c>
      <c r="DQ410" s="23">
        <v>0</v>
      </c>
      <c r="DR410" s="19">
        <v>0</v>
      </c>
      <c r="DS410" s="23">
        <v>11.16</v>
      </c>
      <c r="DT410" s="21">
        <v>91</v>
      </c>
      <c r="DU410" s="23" t="s">
        <v>151</v>
      </c>
      <c r="DV410" s="21" t="s">
        <v>151</v>
      </c>
      <c r="DW410" s="23">
        <v>11.16</v>
      </c>
      <c r="DX410" s="21">
        <v>91</v>
      </c>
      <c r="DY410" s="18">
        <v>1</v>
      </c>
      <c r="DZ410" s="22">
        <v>44010</v>
      </c>
      <c r="EA410" s="22" t="s">
        <v>8801</v>
      </c>
      <c r="EB410" s="21">
        <v>2694</v>
      </c>
      <c r="EC410" s="20">
        <v>-673</v>
      </c>
      <c r="ED410" s="19">
        <v>-19.99</v>
      </c>
      <c r="EE410" s="21">
        <v>212</v>
      </c>
      <c r="EF410" s="20">
        <v>5</v>
      </c>
      <c r="EG410" s="19">
        <v>2.42</v>
      </c>
      <c r="EH410" s="16" t="s">
        <v>198</v>
      </c>
      <c r="EI410" s="17" t="s">
        <v>151</v>
      </c>
      <c r="EJ410" s="17" t="s">
        <v>151</v>
      </c>
      <c r="EK410" s="18" t="s">
        <v>151</v>
      </c>
      <c r="EL410" s="18" t="s">
        <v>151</v>
      </c>
      <c r="EM410" s="18" t="s">
        <v>151</v>
      </c>
      <c r="EN410" s="18" t="s">
        <v>151</v>
      </c>
      <c r="EO410" s="18" t="s">
        <v>151</v>
      </c>
      <c r="EP410" s="17" t="s">
        <v>151</v>
      </c>
      <c r="EQ410" s="16" t="s">
        <v>151</v>
      </c>
      <c r="ER410" s="16" t="s">
        <v>151</v>
      </c>
      <c r="ES410" s="3">
        <f>HYPERLINK("https://my.pitchbook.com?c=171184-60","View Company Online")</f>
      </c>
    </row>
    <row r="411">
      <c r="A411" s="30" t="s">
        <v>8802</v>
      </c>
      <c r="B411" s="30" t="s">
        <v>8803</v>
      </c>
      <c r="C411" s="31" t="s">
        <v>151</v>
      </c>
      <c r="D411" s="30" t="s">
        <v>151</v>
      </c>
      <c r="E411" s="30" t="s">
        <v>8804</v>
      </c>
      <c r="F411" s="30" t="s">
        <v>8805</v>
      </c>
      <c r="G411" s="30" t="s">
        <v>151</v>
      </c>
      <c r="H411" s="30" t="s">
        <v>151</v>
      </c>
      <c r="I411" s="30" t="s">
        <v>151</v>
      </c>
      <c r="J411" s="30" t="s">
        <v>8802</v>
      </c>
      <c r="K411" s="30" t="s">
        <v>8806</v>
      </c>
      <c r="L411" s="30" t="s">
        <v>205</v>
      </c>
      <c r="M411" s="30" t="s">
        <v>206</v>
      </c>
      <c r="N411" s="30" t="s">
        <v>269</v>
      </c>
      <c r="O411" s="30" t="s">
        <v>563</v>
      </c>
      <c r="P411" s="30" t="s">
        <v>1107</v>
      </c>
      <c r="Q411" s="30" t="s">
        <v>8807</v>
      </c>
      <c r="R411" s="30" t="s">
        <v>151</v>
      </c>
      <c r="S411" s="30" t="s">
        <v>162</v>
      </c>
      <c r="T411" s="37">
        <v>1.15</v>
      </c>
      <c r="U411" s="30" t="s">
        <v>163</v>
      </c>
      <c r="V411" s="30" t="s">
        <v>164</v>
      </c>
      <c r="W411" s="30" t="s">
        <v>165</v>
      </c>
      <c r="X411" s="28" t="s">
        <v>8808</v>
      </c>
      <c r="Y411" s="28" t="s">
        <v>8809</v>
      </c>
      <c r="Z411" s="40">
        <v>5</v>
      </c>
      <c r="AA411" s="30" t="s">
        <v>8810</v>
      </c>
      <c r="AB411" s="30" t="s">
        <v>151</v>
      </c>
      <c r="AC411" s="30" t="s">
        <v>151</v>
      </c>
      <c r="AD411" s="39">
        <v>2020</v>
      </c>
      <c r="AE411" s="30" t="s">
        <v>151</v>
      </c>
      <c r="AF411" s="35">
        <v>45581</v>
      </c>
      <c r="AG411" s="30" t="s">
        <v>151</v>
      </c>
      <c r="AH411" s="30" t="s">
        <v>151</v>
      </c>
      <c r="AI411" s="38" t="s">
        <v>151</v>
      </c>
      <c r="AJ411" s="32" t="s">
        <v>151</v>
      </c>
      <c r="AK411" s="38" t="s">
        <v>151</v>
      </c>
      <c r="AL411" s="38" t="s">
        <v>151</v>
      </c>
      <c r="AM411" s="38" t="s">
        <v>151</v>
      </c>
      <c r="AN411" s="38" t="s">
        <v>151</v>
      </c>
      <c r="AO411" s="38" t="s">
        <v>151</v>
      </c>
      <c r="AP411" s="38" t="s">
        <v>151</v>
      </c>
      <c r="AQ411" s="38" t="s">
        <v>151</v>
      </c>
      <c r="AR411" s="29" t="s">
        <v>151</v>
      </c>
      <c r="AS411" s="30" t="s">
        <v>8811</v>
      </c>
      <c r="AT411" s="30" t="s">
        <v>8812</v>
      </c>
      <c r="AU411" s="31">
        <v>7</v>
      </c>
      <c r="AV411" s="30" t="s">
        <v>151</v>
      </c>
      <c r="AW411" s="30" t="s">
        <v>151</v>
      </c>
      <c r="AX411" s="30" t="s">
        <v>151</v>
      </c>
      <c r="AY411" s="30" t="s">
        <v>8813</v>
      </c>
      <c r="AZ411" s="30" t="s">
        <v>151</v>
      </c>
      <c r="BA411" s="30" t="s">
        <v>151</v>
      </c>
      <c r="BB411" s="30" t="s">
        <v>151</v>
      </c>
      <c r="BC411" s="30" t="s">
        <v>151</v>
      </c>
      <c r="BD411" s="30" t="s">
        <v>8814</v>
      </c>
      <c r="BE411" s="30" t="s">
        <v>8815</v>
      </c>
      <c r="BF411" s="30" t="s">
        <v>7745</v>
      </c>
      <c r="BG411" s="30" t="s">
        <v>8816</v>
      </c>
      <c r="BH411" s="30" t="s">
        <v>8817</v>
      </c>
      <c r="BI411" s="30" t="s">
        <v>764</v>
      </c>
      <c r="BJ411" s="30" t="s">
        <v>3969</v>
      </c>
      <c r="BK411" s="30" t="s">
        <v>8818</v>
      </c>
      <c r="BL411" s="30" t="s">
        <v>767</v>
      </c>
      <c r="BM411" s="30" t="s">
        <v>184</v>
      </c>
      <c r="BN411" s="29" t="s">
        <v>794</v>
      </c>
      <c r="BO411" s="30" t="s">
        <v>186</v>
      </c>
      <c r="BP411" s="29" t="s">
        <v>8817</v>
      </c>
      <c r="BQ411" s="29" t="s">
        <v>151</v>
      </c>
      <c r="BR411" s="30" t="s">
        <v>8819</v>
      </c>
      <c r="BS411" s="30" t="s">
        <v>187</v>
      </c>
      <c r="BT411" s="30" t="s">
        <v>188</v>
      </c>
      <c r="BU411" s="35">
        <v>44385</v>
      </c>
      <c r="BV411" s="37">
        <v>0.13</v>
      </c>
      <c r="BW411" s="30" t="s">
        <v>192</v>
      </c>
      <c r="BX411" s="37" t="s">
        <v>151</v>
      </c>
      <c r="BY411" s="30" t="s">
        <v>151</v>
      </c>
      <c r="BZ411" s="30" t="s">
        <v>189</v>
      </c>
      <c r="CA411" s="30" t="s">
        <v>151</v>
      </c>
      <c r="CB411" s="30" t="s">
        <v>151</v>
      </c>
      <c r="CC411" s="30" t="s">
        <v>190</v>
      </c>
      <c r="CD411" s="30" t="s">
        <v>151</v>
      </c>
      <c r="CE411" s="30" t="s">
        <v>191</v>
      </c>
      <c r="CF411" s="35">
        <v>44743</v>
      </c>
      <c r="CG411" s="37">
        <v>1.02</v>
      </c>
      <c r="CH411" s="30" t="s">
        <v>192</v>
      </c>
      <c r="CI411" s="37" t="s">
        <v>151</v>
      </c>
      <c r="CJ411" s="30" t="s">
        <v>151</v>
      </c>
      <c r="CK411" s="29" t="s">
        <v>151</v>
      </c>
      <c r="CL411" s="30" t="s">
        <v>293</v>
      </c>
      <c r="CM411" s="30" t="s">
        <v>293</v>
      </c>
      <c r="CN411" s="30" t="s">
        <v>151</v>
      </c>
      <c r="CO411" s="30" t="s">
        <v>165</v>
      </c>
      <c r="CP411" s="35">
        <v>44743</v>
      </c>
      <c r="CQ411" s="37" t="s">
        <v>151</v>
      </c>
      <c r="CR411" s="30" t="s">
        <v>151</v>
      </c>
      <c r="CS411" s="30" t="s">
        <v>191</v>
      </c>
      <c r="CT411" s="29" t="s">
        <v>151</v>
      </c>
      <c r="CU411" s="30" t="s">
        <v>151</v>
      </c>
      <c r="CV411" s="32" t="s">
        <v>151</v>
      </c>
      <c r="CW411" s="32" t="s">
        <v>151</v>
      </c>
      <c r="CX411" s="30" t="s">
        <v>151</v>
      </c>
      <c r="CY411" s="32" t="s">
        <v>151</v>
      </c>
      <c r="CZ411" s="32" t="s">
        <v>151</v>
      </c>
      <c r="DA411" s="37" t="s">
        <v>151</v>
      </c>
      <c r="DB411" s="35" t="s">
        <v>151</v>
      </c>
      <c r="DC411" s="30" t="s">
        <v>151</v>
      </c>
      <c r="DD411" s="29" t="s">
        <v>151</v>
      </c>
      <c r="DE411" s="32">
        <v>0</v>
      </c>
      <c r="DF411" s="34">
        <v>11</v>
      </c>
      <c r="DG411" s="32">
        <v>0</v>
      </c>
      <c r="DH411" s="32">
        <v>0</v>
      </c>
      <c r="DI411" s="32" t="s">
        <v>151</v>
      </c>
      <c r="DJ411" s="34" t="s">
        <v>151</v>
      </c>
      <c r="DK411" s="32" t="s">
        <v>151</v>
      </c>
      <c r="DL411" s="34" t="s">
        <v>151</v>
      </c>
      <c r="DM411" s="32" t="s">
        <v>151</v>
      </c>
      <c r="DN411" s="34" t="s">
        <v>151</v>
      </c>
      <c r="DO411" s="36">
        <v>0.38</v>
      </c>
      <c r="DP411" s="34">
        <v>27</v>
      </c>
      <c r="DQ411" s="36">
        <v>0</v>
      </c>
      <c r="DR411" s="32">
        <v>0</v>
      </c>
      <c r="DS411" s="36" t="s">
        <v>151</v>
      </c>
      <c r="DT411" s="34" t="s">
        <v>151</v>
      </c>
      <c r="DU411" s="36" t="s">
        <v>151</v>
      </c>
      <c r="DV411" s="34" t="s">
        <v>151</v>
      </c>
      <c r="DW411" s="36" t="s">
        <v>151</v>
      </c>
      <c r="DX411" s="34" t="s">
        <v>151</v>
      </c>
      <c r="DY411" s="31" t="s">
        <v>151</v>
      </c>
      <c r="DZ411" s="35" t="s">
        <v>151</v>
      </c>
      <c r="EA411" s="35" t="s">
        <v>151</v>
      </c>
      <c r="EB411" s="34">
        <v>38359</v>
      </c>
      <c r="EC411" s="33">
        <v>514</v>
      </c>
      <c r="ED411" s="32">
        <v>1.36</v>
      </c>
      <c r="EE411" s="34" t="s">
        <v>151</v>
      </c>
      <c r="EF411" s="33" t="s">
        <v>151</v>
      </c>
      <c r="EG411" s="32" t="s">
        <v>151</v>
      </c>
      <c r="EH411" s="29" t="s">
        <v>198</v>
      </c>
      <c r="EI411" s="30" t="s">
        <v>151</v>
      </c>
      <c r="EJ411" s="30" t="s">
        <v>151</v>
      </c>
      <c r="EK411" s="31" t="s">
        <v>151</v>
      </c>
      <c r="EL411" s="31" t="s">
        <v>151</v>
      </c>
      <c r="EM411" s="31" t="s">
        <v>151</v>
      </c>
      <c r="EN411" s="31" t="s">
        <v>151</v>
      </c>
      <c r="EO411" s="31" t="s">
        <v>151</v>
      </c>
      <c r="EP411" s="30" t="s">
        <v>151</v>
      </c>
      <c r="EQ411" s="29" t="s">
        <v>151</v>
      </c>
      <c r="ER411" s="29" t="s">
        <v>151</v>
      </c>
      <c r="ES411" s="4">
        <f>HYPERLINK("https://my.pitchbook.com?c=469919-98","View Company Online")</f>
      </c>
    </row>
    <row r="412">
      <c r="A412" s="17" t="s">
        <v>8820</v>
      </c>
      <c r="B412" s="17" t="s">
        <v>8821</v>
      </c>
      <c r="C412" s="18" t="s">
        <v>151</v>
      </c>
      <c r="D412" s="17" t="s">
        <v>151</v>
      </c>
      <c r="E412" s="17" t="s">
        <v>151</v>
      </c>
      <c r="F412" s="17" t="s">
        <v>8822</v>
      </c>
      <c r="G412" s="17" t="s">
        <v>151</v>
      </c>
      <c r="H412" s="17" t="s">
        <v>151</v>
      </c>
      <c r="I412" s="17" t="s">
        <v>151</v>
      </c>
      <c r="J412" s="17" t="s">
        <v>8820</v>
      </c>
      <c r="K412" s="17" t="s">
        <v>8823</v>
      </c>
      <c r="L412" s="17" t="s">
        <v>616</v>
      </c>
      <c r="M412" s="17" t="s">
        <v>834</v>
      </c>
      <c r="N412" s="17" t="s">
        <v>835</v>
      </c>
      <c r="O412" s="17" t="s">
        <v>4322</v>
      </c>
      <c r="P412" s="17" t="s">
        <v>8824</v>
      </c>
      <c r="Q412" s="17" t="s">
        <v>8825</v>
      </c>
      <c r="R412" s="17" t="s">
        <v>151</v>
      </c>
      <c r="S412" s="17" t="s">
        <v>162</v>
      </c>
      <c r="T412" s="24">
        <v>2.26</v>
      </c>
      <c r="U412" s="17" t="s">
        <v>163</v>
      </c>
      <c r="V412" s="17" t="s">
        <v>164</v>
      </c>
      <c r="W412" s="17" t="s">
        <v>165</v>
      </c>
      <c r="X412" s="15" t="s">
        <v>8826</v>
      </c>
      <c r="Y412" s="15" t="s">
        <v>8827</v>
      </c>
      <c r="Z412" s="27">
        <v>3</v>
      </c>
      <c r="AA412" s="17" t="s">
        <v>8828</v>
      </c>
      <c r="AB412" s="17" t="s">
        <v>151</v>
      </c>
      <c r="AC412" s="17" t="s">
        <v>151</v>
      </c>
      <c r="AD412" s="26">
        <v>2020</v>
      </c>
      <c r="AE412" s="17" t="s">
        <v>151</v>
      </c>
      <c r="AF412" s="22">
        <v>45519</v>
      </c>
      <c r="AG412" s="17" t="s">
        <v>151</v>
      </c>
      <c r="AH412" s="17" t="s">
        <v>151</v>
      </c>
      <c r="AI412" s="25" t="s">
        <v>151</v>
      </c>
      <c r="AJ412" s="19" t="s">
        <v>151</v>
      </c>
      <c r="AK412" s="25" t="s">
        <v>151</v>
      </c>
      <c r="AL412" s="25" t="s">
        <v>151</v>
      </c>
      <c r="AM412" s="25" t="s">
        <v>151</v>
      </c>
      <c r="AN412" s="25" t="s">
        <v>151</v>
      </c>
      <c r="AO412" s="25" t="s">
        <v>151</v>
      </c>
      <c r="AP412" s="25" t="s">
        <v>151</v>
      </c>
      <c r="AQ412" s="25" t="s">
        <v>151</v>
      </c>
      <c r="AR412" s="16" t="s">
        <v>151</v>
      </c>
      <c r="AS412" s="17" t="s">
        <v>8829</v>
      </c>
      <c r="AT412" s="17" t="s">
        <v>8830</v>
      </c>
      <c r="AU412" s="18">
        <v>7</v>
      </c>
      <c r="AV412" s="17" t="s">
        <v>151</v>
      </c>
      <c r="AW412" s="17" t="s">
        <v>151</v>
      </c>
      <c r="AX412" s="17" t="s">
        <v>151</v>
      </c>
      <c r="AY412" s="17" t="s">
        <v>8831</v>
      </c>
      <c r="AZ412" s="17" t="s">
        <v>151</v>
      </c>
      <c r="BA412" s="17" t="s">
        <v>151</v>
      </c>
      <c r="BB412" s="17" t="s">
        <v>151</v>
      </c>
      <c r="BC412" s="17" t="s">
        <v>8832</v>
      </c>
      <c r="BD412" s="17" t="s">
        <v>8833</v>
      </c>
      <c r="BE412" s="17" t="s">
        <v>8834</v>
      </c>
      <c r="BF412" s="17" t="s">
        <v>430</v>
      </c>
      <c r="BG412" s="17" t="s">
        <v>8835</v>
      </c>
      <c r="BH412" s="17" t="s">
        <v>151</v>
      </c>
      <c r="BI412" s="17" t="s">
        <v>1068</v>
      </c>
      <c r="BJ412" s="17" t="s">
        <v>8836</v>
      </c>
      <c r="BK412" s="17" t="s">
        <v>8837</v>
      </c>
      <c r="BL412" s="17" t="s">
        <v>1071</v>
      </c>
      <c r="BM412" s="17" t="s">
        <v>1072</v>
      </c>
      <c r="BN412" s="16" t="s">
        <v>8838</v>
      </c>
      <c r="BO412" s="17" t="s">
        <v>186</v>
      </c>
      <c r="BP412" s="16" t="s">
        <v>8839</v>
      </c>
      <c r="BQ412" s="16" t="s">
        <v>151</v>
      </c>
      <c r="BR412" s="17" t="s">
        <v>8840</v>
      </c>
      <c r="BS412" s="17" t="s">
        <v>187</v>
      </c>
      <c r="BT412" s="17" t="s">
        <v>188</v>
      </c>
      <c r="BU412" s="22">
        <v>44168</v>
      </c>
      <c r="BV412" s="24" t="s">
        <v>151</v>
      </c>
      <c r="BW412" s="17" t="s">
        <v>151</v>
      </c>
      <c r="BX412" s="24" t="s">
        <v>151</v>
      </c>
      <c r="BY412" s="17" t="s">
        <v>151</v>
      </c>
      <c r="BZ412" s="17" t="s">
        <v>189</v>
      </c>
      <c r="CA412" s="17" t="s">
        <v>151</v>
      </c>
      <c r="CB412" s="17" t="s">
        <v>151</v>
      </c>
      <c r="CC412" s="17" t="s">
        <v>190</v>
      </c>
      <c r="CD412" s="17" t="s">
        <v>151</v>
      </c>
      <c r="CE412" s="17" t="s">
        <v>191</v>
      </c>
      <c r="CF412" s="22">
        <v>44846</v>
      </c>
      <c r="CG412" s="24">
        <v>1.74</v>
      </c>
      <c r="CH412" s="17" t="s">
        <v>192</v>
      </c>
      <c r="CI412" s="24">
        <v>20</v>
      </c>
      <c r="CJ412" s="17" t="s">
        <v>192</v>
      </c>
      <c r="CK412" s="16" t="s">
        <v>151</v>
      </c>
      <c r="CL412" s="17" t="s">
        <v>1075</v>
      </c>
      <c r="CM412" s="17" t="s">
        <v>1075</v>
      </c>
      <c r="CN412" s="17" t="s">
        <v>151</v>
      </c>
      <c r="CO412" s="17" t="s">
        <v>585</v>
      </c>
      <c r="CP412" s="22">
        <v>44846</v>
      </c>
      <c r="CQ412" s="24" t="s">
        <v>151</v>
      </c>
      <c r="CR412" s="17" t="s">
        <v>151</v>
      </c>
      <c r="CS412" s="17" t="s">
        <v>191</v>
      </c>
      <c r="CT412" s="16">
        <v>18</v>
      </c>
      <c r="CU412" s="17" t="s">
        <v>263</v>
      </c>
      <c r="CV412" s="19">
        <v>19</v>
      </c>
      <c r="CW412" s="19">
        <v>81</v>
      </c>
      <c r="CX412" s="17" t="s">
        <v>263</v>
      </c>
      <c r="CY412" s="19">
        <v>1</v>
      </c>
      <c r="CZ412" s="19">
        <v>18</v>
      </c>
      <c r="DA412" s="24">
        <v>20</v>
      </c>
      <c r="DB412" s="22">
        <v>44846</v>
      </c>
      <c r="DC412" s="17" t="s">
        <v>1075</v>
      </c>
      <c r="DD412" s="16" t="s">
        <v>151</v>
      </c>
      <c r="DE412" s="19">
        <v>0</v>
      </c>
      <c r="DF412" s="21">
        <v>11</v>
      </c>
      <c r="DG412" s="19">
        <v>0</v>
      </c>
      <c r="DH412" s="19">
        <v>0</v>
      </c>
      <c r="DI412" s="19">
        <v>0</v>
      </c>
      <c r="DJ412" s="21">
        <v>10</v>
      </c>
      <c r="DK412" s="19" t="s">
        <v>151</v>
      </c>
      <c r="DL412" s="21" t="s">
        <v>151</v>
      </c>
      <c r="DM412" s="19">
        <v>0</v>
      </c>
      <c r="DN412" s="21">
        <v>10</v>
      </c>
      <c r="DO412" s="23">
        <v>1.33</v>
      </c>
      <c r="DP412" s="21">
        <v>57</v>
      </c>
      <c r="DQ412" s="23">
        <v>0</v>
      </c>
      <c r="DR412" s="19">
        <v>0</v>
      </c>
      <c r="DS412" s="23">
        <v>2.42</v>
      </c>
      <c r="DT412" s="21">
        <v>70</v>
      </c>
      <c r="DU412" s="23" t="s">
        <v>151</v>
      </c>
      <c r="DV412" s="21" t="s">
        <v>151</v>
      </c>
      <c r="DW412" s="23">
        <v>2.42</v>
      </c>
      <c r="DX412" s="21">
        <v>70</v>
      </c>
      <c r="DY412" s="18" t="s">
        <v>151</v>
      </c>
      <c r="DZ412" s="22" t="s">
        <v>151</v>
      </c>
      <c r="EA412" s="22" t="s">
        <v>151</v>
      </c>
      <c r="EB412" s="21">
        <v>0</v>
      </c>
      <c r="EC412" s="20">
        <v>0</v>
      </c>
      <c r="ED412" s="19">
        <v>0</v>
      </c>
      <c r="EE412" s="21">
        <v>46</v>
      </c>
      <c r="EF412" s="20">
        <v>0</v>
      </c>
      <c r="EG412" s="19">
        <v>0</v>
      </c>
      <c r="EH412" s="16" t="s">
        <v>198</v>
      </c>
      <c r="EI412" s="17" t="s">
        <v>151</v>
      </c>
      <c r="EJ412" s="17" t="s">
        <v>151</v>
      </c>
      <c r="EK412" s="18" t="s">
        <v>151</v>
      </c>
      <c r="EL412" s="18" t="s">
        <v>151</v>
      </c>
      <c r="EM412" s="18" t="s">
        <v>151</v>
      </c>
      <c r="EN412" s="18" t="s">
        <v>151</v>
      </c>
      <c r="EO412" s="18" t="s">
        <v>151</v>
      </c>
      <c r="EP412" s="17" t="s">
        <v>151</v>
      </c>
      <c r="EQ412" s="16" t="s">
        <v>151</v>
      </c>
      <c r="ER412" s="16" t="s">
        <v>151</v>
      </c>
      <c r="ES412" s="3">
        <f>HYPERLINK("https://my.pitchbook.com?c=496274-14","View Company Online")</f>
      </c>
    </row>
    <row r="413">
      <c r="A413" s="30" t="s">
        <v>8841</v>
      </c>
      <c r="B413" s="30" t="s">
        <v>8842</v>
      </c>
      <c r="C413" s="31" t="s">
        <v>151</v>
      </c>
      <c r="D413" s="30" t="s">
        <v>151</v>
      </c>
      <c r="E413" s="30" t="s">
        <v>151</v>
      </c>
      <c r="F413" s="30" t="s">
        <v>8843</v>
      </c>
      <c r="G413" s="30" t="s">
        <v>151</v>
      </c>
      <c r="H413" s="30" t="s">
        <v>151</v>
      </c>
      <c r="I413" s="30" t="s">
        <v>151</v>
      </c>
      <c r="J413" s="30" t="s">
        <v>8841</v>
      </c>
      <c r="K413" s="30" t="s">
        <v>8844</v>
      </c>
      <c r="L413" s="30" t="s">
        <v>155</v>
      </c>
      <c r="M413" s="30" t="s">
        <v>2320</v>
      </c>
      <c r="N413" s="30" t="s">
        <v>2321</v>
      </c>
      <c r="O413" s="30" t="s">
        <v>8845</v>
      </c>
      <c r="P413" s="30" t="s">
        <v>4707</v>
      </c>
      <c r="Q413" s="30" t="s">
        <v>8846</v>
      </c>
      <c r="R413" s="30" t="s">
        <v>151</v>
      </c>
      <c r="S413" s="30" t="s">
        <v>162</v>
      </c>
      <c r="T413" s="37">
        <v>28.8</v>
      </c>
      <c r="U413" s="30" t="s">
        <v>163</v>
      </c>
      <c r="V413" s="30" t="s">
        <v>164</v>
      </c>
      <c r="W413" s="30" t="s">
        <v>165</v>
      </c>
      <c r="X413" s="28" t="s">
        <v>8847</v>
      </c>
      <c r="Y413" s="28" t="s">
        <v>8848</v>
      </c>
      <c r="Z413" s="40">
        <v>44</v>
      </c>
      <c r="AA413" s="30" t="s">
        <v>8849</v>
      </c>
      <c r="AB413" s="30" t="s">
        <v>151</v>
      </c>
      <c r="AC413" s="30" t="s">
        <v>151</v>
      </c>
      <c r="AD413" s="39">
        <v>2019</v>
      </c>
      <c r="AE413" s="30" t="s">
        <v>151</v>
      </c>
      <c r="AF413" s="35">
        <v>45434</v>
      </c>
      <c r="AG413" s="30" t="s">
        <v>151</v>
      </c>
      <c r="AH413" s="30" t="s">
        <v>151</v>
      </c>
      <c r="AI413" s="38" t="s">
        <v>151</v>
      </c>
      <c r="AJ413" s="32" t="s">
        <v>151</v>
      </c>
      <c r="AK413" s="38" t="s">
        <v>151</v>
      </c>
      <c r="AL413" s="38" t="s">
        <v>151</v>
      </c>
      <c r="AM413" s="38" t="s">
        <v>151</v>
      </c>
      <c r="AN413" s="38" t="s">
        <v>151</v>
      </c>
      <c r="AO413" s="38" t="s">
        <v>151</v>
      </c>
      <c r="AP413" s="38" t="s">
        <v>151</v>
      </c>
      <c r="AQ413" s="38" t="s">
        <v>151</v>
      </c>
      <c r="AR413" s="29" t="s">
        <v>151</v>
      </c>
      <c r="AS413" s="30" t="s">
        <v>8850</v>
      </c>
      <c r="AT413" s="30" t="s">
        <v>8851</v>
      </c>
      <c r="AU413" s="31">
        <v>9</v>
      </c>
      <c r="AV413" s="30" t="s">
        <v>151</v>
      </c>
      <c r="AW413" s="30" t="s">
        <v>151</v>
      </c>
      <c r="AX413" s="30" t="s">
        <v>151</v>
      </c>
      <c r="AY413" s="30" t="s">
        <v>8852</v>
      </c>
      <c r="AZ413" s="30" t="s">
        <v>151</v>
      </c>
      <c r="BA413" s="30" t="s">
        <v>151</v>
      </c>
      <c r="BB413" s="30" t="s">
        <v>151</v>
      </c>
      <c r="BC413" s="30" t="s">
        <v>343</v>
      </c>
      <c r="BD413" s="30" t="s">
        <v>8853</v>
      </c>
      <c r="BE413" s="30" t="s">
        <v>8854</v>
      </c>
      <c r="BF413" s="30" t="s">
        <v>3909</v>
      </c>
      <c r="BG413" s="30" t="s">
        <v>151</v>
      </c>
      <c r="BH413" s="30" t="s">
        <v>151</v>
      </c>
      <c r="BI413" s="30" t="s">
        <v>707</v>
      </c>
      <c r="BJ413" s="30" t="s">
        <v>8855</v>
      </c>
      <c r="BK413" s="30" t="s">
        <v>151</v>
      </c>
      <c r="BL413" s="30" t="s">
        <v>709</v>
      </c>
      <c r="BM413" s="30" t="s">
        <v>184</v>
      </c>
      <c r="BN413" s="29" t="s">
        <v>6742</v>
      </c>
      <c r="BO413" s="30" t="s">
        <v>186</v>
      </c>
      <c r="BP413" s="29" t="s">
        <v>8856</v>
      </c>
      <c r="BQ413" s="29" t="s">
        <v>151</v>
      </c>
      <c r="BR413" s="30" t="s">
        <v>8857</v>
      </c>
      <c r="BS413" s="30" t="s">
        <v>187</v>
      </c>
      <c r="BT413" s="30" t="s">
        <v>188</v>
      </c>
      <c r="BU413" s="35">
        <v>44210</v>
      </c>
      <c r="BV413" s="37">
        <v>8.8</v>
      </c>
      <c r="BW413" s="30" t="s">
        <v>192</v>
      </c>
      <c r="BX413" s="37">
        <v>18.8</v>
      </c>
      <c r="BY413" s="30" t="s">
        <v>192</v>
      </c>
      <c r="BZ413" s="30" t="s">
        <v>293</v>
      </c>
      <c r="CA413" s="30" t="s">
        <v>293</v>
      </c>
      <c r="CB413" s="30" t="s">
        <v>151</v>
      </c>
      <c r="CC413" s="30" t="s">
        <v>165</v>
      </c>
      <c r="CD413" s="30" t="s">
        <v>151</v>
      </c>
      <c r="CE413" s="30" t="s">
        <v>191</v>
      </c>
      <c r="CF413" s="35">
        <v>44508</v>
      </c>
      <c r="CG413" s="37">
        <v>20</v>
      </c>
      <c r="CH413" s="30" t="s">
        <v>192</v>
      </c>
      <c r="CI413" s="37">
        <v>70</v>
      </c>
      <c r="CJ413" s="30" t="s">
        <v>192</v>
      </c>
      <c r="CK413" s="29">
        <v>2.66</v>
      </c>
      <c r="CL413" s="30" t="s">
        <v>231</v>
      </c>
      <c r="CM413" s="30" t="s">
        <v>232</v>
      </c>
      <c r="CN413" s="30" t="s">
        <v>151</v>
      </c>
      <c r="CO413" s="30" t="s">
        <v>165</v>
      </c>
      <c r="CP413" s="35">
        <v>44508</v>
      </c>
      <c r="CQ413" s="37" t="s">
        <v>151</v>
      </c>
      <c r="CR413" s="30" t="s">
        <v>151</v>
      </c>
      <c r="CS413" s="30" t="s">
        <v>191</v>
      </c>
      <c r="CT413" s="29">
        <v>68</v>
      </c>
      <c r="CU413" s="30" t="s">
        <v>196</v>
      </c>
      <c r="CV413" s="32">
        <v>64</v>
      </c>
      <c r="CW413" s="32">
        <v>36</v>
      </c>
      <c r="CX413" s="30" t="s">
        <v>294</v>
      </c>
      <c r="CY413" s="32">
        <v>2</v>
      </c>
      <c r="CZ413" s="32">
        <v>62</v>
      </c>
      <c r="DA413" s="37">
        <v>70</v>
      </c>
      <c r="DB413" s="35">
        <v>44508</v>
      </c>
      <c r="DC413" s="30" t="s">
        <v>231</v>
      </c>
      <c r="DD413" s="29">
        <v>2.66</v>
      </c>
      <c r="DE413" s="32">
        <v>1.88</v>
      </c>
      <c r="DF413" s="34">
        <v>98</v>
      </c>
      <c r="DG413" s="32">
        <v>0.16</v>
      </c>
      <c r="DH413" s="32">
        <v>9.38</v>
      </c>
      <c r="DI413" s="32">
        <v>0.94</v>
      </c>
      <c r="DJ413" s="34">
        <v>96</v>
      </c>
      <c r="DK413" s="32" t="s">
        <v>151</v>
      </c>
      <c r="DL413" s="34" t="s">
        <v>151</v>
      </c>
      <c r="DM413" s="32">
        <v>0.94</v>
      </c>
      <c r="DN413" s="34">
        <v>96</v>
      </c>
      <c r="DO413" s="36">
        <v>154.48</v>
      </c>
      <c r="DP413" s="34">
        <v>100</v>
      </c>
      <c r="DQ413" s="36">
        <v>11.15</v>
      </c>
      <c r="DR413" s="32">
        <v>7.78</v>
      </c>
      <c r="DS413" s="36">
        <v>45.79</v>
      </c>
      <c r="DT413" s="34">
        <v>98</v>
      </c>
      <c r="DU413" s="36" t="s">
        <v>151</v>
      </c>
      <c r="DV413" s="34" t="s">
        <v>151</v>
      </c>
      <c r="DW413" s="36">
        <v>45.79</v>
      </c>
      <c r="DX413" s="34">
        <v>98</v>
      </c>
      <c r="DY413" s="31" t="s">
        <v>151</v>
      </c>
      <c r="DZ413" s="35" t="s">
        <v>151</v>
      </c>
      <c r="EA413" s="35" t="s">
        <v>151</v>
      </c>
      <c r="EB413" s="34">
        <v>43484</v>
      </c>
      <c r="EC413" s="33">
        <v>3318</v>
      </c>
      <c r="ED413" s="32">
        <v>8.26</v>
      </c>
      <c r="EE413" s="34">
        <v>870</v>
      </c>
      <c r="EF413" s="33">
        <v>3</v>
      </c>
      <c r="EG413" s="32">
        <v>0.35</v>
      </c>
      <c r="EH413" s="29" t="s">
        <v>198</v>
      </c>
      <c r="EI413" s="30" t="s">
        <v>151</v>
      </c>
      <c r="EJ413" s="30" t="s">
        <v>151</v>
      </c>
      <c r="EK413" s="31" t="s">
        <v>151</v>
      </c>
      <c r="EL413" s="31" t="s">
        <v>151</v>
      </c>
      <c r="EM413" s="31" t="s">
        <v>151</v>
      </c>
      <c r="EN413" s="31" t="s">
        <v>151</v>
      </c>
      <c r="EO413" s="31" t="s">
        <v>151</v>
      </c>
      <c r="EP413" s="30" t="s">
        <v>151</v>
      </c>
      <c r="EQ413" s="29" t="s">
        <v>151</v>
      </c>
      <c r="ER413" s="29" t="s">
        <v>151</v>
      </c>
      <c r="ES413" s="4">
        <f>HYPERLINK("https://my.pitchbook.com?c=437783-95","View Company Online")</f>
      </c>
    </row>
    <row r="414">
      <c r="A414" s="17" t="s">
        <v>8858</v>
      </c>
      <c r="B414" s="17" t="s">
        <v>8859</v>
      </c>
      <c r="C414" s="18" t="s">
        <v>151</v>
      </c>
      <c r="D414" s="17" t="s">
        <v>151</v>
      </c>
      <c r="E414" s="17" t="s">
        <v>151</v>
      </c>
      <c r="F414" s="17" t="s">
        <v>8860</v>
      </c>
      <c r="G414" s="17" t="s">
        <v>151</v>
      </c>
      <c r="H414" s="17" t="s">
        <v>151</v>
      </c>
      <c r="I414" s="17" t="s">
        <v>151</v>
      </c>
      <c r="J414" s="17" t="s">
        <v>8858</v>
      </c>
      <c r="K414" s="17" t="s">
        <v>8861</v>
      </c>
      <c r="L414" s="17" t="s">
        <v>205</v>
      </c>
      <c r="M414" s="17" t="s">
        <v>206</v>
      </c>
      <c r="N414" s="17" t="s">
        <v>269</v>
      </c>
      <c r="O414" s="17" t="s">
        <v>8862</v>
      </c>
      <c r="P414" s="17" t="s">
        <v>2640</v>
      </c>
      <c r="Q414" s="17" t="s">
        <v>8863</v>
      </c>
      <c r="R414" s="17" t="s">
        <v>151</v>
      </c>
      <c r="S414" s="17" t="s">
        <v>162</v>
      </c>
      <c r="T414" s="24">
        <v>0.94</v>
      </c>
      <c r="U414" s="17" t="s">
        <v>163</v>
      </c>
      <c r="V414" s="17" t="s">
        <v>164</v>
      </c>
      <c r="W414" s="17" t="s">
        <v>165</v>
      </c>
      <c r="X414" s="15" t="s">
        <v>8864</v>
      </c>
      <c r="Y414" s="15" t="s">
        <v>8865</v>
      </c>
      <c r="Z414" s="27">
        <v>3</v>
      </c>
      <c r="AA414" s="17" t="s">
        <v>8866</v>
      </c>
      <c r="AB414" s="17" t="s">
        <v>151</v>
      </c>
      <c r="AC414" s="17" t="s">
        <v>151</v>
      </c>
      <c r="AD414" s="26">
        <v>2021</v>
      </c>
      <c r="AE414" s="17" t="s">
        <v>151</v>
      </c>
      <c r="AF414" s="22">
        <v>45447</v>
      </c>
      <c r="AG414" s="17" t="s">
        <v>151</v>
      </c>
      <c r="AH414" s="17" t="s">
        <v>151</v>
      </c>
      <c r="AI414" s="25">
        <v>0.01</v>
      </c>
      <c r="AJ414" s="19" t="s">
        <v>151</v>
      </c>
      <c r="AK414" s="25" t="s">
        <v>151</v>
      </c>
      <c r="AL414" s="25">
        <v>-0.24</v>
      </c>
      <c r="AM414" s="25" t="s">
        <v>151</v>
      </c>
      <c r="AN414" s="25" t="s">
        <v>151</v>
      </c>
      <c r="AO414" s="25" t="s">
        <v>151</v>
      </c>
      <c r="AP414" s="25" t="s">
        <v>151</v>
      </c>
      <c r="AQ414" s="25" t="s">
        <v>151</v>
      </c>
      <c r="AR414" s="16" t="s">
        <v>810</v>
      </c>
      <c r="AS414" s="17" t="s">
        <v>8867</v>
      </c>
      <c r="AT414" s="17" t="s">
        <v>8868</v>
      </c>
      <c r="AU414" s="18">
        <v>1</v>
      </c>
      <c r="AV414" s="17" t="s">
        <v>151</v>
      </c>
      <c r="AW414" s="17" t="s">
        <v>151</v>
      </c>
      <c r="AX414" s="17" t="s">
        <v>151</v>
      </c>
      <c r="AY414" s="17" t="s">
        <v>8869</v>
      </c>
      <c r="AZ414" s="17" t="s">
        <v>151</v>
      </c>
      <c r="BA414" s="17" t="s">
        <v>151</v>
      </c>
      <c r="BB414" s="17" t="s">
        <v>151</v>
      </c>
      <c r="BC414" s="17" t="s">
        <v>2626</v>
      </c>
      <c r="BD414" s="17" t="s">
        <v>8870</v>
      </c>
      <c r="BE414" s="17" t="s">
        <v>8871</v>
      </c>
      <c r="BF414" s="17" t="s">
        <v>3823</v>
      </c>
      <c r="BG414" s="17" t="s">
        <v>151</v>
      </c>
      <c r="BH414" s="17" t="s">
        <v>8872</v>
      </c>
      <c r="BI414" s="17" t="s">
        <v>578</v>
      </c>
      <c r="BJ414" s="17" t="s">
        <v>8873</v>
      </c>
      <c r="BK414" s="17" t="s">
        <v>8874</v>
      </c>
      <c r="BL414" s="17" t="s">
        <v>581</v>
      </c>
      <c r="BM414" s="17" t="s">
        <v>582</v>
      </c>
      <c r="BN414" s="16" t="s">
        <v>2743</v>
      </c>
      <c r="BO414" s="17" t="s">
        <v>186</v>
      </c>
      <c r="BP414" s="16" t="s">
        <v>8872</v>
      </c>
      <c r="BQ414" s="16" t="s">
        <v>151</v>
      </c>
      <c r="BR414" s="17" t="s">
        <v>8875</v>
      </c>
      <c r="BS414" s="17" t="s">
        <v>187</v>
      </c>
      <c r="BT414" s="17" t="s">
        <v>188</v>
      </c>
      <c r="BU414" s="22">
        <v>44958</v>
      </c>
      <c r="BV414" s="24">
        <v>0.55</v>
      </c>
      <c r="BW414" s="17" t="s">
        <v>192</v>
      </c>
      <c r="BX414" s="24" t="s">
        <v>151</v>
      </c>
      <c r="BY414" s="17" t="s">
        <v>151</v>
      </c>
      <c r="BZ414" s="17" t="s">
        <v>231</v>
      </c>
      <c r="CA414" s="17" t="s">
        <v>151</v>
      </c>
      <c r="CB414" s="17" t="s">
        <v>151</v>
      </c>
      <c r="CC414" s="17" t="s">
        <v>165</v>
      </c>
      <c r="CD414" s="17" t="s">
        <v>151</v>
      </c>
      <c r="CE414" s="17" t="s">
        <v>191</v>
      </c>
      <c r="CF414" s="22">
        <v>45383</v>
      </c>
      <c r="CG414" s="24">
        <v>0.39</v>
      </c>
      <c r="CH414" s="17" t="s">
        <v>192</v>
      </c>
      <c r="CI414" s="24">
        <v>5</v>
      </c>
      <c r="CJ414" s="17" t="s">
        <v>192</v>
      </c>
      <c r="CK414" s="16" t="s">
        <v>151</v>
      </c>
      <c r="CL414" s="17" t="s">
        <v>1363</v>
      </c>
      <c r="CM414" s="17" t="s">
        <v>151</v>
      </c>
      <c r="CN414" s="17" t="s">
        <v>151</v>
      </c>
      <c r="CO414" s="17" t="s">
        <v>585</v>
      </c>
      <c r="CP414" s="22">
        <v>45383</v>
      </c>
      <c r="CQ414" s="24" t="s">
        <v>151</v>
      </c>
      <c r="CR414" s="17" t="s">
        <v>151</v>
      </c>
      <c r="CS414" s="17" t="s">
        <v>191</v>
      </c>
      <c r="CT414" s="16" t="s">
        <v>151</v>
      </c>
      <c r="CU414" s="17" t="s">
        <v>151</v>
      </c>
      <c r="CV414" s="19" t="s">
        <v>151</v>
      </c>
      <c r="CW414" s="19" t="s">
        <v>151</v>
      </c>
      <c r="CX414" s="17" t="s">
        <v>151</v>
      </c>
      <c r="CY414" s="19" t="s">
        <v>151</v>
      </c>
      <c r="CZ414" s="19" t="s">
        <v>151</v>
      </c>
      <c r="DA414" s="24">
        <v>5</v>
      </c>
      <c r="DB414" s="22">
        <v>45383</v>
      </c>
      <c r="DC414" s="17" t="s">
        <v>1363</v>
      </c>
      <c r="DD414" s="16" t="s">
        <v>151</v>
      </c>
      <c r="DE414" s="19">
        <v>0</v>
      </c>
      <c r="DF414" s="21">
        <v>11</v>
      </c>
      <c r="DG414" s="19">
        <v>0</v>
      </c>
      <c r="DH414" s="19">
        <v>0</v>
      </c>
      <c r="DI414" s="19">
        <v>0</v>
      </c>
      <c r="DJ414" s="21">
        <v>10</v>
      </c>
      <c r="DK414" s="19">
        <v>0</v>
      </c>
      <c r="DL414" s="21">
        <v>11</v>
      </c>
      <c r="DM414" s="19">
        <v>0</v>
      </c>
      <c r="DN414" s="21">
        <v>10</v>
      </c>
      <c r="DO414" s="23">
        <v>0.26</v>
      </c>
      <c r="DP414" s="21">
        <v>17</v>
      </c>
      <c r="DQ414" s="23">
        <v>0</v>
      </c>
      <c r="DR414" s="19">
        <v>0</v>
      </c>
      <c r="DS414" s="23">
        <v>0.29</v>
      </c>
      <c r="DT414" s="21">
        <v>22</v>
      </c>
      <c r="DU414" s="23">
        <v>0.06</v>
      </c>
      <c r="DV414" s="21">
        <v>27</v>
      </c>
      <c r="DW414" s="23">
        <v>0.53</v>
      </c>
      <c r="DX414" s="21">
        <v>34</v>
      </c>
      <c r="DY414" s="18" t="s">
        <v>151</v>
      </c>
      <c r="DZ414" s="22" t="s">
        <v>151</v>
      </c>
      <c r="EA414" s="22" t="s">
        <v>151</v>
      </c>
      <c r="EB414" s="21">
        <v>0</v>
      </c>
      <c r="EC414" s="20">
        <v>-49</v>
      </c>
      <c r="ED414" s="19">
        <v>-100</v>
      </c>
      <c r="EE414" s="21">
        <v>10</v>
      </c>
      <c r="EF414" s="20">
        <v>0</v>
      </c>
      <c r="EG414" s="19">
        <v>0</v>
      </c>
      <c r="EH414" s="16" t="s">
        <v>198</v>
      </c>
      <c r="EI414" s="17" t="s">
        <v>151</v>
      </c>
      <c r="EJ414" s="17" t="s">
        <v>151</v>
      </c>
      <c r="EK414" s="18" t="s">
        <v>151</v>
      </c>
      <c r="EL414" s="18" t="s">
        <v>151</v>
      </c>
      <c r="EM414" s="18" t="s">
        <v>151</v>
      </c>
      <c r="EN414" s="18" t="s">
        <v>151</v>
      </c>
      <c r="EO414" s="18" t="s">
        <v>151</v>
      </c>
      <c r="EP414" s="17" t="s">
        <v>151</v>
      </c>
      <c r="EQ414" s="16" t="s">
        <v>151</v>
      </c>
      <c r="ER414" s="16" t="s">
        <v>151</v>
      </c>
      <c r="ES414" s="3">
        <f>HYPERLINK("https://my.pitchbook.com?c=503148-70","View Company Online")</f>
      </c>
    </row>
    <row r="415">
      <c r="A415" s="30" t="s">
        <v>8876</v>
      </c>
      <c r="B415" s="30" t="s">
        <v>8877</v>
      </c>
      <c r="C415" s="31" t="s">
        <v>151</v>
      </c>
      <c r="D415" s="30" t="s">
        <v>151</v>
      </c>
      <c r="E415" s="30" t="s">
        <v>151</v>
      </c>
      <c r="F415" s="30" t="s">
        <v>8878</v>
      </c>
      <c r="G415" s="30" t="s">
        <v>151</v>
      </c>
      <c r="H415" s="30" t="s">
        <v>151</v>
      </c>
      <c r="I415" s="30" t="s">
        <v>151</v>
      </c>
      <c r="J415" s="30" t="s">
        <v>8876</v>
      </c>
      <c r="K415" s="30" t="s">
        <v>8879</v>
      </c>
      <c r="L415" s="30" t="s">
        <v>205</v>
      </c>
      <c r="M415" s="30" t="s">
        <v>206</v>
      </c>
      <c r="N415" s="30" t="s">
        <v>269</v>
      </c>
      <c r="O415" s="30" t="s">
        <v>8880</v>
      </c>
      <c r="P415" s="30" t="s">
        <v>8881</v>
      </c>
      <c r="Q415" s="30" t="s">
        <v>8882</v>
      </c>
      <c r="R415" s="30" t="s">
        <v>151</v>
      </c>
      <c r="S415" s="30" t="s">
        <v>162</v>
      </c>
      <c r="T415" s="37">
        <v>7.2</v>
      </c>
      <c r="U415" s="30" t="s">
        <v>163</v>
      </c>
      <c r="V415" s="30" t="s">
        <v>164</v>
      </c>
      <c r="W415" s="30" t="s">
        <v>165</v>
      </c>
      <c r="X415" s="28" t="s">
        <v>8883</v>
      </c>
      <c r="Y415" s="28" t="s">
        <v>8884</v>
      </c>
      <c r="Z415" s="40">
        <v>15</v>
      </c>
      <c r="AA415" s="30" t="s">
        <v>8885</v>
      </c>
      <c r="AB415" s="30" t="s">
        <v>151</v>
      </c>
      <c r="AC415" s="30" t="s">
        <v>151</v>
      </c>
      <c r="AD415" s="39">
        <v>2020</v>
      </c>
      <c r="AE415" s="30" t="s">
        <v>151</v>
      </c>
      <c r="AF415" s="35">
        <v>45580</v>
      </c>
      <c r="AG415" s="30" t="s">
        <v>151</v>
      </c>
      <c r="AH415" s="30" t="s">
        <v>151</v>
      </c>
      <c r="AI415" s="38">
        <v>1</v>
      </c>
      <c r="AJ415" s="32" t="s">
        <v>151</v>
      </c>
      <c r="AK415" s="38" t="s">
        <v>151</v>
      </c>
      <c r="AL415" s="38" t="s">
        <v>151</v>
      </c>
      <c r="AM415" s="38" t="s">
        <v>151</v>
      </c>
      <c r="AN415" s="38" t="s">
        <v>151</v>
      </c>
      <c r="AO415" s="38" t="s">
        <v>151</v>
      </c>
      <c r="AP415" s="38" t="s">
        <v>151</v>
      </c>
      <c r="AQ415" s="38" t="s">
        <v>151</v>
      </c>
      <c r="AR415" s="29" t="s">
        <v>810</v>
      </c>
      <c r="AS415" s="30" t="s">
        <v>8886</v>
      </c>
      <c r="AT415" s="30" t="s">
        <v>8887</v>
      </c>
      <c r="AU415" s="31">
        <v>11</v>
      </c>
      <c r="AV415" s="30" t="s">
        <v>151</v>
      </c>
      <c r="AW415" s="30" t="s">
        <v>151</v>
      </c>
      <c r="AX415" s="30" t="s">
        <v>151</v>
      </c>
      <c r="AY415" s="30" t="s">
        <v>8888</v>
      </c>
      <c r="AZ415" s="30" t="s">
        <v>151</v>
      </c>
      <c r="BA415" s="30" t="s">
        <v>151</v>
      </c>
      <c r="BB415" s="30" t="s">
        <v>1115</v>
      </c>
      <c r="BC415" s="30" t="s">
        <v>151</v>
      </c>
      <c r="BD415" s="30" t="s">
        <v>8889</v>
      </c>
      <c r="BE415" s="30" t="s">
        <v>8890</v>
      </c>
      <c r="BF415" s="30" t="s">
        <v>221</v>
      </c>
      <c r="BG415" s="30" t="s">
        <v>8891</v>
      </c>
      <c r="BH415" s="30" t="s">
        <v>8892</v>
      </c>
      <c r="BI415" s="30" t="s">
        <v>8893</v>
      </c>
      <c r="BJ415" s="30" t="s">
        <v>8894</v>
      </c>
      <c r="BK415" s="30" t="s">
        <v>151</v>
      </c>
      <c r="BL415" s="30" t="s">
        <v>8895</v>
      </c>
      <c r="BM415" s="30" t="s">
        <v>184</v>
      </c>
      <c r="BN415" s="29" t="s">
        <v>8896</v>
      </c>
      <c r="BO415" s="30" t="s">
        <v>186</v>
      </c>
      <c r="BP415" s="29" t="s">
        <v>8892</v>
      </c>
      <c r="BQ415" s="29" t="s">
        <v>151</v>
      </c>
      <c r="BR415" s="30" t="s">
        <v>8897</v>
      </c>
      <c r="BS415" s="30" t="s">
        <v>187</v>
      </c>
      <c r="BT415" s="30" t="s">
        <v>188</v>
      </c>
      <c r="BU415" s="35">
        <v>44245</v>
      </c>
      <c r="BV415" s="37" t="s">
        <v>151</v>
      </c>
      <c r="BW415" s="30" t="s">
        <v>151</v>
      </c>
      <c r="BX415" s="37" t="s">
        <v>151</v>
      </c>
      <c r="BY415" s="30" t="s">
        <v>151</v>
      </c>
      <c r="BZ415" s="30" t="s">
        <v>189</v>
      </c>
      <c r="CA415" s="30" t="s">
        <v>151</v>
      </c>
      <c r="CB415" s="30" t="s">
        <v>151</v>
      </c>
      <c r="CC415" s="30" t="s">
        <v>190</v>
      </c>
      <c r="CD415" s="30" t="s">
        <v>151</v>
      </c>
      <c r="CE415" s="30" t="s">
        <v>191</v>
      </c>
      <c r="CF415" s="35">
        <v>44986</v>
      </c>
      <c r="CG415" s="37" t="s">
        <v>151</v>
      </c>
      <c r="CH415" s="30" t="s">
        <v>151</v>
      </c>
      <c r="CI415" s="37" t="s">
        <v>151</v>
      </c>
      <c r="CJ415" s="30" t="s">
        <v>151</v>
      </c>
      <c r="CK415" s="29" t="s">
        <v>151</v>
      </c>
      <c r="CL415" s="30" t="s">
        <v>231</v>
      </c>
      <c r="CM415" s="30" t="s">
        <v>151</v>
      </c>
      <c r="CN415" s="30" t="s">
        <v>151</v>
      </c>
      <c r="CO415" s="30" t="s">
        <v>165</v>
      </c>
      <c r="CP415" s="35">
        <v>44986</v>
      </c>
      <c r="CQ415" s="37" t="s">
        <v>151</v>
      </c>
      <c r="CR415" s="30" t="s">
        <v>151</v>
      </c>
      <c r="CS415" s="30" t="s">
        <v>191</v>
      </c>
      <c r="CT415" s="29">
        <v>70</v>
      </c>
      <c r="CU415" s="30" t="s">
        <v>196</v>
      </c>
      <c r="CV415" s="32">
        <v>65</v>
      </c>
      <c r="CW415" s="32">
        <v>35</v>
      </c>
      <c r="CX415" s="30" t="s">
        <v>294</v>
      </c>
      <c r="CY415" s="32">
        <v>1</v>
      </c>
      <c r="CZ415" s="32">
        <v>64</v>
      </c>
      <c r="DA415" s="37">
        <v>24.2</v>
      </c>
      <c r="DB415" s="35">
        <v>44557</v>
      </c>
      <c r="DC415" s="30" t="s">
        <v>293</v>
      </c>
      <c r="DD415" s="29" t="s">
        <v>151</v>
      </c>
      <c r="DE415" s="32">
        <v>3.66</v>
      </c>
      <c r="DF415" s="34">
        <v>100</v>
      </c>
      <c r="DG415" s="32">
        <v>0</v>
      </c>
      <c r="DH415" s="32">
        <v>0</v>
      </c>
      <c r="DI415" s="32">
        <v>3.66</v>
      </c>
      <c r="DJ415" s="34">
        <v>100</v>
      </c>
      <c r="DK415" s="32">
        <v>6.53</v>
      </c>
      <c r="DL415" s="34">
        <v>99</v>
      </c>
      <c r="DM415" s="32">
        <v>0.79</v>
      </c>
      <c r="DN415" s="34">
        <v>96</v>
      </c>
      <c r="DO415" s="36">
        <v>17.74</v>
      </c>
      <c r="DP415" s="34">
        <v>94</v>
      </c>
      <c r="DQ415" s="36">
        <v>0</v>
      </c>
      <c r="DR415" s="32">
        <v>0</v>
      </c>
      <c r="DS415" s="36">
        <v>17.74</v>
      </c>
      <c r="DT415" s="34">
        <v>94</v>
      </c>
      <c r="DU415" s="36">
        <v>20</v>
      </c>
      <c r="DV415" s="34">
        <v>91</v>
      </c>
      <c r="DW415" s="36">
        <v>15.47</v>
      </c>
      <c r="DX415" s="34">
        <v>93</v>
      </c>
      <c r="DY415" s="31" t="s">
        <v>151</v>
      </c>
      <c r="DZ415" s="35" t="s">
        <v>151</v>
      </c>
      <c r="EA415" s="35" t="s">
        <v>151</v>
      </c>
      <c r="EB415" s="34">
        <v>4017</v>
      </c>
      <c r="EC415" s="33">
        <v>307</v>
      </c>
      <c r="ED415" s="32">
        <v>8.27</v>
      </c>
      <c r="EE415" s="34">
        <v>294</v>
      </c>
      <c r="EF415" s="33">
        <v>2</v>
      </c>
      <c r="EG415" s="32">
        <v>0.68</v>
      </c>
      <c r="EH415" s="29" t="s">
        <v>198</v>
      </c>
      <c r="EI415" s="30" t="s">
        <v>151</v>
      </c>
      <c r="EJ415" s="30" t="s">
        <v>151</v>
      </c>
      <c r="EK415" s="31" t="s">
        <v>151</v>
      </c>
      <c r="EL415" s="31" t="s">
        <v>151</v>
      </c>
      <c r="EM415" s="31" t="s">
        <v>151</v>
      </c>
      <c r="EN415" s="31" t="s">
        <v>151</v>
      </c>
      <c r="EO415" s="31" t="s">
        <v>151</v>
      </c>
      <c r="EP415" s="30" t="s">
        <v>151</v>
      </c>
      <c r="EQ415" s="29" t="s">
        <v>151</v>
      </c>
      <c r="ER415" s="29" t="s">
        <v>151</v>
      </c>
      <c r="ES415" s="4">
        <f>HYPERLINK("https://my.pitchbook.com?c=442626-76","View Company Online")</f>
      </c>
    </row>
    <row r="416">
      <c r="A416" s="17" t="s">
        <v>8898</v>
      </c>
      <c r="B416" s="17" t="s">
        <v>8899</v>
      </c>
      <c r="C416" s="18" t="s">
        <v>151</v>
      </c>
      <c r="D416" s="17" t="s">
        <v>151</v>
      </c>
      <c r="E416" s="17" t="s">
        <v>151</v>
      </c>
      <c r="F416" s="17" t="s">
        <v>8900</v>
      </c>
      <c r="G416" s="17" t="s">
        <v>151</v>
      </c>
      <c r="H416" s="17" t="s">
        <v>151</v>
      </c>
      <c r="I416" s="17" t="s">
        <v>151</v>
      </c>
      <c r="J416" s="17" t="s">
        <v>8898</v>
      </c>
      <c r="K416" s="17" t="s">
        <v>8901</v>
      </c>
      <c r="L416" s="17" t="s">
        <v>155</v>
      </c>
      <c r="M416" s="17" t="s">
        <v>2320</v>
      </c>
      <c r="N416" s="17" t="s">
        <v>2321</v>
      </c>
      <c r="O416" s="17" t="s">
        <v>8902</v>
      </c>
      <c r="P416" s="17" t="s">
        <v>919</v>
      </c>
      <c r="Q416" s="17" t="s">
        <v>8903</v>
      </c>
      <c r="R416" s="17" t="s">
        <v>8353</v>
      </c>
      <c r="S416" s="17" t="s">
        <v>162</v>
      </c>
      <c r="T416" s="24">
        <v>0.5</v>
      </c>
      <c r="U416" s="17" t="s">
        <v>163</v>
      </c>
      <c r="V416" s="17" t="s">
        <v>164</v>
      </c>
      <c r="W416" s="17" t="s">
        <v>165</v>
      </c>
      <c r="X416" s="15" t="s">
        <v>8904</v>
      </c>
      <c r="Y416" s="15" t="s">
        <v>8905</v>
      </c>
      <c r="Z416" s="27">
        <v>6</v>
      </c>
      <c r="AA416" s="17" t="s">
        <v>2825</v>
      </c>
      <c r="AB416" s="17" t="s">
        <v>151</v>
      </c>
      <c r="AC416" s="17" t="s">
        <v>151</v>
      </c>
      <c r="AD416" s="26">
        <v>2023</v>
      </c>
      <c r="AE416" s="17" t="s">
        <v>151</v>
      </c>
      <c r="AF416" s="22">
        <v>45595</v>
      </c>
      <c r="AG416" s="17" t="s">
        <v>151</v>
      </c>
      <c r="AH416" s="17" t="s">
        <v>151</v>
      </c>
      <c r="AI416" s="25" t="s">
        <v>151</v>
      </c>
      <c r="AJ416" s="19" t="s">
        <v>151</v>
      </c>
      <c r="AK416" s="25" t="s">
        <v>151</v>
      </c>
      <c r="AL416" s="25" t="s">
        <v>151</v>
      </c>
      <c r="AM416" s="25" t="s">
        <v>151</v>
      </c>
      <c r="AN416" s="25" t="s">
        <v>151</v>
      </c>
      <c r="AO416" s="25" t="s">
        <v>151</v>
      </c>
      <c r="AP416" s="25" t="s">
        <v>151</v>
      </c>
      <c r="AQ416" s="25" t="s">
        <v>151</v>
      </c>
      <c r="AR416" s="16" t="s">
        <v>151</v>
      </c>
      <c r="AS416" s="17" t="s">
        <v>8906</v>
      </c>
      <c r="AT416" s="17" t="s">
        <v>8907</v>
      </c>
      <c r="AU416" s="18">
        <v>5</v>
      </c>
      <c r="AV416" s="17" t="s">
        <v>151</v>
      </c>
      <c r="AW416" s="17" t="s">
        <v>151</v>
      </c>
      <c r="AX416" s="17" t="s">
        <v>151</v>
      </c>
      <c r="AY416" s="17" t="s">
        <v>8908</v>
      </c>
      <c r="AZ416" s="17" t="s">
        <v>151</v>
      </c>
      <c r="BA416" s="17" t="s">
        <v>151</v>
      </c>
      <c r="BB416" s="17" t="s">
        <v>151</v>
      </c>
      <c r="BC416" s="17" t="s">
        <v>151</v>
      </c>
      <c r="BD416" s="17" t="s">
        <v>8909</v>
      </c>
      <c r="BE416" s="17" t="s">
        <v>8910</v>
      </c>
      <c r="BF416" s="17" t="s">
        <v>221</v>
      </c>
      <c r="BG416" s="17" t="s">
        <v>8911</v>
      </c>
      <c r="BH416" s="17" t="s">
        <v>8912</v>
      </c>
      <c r="BI416" s="17" t="s">
        <v>8913</v>
      </c>
      <c r="BJ416" s="17" t="s">
        <v>151</v>
      </c>
      <c r="BK416" s="17" t="s">
        <v>151</v>
      </c>
      <c r="BL416" s="17" t="s">
        <v>8914</v>
      </c>
      <c r="BM416" s="17" t="s">
        <v>184</v>
      </c>
      <c r="BN416" s="16" t="s">
        <v>151</v>
      </c>
      <c r="BO416" s="17" t="s">
        <v>186</v>
      </c>
      <c r="BP416" s="16" t="s">
        <v>8912</v>
      </c>
      <c r="BQ416" s="16" t="s">
        <v>151</v>
      </c>
      <c r="BR416" s="17" t="s">
        <v>151</v>
      </c>
      <c r="BS416" s="17" t="s">
        <v>187</v>
      </c>
      <c r="BT416" s="17" t="s">
        <v>188</v>
      </c>
      <c r="BU416" s="22" t="s">
        <v>151</v>
      </c>
      <c r="BV416" s="24" t="s">
        <v>151</v>
      </c>
      <c r="BW416" s="17" t="s">
        <v>151</v>
      </c>
      <c r="BX416" s="24" t="s">
        <v>151</v>
      </c>
      <c r="BY416" s="17" t="s">
        <v>151</v>
      </c>
      <c r="BZ416" s="17" t="s">
        <v>189</v>
      </c>
      <c r="CA416" s="17" t="s">
        <v>151</v>
      </c>
      <c r="CB416" s="17" t="s">
        <v>151</v>
      </c>
      <c r="CC416" s="17" t="s">
        <v>190</v>
      </c>
      <c r="CD416" s="17" t="s">
        <v>151</v>
      </c>
      <c r="CE416" s="17" t="s">
        <v>191</v>
      </c>
      <c r="CF416" s="22">
        <v>45384</v>
      </c>
      <c r="CG416" s="24">
        <v>0.5</v>
      </c>
      <c r="CH416" s="17" t="s">
        <v>192</v>
      </c>
      <c r="CI416" s="24" t="s">
        <v>151</v>
      </c>
      <c r="CJ416" s="17" t="s">
        <v>151</v>
      </c>
      <c r="CK416" s="16" t="s">
        <v>151</v>
      </c>
      <c r="CL416" s="17" t="s">
        <v>293</v>
      </c>
      <c r="CM416" s="17" t="s">
        <v>293</v>
      </c>
      <c r="CN416" s="17" t="s">
        <v>151</v>
      </c>
      <c r="CO416" s="17" t="s">
        <v>165</v>
      </c>
      <c r="CP416" s="22">
        <v>45384</v>
      </c>
      <c r="CQ416" s="24" t="s">
        <v>151</v>
      </c>
      <c r="CR416" s="17" t="s">
        <v>151</v>
      </c>
      <c r="CS416" s="17" t="s">
        <v>191</v>
      </c>
      <c r="CT416" s="16" t="s">
        <v>151</v>
      </c>
      <c r="CU416" s="17" t="s">
        <v>151</v>
      </c>
      <c r="CV416" s="19" t="s">
        <v>151</v>
      </c>
      <c r="CW416" s="19" t="s">
        <v>151</v>
      </c>
      <c r="CX416" s="17" t="s">
        <v>151</v>
      </c>
      <c r="CY416" s="19" t="s">
        <v>151</v>
      </c>
      <c r="CZ416" s="19" t="s">
        <v>151</v>
      </c>
      <c r="DA416" s="24" t="s">
        <v>151</v>
      </c>
      <c r="DB416" s="22" t="s">
        <v>151</v>
      </c>
      <c r="DC416" s="17" t="s">
        <v>151</v>
      </c>
      <c r="DD416" s="16" t="s">
        <v>151</v>
      </c>
      <c r="DE416" s="19">
        <v>1.25</v>
      </c>
      <c r="DF416" s="21">
        <v>97</v>
      </c>
      <c r="DG416" s="19">
        <v>0</v>
      </c>
      <c r="DH416" s="19">
        <v>0</v>
      </c>
      <c r="DI416" s="19">
        <v>0</v>
      </c>
      <c r="DJ416" s="21">
        <v>10</v>
      </c>
      <c r="DK416" s="19" t="s">
        <v>151</v>
      </c>
      <c r="DL416" s="21" t="s">
        <v>151</v>
      </c>
      <c r="DM416" s="19">
        <v>0</v>
      </c>
      <c r="DN416" s="21">
        <v>10</v>
      </c>
      <c r="DO416" s="23">
        <v>1.23</v>
      </c>
      <c r="DP416" s="21">
        <v>55</v>
      </c>
      <c r="DQ416" s="23">
        <v>0</v>
      </c>
      <c r="DR416" s="19">
        <v>0</v>
      </c>
      <c r="DS416" s="23">
        <v>2</v>
      </c>
      <c r="DT416" s="21">
        <v>66</v>
      </c>
      <c r="DU416" s="23" t="s">
        <v>151</v>
      </c>
      <c r="DV416" s="21" t="s">
        <v>151</v>
      </c>
      <c r="DW416" s="23">
        <v>2</v>
      </c>
      <c r="DX416" s="21">
        <v>65</v>
      </c>
      <c r="DY416" s="18" t="s">
        <v>151</v>
      </c>
      <c r="DZ416" s="22" t="s">
        <v>151</v>
      </c>
      <c r="EA416" s="22" t="s">
        <v>151</v>
      </c>
      <c r="EB416" s="21">
        <v>913</v>
      </c>
      <c r="EC416" s="20">
        <v>36</v>
      </c>
      <c r="ED416" s="19">
        <v>4.1</v>
      </c>
      <c r="EE416" s="21">
        <v>38</v>
      </c>
      <c r="EF416" s="20">
        <v>1</v>
      </c>
      <c r="EG416" s="19">
        <v>2.7</v>
      </c>
      <c r="EH416" s="16" t="s">
        <v>198</v>
      </c>
      <c r="EI416" s="17" t="s">
        <v>151</v>
      </c>
      <c r="EJ416" s="17" t="s">
        <v>151</v>
      </c>
      <c r="EK416" s="18" t="s">
        <v>151</v>
      </c>
      <c r="EL416" s="18" t="s">
        <v>151</v>
      </c>
      <c r="EM416" s="18" t="s">
        <v>151</v>
      </c>
      <c r="EN416" s="18" t="s">
        <v>151</v>
      </c>
      <c r="EO416" s="18" t="s">
        <v>151</v>
      </c>
      <c r="EP416" s="17" t="s">
        <v>151</v>
      </c>
      <c r="EQ416" s="16" t="s">
        <v>151</v>
      </c>
      <c r="ER416" s="16" t="s">
        <v>151</v>
      </c>
      <c r="ES416" s="3">
        <f>HYPERLINK("https://my.pitchbook.com?c=528899-95","View Company Online")</f>
      </c>
    </row>
    <row r="417">
      <c r="A417" s="30" t="s">
        <v>8915</v>
      </c>
      <c r="B417" s="30" t="s">
        <v>8916</v>
      </c>
      <c r="C417" s="31" t="s">
        <v>151</v>
      </c>
      <c r="D417" s="30" t="s">
        <v>151</v>
      </c>
      <c r="E417" s="30" t="s">
        <v>8917</v>
      </c>
      <c r="F417" s="30" t="s">
        <v>8918</v>
      </c>
      <c r="G417" s="30" t="s">
        <v>151</v>
      </c>
      <c r="H417" s="30" t="s">
        <v>151</v>
      </c>
      <c r="I417" s="30" t="s">
        <v>7863</v>
      </c>
      <c r="J417" s="30" t="s">
        <v>8915</v>
      </c>
      <c r="K417" s="30" t="s">
        <v>8919</v>
      </c>
      <c r="L417" s="30" t="s">
        <v>205</v>
      </c>
      <c r="M417" s="30" t="s">
        <v>206</v>
      </c>
      <c r="N417" s="30" t="s">
        <v>917</v>
      </c>
      <c r="O417" s="30" t="s">
        <v>918</v>
      </c>
      <c r="P417" s="30" t="s">
        <v>1421</v>
      </c>
      <c r="Q417" s="30" t="s">
        <v>8920</v>
      </c>
      <c r="R417" s="30" t="s">
        <v>151</v>
      </c>
      <c r="S417" s="30" t="s">
        <v>162</v>
      </c>
      <c r="T417" s="37">
        <v>4.06</v>
      </c>
      <c r="U417" s="30" t="s">
        <v>163</v>
      </c>
      <c r="V417" s="30" t="s">
        <v>164</v>
      </c>
      <c r="W417" s="30" t="s">
        <v>165</v>
      </c>
      <c r="X417" s="28" t="s">
        <v>8921</v>
      </c>
      <c r="Y417" s="28" t="s">
        <v>8922</v>
      </c>
      <c r="Z417" s="40">
        <v>9</v>
      </c>
      <c r="AA417" s="30" t="s">
        <v>8923</v>
      </c>
      <c r="AB417" s="30" t="s">
        <v>151</v>
      </c>
      <c r="AC417" s="30" t="s">
        <v>151</v>
      </c>
      <c r="AD417" s="39">
        <v>2021</v>
      </c>
      <c r="AE417" s="30" t="s">
        <v>151</v>
      </c>
      <c r="AF417" s="35">
        <v>45392</v>
      </c>
      <c r="AG417" s="30" t="s">
        <v>151</v>
      </c>
      <c r="AH417" s="30" t="s">
        <v>151</v>
      </c>
      <c r="AI417" s="38" t="s">
        <v>151</v>
      </c>
      <c r="AJ417" s="32" t="s">
        <v>151</v>
      </c>
      <c r="AK417" s="38" t="s">
        <v>151</v>
      </c>
      <c r="AL417" s="38" t="s">
        <v>151</v>
      </c>
      <c r="AM417" s="38" t="s">
        <v>151</v>
      </c>
      <c r="AN417" s="38" t="s">
        <v>151</v>
      </c>
      <c r="AO417" s="38" t="s">
        <v>151</v>
      </c>
      <c r="AP417" s="38" t="s">
        <v>151</v>
      </c>
      <c r="AQ417" s="38" t="s">
        <v>151</v>
      </c>
      <c r="AR417" s="29" t="s">
        <v>151</v>
      </c>
      <c r="AS417" s="30" t="s">
        <v>8924</v>
      </c>
      <c r="AT417" s="30" t="s">
        <v>8925</v>
      </c>
      <c r="AU417" s="31">
        <v>16</v>
      </c>
      <c r="AV417" s="30" t="s">
        <v>151</v>
      </c>
      <c r="AW417" s="30" t="s">
        <v>151</v>
      </c>
      <c r="AX417" s="30" t="s">
        <v>151</v>
      </c>
      <c r="AY417" s="30" t="s">
        <v>8926</v>
      </c>
      <c r="AZ417" s="30" t="s">
        <v>151</v>
      </c>
      <c r="BA417" s="30" t="s">
        <v>151</v>
      </c>
      <c r="BB417" s="30" t="s">
        <v>151</v>
      </c>
      <c r="BC417" s="30" t="s">
        <v>1115</v>
      </c>
      <c r="BD417" s="30" t="s">
        <v>8927</v>
      </c>
      <c r="BE417" s="30" t="s">
        <v>8928</v>
      </c>
      <c r="BF417" s="30" t="s">
        <v>403</v>
      </c>
      <c r="BG417" s="30" t="s">
        <v>8929</v>
      </c>
      <c r="BH417" s="30" t="s">
        <v>151</v>
      </c>
      <c r="BI417" s="30" t="s">
        <v>6124</v>
      </c>
      <c r="BJ417" s="30" t="s">
        <v>8930</v>
      </c>
      <c r="BK417" s="30" t="s">
        <v>151</v>
      </c>
      <c r="BL417" s="30" t="s">
        <v>6127</v>
      </c>
      <c r="BM417" s="30" t="s">
        <v>1388</v>
      </c>
      <c r="BN417" s="29" t="s">
        <v>8931</v>
      </c>
      <c r="BO417" s="30" t="s">
        <v>186</v>
      </c>
      <c r="BP417" s="29" t="s">
        <v>151</v>
      </c>
      <c r="BQ417" s="29" t="s">
        <v>151</v>
      </c>
      <c r="BR417" s="30" t="s">
        <v>8932</v>
      </c>
      <c r="BS417" s="30" t="s">
        <v>187</v>
      </c>
      <c r="BT417" s="30" t="s">
        <v>188</v>
      </c>
      <c r="BU417" s="35">
        <v>44321</v>
      </c>
      <c r="BV417" s="37">
        <v>2</v>
      </c>
      <c r="BW417" s="30" t="s">
        <v>192</v>
      </c>
      <c r="BX417" s="37">
        <v>8.2</v>
      </c>
      <c r="BY417" s="30" t="s">
        <v>192</v>
      </c>
      <c r="BZ417" s="30" t="s">
        <v>293</v>
      </c>
      <c r="CA417" s="30" t="s">
        <v>293</v>
      </c>
      <c r="CB417" s="30" t="s">
        <v>151</v>
      </c>
      <c r="CC417" s="30" t="s">
        <v>165</v>
      </c>
      <c r="CD417" s="30" t="s">
        <v>151</v>
      </c>
      <c r="CE417" s="30" t="s">
        <v>191</v>
      </c>
      <c r="CF417" s="35">
        <v>45211</v>
      </c>
      <c r="CG417" s="37">
        <v>2</v>
      </c>
      <c r="CH417" s="30" t="s">
        <v>192</v>
      </c>
      <c r="CI417" s="37" t="s">
        <v>151</v>
      </c>
      <c r="CJ417" s="30" t="s">
        <v>151</v>
      </c>
      <c r="CK417" s="29" t="s">
        <v>151</v>
      </c>
      <c r="CL417" s="30" t="s">
        <v>231</v>
      </c>
      <c r="CM417" s="30" t="s">
        <v>151</v>
      </c>
      <c r="CN417" s="30" t="s">
        <v>151</v>
      </c>
      <c r="CO417" s="30" t="s">
        <v>165</v>
      </c>
      <c r="CP417" s="35">
        <v>45211</v>
      </c>
      <c r="CQ417" s="37" t="s">
        <v>151</v>
      </c>
      <c r="CR417" s="30" t="s">
        <v>151</v>
      </c>
      <c r="CS417" s="30" t="s">
        <v>859</v>
      </c>
      <c r="CT417" s="29">
        <v>17</v>
      </c>
      <c r="CU417" s="30" t="s">
        <v>263</v>
      </c>
      <c r="CV417" s="32">
        <v>19</v>
      </c>
      <c r="CW417" s="32">
        <v>81</v>
      </c>
      <c r="CX417" s="30" t="s">
        <v>263</v>
      </c>
      <c r="CY417" s="32">
        <v>1</v>
      </c>
      <c r="CZ417" s="32">
        <v>18</v>
      </c>
      <c r="DA417" s="37">
        <v>0.07</v>
      </c>
      <c r="DB417" s="35">
        <v>44531</v>
      </c>
      <c r="DC417" s="30" t="s">
        <v>189</v>
      </c>
      <c r="DD417" s="29" t="s">
        <v>151</v>
      </c>
      <c r="DE417" s="32">
        <v>0.49</v>
      </c>
      <c r="DF417" s="34">
        <v>94</v>
      </c>
      <c r="DG417" s="32">
        <v>0</v>
      </c>
      <c r="DH417" s="32">
        <v>0</v>
      </c>
      <c r="DI417" s="32">
        <v>-0.59</v>
      </c>
      <c r="DJ417" s="34">
        <v>6</v>
      </c>
      <c r="DK417" s="32">
        <v>0</v>
      </c>
      <c r="DL417" s="34">
        <v>11</v>
      </c>
      <c r="DM417" s="32">
        <v>-1.17</v>
      </c>
      <c r="DN417" s="34">
        <v>3</v>
      </c>
      <c r="DO417" s="36">
        <v>1.62</v>
      </c>
      <c r="DP417" s="34">
        <v>61</v>
      </c>
      <c r="DQ417" s="36">
        <v>0</v>
      </c>
      <c r="DR417" s="32">
        <v>0</v>
      </c>
      <c r="DS417" s="36">
        <v>2.54</v>
      </c>
      <c r="DT417" s="34">
        <v>71</v>
      </c>
      <c r="DU417" s="36">
        <v>0.02</v>
      </c>
      <c r="DV417" s="34">
        <v>9</v>
      </c>
      <c r="DW417" s="36">
        <v>5.05</v>
      </c>
      <c r="DX417" s="34">
        <v>82</v>
      </c>
      <c r="DY417" s="31" t="s">
        <v>151</v>
      </c>
      <c r="DZ417" s="35" t="s">
        <v>151</v>
      </c>
      <c r="EA417" s="35" t="s">
        <v>151</v>
      </c>
      <c r="EB417" s="34">
        <v>10</v>
      </c>
      <c r="EC417" s="33">
        <v>-29</v>
      </c>
      <c r="ED417" s="32">
        <v>-74.36</v>
      </c>
      <c r="EE417" s="34">
        <v>96</v>
      </c>
      <c r="EF417" s="33">
        <v>1</v>
      </c>
      <c r="EG417" s="32">
        <v>1.05</v>
      </c>
      <c r="EH417" s="29" t="s">
        <v>198</v>
      </c>
      <c r="EI417" s="30" t="s">
        <v>151</v>
      </c>
      <c r="EJ417" s="30" t="s">
        <v>151</v>
      </c>
      <c r="EK417" s="31" t="s">
        <v>151</v>
      </c>
      <c r="EL417" s="31" t="s">
        <v>151</v>
      </c>
      <c r="EM417" s="31" t="s">
        <v>151</v>
      </c>
      <c r="EN417" s="31" t="s">
        <v>151</v>
      </c>
      <c r="EO417" s="31" t="s">
        <v>151</v>
      </c>
      <c r="EP417" s="30" t="s">
        <v>151</v>
      </c>
      <c r="EQ417" s="29" t="s">
        <v>151</v>
      </c>
      <c r="ER417" s="29" t="s">
        <v>151</v>
      </c>
      <c r="ES417" s="4">
        <f>HYPERLINK("https://my.pitchbook.com?c=464426-11","View Company Online")</f>
      </c>
    </row>
    <row r="418">
      <c r="A418" s="17" t="s">
        <v>8933</v>
      </c>
      <c r="B418" s="17" t="s">
        <v>8934</v>
      </c>
      <c r="C418" s="18" t="s">
        <v>151</v>
      </c>
      <c r="D418" s="17" t="s">
        <v>151</v>
      </c>
      <c r="E418" s="17" t="s">
        <v>151</v>
      </c>
      <c r="F418" s="17" t="s">
        <v>8935</v>
      </c>
      <c r="G418" s="17" t="s">
        <v>151</v>
      </c>
      <c r="H418" s="17" t="s">
        <v>151</v>
      </c>
      <c r="I418" s="17" t="s">
        <v>151</v>
      </c>
      <c r="J418" s="17" t="s">
        <v>8933</v>
      </c>
      <c r="K418" s="17" t="s">
        <v>8936</v>
      </c>
      <c r="L418" s="17" t="s">
        <v>155</v>
      </c>
      <c r="M418" s="17" t="s">
        <v>361</v>
      </c>
      <c r="N418" s="17" t="s">
        <v>362</v>
      </c>
      <c r="O418" s="17" t="s">
        <v>8937</v>
      </c>
      <c r="P418" s="17" t="s">
        <v>2174</v>
      </c>
      <c r="Q418" s="17" t="s">
        <v>8938</v>
      </c>
      <c r="R418" s="17" t="s">
        <v>151</v>
      </c>
      <c r="S418" s="17" t="s">
        <v>162</v>
      </c>
      <c r="T418" s="24">
        <v>1</v>
      </c>
      <c r="U418" s="17" t="s">
        <v>163</v>
      </c>
      <c r="V418" s="17" t="s">
        <v>164</v>
      </c>
      <c r="W418" s="17" t="s">
        <v>165</v>
      </c>
      <c r="X418" s="15" t="s">
        <v>8939</v>
      </c>
      <c r="Y418" s="15" t="s">
        <v>8940</v>
      </c>
      <c r="Z418" s="27" t="s">
        <v>151</v>
      </c>
      <c r="AA418" s="17" t="s">
        <v>151</v>
      </c>
      <c r="AB418" s="17" t="s">
        <v>151</v>
      </c>
      <c r="AC418" s="17" t="s">
        <v>151</v>
      </c>
      <c r="AD418" s="26">
        <v>2020</v>
      </c>
      <c r="AE418" s="17" t="s">
        <v>151</v>
      </c>
      <c r="AF418" s="22">
        <v>45580</v>
      </c>
      <c r="AG418" s="17" t="s">
        <v>151</v>
      </c>
      <c r="AH418" s="17" t="s">
        <v>151</v>
      </c>
      <c r="AI418" s="25" t="s">
        <v>151</v>
      </c>
      <c r="AJ418" s="19" t="s">
        <v>151</v>
      </c>
      <c r="AK418" s="25" t="s">
        <v>151</v>
      </c>
      <c r="AL418" s="25" t="s">
        <v>151</v>
      </c>
      <c r="AM418" s="25" t="s">
        <v>151</v>
      </c>
      <c r="AN418" s="25" t="s">
        <v>151</v>
      </c>
      <c r="AO418" s="25" t="s">
        <v>151</v>
      </c>
      <c r="AP418" s="25" t="s">
        <v>151</v>
      </c>
      <c r="AQ418" s="25" t="s">
        <v>151</v>
      </c>
      <c r="AR418" s="16" t="s">
        <v>151</v>
      </c>
      <c r="AS418" s="17" t="s">
        <v>8941</v>
      </c>
      <c r="AT418" s="17" t="s">
        <v>8942</v>
      </c>
      <c r="AU418" s="18">
        <v>8</v>
      </c>
      <c r="AV418" s="17" t="s">
        <v>151</v>
      </c>
      <c r="AW418" s="17" t="s">
        <v>151</v>
      </c>
      <c r="AX418" s="17" t="s">
        <v>151</v>
      </c>
      <c r="AY418" s="17" t="s">
        <v>8943</v>
      </c>
      <c r="AZ418" s="17" t="s">
        <v>151</v>
      </c>
      <c r="BA418" s="17" t="s">
        <v>151</v>
      </c>
      <c r="BB418" s="17" t="s">
        <v>151</v>
      </c>
      <c r="BC418" s="17" t="s">
        <v>151</v>
      </c>
      <c r="BD418" s="17" t="s">
        <v>8944</v>
      </c>
      <c r="BE418" s="17" t="s">
        <v>8945</v>
      </c>
      <c r="BF418" s="17" t="s">
        <v>221</v>
      </c>
      <c r="BG418" s="17" t="s">
        <v>8946</v>
      </c>
      <c r="BH418" s="17" t="s">
        <v>8947</v>
      </c>
      <c r="BI418" s="17" t="s">
        <v>8948</v>
      </c>
      <c r="BJ418" s="17" t="s">
        <v>8949</v>
      </c>
      <c r="BK418" s="17" t="s">
        <v>151</v>
      </c>
      <c r="BL418" s="17" t="s">
        <v>8950</v>
      </c>
      <c r="BM418" s="17" t="s">
        <v>823</v>
      </c>
      <c r="BN418" s="16" t="s">
        <v>8951</v>
      </c>
      <c r="BO418" s="17" t="s">
        <v>186</v>
      </c>
      <c r="BP418" s="16" t="s">
        <v>151</v>
      </c>
      <c r="BQ418" s="16" t="s">
        <v>151</v>
      </c>
      <c r="BR418" s="17" t="s">
        <v>8952</v>
      </c>
      <c r="BS418" s="17" t="s">
        <v>187</v>
      </c>
      <c r="BT418" s="17" t="s">
        <v>188</v>
      </c>
      <c r="BU418" s="22">
        <v>44881</v>
      </c>
      <c r="BV418" s="24">
        <v>1</v>
      </c>
      <c r="BW418" s="17" t="s">
        <v>192</v>
      </c>
      <c r="BX418" s="24" t="s">
        <v>151</v>
      </c>
      <c r="BY418" s="17" t="s">
        <v>151</v>
      </c>
      <c r="BZ418" s="17" t="s">
        <v>293</v>
      </c>
      <c r="CA418" s="17" t="s">
        <v>293</v>
      </c>
      <c r="CB418" s="17" t="s">
        <v>151</v>
      </c>
      <c r="CC418" s="17" t="s">
        <v>165</v>
      </c>
      <c r="CD418" s="17" t="s">
        <v>151</v>
      </c>
      <c r="CE418" s="17" t="s">
        <v>191</v>
      </c>
      <c r="CF418" s="22" t="s">
        <v>151</v>
      </c>
      <c r="CG418" s="24" t="s">
        <v>151</v>
      </c>
      <c r="CH418" s="17" t="s">
        <v>151</v>
      </c>
      <c r="CI418" s="24" t="s">
        <v>151</v>
      </c>
      <c r="CJ418" s="17" t="s">
        <v>151</v>
      </c>
      <c r="CK418" s="16" t="s">
        <v>151</v>
      </c>
      <c r="CL418" s="17" t="s">
        <v>293</v>
      </c>
      <c r="CM418" s="17" t="s">
        <v>293</v>
      </c>
      <c r="CN418" s="17" t="s">
        <v>151</v>
      </c>
      <c r="CO418" s="17" t="s">
        <v>165</v>
      </c>
      <c r="CP418" s="22" t="s">
        <v>151</v>
      </c>
      <c r="CQ418" s="24" t="s">
        <v>151</v>
      </c>
      <c r="CR418" s="17" t="s">
        <v>151</v>
      </c>
      <c r="CS418" s="17" t="s">
        <v>1887</v>
      </c>
      <c r="CT418" s="16" t="s">
        <v>151</v>
      </c>
      <c r="CU418" s="17" t="s">
        <v>151</v>
      </c>
      <c r="CV418" s="19" t="s">
        <v>151</v>
      </c>
      <c r="CW418" s="19" t="s">
        <v>151</v>
      </c>
      <c r="CX418" s="17" t="s">
        <v>151</v>
      </c>
      <c r="CY418" s="19" t="s">
        <v>151</v>
      </c>
      <c r="CZ418" s="19" t="s">
        <v>151</v>
      </c>
      <c r="DA418" s="24" t="s">
        <v>151</v>
      </c>
      <c r="DB418" s="22" t="s">
        <v>151</v>
      </c>
      <c r="DC418" s="17" t="s">
        <v>151</v>
      </c>
      <c r="DD418" s="16" t="s">
        <v>151</v>
      </c>
      <c r="DE418" s="19">
        <v>4.37</v>
      </c>
      <c r="DF418" s="21">
        <v>100</v>
      </c>
      <c r="DG418" s="19">
        <v>0</v>
      </c>
      <c r="DH418" s="19">
        <v>0</v>
      </c>
      <c r="DI418" s="19">
        <v>4.37</v>
      </c>
      <c r="DJ418" s="21">
        <v>100</v>
      </c>
      <c r="DK418" s="19" t="s">
        <v>151</v>
      </c>
      <c r="DL418" s="21" t="s">
        <v>151</v>
      </c>
      <c r="DM418" s="19">
        <v>4.37</v>
      </c>
      <c r="DN418" s="21">
        <v>100</v>
      </c>
      <c r="DO418" s="23">
        <v>8.58</v>
      </c>
      <c r="DP418" s="21">
        <v>89</v>
      </c>
      <c r="DQ418" s="23">
        <v>0</v>
      </c>
      <c r="DR418" s="19">
        <v>0</v>
      </c>
      <c r="DS418" s="23">
        <v>8.58</v>
      </c>
      <c r="DT418" s="21">
        <v>88</v>
      </c>
      <c r="DU418" s="23" t="s">
        <v>151</v>
      </c>
      <c r="DV418" s="21" t="s">
        <v>151</v>
      </c>
      <c r="DW418" s="23">
        <v>8.58</v>
      </c>
      <c r="DX418" s="21">
        <v>88</v>
      </c>
      <c r="DY418" s="18" t="s">
        <v>151</v>
      </c>
      <c r="DZ418" s="22" t="s">
        <v>151</v>
      </c>
      <c r="EA418" s="22" t="s">
        <v>151</v>
      </c>
      <c r="EB418" s="21">
        <v>207</v>
      </c>
      <c r="EC418" s="20">
        <v>-154</v>
      </c>
      <c r="ED418" s="19">
        <v>-42.66</v>
      </c>
      <c r="EE418" s="21">
        <v>163</v>
      </c>
      <c r="EF418" s="20">
        <v>2</v>
      </c>
      <c r="EG418" s="19">
        <v>1.24</v>
      </c>
      <c r="EH418" s="16" t="s">
        <v>198</v>
      </c>
      <c r="EI418" s="17" t="s">
        <v>151</v>
      </c>
      <c r="EJ418" s="17" t="s">
        <v>151</v>
      </c>
      <c r="EK418" s="18" t="s">
        <v>151</v>
      </c>
      <c r="EL418" s="18" t="s">
        <v>151</v>
      </c>
      <c r="EM418" s="18" t="s">
        <v>151</v>
      </c>
      <c r="EN418" s="18" t="s">
        <v>151</v>
      </c>
      <c r="EO418" s="18" t="s">
        <v>151</v>
      </c>
      <c r="EP418" s="17" t="s">
        <v>151</v>
      </c>
      <c r="EQ418" s="16" t="s">
        <v>151</v>
      </c>
      <c r="ER418" s="16" t="s">
        <v>151</v>
      </c>
      <c r="ES418" s="3">
        <f>HYPERLINK("https://my.pitchbook.com?c=513341-38","View Company Online")</f>
      </c>
    </row>
    <row r="419">
      <c r="A419" s="30" t="s">
        <v>8953</v>
      </c>
      <c r="B419" s="30" t="s">
        <v>8954</v>
      </c>
      <c r="C419" s="31" t="s">
        <v>151</v>
      </c>
      <c r="D419" s="30" t="s">
        <v>151</v>
      </c>
      <c r="E419" s="30" t="s">
        <v>8955</v>
      </c>
      <c r="F419" s="30" t="s">
        <v>8956</v>
      </c>
      <c r="G419" s="30" t="s">
        <v>151</v>
      </c>
      <c r="H419" s="30" t="s">
        <v>151</v>
      </c>
      <c r="I419" s="30" t="s">
        <v>151</v>
      </c>
      <c r="J419" s="30" t="s">
        <v>8953</v>
      </c>
      <c r="K419" s="30" t="s">
        <v>8957</v>
      </c>
      <c r="L419" s="30" t="s">
        <v>205</v>
      </c>
      <c r="M419" s="30" t="s">
        <v>206</v>
      </c>
      <c r="N419" s="30" t="s">
        <v>269</v>
      </c>
      <c r="O419" s="30" t="s">
        <v>8958</v>
      </c>
      <c r="P419" s="30" t="s">
        <v>1107</v>
      </c>
      <c r="Q419" s="30" t="s">
        <v>8959</v>
      </c>
      <c r="R419" s="30" t="s">
        <v>151</v>
      </c>
      <c r="S419" s="30" t="s">
        <v>162</v>
      </c>
      <c r="T419" s="37">
        <v>4.87</v>
      </c>
      <c r="U419" s="30" t="s">
        <v>163</v>
      </c>
      <c r="V419" s="30" t="s">
        <v>164</v>
      </c>
      <c r="W419" s="30" t="s">
        <v>165</v>
      </c>
      <c r="X419" s="28" t="s">
        <v>8960</v>
      </c>
      <c r="Y419" s="28" t="s">
        <v>8961</v>
      </c>
      <c r="Z419" s="40">
        <v>10</v>
      </c>
      <c r="AA419" s="30" t="s">
        <v>8962</v>
      </c>
      <c r="AB419" s="30" t="s">
        <v>151</v>
      </c>
      <c r="AC419" s="30" t="s">
        <v>151</v>
      </c>
      <c r="AD419" s="39">
        <v>2019</v>
      </c>
      <c r="AE419" s="30" t="s">
        <v>151</v>
      </c>
      <c r="AF419" s="35">
        <v>45384</v>
      </c>
      <c r="AG419" s="30" t="s">
        <v>151</v>
      </c>
      <c r="AH419" s="30" t="s">
        <v>151</v>
      </c>
      <c r="AI419" s="38">
        <v>0.05</v>
      </c>
      <c r="AJ419" s="32" t="s">
        <v>151</v>
      </c>
      <c r="AK419" s="38" t="s">
        <v>151</v>
      </c>
      <c r="AL419" s="38" t="s">
        <v>151</v>
      </c>
      <c r="AM419" s="38" t="s">
        <v>151</v>
      </c>
      <c r="AN419" s="38" t="s">
        <v>151</v>
      </c>
      <c r="AO419" s="38" t="s">
        <v>151</v>
      </c>
      <c r="AP419" s="38" t="s">
        <v>151</v>
      </c>
      <c r="AQ419" s="38" t="s">
        <v>151</v>
      </c>
      <c r="AR419" s="29" t="s">
        <v>810</v>
      </c>
      <c r="AS419" s="30" t="s">
        <v>8963</v>
      </c>
      <c r="AT419" s="30" t="s">
        <v>8964</v>
      </c>
      <c r="AU419" s="31">
        <v>8</v>
      </c>
      <c r="AV419" s="30" t="s">
        <v>151</v>
      </c>
      <c r="AW419" s="30" t="s">
        <v>151</v>
      </c>
      <c r="AX419" s="30" t="s">
        <v>151</v>
      </c>
      <c r="AY419" s="30" t="s">
        <v>8965</v>
      </c>
      <c r="AZ419" s="30" t="s">
        <v>151</v>
      </c>
      <c r="BA419" s="30" t="s">
        <v>151</v>
      </c>
      <c r="BB419" s="30" t="s">
        <v>151</v>
      </c>
      <c r="BC419" s="30" t="s">
        <v>151</v>
      </c>
      <c r="BD419" s="30" t="s">
        <v>8966</v>
      </c>
      <c r="BE419" s="30" t="s">
        <v>8967</v>
      </c>
      <c r="BF419" s="30" t="s">
        <v>8968</v>
      </c>
      <c r="BG419" s="30" t="s">
        <v>151</v>
      </c>
      <c r="BH419" s="30" t="s">
        <v>151</v>
      </c>
      <c r="BI419" s="30" t="s">
        <v>906</v>
      </c>
      <c r="BJ419" s="30" t="s">
        <v>8969</v>
      </c>
      <c r="BK419" s="30" t="s">
        <v>2678</v>
      </c>
      <c r="BL419" s="30" t="s">
        <v>259</v>
      </c>
      <c r="BM419" s="30" t="s">
        <v>259</v>
      </c>
      <c r="BN419" s="29" t="s">
        <v>5051</v>
      </c>
      <c r="BO419" s="30" t="s">
        <v>186</v>
      </c>
      <c r="BP419" s="29" t="s">
        <v>151</v>
      </c>
      <c r="BQ419" s="29" t="s">
        <v>151</v>
      </c>
      <c r="BR419" s="30" t="s">
        <v>8970</v>
      </c>
      <c r="BS419" s="30" t="s">
        <v>187</v>
      </c>
      <c r="BT419" s="30" t="s">
        <v>188</v>
      </c>
      <c r="BU419" s="35">
        <v>44348</v>
      </c>
      <c r="BV419" s="37">
        <v>1.87</v>
      </c>
      <c r="BW419" s="30" t="s">
        <v>193</v>
      </c>
      <c r="BX419" s="37">
        <v>6</v>
      </c>
      <c r="BY419" s="30" t="s">
        <v>192</v>
      </c>
      <c r="BZ419" s="30" t="s">
        <v>293</v>
      </c>
      <c r="CA419" s="30" t="s">
        <v>293</v>
      </c>
      <c r="CB419" s="30" t="s">
        <v>151</v>
      </c>
      <c r="CC419" s="30" t="s">
        <v>165</v>
      </c>
      <c r="CD419" s="30" t="s">
        <v>151</v>
      </c>
      <c r="CE419" s="30" t="s">
        <v>191</v>
      </c>
      <c r="CF419" s="35">
        <v>44846</v>
      </c>
      <c r="CG419" s="37">
        <v>3</v>
      </c>
      <c r="CH419" s="30" t="s">
        <v>192</v>
      </c>
      <c r="CI419" s="37">
        <v>13</v>
      </c>
      <c r="CJ419" s="30" t="s">
        <v>192</v>
      </c>
      <c r="CK419" s="29">
        <v>1.67</v>
      </c>
      <c r="CL419" s="30" t="s">
        <v>293</v>
      </c>
      <c r="CM419" s="30" t="s">
        <v>293</v>
      </c>
      <c r="CN419" s="30" t="s">
        <v>151</v>
      </c>
      <c r="CO419" s="30" t="s">
        <v>165</v>
      </c>
      <c r="CP419" s="35">
        <v>44846</v>
      </c>
      <c r="CQ419" s="37" t="s">
        <v>151</v>
      </c>
      <c r="CR419" s="30" t="s">
        <v>151</v>
      </c>
      <c r="CS419" s="30" t="s">
        <v>191</v>
      </c>
      <c r="CT419" s="29">
        <v>77</v>
      </c>
      <c r="CU419" s="30" t="s">
        <v>196</v>
      </c>
      <c r="CV419" s="32">
        <v>71</v>
      </c>
      <c r="CW419" s="32">
        <v>29</v>
      </c>
      <c r="CX419" s="30" t="s">
        <v>294</v>
      </c>
      <c r="CY419" s="32">
        <v>1</v>
      </c>
      <c r="CZ419" s="32">
        <v>70</v>
      </c>
      <c r="DA419" s="37">
        <v>13</v>
      </c>
      <c r="DB419" s="35">
        <v>44846</v>
      </c>
      <c r="DC419" s="30" t="s">
        <v>293</v>
      </c>
      <c r="DD419" s="29">
        <v>1.67</v>
      </c>
      <c r="DE419" s="32">
        <v>0</v>
      </c>
      <c r="DF419" s="34">
        <v>11</v>
      </c>
      <c r="DG419" s="32">
        <v>0</v>
      </c>
      <c r="DH419" s="32">
        <v>0</v>
      </c>
      <c r="DI419" s="32">
        <v>0</v>
      </c>
      <c r="DJ419" s="34">
        <v>10</v>
      </c>
      <c r="DK419" s="32" t="s">
        <v>151</v>
      </c>
      <c r="DL419" s="34" t="s">
        <v>151</v>
      </c>
      <c r="DM419" s="32">
        <v>0</v>
      </c>
      <c r="DN419" s="34">
        <v>10</v>
      </c>
      <c r="DO419" s="36">
        <v>1.53</v>
      </c>
      <c r="DP419" s="34">
        <v>60</v>
      </c>
      <c r="DQ419" s="36">
        <v>0</v>
      </c>
      <c r="DR419" s="32">
        <v>0</v>
      </c>
      <c r="DS419" s="36">
        <v>1.53</v>
      </c>
      <c r="DT419" s="34">
        <v>60</v>
      </c>
      <c r="DU419" s="36" t="s">
        <v>151</v>
      </c>
      <c r="DV419" s="34" t="s">
        <v>151</v>
      </c>
      <c r="DW419" s="36">
        <v>1.53</v>
      </c>
      <c r="DX419" s="34">
        <v>59</v>
      </c>
      <c r="DY419" s="31" t="s">
        <v>151</v>
      </c>
      <c r="DZ419" s="35" t="s">
        <v>151</v>
      </c>
      <c r="EA419" s="35" t="s">
        <v>151</v>
      </c>
      <c r="EB419" s="34">
        <v>120</v>
      </c>
      <c r="EC419" s="33">
        <v>-22</v>
      </c>
      <c r="ED419" s="32">
        <v>-15.49</v>
      </c>
      <c r="EE419" s="34">
        <v>29</v>
      </c>
      <c r="EF419" s="33">
        <v>0</v>
      </c>
      <c r="EG419" s="32">
        <v>0</v>
      </c>
      <c r="EH419" s="29" t="s">
        <v>198</v>
      </c>
      <c r="EI419" s="30" t="s">
        <v>151</v>
      </c>
      <c r="EJ419" s="30" t="s">
        <v>151</v>
      </c>
      <c r="EK419" s="31" t="s">
        <v>151</v>
      </c>
      <c r="EL419" s="31" t="s">
        <v>151</v>
      </c>
      <c r="EM419" s="31" t="s">
        <v>151</v>
      </c>
      <c r="EN419" s="31" t="s">
        <v>151</v>
      </c>
      <c r="EO419" s="31" t="s">
        <v>151</v>
      </c>
      <c r="EP419" s="30" t="s">
        <v>151</v>
      </c>
      <c r="EQ419" s="29" t="s">
        <v>151</v>
      </c>
      <c r="ER419" s="29" t="s">
        <v>151</v>
      </c>
      <c r="ES419" s="4">
        <f>HYPERLINK("https://my.pitchbook.com?c=469174-78","View Company Online")</f>
      </c>
    </row>
    <row r="420">
      <c r="A420" s="17" t="s">
        <v>8971</v>
      </c>
      <c r="B420" s="17" t="s">
        <v>8972</v>
      </c>
      <c r="C420" s="18" t="s">
        <v>151</v>
      </c>
      <c r="D420" s="17" t="s">
        <v>151</v>
      </c>
      <c r="E420" s="17" t="s">
        <v>8973</v>
      </c>
      <c r="F420" s="17" t="s">
        <v>8974</v>
      </c>
      <c r="G420" s="17" t="s">
        <v>151</v>
      </c>
      <c r="H420" s="17" t="s">
        <v>151</v>
      </c>
      <c r="I420" s="17" t="s">
        <v>151</v>
      </c>
      <c r="J420" s="17" t="s">
        <v>8971</v>
      </c>
      <c r="K420" s="17" t="s">
        <v>8975</v>
      </c>
      <c r="L420" s="17" t="s">
        <v>205</v>
      </c>
      <c r="M420" s="17" t="s">
        <v>8566</v>
      </c>
      <c r="N420" s="17" t="s">
        <v>8567</v>
      </c>
      <c r="O420" s="17" t="s">
        <v>8976</v>
      </c>
      <c r="P420" s="17" t="s">
        <v>151</v>
      </c>
      <c r="Q420" s="17" t="s">
        <v>8977</v>
      </c>
      <c r="R420" s="17" t="s">
        <v>151</v>
      </c>
      <c r="S420" s="17" t="s">
        <v>162</v>
      </c>
      <c r="T420" s="24">
        <v>13.28</v>
      </c>
      <c r="U420" s="17" t="s">
        <v>163</v>
      </c>
      <c r="V420" s="17" t="s">
        <v>164</v>
      </c>
      <c r="W420" s="17" t="s">
        <v>165</v>
      </c>
      <c r="X420" s="15" t="s">
        <v>8978</v>
      </c>
      <c r="Y420" s="15" t="s">
        <v>8979</v>
      </c>
      <c r="Z420" s="27">
        <v>18</v>
      </c>
      <c r="AA420" s="17" t="s">
        <v>8980</v>
      </c>
      <c r="AB420" s="17" t="s">
        <v>151</v>
      </c>
      <c r="AC420" s="17" t="s">
        <v>151</v>
      </c>
      <c r="AD420" s="26">
        <v>2022</v>
      </c>
      <c r="AE420" s="17" t="s">
        <v>151</v>
      </c>
      <c r="AF420" s="22">
        <v>45589</v>
      </c>
      <c r="AG420" s="17" t="s">
        <v>151</v>
      </c>
      <c r="AH420" s="17" t="s">
        <v>151</v>
      </c>
      <c r="AI420" s="25" t="s">
        <v>151</v>
      </c>
      <c r="AJ420" s="19" t="s">
        <v>151</v>
      </c>
      <c r="AK420" s="25" t="s">
        <v>151</v>
      </c>
      <c r="AL420" s="25" t="s">
        <v>151</v>
      </c>
      <c r="AM420" s="25" t="s">
        <v>151</v>
      </c>
      <c r="AN420" s="25" t="s">
        <v>151</v>
      </c>
      <c r="AO420" s="25" t="s">
        <v>151</v>
      </c>
      <c r="AP420" s="25" t="s">
        <v>151</v>
      </c>
      <c r="AQ420" s="25" t="s">
        <v>151</v>
      </c>
      <c r="AR420" s="16" t="s">
        <v>151</v>
      </c>
      <c r="AS420" s="17" t="s">
        <v>8981</v>
      </c>
      <c r="AT420" s="17" t="s">
        <v>8982</v>
      </c>
      <c r="AU420" s="18">
        <v>5</v>
      </c>
      <c r="AV420" s="17" t="s">
        <v>151</v>
      </c>
      <c r="AW420" s="17" t="s">
        <v>151</v>
      </c>
      <c r="AX420" s="17" t="s">
        <v>151</v>
      </c>
      <c r="AY420" s="17" t="s">
        <v>8983</v>
      </c>
      <c r="AZ420" s="17" t="s">
        <v>151</v>
      </c>
      <c r="BA420" s="17" t="s">
        <v>151</v>
      </c>
      <c r="BB420" s="17" t="s">
        <v>151</v>
      </c>
      <c r="BC420" s="17" t="s">
        <v>151</v>
      </c>
      <c r="BD420" s="17" t="s">
        <v>8984</v>
      </c>
      <c r="BE420" s="17" t="s">
        <v>8985</v>
      </c>
      <c r="BF420" s="17" t="s">
        <v>178</v>
      </c>
      <c r="BG420" s="17" t="s">
        <v>151</v>
      </c>
      <c r="BH420" s="17" t="s">
        <v>151</v>
      </c>
      <c r="BI420" s="17" t="s">
        <v>906</v>
      </c>
      <c r="BJ420" s="17" t="s">
        <v>4138</v>
      </c>
      <c r="BK420" s="17" t="s">
        <v>8986</v>
      </c>
      <c r="BL420" s="17" t="s">
        <v>259</v>
      </c>
      <c r="BM420" s="17" t="s">
        <v>259</v>
      </c>
      <c r="BN420" s="16" t="s">
        <v>4140</v>
      </c>
      <c r="BO420" s="17" t="s">
        <v>186</v>
      </c>
      <c r="BP420" s="16" t="s">
        <v>151</v>
      </c>
      <c r="BQ420" s="16" t="s">
        <v>151</v>
      </c>
      <c r="BR420" s="17" t="s">
        <v>8987</v>
      </c>
      <c r="BS420" s="17" t="s">
        <v>187</v>
      </c>
      <c r="BT420" s="17" t="s">
        <v>188</v>
      </c>
      <c r="BU420" s="22">
        <v>44927</v>
      </c>
      <c r="BV420" s="24">
        <v>0.5</v>
      </c>
      <c r="BW420" s="17" t="s">
        <v>192</v>
      </c>
      <c r="BX420" s="24">
        <v>7.14</v>
      </c>
      <c r="BY420" s="17" t="s">
        <v>192</v>
      </c>
      <c r="BZ420" s="17" t="s">
        <v>189</v>
      </c>
      <c r="CA420" s="17" t="s">
        <v>151</v>
      </c>
      <c r="CB420" s="17" t="s">
        <v>151</v>
      </c>
      <c r="CC420" s="17" t="s">
        <v>190</v>
      </c>
      <c r="CD420" s="17" t="s">
        <v>151</v>
      </c>
      <c r="CE420" s="17" t="s">
        <v>191</v>
      </c>
      <c r="CF420" s="22">
        <v>45580</v>
      </c>
      <c r="CG420" s="24">
        <v>12.78</v>
      </c>
      <c r="CH420" s="17" t="s">
        <v>192</v>
      </c>
      <c r="CI420" s="24">
        <v>50</v>
      </c>
      <c r="CJ420" s="17" t="s">
        <v>192</v>
      </c>
      <c r="CK420" s="16" t="s">
        <v>151</v>
      </c>
      <c r="CL420" s="17" t="s">
        <v>231</v>
      </c>
      <c r="CM420" s="17" t="s">
        <v>232</v>
      </c>
      <c r="CN420" s="17" t="s">
        <v>151</v>
      </c>
      <c r="CO420" s="17" t="s">
        <v>165</v>
      </c>
      <c r="CP420" s="22">
        <v>45580</v>
      </c>
      <c r="CQ420" s="24" t="s">
        <v>151</v>
      </c>
      <c r="CR420" s="17" t="s">
        <v>151</v>
      </c>
      <c r="CS420" s="17" t="s">
        <v>191</v>
      </c>
      <c r="CT420" s="16" t="s">
        <v>151</v>
      </c>
      <c r="CU420" s="17" t="s">
        <v>151</v>
      </c>
      <c r="CV420" s="19" t="s">
        <v>151</v>
      </c>
      <c r="CW420" s="19" t="s">
        <v>151</v>
      </c>
      <c r="CX420" s="17" t="s">
        <v>151</v>
      </c>
      <c r="CY420" s="19" t="s">
        <v>151</v>
      </c>
      <c r="CZ420" s="19" t="s">
        <v>151</v>
      </c>
      <c r="DA420" s="24">
        <v>50</v>
      </c>
      <c r="DB420" s="22">
        <v>45580</v>
      </c>
      <c r="DC420" s="17" t="s">
        <v>231</v>
      </c>
      <c r="DD420" s="16" t="s">
        <v>151</v>
      </c>
      <c r="DE420" s="19">
        <v>2.41</v>
      </c>
      <c r="DF420" s="21">
        <v>99</v>
      </c>
      <c r="DG420" s="19">
        <v>0</v>
      </c>
      <c r="DH420" s="19">
        <v>0</v>
      </c>
      <c r="DI420" s="19">
        <v>1.57</v>
      </c>
      <c r="DJ420" s="21">
        <v>98</v>
      </c>
      <c r="DK420" s="19" t="s">
        <v>151</v>
      </c>
      <c r="DL420" s="21" t="s">
        <v>151</v>
      </c>
      <c r="DM420" s="19">
        <v>1.57</v>
      </c>
      <c r="DN420" s="21">
        <v>98</v>
      </c>
      <c r="DO420" s="23">
        <v>6.98</v>
      </c>
      <c r="DP420" s="21">
        <v>86</v>
      </c>
      <c r="DQ420" s="23">
        <v>0</v>
      </c>
      <c r="DR420" s="19">
        <v>0</v>
      </c>
      <c r="DS420" s="23">
        <v>12.58</v>
      </c>
      <c r="DT420" s="21">
        <v>92</v>
      </c>
      <c r="DU420" s="23" t="s">
        <v>151</v>
      </c>
      <c r="DV420" s="21" t="s">
        <v>151</v>
      </c>
      <c r="DW420" s="23">
        <v>12.58</v>
      </c>
      <c r="DX420" s="21">
        <v>92</v>
      </c>
      <c r="DY420" s="18" t="s">
        <v>151</v>
      </c>
      <c r="DZ420" s="22" t="s">
        <v>151</v>
      </c>
      <c r="EA420" s="22" t="s">
        <v>151</v>
      </c>
      <c r="EB420" s="21">
        <v>6239</v>
      </c>
      <c r="EC420" s="20">
        <v>-183</v>
      </c>
      <c r="ED420" s="19">
        <v>-2.85</v>
      </c>
      <c r="EE420" s="21">
        <v>239</v>
      </c>
      <c r="EF420" s="20">
        <v>3</v>
      </c>
      <c r="EG420" s="19">
        <v>1.27</v>
      </c>
      <c r="EH420" s="16" t="s">
        <v>198</v>
      </c>
      <c r="EI420" s="17" t="s">
        <v>151</v>
      </c>
      <c r="EJ420" s="17" t="s">
        <v>151</v>
      </c>
      <c r="EK420" s="18" t="s">
        <v>151</v>
      </c>
      <c r="EL420" s="18" t="s">
        <v>151</v>
      </c>
      <c r="EM420" s="18" t="s">
        <v>151</v>
      </c>
      <c r="EN420" s="18" t="s">
        <v>151</v>
      </c>
      <c r="EO420" s="18" t="s">
        <v>151</v>
      </c>
      <c r="EP420" s="17" t="s">
        <v>151</v>
      </c>
      <c r="EQ420" s="16" t="s">
        <v>151</v>
      </c>
      <c r="ER420" s="16" t="s">
        <v>151</v>
      </c>
      <c r="ES420" s="3">
        <f>HYPERLINK("https://my.pitchbook.com?c=519134-14","View Company Online")</f>
      </c>
    </row>
    <row r="421">
      <c r="A421" s="30" t="s">
        <v>8988</v>
      </c>
      <c r="B421" s="30" t="s">
        <v>8989</v>
      </c>
      <c r="C421" s="31" t="s">
        <v>151</v>
      </c>
      <c r="D421" s="30" t="s">
        <v>151</v>
      </c>
      <c r="E421" s="30" t="s">
        <v>8990</v>
      </c>
      <c r="F421" s="30" t="s">
        <v>8991</v>
      </c>
      <c r="G421" s="30" t="s">
        <v>151</v>
      </c>
      <c r="H421" s="30" t="s">
        <v>151</v>
      </c>
      <c r="I421" s="30" t="s">
        <v>151</v>
      </c>
      <c r="J421" s="30" t="s">
        <v>8988</v>
      </c>
      <c r="K421" s="30" t="s">
        <v>8992</v>
      </c>
      <c r="L421" s="30" t="s">
        <v>155</v>
      </c>
      <c r="M421" s="30" t="s">
        <v>361</v>
      </c>
      <c r="N421" s="30" t="s">
        <v>3162</v>
      </c>
      <c r="O421" s="30" t="s">
        <v>8993</v>
      </c>
      <c r="P421" s="30" t="s">
        <v>151</v>
      </c>
      <c r="Q421" s="30" t="s">
        <v>8994</v>
      </c>
      <c r="R421" s="30" t="s">
        <v>151</v>
      </c>
      <c r="S421" s="30" t="s">
        <v>162</v>
      </c>
      <c r="T421" s="37">
        <v>1.47</v>
      </c>
      <c r="U421" s="30" t="s">
        <v>163</v>
      </c>
      <c r="V421" s="30" t="s">
        <v>164</v>
      </c>
      <c r="W421" s="30" t="s">
        <v>165</v>
      </c>
      <c r="X421" s="28" t="s">
        <v>8995</v>
      </c>
      <c r="Y421" s="28" t="s">
        <v>8996</v>
      </c>
      <c r="Z421" s="40">
        <v>5</v>
      </c>
      <c r="AA421" s="30" t="s">
        <v>8997</v>
      </c>
      <c r="AB421" s="30" t="s">
        <v>151</v>
      </c>
      <c r="AC421" s="30" t="s">
        <v>151</v>
      </c>
      <c r="AD421" s="39">
        <v>2016</v>
      </c>
      <c r="AE421" s="30" t="s">
        <v>151</v>
      </c>
      <c r="AF421" s="35">
        <v>45595</v>
      </c>
      <c r="AG421" s="30" t="s">
        <v>151</v>
      </c>
      <c r="AH421" s="30" t="s">
        <v>151</v>
      </c>
      <c r="AI421" s="38" t="s">
        <v>151</v>
      </c>
      <c r="AJ421" s="32" t="s">
        <v>151</v>
      </c>
      <c r="AK421" s="38" t="s">
        <v>151</v>
      </c>
      <c r="AL421" s="38" t="s">
        <v>151</v>
      </c>
      <c r="AM421" s="38" t="s">
        <v>151</v>
      </c>
      <c r="AN421" s="38" t="s">
        <v>151</v>
      </c>
      <c r="AO421" s="38" t="s">
        <v>151</v>
      </c>
      <c r="AP421" s="38" t="s">
        <v>151</v>
      </c>
      <c r="AQ421" s="38" t="s">
        <v>151</v>
      </c>
      <c r="AR421" s="29" t="s">
        <v>151</v>
      </c>
      <c r="AS421" s="30" t="s">
        <v>8998</v>
      </c>
      <c r="AT421" s="30" t="s">
        <v>8999</v>
      </c>
      <c r="AU421" s="31">
        <v>15</v>
      </c>
      <c r="AV421" s="30" t="s">
        <v>151</v>
      </c>
      <c r="AW421" s="30" t="s">
        <v>151</v>
      </c>
      <c r="AX421" s="30" t="s">
        <v>151</v>
      </c>
      <c r="AY421" s="30" t="s">
        <v>9000</v>
      </c>
      <c r="AZ421" s="30" t="s">
        <v>151</v>
      </c>
      <c r="BA421" s="30" t="s">
        <v>151</v>
      </c>
      <c r="BB421" s="30" t="s">
        <v>9001</v>
      </c>
      <c r="BC421" s="30" t="s">
        <v>601</v>
      </c>
      <c r="BD421" s="30" t="s">
        <v>9002</v>
      </c>
      <c r="BE421" s="30" t="s">
        <v>9003</v>
      </c>
      <c r="BF421" s="30" t="s">
        <v>221</v>
      </c>
      <c r="BG421" s="30" t="s">
        <v>9004</v>
      </c>
      <c r="BH421" s="30" t="s">
        <v>151</v>
      </c>
      <c r="BI421" s="30" t="s">
        <v>5623</v>
      </c>
      <c r="BJ421" s="30" t="s">
        <v>9005</v>
      </c>
      <c r="BK421" s="30" t="s">
        <v>151</v>
      </c>
      <c r="BL421" s="30" t="s">
        <v>5626</v>
      </c>
      <c r="BM421" s="30" t="s">
        <v>184</v>
      </c>
      <c r="BN421" s="29" t="s">
        <v>9006</v>
      </c>
      <c r="BO421" s="30" t="s">
        <v>186</v>
      </c>
      <c r="BP421" s="29" t="s">
        <v>151</v>
      </c>
      <c r="BQ421" s="29" t="s">
        <v>151</v>
      </c>
      <c r="BR421" s="30" t="s">
        <v>151</v>
      </c>
      <c r="BS421" s="30" t="s">
        <v>187</v>
      </c>
      <c r="BT421" s="30" t="s">
        <v>188</v>
      </c>
      <c r="BU421" s="35" t="s">
        <v>151</v>
      </c>
      <c r="BV421" s="37" t="s">
        <v>151</v>
      </c>
      <c r="BW421" s="30" t="s">
        <v>151</v>
      </c>
      <c r="BX421" s="37" t="s">
        <v>151</v>
      </c>
      <c r="BY421" s="30" t="s">
        <v>151</v>
      </c>
      <c r="BZ421" s="30" t="s">
        <v>189</v>
      </c>
      <c r="CA421" s="30" t="s">
        <v>151</v>
      </c>
      <c r="CB421" s="30" t="s">
        <v>151</v>
      </c>
      <c r="CC421" s="30" t="s">
        <v>190</v>
      </c>
      <c r="CD421" s="30" t="s">
        <v>151</v>
      </c>
      <c r="CE421" s="30" t="s">
        <v>191</v>
      </c>
      <c r="CF421" s="35">
        <v>44564</v>
      </c>
      <c r="CG421" s="37" t="s">
        <v>151</v>
      </c>
      <c r="CH421" s="30" t="s">
        <v>151</v>
      </c>
      <c r="CI421" s="37" t="s">
        <v>151</v>
      </c>
      <c r="CJ421" s="30" t="s">
        <v>151</v>
      </c>
      <c r="CK421" s="29" t="s">
        <v>151</v>
      </c>
      <c r="CL421" s="30" t="s">
        <v>189</v>
      </c>
      <c r="CM421" s="30" t="s">
        <v>151</v>
      </c>
      <c r="CN421" s="30" t="s">
        <v>151</v>
      </c>
      <c r="CO421" s="30" t="s">
        <v>190</v>
      </c>
      <c r="CP421" s="35">
        <v>44564</v>
      </c>
      <c r="CQ421" s="37" t="s">
        <v>151</v>
      </c>
      <c r="CR421" s="30" t="s">
        <v>151</v>
      </c>
      <c r="CS421" s="30" t="s">
        <v>191</v>
      </c>
      <c r="CT421" s="29">
        <v>26</v>
      </c>
      <c r="CU421" s="30" t="s">
        <v>263</v>
      </c>
      <c r="CV421" s="32">
        <v>27</v>
      </c>
      <c r="CW421" s="32">
        <v>73</v>
      </c>
      <c r="CX421" s="30" t="s">
        <v>263</v>
      </c>
      <c r="CY421" s="32">
        <v>1</v>
      </c>
      <c r="CZ421" s="32">
        <v>26</v>
      </c>
      <c r="DA421" s="37">
        <v>0.33</v>
      </c>
      <c r="DB421" s="35">
        <v>44207</v>
      </c>
      <c r="DC421" s="30" t="s">
        <v>189</v>
      </c>
      <c r="DD421" s="29" t="s">
        <v>151</v>
      </c>
      <c r="DE421" s="32">
        <v>0</v>
      </c>
      <c r="DF421" s="34">
        <v>11</v>
      </c>
      <c r="DG421" s="32">
        <v>0</v>
      </c>
      <c r="DH421" s="32">
        <v>0</v>
      </c>
      <c r="DI421" s="32">
        <v>0</v>
      </c>
      <c r="DJ421" s="34">
        <v>10</v>
      </c>
      <c r="DK421" s="32" t="s">
        <v>151</v>
      </c>
      <c r="DL421" s="34" t="s">
        <v>151</v>
      </c>
      <c r="DM421" s="32">
        <v>0</v>
      </c>
      <c r="DN421" s="34">
        <v>10</v>
      </c>
      <c r="DO421" s="36">
        <v>2.3</v>
      </c>
      <c r="DP421" s="34">
        <v>69</v>
      </c>
      <c r="DQ421" s="36">
        <v>0</v>
      </c>
      <c r="DR421" s="32">
        <v>0</v>
      </c>
      <c r="DS421" s="36">
        <v>4.21</v>
      </c>
      <c r="DT421" s="34">
        <v>80</v>
      </c>
      <c r="DU421" s="36" t="s">
        <v>151</v>
      </c>
      <c r="DV421" s="34" t="s">
        <v>151</v>
      </c>
      <c r="DW421" s="36">
        <v>4.21</v>
      </c>
      <c r="DX421" s="34">
        <v>79</v>
      </c>
      <c r="DY421" s="31" t="s">
        <v>151</v>
      </c>
      <c r="DZ421" s="35" t="s">
        <v>151</v>
      </c>
      <c r="EA421" s="35" t="s">
        <v>151</v>
      </c>
      <c r="EB421" s="34" t="s">
        <v>151</v>
      </c>
      <c r="EC421" s="33" t="s">
        <v>151</v>
      </c>
      <c r="ED421" s="32" t="s">
        <v>151</v>
      </c>
      <c r="EE421" s="34">
        <v>80</v>
      </c>
      <c r="EF421" s="33">
        <v>0</v>
      </c>
      <c r="EG421" s="32">
        <v>0</v>
      </c>
      <c r="EH421" s="29" t="s">
        <v>198</v>
      </c>
      <c r="EI421" s="30" t="s">
        <v>151</v>
      </c>
      <c r="EJ421" s="30" t="s">
        <v>151</v>
      </c>
      <c r="EK421" s="31" t="s">
        <v>151</v>
      </c>
      <c r="EL421" s="31" t="s">
        <v>151</v>
      </c>
      <c r="EM421" s="31" t="s">
        <v>151</v>
      </c>
      <c r="EN421" s="31" t="s">
        <v>151</v>
      </c>
      <c r="EO421" s="31" t="s">
        <v>151</v>
      </c>
      <c r="EP421" s="30" t="s">
        <v>151</v>
      </c>
      <c r="EQ421" s="29" t="s">
        <v>151</v>
      </c>
      <c r="ER421" s="29" t="s">
        <v>151</v>
      </c>
      <c r="ES421" s="4">
        <f>HYPERLINK("https://my.pitchbook.com?c=340782-40","View Company Online")</f>
      </c>
    </row>
    <row r="422">
      <c r="A422" s="17" t="s">
        <v>9007</v>
      </c>
      <c r="B422" s="17" t="s">
        <v>9008</v>
      </c>
      <c r="C422" s="18" t="s">
        <v>151</v>
      </c>
      <c r="D422" s="17" t="s">
        <v>151</v>
      </c>
      <c r="E422" s="17" t="s">
        <v>151</v>
      </c>
      <c r="F422" s="17" t="s">
        <v>9009</v>
      </c>
      <c r="G422" s="17" t="s">
        <v>151</v>
      </c>
      <c r="H422" s="17" t="s">
        <v>151</v>
      </c>
      <c r="I422" s="17" t="s">
        <v>151</v>
      </c>
      <c r="J422" s="17" t="s">
        <v>9007</v>
      </c>
      <c r="K422" s="17" t="s">
        <v>9010</v>
      </c>
      <c r="L422" s="17" t="s">
        <v>205</v>
      </c>
      <c r="M422" s="17" t="s">
        <v>206</v>
      </c>
      <c r="N422" s="17" t="s">
        <v>1082</v>
      </c>
      <c r="O422" s="17" t="s">
        <v>1607</v>
      </c>
      <c r="P422" s="17" t="s">
        <v>9011</v>
      </c>
      <c r="Q422" s="17" t="s">
        <v>9012</v>
      </c>
      <c r="R422" s="17" t="s">
        <v>151</v>
      </c>
      <c r="S422" s="17" t="s">
        <v>162</v>
      </c>
      <c r="T422" s="24">
        <v>2.19</v>
      </c>
      <c r="U422" s="17" t="s">
        <v>163</v>
      </c>
      <c r="V422" s="17" t="s">
        <v>164</v>
      </c>
      <c r="W422" s="17" t="s">
        <v>165</v>
      </c>
      <c r="X422" s="15" t="s">
        <v>9013</v>
      </c>
      <c r="Y422" s="15" t="s">
        <v>9014</v>
      </c>
      <c r="Z422" s="27">
        <v>3</v>
      </c>
      <c r="AA422" s="17" t="s">
        <v>9015</v>
      </c>
      <c r="AB422" s="17" t="s">
        <v>151</v>
      </c>
      <c r="AC422" s="17" t="s">
        <v>151</v>
      </c>
      <c r="AD422" s="26">
        <v>2022</v>
      </c>
      <c r="AE422" s="17" t="s">
        <v>151</v>
      </c>
      <c r="AF422" s="22">
        <v>45413</v>
      </c>
      <c r="AG422" s="17" t="s">
        <v>151</v>
      </c>
      <c r="AH422" s="17" t="s">
        <v>151</v>
      </c>
      <c r="AI422" s="25" t="s">
        <v>151</v>
      </c>
      <c r="AJ422" s="19" t="s">
        <v>151</v>
      </c>
      <c r="AK422" s="25" t="s">
        <v>151</v>
      </c>
      <c r="AL422" s="25" t="s">
        <v>151</v>
      </c>
      <c r="AM422" s="25" t="s">
        <v>151</v>
      </c>
      <c r="AN422" s="25" t="s">
        <v>151</v>
      </c>
      <c r="AO422" s="25" t="s">
        <v>151</v>
      </c>
      <c r="AP422" s="25" t="s">
        <v>151</v>
      </c>
      <c r="AQ422" s="25" t="s">
        <v>151</v>
      </c>
      <c r="AR422" s="16" t="s">
        <v>151</v>
      </c>
      <c r="AS422" s="17" t="s">
        <v>9016</v>
      </c>
      <c r="AT422" s="17" t="s">
        <v>9017</v>
      </c>
      <c r="AU422" s="18">
        <v>5</v>
      </c>
      <c r="AV422" s="17" t="s">
        <v>151</v>
      </c>
      <c r="AW422" s="17" t="s">
        <v>151</v>
      </c>
      <c r="AX422" s="17" t="s">
        <v>151</v>
      </c>
      <c r="AY422" s="17" t="s">
        <v>9018</v>
      </c>
      <c r="AZ422" s="17" t="s">
        <v>151</v>
      </c>
      <c r="BA422" s="17" t="s">
        <v>151</v>
      </c>
      <c r="BB422" s="17" t="s">
        <v>151</v>
      </c>
      <c r="BC422" s="17" t="s">
        <v>151</v>
      </c>
      <c r="BD422" s="17" t="s">
        <v>9019</v>
      </c>
      <c r="BE422" s="17" t="s">
        <v>9020</v>
      </c>
      <c r="BF422" s="17" t="s">
        <v>221</v>
      </c>
      <c r="BG422" s="17" t="s">
        <v>9021</v>
      </c>
      <c r="BH422" s="17" t="s">
        <v>9022</v>
      </c>
      <c r="BI422" s="17" t="s">
        <v>6102</v>
      </c>
      <c r="BJ422" s="17" t="s">
        <v>9023</v>
      </c>
      <c r="BK422" s="17" t="s">
        <v>151</v>
      </c>
      <c r="BL422" s="17" t="s">
        <v>6104</v>
      </c>
      <c r="BM422" s="17" t="s">
        <v>184</v>
      </c>
      <c r="BN422" s="16" t="s">
        <v>9024</v>
      </c>
      <c r="BO422" s="17" t="s">
        <v>186</v>
      </c>
      <c r="BP422" s="16" t="s">
        <v>151</v>
      </c>
      <c r="BQ422" s="16" t="s">
        <v>151</v>
      </c>
      <c r="BR422" s="17" t="s">
        <v>9025</v>
      </c>
      <c r="BS422" s="17" t="s">
        <v>187</v>
      </c>
      <c r="BT422" s="17" t="s">
        <v>188</v>
      </c>
      <c r="BU422" s="22">
        <v>44861</v>
      </c>
      <c r="BV422" s="24">
        <v>2.19</v>
      </c>
      <c r="BW422" s="17" t="s">
        <v>192</v>
      </c>
      <c r="BX422" s="24" t="s">
        <v>151</v>
      </c>
      <c r="BY422" s="17" t="s">
        <v>151</v>
      </c>
      <c r="BZ422" s="17" t="s">
        <v>293</v>
      </c>
      <c r="CA422" s="17" t="s">
        <v>293</v>
      </c>
      <c r="CB422" s="17" t="s">
        <v>151</v>
      </c>
      <c r="CC422" s="17" t="s">
        <v>165</v>
      </c>
      <c r="CD422" s="17" t="s">
        <v>151</v>
      </c>
      <c r="CE422" s="17" t="s">
        <v>191</v>
      </c>
      <c r="CF422" s="22">
        <v>44861</v>
      </c>
      <c r="CG422" s="24">
        <v>2.19</v>
      </c>
      <c r="CH422" s="17" t="s">
        <v>192</v>
      </c>
      <c r="CI422" s="24" t="s">
        <v>151</v>
      </c>
      <c r="CJ422" s="17" t="s">
        <v>151</v>
      </c>
      <c r="CK422" s="16" t="s">
        <v>151</v>
      </c>
      <c r="CL422" s="17" t="s">
        <v>293</v>
      </c>
      <c r="CM422" s="17" t="s">
        <v>293</v>
      </c>
      <c r="CN422" s="17" t="s">
        <v>151</v>
      </c>
      <c r="CO422" s="17" t="s">
        <v>165</v>
      </c>
      <c r="CP422" s="22">
        <v>44861</v>
      </c>
      <c r="CQ422" s="24" t="s">
        <v>151</v>
      </c>
      <c r="CR422" s="17" t="s">
        <v>151</v>
      </c>
      <c r="CS422" s="17" t="s">
        <v>191</v>
      </c>
      <c r="CT422" s="16" t="s">
        <v>151</v>
      </c>
      <c r="CU422" s="17" t="s">
        <v>151</v>
      </c>
      <c r="CV422" s="19" t="s">
        <v>151</v>
      </c>
      <c r="CW422" s="19" t="s">
        <v>151</v>
      </c>
      <c r="CX422" s="17" t="s">
        <v>151</v>
      </c>
      <c r="CY422" s="19" t="s">
        <v>151</v>
      </c>
      <c r="CZ422" s="19" t="s">
        <v>151</v>
      </c>
      <c r="DA422" s="24" t="s">
        <v>151</v>
      </c>
      <c r="DB422" s="22" t="s">
        <v>151</v>
      </c>
      <c r="DC422" s="17" t="s">
        <v>151</v>
      </c>
      <c r="DD422" s="16" t="s">
        <v>151</v>
      </c>
      <c r="DE422" s="19">
        <v>-3.13</v>
      </c>
      <c r="DF422" s="21">
        <v>1</v>
      </c>
      <c r="DG422" s="19">
        <v>0</v>
      </c>
      <c r="DH422" s="19">
        <v>0</v>
      </c>
      <c r="DI422" s="19" t="s">
        <v>151</v>
      </c>
      <c r="DJ422" s="21" t="s">
        <v>151</v>
      </c>
      <c r="DK422" s="19" t="s">
        <v>151</v>
      </c>
      <c r="DL422" s="21" t="s">
        <v>151</v>
      </c>
      <c r="DM422" s="19" t="s">
        <v>151</v>
      </c>
      <c r="DN422" s="21" t="s">
        <v>151</v>
      </c>
      <c r="DO422" s="23">
        <v>0.23</v>
      </c>
      <c r="DP422" s="21">
        <v>17</v>
      </c>
      <c r="DQ422" s="23">
        <v>0</v>
      </c>
      <c r="DR422" s="19">
        <v>0</v>
      </c>
      <c r="DS422" s="23" t="s">
        <v>151</v>
      </c>
      <c r="DT422" s="21" t="s">
        <v>151</v>
      </c>
      <c r="DU422" s="23" t="s">
        <v>151</v>
      </c>
      <c r="DV422" s="21" t="s">
        <v>151</v>
      </c>
      <c r="DW422" s="23" t="s">
        <v>151</v>
      </c>
      <c r="DX422" s="21" t="s">
        <v>151</v>
      </c>
      <c r="DY422" s="18" t="s">
        <v>151</v>
      </c>
      <c r="DZ422" s="22" t="s">
        <v>151</v>
      </c>
      <c r="EA422" s="22" t="s">
        <v>151</v>
      </c>
      <c r="EB422" s="21">
        <v>340</v>
      </c>
      <c r="EC422" s="20">
        <v>11</v>
      </c>
      <c r="ED422" s="19">
        <v>3.34</v>
      </c>
      <c r="EE422" s="21" t="s">
        <v>151</v>
      </c>
      <c r="EF422" s="20" t="s">
        <v>151</v>
      </c>
      <c r="EG422" s="19" t="s">
        <v>151</v>
      </c>
      <c r="EH422" s="16" t="s">
        <v>198</v>
      </c>
      <c r="EI422" s="17" t="s">
        <v>151</v>
      </c>
      <c r="EJ422" s="17" t="s">
        <v>151</v>
      </c>
      <c r="EK422" s="18" t="s">
        <v>151</v>
      </c>
      <c r="EL422" s="18" t="s">
        <v>151</v>
      </c>
      <c r="EM422" s="18" t="s">
        <v>151</v>
      </c>
      <c r="EN422" s="18" t="s">
        <v>151</v>
      </c>
      <c r="EO422" s="18" t="s">
        <v>151</v>
      </c>
      <c r="EP422" s="17" t="s">
        <v>151</v>
      </c>
      <c r="EQ422" s="16" t="s">
        <v>151</v>
      </c>
      <c r="ER422" s="16" t="s">
        <v>151</v>
      </c>
      <c r="ES422" s="3">
        <f>HYPERLINK("https://my.pitchbook.com?c=515175-85","View Company Online")</f>
      </c>
    </row>
    <row r="423">
      <c r="A423" s="30" t="s">
        <v>9026</v>
      </c>
      <c r="B423" s="30" t="s">
        <v>9027</v>
      </c>
      <c r="C423" s="31" t="s">
        <v>151</v>
      </c>
      <c r="D423" s="30" t="s">
        <v>151</v>
      </c>
      <c r="E423" s="30" t="s">
        <v>9028</v>
      </c>
      <c r="F423" s="30" t="s">
        <v>9029</v>
      </c>
      <c r="G423" s="30" t="s">
        <v>151</v>
      </c>
      <c r="H423" s="30" t="s">
        <v>151</v>
      </c>
      <c r="I423" s="30" t="s">
        <v>9030</v>
      </c>
      <c r="J423" s="30" t="s">
        <v>9026</v>
      </c>
      <c r="K423" s="30" t="s">
        <v>9031</v>
      </c>
      <c r="L423" s="30" t="s">
        <v>616</v>
      </c>
      <c r="M423" s="30" t="s">
        <v>834</v>
      </c>
      <c r="N423" s="30" t="s">
        <v>835</v>
      </c>
      <c r="O423" s="30" t="s">
        <v>4322</v>
      </c>
      <c r="P423" s="30" t="s">
        <v>151</v>
      </c>
      <c r="Q423" s="30" t="s">
        <v>9032</v>
      </c>
      <c r="R423" s="30" t="s">
        <v>151</v>
      </c>
      <c r="S423" s="30" t="s">
        <v>162</v>
      </c>
      <c r="T423" s="37">
        <v>3.23</v>
      </c>
      <c r="U423" s="30" t="s">
        <v>163</v>
      </c>
      <c r="V423" s="30" t="s">
        <v>164</v>
      </c>
      <c r="W423" s="30" t="s">
        <v>165</v>
      </c>
      <c r="X423" s="28" t="s">
        <v>9033</v>
      </c>
      <c r="Y423" s="28" t="s">
        <v>9034</v>
      </c>
      <c r="Z423" s="40">
        <v>5</v>
      </c>
      <c r="AA423" s="30" t="s">
        <v>9035</v>
      </c>
      <c r="AB423" s="30" t="s">
        <v>151</v>
      </c>
      <c r="AC423" s="30" t="s">
        <v>151</v>
      </c>
      <c r="AD423" s="39">
        <v>2020</v>
      </c>
      <c r="AE423" s="30" t="s">
        <v>151</v>
      </c>
      <c r="AF423" s="35">
        <v>45443</v>
      </c>
      <c r="AG423" s="30" t="s">
        <v>151</v>
      </c>
      <c r="AH423" s="30" t="s">
        <v>151</v>
      </c>
      <c r="AI423" s="38">
        <v>0.2</v>
      </c>
      <c r="AJ423" s="32" t="s">
        <v>151</v>
      </c>
      <c r="AK423" s="38" t="s">
        <v>151</v>
      </c>
      <c r="AL423" s="38" t="s">
        <v>151</v>
      </c>
      <c r="AM423" s="38" t="s">
        <v>151</v>
      </c>
      <c r="AN423" s="38" t="s">
        <v>151</v>
      </c>
      <c r="AO423" s="38" t="s">
        <v>151</v>
      </c>
      <c r="AP423" s="38" t="s">
        <v>151</v>
      </c>
      <c r="AQ423" s="38" t="s">
        <v>151</v>
      </c>
      <c r="AR423" s="29" t="s">
        <v>810</v>
      </c>
      <c r="AS423" s="30" t="s">
        <v>9036</v>
      </c>
      <c r="AT423" s="30" t="s">
        <v>9037</v>
      </c>
      <c r="AU423" s="31">
        <v>6</v>
      </c>
      <c r="AV423" s="30" t="s">
        <v>151</v>
      </c>
      <c r="AW423" s="30" t="s">
        <v>151</v>
      </c>
      <c r="AX423" s="30" t="s">
        <v>151</v>
      </c>
      <c r="AY423" s="30" t="s">
        <v>9038</v>
      </c>
      <c r="AZ423" s="30" t="s">
        <v>151</v>
      </c>
      <c r="BA423" s="30" t="s">
        <v>151</v>
      </c>
      <c r="BB423" s="30" t="s">
        <v>151</v>
      </c>
      <c r="BC423" s="30" t="s">
        <v>151</v>
      </c>
      <c r="BD423" s="30" t="s">
        <v>9039</v>
      </c>
      <c r="BE423" s="30" t="s">
        <v>9040</v>
      </c>
      <c r="BF423" s="30" t="s">
        <v>2234</v>
      </c>
      <c r="BG423" s="30" t="s">
        <v>9041</v>
      </c>
      <c r="BH423" s="30" t="s">
        <v>9042</v>
      </c>
      <c r="BI423" s="30" t="s">
        <v>906</v>
      </c>
      <c r="BJ423" s="30" t="s">
        <v>9043</v>
      </c>
      <c r="BK423" s="30" t="s">
        <v>151</v>
      </c>
      <c r="BL423" s="30" t="s">
        <v>259</v>
      </c>
      <c r="BM423" s="30" t="s">
        <v>259</v>
      </c>
      <c r="BN423" s="29" t="s">
        <v>5051</v>
      </c>
      <c r="BO423" s="30" t="s">
        <v>186</v>
      </c>
      <c r="BP423" s="29" t="s">
        <v>151</v>
      </c>
      <c r="BQ423" s="29" t="s">
        <v>151</v>
      </c>
      <c r="BR423" s="30" t="s">
        <v>9044</v>
      </c>
      <c r="BS423" s="30" t="s">
        <v>187</v>
      </c>
      <c r="BT423" s="30" t="s">
        <v>188</v>
      </c>
      <c r="BU423" s="35">
        <v>44453</v>
      </c>
      <c r="BV423" s="37" t="s">
        <v>151</v>
      </c>
      <c r="BW423" s="30" t="s">
        <v>151</v>
      </c>
      <c r="BX423" s="37" t="s">
        <v>151</v>
      </c>
      <c r="BY423" s="30" t="s">
        <v>151</v>
      </c>
      <c r="BZ423" s="30" t="s">
        <v>189</v>
      </c>
      <c r="CA423" s="30" t="s">
        <v>151</v>
      </c>
      <c r="CB423" s="30" t="s">
        <v>151</v>
      </c>
      <c r="CC423" s="30" t="s">
        <v>190</v>
      </c>
      <c r="CD423" s="30" t="s">
        <v>151</v>
      </c>
      <c r="CE423" s="30" t="s">
        <v>191</v>
      </c>
      <c r="CF423" s="35">
        <v>45064</v>
      </c>
      <c r="CG423" s="37">
        <v>3.23</v>
      </c>
      <c r="CH423" s="30" t="s">
        <v>192</v>
      </c>
      <c r="CI423" s="37">
        <v>7.23</v>
      </c>
      <c r="CJ423" s="30" t="s">
        <v>192</v>
      </c>
      <c r="CK423" s="29" t="s">
        <v>151</v>
      </c>
      <c r="CL423" s="30" t="s">
        <v>293</v>
      </c>
      <c r="CM423" s="30" t="s">
        <v>293</v>
      </c>
      <c r="CN423" s="30" t="s">
        <v>151</v>
      </c>
      <c r="CO423" s="30" t="s">
        <v>165</v>
      </c>
      <c r="CP423" s="35">
        <v>45064</v>
      </c>
      <c r="CQ423" s="37" t="s">
        <v>151</v>
      </c>
      <c r="CR423" s="30" t="s">
        <v>151</v>
      </c>
      <c r="CS423" s="30" t="s">
        <v>191</v>
      </c>
      <c r="CT423" s="29" t="s">
        <v>151</v>
      </c>
      <c r="CU423" s="30" t="s">
        <v>151</v>
      </c>
      <c r="CV423" s="32" t="s">
        <v>151</v>
      </c>
      <c r="CW423" s="32" t="s">
        <v>151</v>
      </c>
      <c r="CX423" s="30" t="s">
        <v>151</v>
      </c>
      <c r="CY423" s="32" t="s">
        <v>151</v>
      </c>
      <c r="CZ423" s="32" t="s">
        <v>151</v>
      </c>
      <c r="DA423" s="37">
        <v>7.23</v>
      </c>
      <c r="DB423" s="35">
        <v>45064</v>
      </c>
      <c r="DC423" s="30" t="s">
        <v>293</v>
      </c>
      <c r="DD423" s="29" t="s">
        <v>151</v>
      </c>
      <c r="DE423" s="32">
        <v>-2.33</v>
      </c>
      <c r="DF423" s="34">
        <v>2</v>
      </c>
      <c r="DG423" s="32">
        <v>0</v>
      </c>
      <c r="DH423" s="32">
        <v>0</v>
      </c>
      <c r="DI423" s="32">
        <v>-0.8</v>
      </c>
      <c r="DJ423" s="34">
        <v>5</v>
      </c>
      <c r="DK423" s="32" t="s">
        <v>151</v>
      </c>
      <c r="DL423" s="34" t="s">
        <v>151</v>
      </c>
      <c r="DM423" s="32">
        <v>-0.8</v>
      </c>
      <c r="DN423" s="34">
        <v>5</v>
      </c>
      <c r="DO423" s="36">
        <v>4.56</v>
      </c>
      <c r="DP423" s="34">
        <v>81</v>
      </c>
      <c r="DQ423" s="36">
        <v>0</v>
      </c>
      <c r="DR423" s="32">
        <v>0</v>
      </c>
      <c r="DS423" s="36">
        <v>8.74</v>
      </c>
      <c r="DT423" s="34">
        <v>89</v>
      </c>
      <c r="DU423" s="36" t="s">
        <v>151</v>
      </c>
      <c r="DV423" s="34" t="s">
        <v>151</v>
      </c>
      <c r="DW423" s="36">
        <v>8.74</v>
      </c>
      <c r="DX423" s="34">
        <v>88</v>
      </c>
      <c r="DY423" s="31" t="s">
        <v>151</v>
      </c>
      <c r="DZ423" s="35" t="s">
        <v>151</v>
      </c>
      <c r="EA423" s="35" t="s">
        <v>151</v>
      </c>
      <c r="EB423" s="34">
        <v>412</v>
      </c>
      <c r="EC423" s="33">
        <v>40</v>
      </c>
      <c r="ED423" s="32">
        <v>10.75</v>
      </c>
      <c r="EE423" s="34">
        <v>166</v>
      </c>
      <c r="EF423" s="33">
        <v>-1</v>
      </c>
      <c r="EG423" s="32">
        <v>-0.6</v>
      </c>
      <c r="EH423" s="29" t="s">
        <v>198</v>
      </c>
      <c r="EI423" s="30" t="s">
        <v>151</v>
      </c>
      <c r="EJ423" s="30" t="s">
        <v>151</v>
      </c>
      <c r="EK423" s="31" t="s">
        <v>151</v>
      </c>
      <c r="EL423" s="31" t="s">
        <v>151</v>
      </c>
      <c r="EM423" s="31" t="s">
        <v>151</v>
      </c>
      <c r="EN423" s="31" t="s">
        <v>151</v>
      </c>
      <c r="EO423" s="31" t="s">
        <v>151</v>
      </c>
      <c r="EP423" s="30" t="s">
        <v>151</v>
      </c>
      <c r="EQ423" s="29" t="s">
        <v>151</v>
      </c>
      <c r="ER423" s="29" t="s">
        <v>151</v>
      </c>
      <c r="ES423" s="4">
        <f>HYPERLINK("https://my.pitchbook.com?c=465685-93","View Company Online")</f>
      </c>
    </row>
    <row r="424">
      <c r="A424" s="17" t="s">
        <v>9045</v>
      </c>
      <c r="B424" s="17" t="s">
        <v>9046</v>
      </c>
      <c r="C424" s="18" t="s">
        <v>151</v>
      </c>
      <c r="D424" s="17" t="s">
        <v>151</v>
      </c>
      <c r="E424" s="17" t="s">
        <v>151</v>
      </c>
      <c r="F424" s="17" t="s">
        <v>9047</v>
      </c>
      <c r="G424" s="17" t="s">
        <v>151</v>
      </c>
      <c r="H424" s="17" t="s">
        <v>151</v>
      </c>
      <c r="I424" s="17" t="s">
        <v>9048</v>
      </c>
      <c r="J424" s="17" t="s">
        <v>9045</v>
      </c>
      <c r="K424" s="17" t="s">
        <v>9049</v>
      </c>
      <c r="L424" s="17" t="s">
        <v>205</v>
      </c>
      <c r="M424" s="17" t="s">
        <v>206</v>
      </c>
      <c r="N424" s="17" t="s">
        <v>1268</v>
      </c>
      <c r="O424" s="17" t="s">
        <v>5451</v>
      </c>
      <c r="P424" s="17" t="s">
        <v>2279</v>
      </c>
      <c r="Q424" s="17" t="s">
        <v>9050</v>
      </c>
      <c r="R424" s="17" t="s">
        <v>151</v>
      </c>
      <c r="S424" s="17" t="s">
        <v>162</v>
      </c>
      <c r="T424" s="24">
        <v>10.43</v>
      </c>
      <c r="U424" s="17" t="s">
        <v>163</v>
      </c>
      <c r="V424" s="17" t="s">
        <v>164</v>
      </c>
      <c r="W424" s="17" t="s">
        <v>165</v>
      </c>
      <c r="X424" s="15" t="s">
        <v>9051</v>
      </c>
      <c r="Y424" s="15" t="s">
        <v>9052</v>
      </c>
      <c r="Z424" s="27">
        <v>14</v>
      </c>
      <c r="AA424" s="17" t="s">
        <v>9053</v>
      </c>
      <c r="AB424" s="17" t="s">
        <v>151</v>
      </c>
      <c r="AC424" s="17" t="s">
        <v>151</v>
      </c>
      <c r="AD424" s="26">
        <v>2019</v>
      </c>
      <c r="AE424" s="17" t="s">
        <v>151</v>
      </c>
      <c r="AF424" s="22">
        <v>45596</v>
      </c>
      <c r="AG424" s="17" t="s">
        <v>151</v>
      </c>
      <c r="AH424" s="17" t="s">
        <v>151</v>
      </c>
      <c r="AI424" s="25" t="s">
        <v>151</v>
      </c>
      <c r="AJ424" s="19" t="s">
        <v>151</v>
      </c>
      <c r="AK424" s="25" t="s">
        <v>151</v>
      </c>
      <c r="AL424" s="25" t="s">
        <v>151</v>
      </c>
      <c r="AM424" s="25" t="s">
        <v>151</v>
      </c>
      <c r="AN424" s="25" t="s">
        <v>151</v>
      </c>
      <c r="AO424" s="25" t="s">
        <v>151</v>
      </c>
      <c r="AP424" s="25" t="s">
        <v>151</v>
      </c>
      <c r="AQ424" s="25" t="s">
        <v>151</v>
      </c>
      <c r="AR424" s="16" t="s">
        <v>151</v>
      </c>
      <c r="AS424" s="17" t="s">
        <v>9054</v>
      </c>
      <c r="AT424" s="17" t="s">
        <v>9055</v>
      </c>
      <c r="AU424" s="18">
        <v>15</v>
      </c>
      <c r="AV424" s="17" t="s">
        <v>151</v>
      </c>
      <c r="AW424" s="17" t="s">
        <v>151</v>
      </c>
      <c r="AX424" s="17" t="s">
        <v>151</v>
      </c>
      <c r="AY424" s="17" t="s">
        <v>9056</v>
      </c>
      <c r="AZ424" s="17" t="s">
        <v>151</v>
      </c>
      <c r="BA424" s="17" t="s">
        <v>151</v>
      </c>
      <c r="BB424" s="17" t="s">
        <v>151</v>
      </c>
      <c r="BC424" s="17" t="s">
        <v>490</v>
      </c>
      <c r="BD424" s="17" t="s">
        <v>9057</v>
      </c>
      <c r="BE424" s="17" t="s">
        <v>9058</v>
      </c>
      <c r="BF424" s="17" t="s">
        <v>282</v>
      </c>
      <c r="BG424" s="17" t="s">
        <v>9059</v>
      </c>
      <c r="BH424" s="17" t="s">
        <v>151</v>
      </c>
      <c r="BI424" s="17" t="s">
        <v>9060</v>
      </c>
      <c r="BJ424" s="17" t="s">
        <v>9061</v>
      </c>
      <c r="BK424" s="17" t="s">
        <v>320</v>
      </c>
      <c r="BL424" s="17" t="s">
        <v>9062</v>
      </c>
      <c r="BM424" s="17" t="s">
        <v>184</v>
      </c>
      <c r="BN424" s="16" t="s">
        <v>9063</v>
      </c>
      <c r="BO424" s="17" t="s">
        <v>186</v>
      </c>
      <c r="BP424" s="16" t="s">
        <v>151</v>
      </c>
      <c r="BQ424" s="16" t="s">
        <v>151</v>
      </c>
      <c r="BR424" s="17" t="s">
        <v>9064</v>
      </c>
      <c r="BS424" s="17" t="s">
        <v>187</v>
      </c>
      <c r="BT424" s="17" t="s">
        <v>188</v>
      </c>
      <c r="BU424" s="22">
        <v>43557</v>
      </c>
      <c r="BV424" s="24" t="s">
        <v>151</v>
      </c>
      <c r="BW424" s="17" t="s">
        <v>151</v>
      </c>
      <c r="BX424" s="24" t="s">
        <v>151</v>
      </c>
      <c r="BY424" s="17" t="s">
        <v>151</v>
      </c>
      <c r="BZ424" s="17" t="s">
        <v>189</v>
      </c>
      <c r="CA424" s="17" t="s">
        <v>151</v>
      </c>
      <c r="CB424" s="17" t="s">
        <v>151</v>
      </c>
      <c r="CC424" s="17" t="s">
        <v>190</v>
      </c>
      <c r="CD424" s="17" t="s">
        <v>151</v>
      </c>
      <c r="CE424" s="17" t="s">
        <v>191</v>
      </c>
      <c r="CF424" s="22">
        <v>45106</v>
      </c>
      <c r="CG424" s="24" t="s">
        <v>151</v>
      </c>
      <c r="CH424" s="17" t="s">
        <v>151</v>
      </c>
      <c r="CI424" s="24" t="s">
        <v>151</v>
      </c>
      <c r="CJ424" s="17" t="s">
        <v>151</v>
      </c>
      <c r="CK424" s="16">
        <v>1.68</v>
      </c>
      <c r="CL424" s="17" t="s">
        <v>189</v>
      </c>
      <c r="CM424" s="17" t="s">
        <v>151</v>
      </c>
      <c r="CN424" s="17" t="s">
        <v>151</v>
      </c>
      <c r="CO424" s="17" t="s">
        <v>190</v>
      </c>
      <c r="CP424" s="22">
        <v>45106</v>
      </c>
      <c r="CQ424" s="24" t="s">
        <v>151</v>
      </c>
      <c r="CR424" s="17" t="s">
        <v>151</v>
      </c>
      <c r="CS424" s="17" t="s">
        <v>191</v>
      </c>
      <c r="CT424" s="16">
        <v>93</v>
      </c>
      <c r="CU424" s="17" t="s">
        <v>196</v>
      </c>
      <c r="CV424" s="19">
        <v>86</v>
      </c>
      <c r="CW424" s="19">
        <v>14</v>
      </c>
      <c r="CX424" s="17" t="s">
        <v>294</v>
      </c>
      <c r="CY424" s="19">
        <v>1</v>
      </c>
      <c r="CZ424" s="19">
        <v>85</v>
      </c>
      <c r="DA424" s="24">
        <v>21.8</v>
      </c>
      <c r="DB424" s="22">
        <v>44673</v>
      </c>
      <c r="DC424" s="17" t="s">
        <v>293</v>
      </c>
      <c r="DD424" s="16">
        <v>1.68</v>
      </c>
      <c r="DE424" s="19">
        <v>-0.83</v>
      </c>
      <c r="DF424" s="21">
        <v>5</v>
      </c>
      <c r="DG424" s="19">
        <v>0</v>
      </c>
      <c r="DH424" s="19">
        <v>0</v>
      </c>
      <c r="DI424" s="19" t="s">
        <v>151</v>
      </c>
      <c r="DJ424" s="21" t="s">
        <v>151</v>
      </c>
      <c r="DK424" s="19" t="s">
        <v>151</v>
      </c>
      <c r="DL424" s="21" t="s">
        <v>151</v>
      </c>
      <c r="DM424" s="19" t="s">
        <v>151</v>
      </c>
      <c r="DN424" s="21" t="s">
        <v>151</v>
      </c>
      <c r="DO424" s="23">
        <v>1.08</v>
      </c>
      <c r="DP424" s="21">
        <v>52</v>
      </c>
      <c r="DQ424" s="23">
        <v>0</v>
      </c>
      <c r="DR424" s="19">
        <v>0</v>
      </c>
      <c r="DS424" s="23" t="s">
        <v>151</v>
      </c>
      <c r="DT424" s="21" t="s">
        <v>151</v>
      </c>
      <c r="DU424" s="23" t="s">
        <v>151</v>
      </c>
      <c r="DV424" s="21" t="s">
        <v>151</v>
      </c>
      <c r="DW424" s="23" t="s">
        <v>151</v>
      </c>
      <c r="DX424" s="21" t="s">
        <v>151</v>
      </c>
      <c r="DY424" s="18" t="s">
        <v>151</v>
      </c>
      <c r="DZ424" s="22" t="s">
        <v>151</v>
      </c>
      <c r="EA424" s="22" t="s">
        <v>151</v>
      </c>
      <c r="EB424" s="21">
        <v>1965</v>
      </c>
      <c r="EC424" s="20">
        <v>57</v>
      </c>
      <c r="ED424" s="19">
        <v>2.99</v>
      </c>
      <c r="EE424" s="21" t="s">
        <v>151</v>
      </c>
      <c r="EF424" s="20" t="s">
        <v>151</v>
      </c>
      <c r="EG424" s="19" t="s">
        <v>151</v>
      </c>
      <c r="EH424" s="16" t="s">
        <v>198</v>
      </c>
      <c r="EI424" s="17" t="s">
        <v>151</v>
      </c>
      <c r="EJ424" s="17" t="s">
        <v>151</v>
      </c>
      <c r="EK424" s="18" t="s">
        <v>151</v>
      </c>
      <c r="EL424" s="18" t="s">
        <v>151</v>
      </c>
      <c r="EM424" s="18" t="s">
        <v>151</v>
      </c>
      <c r="EN424" s="18" t="s">
        <v>151</v>
      </c>
      <c r="EO424" s="18" t="s">
        <v>151</v>
      </c>
      <c r="EP424" s="17" t="s">
        <v>151</v>
      </c>
      <c r="EQ424" s="16" t="s">
        <v>151</v>
      </c>
      <c r="ER424" s="16" t="s">
        <v>151</v>
      </c>
      <c r="ES424" s="3">
        <f>HYPERLINK("https://my.pitchbook.com?c=398913-31","View Company Online")</f>
      </c>
    </row>
    <row r="425">
      <c r="A425" s="30" t="s">
        <v>9065</v>
      </c>
      <c r="B425" s="30" t="s">
        <v>9066</v>
      </c>
      <c r="C425" s="31" t="s">
        <v>151</v>
      </c>
      <c r="D425" s="30" t="s">
        <v>151</v>
      </c>
      <c r="E425" s="30" t="s">
        <v>151</v>
      </c>
      <c r="F425" s="30" t="s">
        <v>9067</v>
      </c>
      <c r="G425" s="30" t="s">
        <v>151</v>
      </c>
      <c r="H425" s="30" t="s">
        <v>151</v>
      </c>
      <c r="I425" s="30" t="s">
        <v>151</v>
      </c>
      <c r="J425" s="30" t="s">
        <v>9065</v>
      </c>
      <c r="K425" s="30" t="s">
        <v>9068</v>
      </c>
      <c r="L425" s="30" t="s">
        <v>205</v>
      </c>
      <c r="M425" s="30" t="s">
        <v>206</v>
      </c>
      <c r="N425" s="30" t="s">
        <v>1940</v>
      </c>
      <c r="O425" s="30" t="s">
        <v>5396</v>
      </c>
      <c r="P425" s="30" t="s">
        <v>1942</v>
      </c>
      <c r="Q425" s="30" t="s">
        <v>9069</v>
      </c>
      <c r="R425" s="30" t="s">
        <v>151</v>
      </c>
      <c r="S425" s="30" t="s">
        <v>162</v>
      </c>
      <c r="T425" s="37">
        <v>0.04</v>
      </c>
      <c r="U425" s="30" t="s">
        <v>163</v>
      </c>
      <c r="V425" s="30" t="s">
        <v>164</v>
      </c>
      <c r="W425" s="30" t="s">
        <v>165</v>
      </c>
      <c r="X425" s="28" t="s">
        <v>9070</v>
      </c>
      <c r="Y425" s="28" t="s">
        <v>9071</v>
      </c>
      <c r="Z425" s="40">
        <v>4</v>
      </c>
      <c r="AA425" s="30" t="s">
        <v>6849</v>
      </c>
      <c r="AB425" s="30" t="s">
        <v>151</v>
      </c>
      <c r="AC425" s="30" t="s">
        <v>151</v>
      </c>
      <c r="AD425" s="39">
        <v>2021</v>
      </c>
      <c r="AE425" s="30" t="s">
        <v>151</v>
      </c>
      <c r="AF425" s="35">
        <v>45594</v>
      </c>
      <c r="AG425" s="30" t="s">
        <v>151</v>
      </c>
      <c r="AH425" s="30" t="s">
        <v>151</v>
      </c>
      <c r="AI425" s="38" t="s">
        <v>151</v>
      </c>
      <c r="AJ425" s="32" t="s">
        <v>151</v>
      </c>
      <c r="AK425" s="38" t="s">
        <v>151</v>
      </c>
      <c r="AL425" s="38" t="s">
        <v>151</v>
      </c>
      <c r="AM425" s="38" t="s">
        <v>151</v>
      </c>
      <c r="AN425" s="38" t="s">
        <v>151</v>
      </c>
      <c r="AO425" s="38" t="s">
        <v>151</v>
      </c>
      <c r="AP425" s="38" t="s">
        <v>151</v>
      </c>
      <c r="AQ425" s="38" t="s">
        <v>151</v>
      </c>
      <c r="AR425" s="29" t="s">
        <v>151</v>
      </c>
      <c r="AS425" s="30" t="s">
        <v>9072</v>
      </c>
      <c r="AT425" s="30" t="s">
        <v>9073</v>
      </c>
      <c r="AU425" s="31">
        <v>3</v>
      </c>
      <c r="AV425" s="30" t="s">
        <v>151</v>
      </c>
      <c r="AW425" s="30" t="s">
        <v>151</v>
      </c>
      <c r="AX425" s="30" t="s">
        <v>151</v>
      </c>
      <c r="AY425" s="30" t="s">
        <v>9074</v>
      </c>
      <c r="AZ425" s="30" t="s">
        <v>151</v>
      </c>
      <c r="BA425" s="30" t="s">
        <v>151</v>
      </c>
      <c r="BB425" s="30" t="s">
        <v>151</v>
      </c>
      <c r="BC425" s="30" t="s">
        <v>151</v>
      </c>
      <c r="BD425" s="30" t="s">
        <v>9075</v>
      </c>
      <c r="BE425" s="30" t="s">
        <v>9076</v>
      </c>
      <c r="BF425" s="30" t="s">
        <v>9077</v>
      </c>
      <c r="BG425" s="30" t="s">
        <v>151</v>
      </c>
      <c r="BH425" s="30" t="s">
        <v>9078</v>
      </c>
      <c r="BI425" s="30" t="s">
        <v>9079</v>
      </c>
      <c r="BJ425" s="30" t="s">
        <v>151</v>
      </c>
      <c r="BK425" s="30" t="s">
        <v>151</v>
      </c>
      <c r="BL425" s="30" t="s">
        <v>9080</v>
      </c>
      <c r="BM425" s="30" t="s">
        <v>9081</v>
      </c>
      <c r="BN425" s="29" t="s">
        <v>151</v>
      </c>
      <c r="BO425" s="30" t="s">
        <v>186</v>
      </c>
      <c r="BP425" s="29" t="s">
        <v>9078</v>
      </c>
      <c r="BQ425" s="29" t="s">
        <v>151</v>
      </c>
      <c r="BR425" s="30" t="s">
        <v>9082</v>
      </c>
      <c r="BS425" s="30" t="s">
        <v>187</v>
      </c>
      <c r="BT425" s="30" t="s">
        <v>188</v>
      </c>
      <c r="BU425" s="35">
        <v>45225</v>
      </c>
      <c r="BV425" s="37">
        <v>0.04</v>
      </c>
      <c r="BW425" s="30" t="s">
        <v>192</v>
      </c>
      <c r="BX425" s="37" t="s">
        <v>151</v>
      </c>
      <c r="BY425" s="30" t="s">
        <v>151</v>
      </c>
      <c r="BZ425" s="30" t="s">
        <v>293</v>
      </c>
      <c r="CA425" s="30" t="s">
        <v>293</v>
      </c>
      <c r="CB425" s="30" t="s">
        <v>151</v>
      </c>
      <c r="CC425" s="30" t="s">
        <v>165</v>
      </c>
      <c r="CD425" s="30" t="s">
        <v>151</v>
      </c>
      <c r="CE425" s="30" t="s">
        <v>191</v>
      </c>
      <c r="CF425" s="35">
        <v>45225</v>
      </c>
      <c r="CG425" s="37">
        <v>0.04</v>
      </c>
      <c r="CH425" s="30" t="s">
        <v>192</v>
      </c>
      <c r="CI425" s="37" t="s">
        <v>151</v>
      </c>
      <c r="CJ425" s="30" t="s">
        <v>151</v>
      </c>
      <c r="CK425" s="29" t="s">
        <v>151</v>
      </c>
      <c r="CL425" s="30" t="s">
        <v>293</v>
      </c>
      <c r="CM425" s="30" t="s">
        <v>293</v>
      </c>
      <c r="CN425" s="30" t="s">
        <v>151</v>
      </c>
      <c r="CO425" s="30" t="s">
        <v>165</v>
      </c>
      <c r="CP425" s="35">
        <v>45225</v>
      </c>
      <c r="CQ425" s="37" t="s">
        <v>151</v>
      </c>
      <c r="CR425" s="30" t="s">
        <v>151</v>
      </c>
      <c r="CS425" s="30" t="s">
        <v>191</v>
      </c>
      <c r="CT425" s="29" t="s">
        <v>151</v>
      </c>
      <c r="CU425" s="30" t="s">
        <v>151</v>
      </c>
      <c r="CV425" s="32" t="s">
        <v>151</v>
      </c>
      <c r="CW425" s="32" t="s">
        <v>151</v>
      </c>
      <c r="CX425" s="30" t="s">
        <v>151</v>
      </c>
      <c r="CY425" s="32" t="s">
        <v>151</v>
      </c>
      <c r="CZ425" s="32" t="s">
        <v>151</v>
      </c>
      <c r="DA425" s="37" t="s">
        <v>151</v>
      </c>
      <c r="DB425" s="35" t="s">
        <v>151</v>
      </c>
      <c r="DC425" s="30" t="s">
        <v>151</v>
      </c>
      <c r="DD425" s="29" t="s">
        <v>151</v>
      </c>
      <c r="DE425" s="32">
        <v>0</v>
      </c>
      <c r="DF425" s="34">
        <v>11</v>
      </c>
      <c r="DG425" s="32">
        <v>0</v>
      </c>
      <c r="DH425" s="32">
        <v>0</v>
      </c>
      <c r="DI425" s="32">
        <v>0</v>
      </c>
      <c r="DJ425" s="34">
        <v>10</v>
      </c>
      <c r="DK425" s="32" t="s">
        <v>151</v>
      </c>
      <c r="DL425" s="34" t="s">
        <v>151</v>
      </c>
      <c r="DM425" s="32">
        <v>0</v>
      </c>
      <c r="DN425" s="34">
        <v>10</v>
      </c>
      <c r="DO425" s="36">
        <v>0.39</v>
      </c>
      <c r="DP425" s="34">
        <v>28</v>
      </c>
      <c r="DQ425" s="36">
        <v>0</v>
      </c>
      <c r="DR425" s="32">
        <v>0</v>
      </c>
      <c r="DS425" s="36">
        <v>0.47</v>
      </c>
      <c r="DT425" s="34">
        <v>31</v>
      </c>
      <c r="DU425" s="36" t="s">
        <v>151</v>
      </c>
      <c r="DV425" s="34" t="s">
        <v>151</v>
      </c>
      <c r="DW425" s="36">
        <v>0.47</v>
      </c>
      <c r="DX425" s="34">
        <v>31</v>
      </c>
      <c r="DY425" s="31" t="s">
        <v>151</v>
      </c>
      <c r="DZ425" s="35" t="s">
        <v>151</v>
      </c>
      <c r="EA425" s="35" t="s">
        <v>151</v>
      </c>
      <c r="EB425" s="34">
        <v>0</v>
      </c>
      <c r="EC425" s="33">
        <v>0</v>
      </c>
      <c r="ED425" s="32">
        <v>0</v>
      </c>
      <c r="EE425" s="34">
        <v>9</v>
      </c>
      <c r="EF425" s="33">
        <v>0</v>
      </c>
      <c r="EG425" s="32">
        <v>0</v>
      </c>
      <c r="EH425" s="29" t="s">
        <v>198</v>
      </c>
      <c r="EI425" s="30" t="s">
        <v>151</v>
      </c>
      <c r="EJ425" s="30" t="s">
        <v>151</v>
      </c>
      <c r="EK425" s="31" t="s">
        <v>151</v>
      </c>
      <c r="EL425" s="31" t="s">
        <v>151</v>
      </c>
      <c r="EM425" s="31" t="s">
        <v>151</v>
      </c>
      <c r="EN425" s="31" t="s">
        <v>151</v>
      </c>
      <c r="EO425" s="31" t="s">
        <v>151</v>
      </c>
      <c r="EP425" s="30" t="s">
        <v>151</v>
      </c>
      <c r="EQ425" s="29" t="s">
        <v>151</v>
      </c>
      <c r="ER425" s="29" t="s">
        <v>151</v>
      </c>
      <c r="ES425" s="4">
        <f>HYPERLINK("https://my.pitchbook.com?c=561469-15","View Company Online")</f>
      </c>
    </row>
    <row r="426">
      <c r="A426" s="17" t="s">
        <v>9083</v>
      </c>
      <c r="B426" s="17" t="s">
        <v>9084</v>
      </c>
      <c r="C426" s="18" t="s">
        <v>151</v>
      </c>
      <c r="D426" s="17" t="s">
        <v>151</v>
      </c>
      <c r="E426" s="17" t="s">
        <v>9085</v>
      </c>
      <c r="F426" s="17" t="s">
        <v>9086</v>
      </c>
      <c r="G426" s="17" t="s">
        <v>151</v>
      </c>
      <c r="H426" s="17" t="s">
        <v>151</v>
      </c>
      <c r="I426" s="17" t="s">
        <v>9087</v>
      </c>
      <c r="J426" s="17" t="s">
        <v>9083</v>
      </c>
      <c r="K426" s="17" t="s">
        <v>9088</v>
      </c>
      <c r="L426" s="17" t="s">
        <v>205</v>
      </c>
      <c r="M426" s="17" t="s">
        <v>206</v>
      </c>
      <c r="N426" s="17" t="s">
        <v>998</v>
      </c>
      <c r="O426" s="17" t="s">
        <v>1768</v>
      </c>
      <c r="P426" s="17" t="s">
        <v>1153</v>
      </c>
      <c r="Q426" s="17" t="s">
        <v>9089</v>
      </c>
      <c r="R426" s="17" t="s">
        <v>9090</v>
      </c>
      <c r="S426" s="17" t="s">
        <v>162</v>
      </c>
      <c r="T426" s="24">
        <v>77</v>
      </c>
      <c r="U426" s="17" t="s">
        <v>163</v>
      </c>
      <c r="V426" s="17" t="s">
        <v>164</v>
      </c>
      <c r="W426" s="17" t="s">
        <v>165</v>
      </c>
      <c r="X426" s="15" t="s">
        <v>9091</v>
      </c>
      <c r="Y426" s="15" t="s">
        <v>9092</v>
      </c>
      <c r="Z426" s="27">
        <v>27</v>
      </c>
      <c r="AA426" s="17" t="s">
        <v>9093</v>
      </c>
      <c r="AB426" s="17" t="s">
        <v>151</v>
      </c>
      <c r="AC426" s="17" t="s">
        <v>151</v>
      </c>
      <c r="AD426" s="26">
        <v>2022</v>
      </c>
      <c r="AE426" s="17" t="s">
        <v>151</v>
      </c>
      <c r="AF426" s="22">
        <v>45558</v>
      </c>
      <c r="AG426" s="17" t="s">
        <v>151</v>
      </c>
      <c r="AH426" s="17" t="s">
        <v>151</v>
      </c>
      <c r="AI426" s="25" t="s">
        <v>151</v>
      </c>
      <c r="AJ426" s="19" t="s">
        <v>151</v>
      </c>
      <c r="AK426" s="25" t="s">
        <v>151</v>
      </c>
      <c r="AL426" s="25" t="s">
        <v>151</v>
      </c>
      <c r="AM426" s="25" t="s">
        <v>151</v>
      </c>
      <c r="AN426" s="25" t="s">
        <v>151</v>
      </c>
      <c r="AO426" s="25" t="s">
        <v>151</v>
      </c>
      <c r="AP426" s="25" t="s">
        <v>151</v>
      </c>
      <c r="AQ426" s="25" t="s">
        <v>151</v>
      </c>
      <c r="AR426" s="16" t="s">
        <v>151</v>
      </c>
      <c r="AS426" s="17" t="s">
        <v>9094</v>
      </c>
      <c r="AT426" s="17" t="s">
        <v>9095</v>
      </c>
      <c r="AU426" s="18">
        <v>11</v>
      </c>
      <c r="AV426" s="17" t="s">
        <v>151</v>
      </c>
      <c r="AW426" s="17" t="s">
        <v>151</v>
      </c>
      <c r="AX426" s="17" t="s">
        <v>151</v>
      </c>
      <c r="AY426" s="17" t="s">
        <v>9096</v>
      </c>
      <c r="AZ426" s="17" t="s">
        <v>151</v>
      </c>
      <c r="BA426" s="17" t="s">
        <v>151</v>
      </c>
      <c r="BB426" s="17" t="s">
        <v>151</v>
      </c>
      <c r="BC426" s="17" t="s">
        <v>601</v>
      </c>
      <c r="BD426" s="17" t="s">
        <v>9097</v>
      </c>
      <c r="BE426" s="17" t="s">
        <v>9098</v>
      </c>
      <c r="BF426" s="17" t="s">
        <v>221</v>
      </c>
      <c r="BG426" s="17" t="s">
        <v>9099</v>
      </c>
      <c r="BH426" s="17" t="s">
        <v>9100</v>
      </c>
      <c r="BI426" s="17" t="s">
        <v>7707</v>
      </c>
      <c r="BJ426" s="17" t="s">
        <v>9101</v>
      </c>
      <c r="BK426" s="17" t="s">
        <v>9102</v>
      </c>
      <c r="BL426" s="17" t="s">
        <v>7709</v>
      </c>
      <c r="BM426" s="17" t="s">
        <v>184</v>
      </c>
      <c r="BN426" s="16" t="s">
        <v>7710</v>
      </c>
      <c r="BO426" s="17" t="s">
        <v>186</v>
      </c>
      <c r="BP426" s="16" t="s">
        <v>9100</v>
      </c>
      <c r="BQ426" s="16" t="s">
        <v>151</v>
      </c>
      <c r="BR426" s="17" t="s">
        <v>151</v>
      </c>
      <c r="BS426" s="17" t="s">
        <v>187</v>
      </c>
      <c r="BT426" s="17" t="s">
        <v>188</v>
      </c>
      <c r="BU426" s="22">
        <v>45378</v>
      </c>
      <c r="BV426" s="24">
        <v>25</v>
      </c>
      <c r="BW426" s="17" t="s">
        <v>192</v>
      </c>
      <c r="BX426" s="24" t="s">
        <v>151</v>
      </c>
      <c r="BY426" s="17" t="s">
        <v>151</v>
      </c>
      <c r="BZ426" s="17" t="s">
        <v>231</v>
      </c>
      <c r="CA426" s="17" t="s">
        <v>232</v>
      </c>
      <c r="CB426" s="17" t="s">
        <v>151</v>
      </c>
      <c r="CC426" s="17" t="s">
        <v>165</v>
      </c>
      <c r="CD426" s="17" t="s">
        <v>151</v>
      </c>
      <c r="CE426" s="17" t="s">
        <v>191</v>
      </c>
      <c r="CF426" s="22">
        <v>45481</v>
      </c>
      <c r="CG426" s="24">
        <v>52</v>
      </c>
      <c r="CH426" s="17" t="s">
        <v>192</v>
      </c>
      <c r="CI426" s="24">
        <v>552</v>
      </c>
      <c r="CJ426" s="17" t="s">
        <v>192</v>
      </c>
      <c r="CK426" s="16" t="s">
        <v>151</v>
      </c>
      <c r="CL426" s="17" t="s">
        <v>231</v>
      </c>
      <c r="CM426" s="17" t="s">
        <v>326</v>
      </c>
      <c r="CN426" s="17" t="s">
        <v>151</v>
      </c>
      <c r="CO426" s="17" t="s">
        <v>165</v>
      </c>
      <c r="CP426" s="22">
        <v>45481</v>
      </c>
      <c r="CQ426" s="24" t="s">
        <v>151</v>
      </c>
      <c r="CR426" s="17" t="s">
        <v>151</v>
      </c>
      <c r="CS426" s="17" t="s">
        <v>191</v>
      </c>
      <c r="CT426" s="16">
        <v>86</v>
      </c>
      <c r="CU426" s="17" t="s">
        <v>196</v>
      </c>
      <c r="CV426" s="19">
        <v>90</v>
      </c>
      <c r="CW426" s="19">
        <v>10</v>
      </c>
      <c r="CX426" s="17" t="s">
        <v>294</v>
      </c>
      <c r="CY426" s="19">
        <v>35</v>
      </c>
      <c r="CZ426" s="19">
        <v>55</v>
      </c>
      <c r="DA426" s="24">
        <v>552</v>
      </c>
      <c r="DB426" s="22">
        <v>45481</v>
      </c>
      <c r="DC426" s="17" t="s">
        <v>231</v>
      </c>
      <c r="DD426" s="16" t="s">
        <v>151</v>
      </c>
      <c r="DE426" s="19">
        <v>0.73</v>
      </c>
      <c r="DF426" s="21">
        <v>95</v>
      </c>
      <c r="DG426" s="19">
        <v>0</v>
      </c>
      <c r="DH426" s="19">
        <v>0</v>
      </c>
      <c r="DI426" s="19">
        <v>0.98</v>
      </c>
      <c r="DJ426" s="21">
        <v>96</v>
      </c>
      <c r="DK426" s="19" t="s">
        <v>151</v>
      </c>
      <c r="DL426" s="21" t="s">
        <v>151</v>
      </c>
      <c r="DM426" s="19">
        <v>0.98</v>
      </c>
      <c r="DN426" s="21">
        <v>97</v>
      </c>
      <c r="DO426" s="23">
        <v>18.33</v>
      </c>
      <c r="DP426" s="21">
        <v>94</v>
      </c>
      <c r="DQ426" s="23">
        <v>0</v>
      </c>
      <c r="DR426" s="19">
        <v>0</v>
      </c>
      <c r="DS426" s="23">
        <v>34.58</v>
      </c>
      <c r="DT426" s="21">
        <v>97</v>
      </c>
      <c r="DU426" s="23" t="s">
        <v>151</v>
      </c>
      <c r="DV426" s="21" t="s">
        <v>151</v>
      </c>
      <c r="DW426" s="23">
        <v>34.58</v>
      </c>
      <c r="DX426" s="21">
        <v>97</v>
      </c>
      <c r="DY426" s="18" t="s">
        <v>151</v>
      </c>
      <c r="DZ426" s="22" t="s">
        <v>151</v>
      </c>
      <c r="EA426" s="22" t="s">
        <v>151</v>
      </c>
      <c r="EB426" s="21">
        <v>31743</v>
      </c>
      <c r="EC426" s="20">
        <v>1467</v>
      </c>
      <c r="ED426" s="19">
        <v>4.85</v>
      </c>
      <c r="EE426" s="21">
        <v>657</v>
      </c>
      <c r="EF426" s="20">
        <v>7</v>
      </c>
      <c r="EG426" s="19">
        <v>1.08</v>
      </c>
      <c r="EH426" s="16" t="s">
        <v>9103</v>
      </c>
      <c r="EI426" s="17" t="s">
        <v>151</v>
      </c>
      <c r="EJ426" s="17" t="s">
        <v>151</v>
      </c>
      <c r="EK426" s="18" t="s">
        <v>151</v>
      </c>
      <c r="EL426" s="18" t="s">
        <v>151</v>
      </c>
      <c r="EM426" s="18" t="s">
        <v>151</v>
      </c>
      <c r="EN426" s="18" t="s">
        <v>151</v>
      </c>
      <c r="EO426" s="18" t="s">
        <v>151</v>
      </c>
      <c r="EP426" s="17" t="s">
        <v>151</v>
      </c>
      <c r="EQ426" s="16" t="s">
        <v>151</v>
      </c>
      <c r="ER426" s="16" t="s">
        <v>151</v>
      </c>
      <c r="ES426" s="3">
        <f>HYPERLINK("https://my.pitchbook.com?c=561272-14","View Company Online")</f>
      </c>
    </row>
    <row r="427">
      <c r="A427" s="30" t="s">
        <v>9104</v>
      </c>
      <c r="B427" s="30" t="s">
        <v>9105</v>
      </c>
      <c r="C427" s="31" t="s">
        <v>151</v>
      </c>
      <c r="D427" s="30" t="s">
        <v>151</v>
      </c>
      <c r="E427" s="30" t="s">
        <v>151</v>
      </c>
      <c r="F427" s="30" t="s">
        <v>9106</v>
      </c>
      <c r="G427" s="30" t="s">
        <v>151</v>
      </c>
      <c r="H427" s="30" t="s">
        <v>151</v>
      </c>
      <c r="I427" s="30" t="s">
        <v>9107</v>
      </c>
      <c r="J427" s="30" t="s">
        <v>9104</v>
      </c>
      <c r="K427" s="30" t="s">
        <v>9108</v>
      </c>
      <c r="L427" s="30" t="s">
        <v>205</v>
      </c>
      <c r="M427" s="30" t="s">
        <v>206</v>
      </c>
      <c r="N427" s="30" t="s">
        <v>1940</v>
      </c>
      <c r="O427" s="30" t="s">
        <v>5396</v>
      </c>
      <c r="P427" s="30" t="s">
        <v>2174</v>
      </c>
      <c r="Q427" s="30" t="s">
        <v>9109</v>
      </c>
      <c r="R427" s="30" t="s">
        <v>151</v>
      </c>
      <c r="S427" s="30" t="s">
        <v>162</v>
      </c>
      <c r="T427" s="37">
        <v>13.76</v>
      </c>
      <c r="U427" s="30" t="s">
        <v>163</v>
      </c>
      <c r="V427" s="30" t="s">
        <v>164</v>
      </c>
      <c r="W427" s="30" t="s">
        <v>165</v>
      </c>
      <c r="X427" s="28" t="s">
        <v>9110</v>
      </c>
      <c r="Y427" s="28" t="s">
        <v>9111</v>
      </c>
      <c r="Z427" s="40">
        <v>64</v>
      </c>
      <c r="AA427" s="30" t="s">
        <v>9112</v>
      </c>
      <c r="AB427" s="30" t="s">
        <v>151</v>
      </c>
      <c r="AC427" s="30" t="s">
        <v>151</v>
      </c>
      <c r="AD427" s="39">
        <v>2018</v>
      </c>
      <c r="AE427" s="30" t="s">
        <v>151</v>
      </c>
      <c r="AF427" s="35">
        <v>45608</v>
      </c>
      <c r="AG427" s="30" t="s">
        <v>151</v>
      </c>
      <c r="AH427" s="30" t="s">
        <v>151</v>
      </c>
      <c r="AI427" s="38" t="s">
        <v>151</v>
      </c>
      <c r="AJ427" s="32" t="s">
        <v>151</v>
      </c>
      <c r="AK427" s="38" t="s">
        <v>151</v>
      </c>
      <c r="AL427" s="38" t="s">
        <v>151</v>
      </c>
      <c r="AM427" s="38" t="s">
        <v>151</v>
      </c>
      <c r="AN427" s="38" t="s">
        <v>151</v>
      </c>
      <c r="AO427" s="38" t="s">
        <v>151</v>
      </c>
      <c r="AP427" s="38" t="s">
        <v>151</v>
      </c>
      <c r="AQ427" s="38" t="s">
        <v>151</v>
      </c>
      <c r="AR427" s="29" t="s">
        <v>151</v>
      </c>
      <c r="AS427" s="30" t="s">
        <v>9113</v>
      </c>
      <c r="AT427" s="30" t="s">
        <v>9114</v>
      </c>
      <c r="AU427" s="31">
        <v>43</v>
      </c>
      <c r="AV427" s="30" t="s">
        <v>151</v>
      </c>
      <c r="AW427" s="30" t="s">
        <v>9115</v>
      </c>
      <c r="AX427" s="30" t="s">
        <v>151</v>
      </c>
      <c r="AY427" s="30" t="s">
        <v>9116</v>
      </c>
      <c r="AZ427" s="30" t="s">
        <v>151</v>
      </c>
      <c r="BA427" s="30" t="s">
        <v>151</v>
      </c>
      <c r="BB427" s="30" t="s">
        <v>151</v>
      </c>
      <c r="BC427" s="30" t="s">
        <v>3711</v>
      </c>
      <c r="BD427" s="30" t="s">
        <v>9117</v>
      </c>
      <c r="BE427" s="30" t="s">
        <v>9118</v>
      </c>
      <c r="BF427" s="30" t="s">
        <v>493</v>
      </c>
      <c r="BG427" s="30" t="s">
        <v>9119</v>
      </c>
      <c r="BH427" s="30" t="s">
        <v>9120</v>
      </c>
      <c r="BI427" s="30" t="s">
        <v>3715</v>
      </c>
      <c r="BJ427" s="30" t="s">
        <v>9121</v>
      </c>
      <c r="BK427" s="30" t="s">
        <v>9122</v>
      </c>
      <c r="BL427" s="30" t="s">
        <v>3716</v>
      </c>
      <c r="BM427" s="30" t="s">
        <v>3717</v>
      </c>
      <c r="BN427" s="29" t="s">
        <v>9123</v>
      </c>
      <c r="BO427" s="30" t="s">
        <v>186</v>
      </c>
      <c r="BP427" s="29" t="s">
        <v>9120</v>
      </c>
      <c r="BQ427" s="29" t="s">
        <v>151</v>
      </c>
      <c r="BR427" s="30" t="s">
        <v>9124</v>
      </c>
      <c r="BS427" s="30" t="s">
        <v>187</v>
      </c>
      <c r="BT427" s="30" t="s">
        <v>188</v>
      </c>
      <c r="BU427" s="35">
        <v>43191</v>
      </c>
      <c r="BV427" s="37">
        <v>0.02</v>
      </c>
      <c r="BW427" s="30" t="s">
        <v>192</v>
      </c>
      <c r="BX427" s="37" t="s">
        <v>151</v>
      </c>
      <c r="BY427" s="30" t="s">
        <v>151</v>
      </c>
      <c r="BZ427" s="30" t="s">
        <v>189</v>
      </c>
      <c r="CA427" s="30" t="s">
        <v>151</v>
      </c>
      <c r="CB427" s="30" t="s">
        <v>151</v>
      </c>
      <c r="CC427" s="30" t="s">
        <v>190</v>
      </c>
      <c r="CD427" s="30" t="s">
        <v>151</v>
      </c>
      <c r="CE427" s="30" t="s">
        <v>191</v>
      </c>
      <c r="CF427" s="35">
        <v>44661</v>
      </c>
      <c r="CG427" s="37">
        <v>0.67</v>
      </c>
      <c r="CH427" s="30" t="s">
        <v>192</v>
      </c>
      <c r="CI427" s="37">
        <v>3.17</v>
      </c>
      <c r="CJ427" s="30" t="s">
        <v>192</v>
      </c>
      <c r="CK427" s="29">
        <v>0.06</v>
      </c>
      <c r="CL427" s="30" t="s">
        <v>293</v>
      </c>
      <c r="CM427" s="30" t="s">
        <v>293</v>
      </c>
      <c r="CN427" s="30" t="s">
        <v>151</v>
      </c>
      <c r="CO427" s="30" t="s">
        <v>165</v>
      </c>
      <c r="CP427" s="35">
        <v>44661</v>
      </c>
      <c r="CQ427" s="37" t="s">
        <v>151</v>
      </c>
      <c r="CR427" s="30" t="s">
        <v>151</v>
      </c>
      <c r="CS427" s="30" t="s">
        <v>191</v>
      </c>
      <c r="CT427" s="29">
        <v>77</v>
      </c>
      <c r="CU427" s="30" t="s">
        <v>196</v>
      </c>
      <c r="CV427" s="32">
        <v>71</v>
      </c>
      <c r="CW427" s="32">
        <v>29</v>
      </c>
      <c r="CX427" s="30" t="s">
        <v>294</v>
      </c>
      <c r="CY427" s="32">
        <v>1</v>
      </c>
      <c r="CZ427" s="32">
        <v>70</v>
      </c>
      <c r="DA427" s="37">
        <v>3.17</v>
      </c>
      <c r="DB427" s="35">
        <v>44661</v>
      </c>
      <c r="DC427" s="30" t="s">
        <v>293</v>
      </c>
      <c r="DD427" s="29">
        <v>0.06</v>
      </c>
      <c r="DE427" s="32" t="s">
        <v>151</v>
      </c>
      <c r="DF427" s="34" t="s">
        <v>151</v>
      </c>
      <c r="DG427" s="32" t="s">
        <v>151</v>
      </c>
      <c r="DH427" s="32" t="s">
        <v>151</v>
      </c>
      <c r="DI427" s="32" t="s">
        <v>151</v>
      </c>
      <c r="DJ427" s="34" t="s">
        <v>151</v>
      </c>
      <c r="DK427" s="32" t="s">
        <v>151</v>
      </c>
      <c r="DL427" s="34" t="s">
        <v>151</v>
      </c>
      <c r="DM427" s="32" t="s">
        <v>151</v>
      </c>
      <c r="DN427" s="34" t="s">
        <v>151</v>
      </c>
      <c r="DO427" s="36" t="s">
        <v>151</v>
      </c>
      <c r="DP427" s="34" t="s">
        <v>151</v>
      </c>
      <c r="DQ427" s="36" t="s">
        <v>151</v>
      </c>
      <c r="DR427" s="32" t="s">
        <v>151</v>
      </c>
      <c r="DS427" s="36" t="s">
        <v>151</v>
      </c>
      <c r="DT427" s="34" t="s">
        <v>151</v>
      </c>
      <c r="DU427" s="36" t="s">
        <v>151</v>
      </c>
      <c r="DV427" s="34" t="s">
        <v>151</v>
      </c>
      <c r="DW427" s="36" t="s">
        <v>151</v>
      </c>
      <c r="DX427" s="34" t="s">
        <v>151</v>
      </c>
      <c r="DY427" s="31">
        <v>2</v>
      </c>
      <c r="DZ427" s="35">
        <v>44012</v>
      </c>
      <c r="EA427" s="35" t="s">
        <v>9125</v>
      </c>
      <c r="EB427" s="34" t="s">
        <v>151</v>
      </c>
      <c r="EC427" s="33" t="s">
        <v>151</v>
      </c>
      <c r="ED427" s="32" t="s">
        <v>151</v>
      </c>
      <c r="EE427" s="34" t="s">
        <v>151</v>
      </c>
      <c r="EF427" s="33" t="s">
        <v>151</v>
      </c>
      <c r="EG427" s="32" t="s">
        <v>151</v>
      </c>
      <c r="EH427" s="29" t="s">
        <v>198</v>
      </c>
      <c r="EI427" s="30" t="s">
        <v>151</v>
      </c>
      <c r="EJ427" s="30" t="s">
        <v>151</v>
      </c>
      <c r="EK427" s="31" t="s">
        <v>151</v>
      </c>
      <c r="EL427" s="31" t="s">
        <v>151</v>
      </c>
      <c r="EM427" s="31" t="s">
        <v>151</v>
      </c>
      <c r="EN427" s="31" t="s">
        <v>151</v>
      </c>
      <c r="EO427" s="31" t="s">
        <v>151</v>
      </c>
      <c r="EP427" s="30" t="s">
        <v>151</v>
      </c>
      <c r="EQ427" s="29" t="s">
        <v>151</v>
      </c>
      <c r="ER427" s="29" t="s">
        <v>151</v>
      </c>
      <c r="ES427" s="4">
        <f>HYPERLINK("https://my.pitchbook.com?c=232915-06","View Company Online")</f>
      </c>
    </row>
    <row r="428">
      <c r="A428" s="17" t="s">
        <v>9126</v>
      </c>
      <c r="B428" s="17" t="s">
        <v>9127</v>
      </c>
      <c r="C428" s="18" t="s">
        <v>151</v>
      </c>
      <c r="D428" s="17" t="s">
        <v>151</v>
      </c>
      <c r="E428" s="17" t="s">
        <v>151</v>
      </c>
      <c r="F428" s="17" t="s">
        <v>9128</v>
      </c>
      <c r="G428" s="17" t="s">
        <v>151</v>
      </c>
      <c r="H428" s="17" t="s">
        <v>151</v>
      </c>
      <c r="I428" s="17" t="s">
        <v>9129</v>
      </c>
      <c r="J428" s="17" t="s">
        <v>9126</v>
      </c>
      <c r="K428" s="17" t="s">
        <v>9130</v>
      </c>
      <c r="L428" s="17" t="s">
        <v>205</v>
      </c>
      <c r="M428" s="17" t="s">
        <v>206</v>
      </c>
      <c r="N428" s="17" t="s">
        <v>1082</v>
      </c>
      <c r="O428" s="17" t="s">
        <v>9131</v>
      </c>
      <c r="P428" s="17" t="s">
        <v>9132</v>
      </c>
      <c r="Q428" s="17" t="s">
        <v>9133</v>
      </c>
      <c r="R428" s="17" t="s">
        <v>151</v>
      </c>
      <c r="S428" s="17" t="s">
        <v>162</v>
      </c>
      <c r="T428" s="24">
        <v>6</v>
      </c>
      <c r="U428" s="17" t="s">
        <v>163</v>
      </c>
      <c r="V428" s="17" t="s">
        <v>164</v>
      </c>
      <c r="W428" s="17" t="s">
        <v>165</v>
      </c>
      <c r="X428" s="15" t="s">
        <v>9134</v>
      </c>
      <c r="Y428" s="15" t="s">
        <v>9135</v>
      </c>
      <c r="Z428" s="27">
        <v>31</v>
      </c>
      <c r="AA428" s="17" t="s">
        <v>9136</v>
      </c>
      <c r="AB428" s="17" t="s">
        <v>151</v>
      </c>
      <c r="AC428" s="17" t="s">
        <v>151</v>
      </c>
      <c r="AD428" s="26">
        <v>2017</v>
      </c>
      <c r="AE428" s="17" t="s">
        <v>151</v>
      </c>
      <c r="AF428" s="22">
        <v>45594</v>
      </c>
      <c r="AG428" s="17" t="s">
        <v>151</v>
      </c>
      <c r="AH428" s="17" t="s">
        <v>151</v>
      </c>
      <c r="AI428" s="25">
        <v>515</v>
      </c>
      <c r="AJ428" s="19" t="s">
        <v>151</v>
      </c>
      <c r="AK428" s="25" t="s">
        <v>151</v>
      </c>
      <c r="AL428" s="25" t="s">
        <v>151</v>
      </c>
      <c r="AM428" s="25" t="s">
        <v>151</v>
      </c>
      <c r="AN428" s="25" t="s">
        <v>151</v>
      </c>
      <c r="AO428" s="25" t="s">
        <v>151</v>
      </c>
      <c r="AP428" s="25" t="s">
        <v>151</v>
      </c>
      <c r="AQ428" s="25" t="s">
        <v>151</v>
      </c>
      <c r="AR428" s="16" t="s">
        <v>456</v>
      </c>
      <c r="AS428" s="17" t="s">
        <v>9137</v>
      </c>
      <c r="AT428" s="17" t="s">
        <v>9138</v>
      </c>
      <c r="AU428" s="18">
        <v>7</v>
      </c>
      <c r="AV428" s="17" t="s">
        <v>151</v>
      </c>
      <c r="AW428" s="17" t="s">
        <v>151</v>
      </c>
      <c r="AX428" s="17" t="s">
        <v>151</v>
      </c>
      <c r="AY428" s="17" t="s">
        <v>9139</v>
      </c>
      <c r="AZ428" s="17" t="s">
        <v>151</v>
      </c>
      <c r="BA428" s="17" t="s">
        <v>151</v>
      </c>
      <c r="BB428" s="17" t="s">
        <v>9140</v>
      </c>
      <c r="BC428" s="17" t="s">
        <v>151</v>
      </c>
      <c r="BD428" s="17" t="s">
        <v>9141</v>
      </c>
      <c r="BE428" s="17" t="s">
        <v>9142</v>
      </c>
      <c r="BF428" s="17" t="s">
        <v>2585</v>
      </c>
      <c r="BG428" s="17" t="s">
        <v>9143</v>
      </c>
      <c r="BH428" s="17" t="s">
        <v>9144</v>
      </c>
      <c r="BI428" s="17" t="s">
        <v>2652</v>
      </c>
      <c r="BJ428" s="17" t="s">
        <v>9145</v>
      </c>
      <c r="BK428" s="17" t="s">
        <v>1574</v>
      </c>
      <c r="BL428" s="17" t="s">
        <v>2654</v>
      </c>
      <c r="BM428" s="17" t="s">
        <v>1576</v>
      </c>
      <c r="BN428" s="16" t="s">
        <v>9146</v>
      </c>
      <c r="BO428" s="17" t="s">
        <v>186</v>
      </c>
      <c r="BP428" s="16" t="s">
        <v>9144</v>
      </c>
      <c r="BQ428" s="16" t="s">
        <v>151</v>
      </c>
      <c r="BR428" s="17" t="s">
        <v>9147</v>
      </c>
      <c r="BS428" s="17" t="s">
        <v>187</v>
      </c>
      <c r="BT428" s="17" t="s">
        <v>188</v>
      </c>
      <c r="BU428" s="22">
        <v>42900</v>
      </c>
      <c r="BV428" s="24" t="s">
        <v>151</v>
      </c>
      <c r="BW428" s="17" t="s">
        <v>151</v>
      </c>
      <c r="BX428" s="24" t="s">
        <v>151</v>
      </c>
      <c r="BY428" s="17" t="s">
        <v>151</v>
      </c>
      <c r="BZ428" s="17" t="s">
        <v>189</v>
      </c>
      <c r="CA428" s="17" t="s">
        <v>151</v>
      </c>
      <c r="CB428" s="17" t="s">
        <v>151</v>
      </c>
      <c r="CC428" s="17" t="s">
        <v>190</v>
      </c>
      <c r="CD428" s="17" t="s">
        <v>151</v>
      </c>
      <c r="CE428" s="17" t="s">
        <v>191</v>
      </c>
      <c r="CF428" s="22" t="s">
        <v>151</v>
      </c>
      <c r="CG428" s="24" t="s">
        <v>151</v>
      </c>
      <c r="CH428" s="17" t="s">
        <v>151</v>
      </c>
      <c r="CI428" s="24" t="s">
        <v>151</v>
      </c>
      <c r="CJ428" s="17" t="s">
        <v>151</v>
      </c>
      <c r="CK428" s="16" t="s">
        <v>151</v>
      </c>
      <c r="CL428" s="17" t="s">
        <v>189</v>
      </c>
      <c r="CM428" s="17" t="s">
        <v>151</v>
      </c>
      <c r="CN428" s="17" t="s">
        <v>151</v>
      </c>
      <c r="CO428" s="17" t="s">
        <v>190</v>
      </c>
      <c r="CP428" s="22" t="s">
        <v>151</v>
      </c>
      <c r="CQ428" s="24" t="s">
        <v>151</v>
      </c>
      <c r="CR428" s="17" t="s">
        <v>151</v>
      </c>
      <c r="CS428" s="17" t="s">
        <v>191</v>
      </c>
      <c r="CT428" s="16">
        <v>83</v>
      </c>
      <c r="CU428" s="17" t="s">
        <v>196</v>
      </c>
      <c r="CV428" s="19">
        <v>76</v>
      </c>
      <c r="CW428" s="19">
        <v>24</v>
      </c>
      <c r="CX428" s="17" t="s">
        <v>294</v>
      </c>
      <c r="CY428" s="19">
        <v>1</v>
      </c>
      <c r="CZ428" s="19">
        <v>75</v>
      </c>
      <c r="DA428" s="24" t="s">
        <v>151</v>
      </c>
      <c r="DB428" s="22" t="s">
        <v>151</v>
      </c>
      <c r="DC428" s="17" t="s">
        <v>151</v>
      </c>
      <c r="DD428" s="16" t="s">
        <v>151</v>
      </c>
      <c r="DE428" s="19">
        <v>0.44</v>
      </c>
      <c r="DF428" s="21">
        <v>93</v>
      </c>
      <c r="DG428" s="19">
        <v>0</v>
      </c>
      <c r="DH428" s="19">
        <v>0</v>
      </c>
      <c r="DI428" s="19">
        <v>0.46</v>
      </c>
      <c r="DJ428" s="21">
        <v>95</v>
      </c>
      <c r="DK428" s="19" t="s">
        <v>151</v>
      </c>
      <c r="DL428" s="21" t="s">
        <v>151</v>
      </c>
      <c r="DM428" s="19">
        <v>0.46</v>
      </c>
      <c r="DN428" s="21">
        <v>95</v>
      </c>
      <c r="DO428" s="23">
        <v>4.11</v>
      </c>
      <c r="DP428" s="21">
        <v>79</v>
      </c>
      <c r="DQ428" s="23">
        <v>0</v>
      </c>
      <c r="DR428" s="19">
        <v>0</v>
      </c>
      <c r="DS428" s="23">
        <v>5.84</v>
      </c>
      <c r="DT428" s="21">
        <v>84</v>
      </c>
      <c r="DU428" s="23" t="s">
        <v>151</v>
      </c>
      <c r="DV428" s="21" t="s">
        <v>151</v>
      </c>
      <c r="DW428" s="23">
        <v>5.84</v>
      </c>
      <c r="DX428" s="21">
        <v>84</v>
      </c>
      <c r="DY428" s="18" t="s">
        <v>151</v>
      </c>
      <c r="DZ428" s="22" t="s">
        <v>151</v>
      </c>
      <c r="EA428" s="22" t="s">
        <v>151</v>
      </c>
      <c r="EB428" s="21">
        <v>261</v>
      </c>
      <c r="EC428" s="20">
        <v>66</v>
      </c>
      <c r="ED428" s="19">
        <v>33.85</v>
      </c>
      <c r="EE428" s="21">
        <v>111</v>
      </c>
      <c r="EF428" s="20">
        <v>0</v>
      </c>
      <c r="EG428" s="19">
        <v>0</v>
      </c>
      <c r="EH428" s="16" t="s">
        <v>198</v>
      </c>
      <c r="EI428" s="17" t="s">
        <v>151</v>
      </c>
      <c r="EJ428" s="17" t="s">
        <v>151</v>
      </c>
      <c r="EK428" s="18" t="s">
        <v>151</v>
      </c>
      <c r="EL428" s="18" t="s">
        <v>151</v>
      </c>
      <c r="EM428" s="18" t="s">
        <v>151</v>
      </c>
      <c r="EN428" s="18" t="s">
        <v>151</v>
      </c>
      <c r="EO428" s="18" t="s">
        <v>151</v>
      </c>
      <c r="EP428" s="17" t="s">
        <v>151</v>
      </c>
      <c r="EQ428" s="16" t="s">
        <v>151</v>
      </c>
      <c r="ER428" s="16" t="s">
        <v>151</v>
      </c>
      <c r="ES428" s="3">
        <f>HYPERLINK("https://my.pitchbook.com?c=184213-18","View Company Online")</f>
      </c>
    </row>
    <row r="429">
      <c r="A429" s="30" t="s">
        <v>9148</v>
      </c>
      <c r="B429" s="30" t="s">
        <v>9149</v>
      </c>
      <c r="C429" s="31" t="s">
        <v>151</v>
      </c>
      <c r="D429" s="30" t="s">
        <v>151</v>
      </c>
      <c r="E429" s="30" t="s">
        <v>151</v>
      </c>
      <c r="F429" s="30" t="s">
        <v>9150</v>
      </c>
      <c r="G429" s="30" t="s">
        <v>151</v>
      </c>
      <c r="H429" s="30" t="s">
        <v>151</v>
      </c>
      <c r="I429" s="30" t="s">
        <v>151</v>
      </c>
      <c r="J429" s="30" t="s">
        <v>9148</v>
      </c>
      <c r="K429" s="30" t="s">
        <v>9151</v>
      </c>
      <c r="L429" s="30" t="s">
        <v>205</v>
      </c>
      <c r="M429" s="30" t="s">
        <v>206</v>
      </c>
      <c r="N429" s="30" t="s">
        <v>917</v>
      </c>
      <c r="O429" s="30" t="s">
        <v>7534</v>
      </c>
      <c r="P429" s="30" t="s">
        <v>2640</v>
      </c>
      <c r="Q429" s="30" t="s">
        <v>9152</v>
      </c>
      <c r="R429" s="30" t="s">
        <v>151</v>
      </c>
      <c r="S429" s="30" t="s">
        <v>162</v>
      </c>
      <c r="T429" s="37">
        <v>3</v>
      </c>
      <c r="U429" s="30" t="s">
        <v>163</v>
      </c>
      <c r="V429" s="30" t="s">
        <v>164</v>
      </c>
      <c r="W429" s="30" t="s">
        <v>165</v>
      </c>
      <c r="X429" s="28" t="s">
        <v>9153</v>
      </c>
      <c r="Y429" s="28" t="s">
        <v>9154</v>
      </c>
      <c r="Z429" s="40" t="s">
        <v>151</v>
      </c>
      <c r="AA429" s="30" t="s">
        <v>151</v>
      </c>
      <c r="AB429" s="30" t="s">
        <v>151</v>
      </c>
      <c r="AC429" s="30" t="s">
        <v>151</v>
      </c>
      <c r="AD429" s="39">
        <v>2020</v>
      </c>
      <c r="AE429" s="30" t="s">
        <v>151</v>
      </c>
      <c r="AF429" s="35">
        <v>45300</v>
      </c>
      <c r="AG429" s="30" t="s">
        <v>151</v>
      </c>
      <c r="AH429" s="30" t="s">
        <v>151</v>
      </c>
      <c r="AI429" s="38" t="s">
        <v>151</v>
      </c>
      <c r="AJ429" s="32" t="s">
        <v>151</v>
      </c>
      <c r="AK429" s="38" t="s">
        <v>151</v>
      </c>
      <c r="AL429" s="38" t="s">
        <v>151</v>
      </c>
      <c r="AM429" s="38" t="s">
        <v>151</v>
      </c>
      <c r="AN429" s="38" t="s">
        <v>151</v>
      </c>
      <c r="AO429" s="38" t="s">
        <v>151</v>
      </c>
      <c r="AP429" s="38" t="s">
        <v>151</v>
      </c>
      <c r="AQ429" s="38" t="s">
        <v>151</v>
      </c>
      <c r="AR429" s="29" t="s">
        <v>151</v>
      </c>
      <c r="AS429" s="30" t="s">
        <v>9155</v>
      </c>
      <c r="AT429" s="30" t="s">
        <v>9156</v>
      </c>
      <c r="AU429" s="31">
        <v>1</v>
      </c>
      <c r="AV429" s="30" t="s">
        <v>151</v>
      </c>
      <c r="AW429" s="30" t="s">
        <v>151</v>
      </c>
      <c r="AX429" s="30" t="s">
        <v>151</v>
      </c>
      <c r="AY429" s="30" t="s">
        <v>151</v>
      </c>
      <c r="AZ429" s="30" t="s">
        <v>151</v>
      </c>
      <c r="BA429" s="30" t="s">
        <v>151</v>
      </c>
      <c r="BB429" s="30" t="s">
        <v>151</v>
      </c>
      <c r="BC429" s="30" t="s">
        <v>151</v>
      </c>
      <c r="BD429" s="30" t="s">
        <v>9157</v>
      </c>
      <c r="BE429" s="30" t="s">
        <v>9158</v>
      </c>
      <c r="BF429" s="30" t="s">
        <v>1280</v>
      </c>
      <c r="BG429" s="30" t="s">
        <v>9159</v>
      </c>
      <c r="BH429" s="30" t="s">
        <v>9160</v>
      </c>
      <c r="BI429" s="30" t="s">
        <v>9161</v>
      </c>
      <c r="BJ429" s="30" t="s">
        <v>9162</v>
      </c>
      <c r="BK429" s="30" t="s">
        <v>151</v>
      </c>
      <c r="BL429" s="30" t="s">
        <v>9163</v>
      </c>
      <c r="BM429" s="30" t="s">
        <v>2814</v>
      </c>
      <c r="BN429" s="29" t="s">
        <v>9164</v>
      </c>
      <c r="BO429" s="30" t="s">
        <v>186</v>
      </c>
      <c r="BP429" s="29" t="s">
        <v>9160</v>
      </c>
      <c r="BQ429" s="29" t="s">
        <v>151</v>
      </c>
      <c r="BR429" s="30" t="s">
        <v>9165</v>
      </c>
      <c r="BS429" s="30" t="s">
        <v>187</v>
      </c>
      <c r="BT429" s="30" t="s">
        <v>188</v>
      </c>
      <c r="BU429" s="35">
        <v>44475</v>
      </c>
      <c r="BV429" s="37">
        <v>3</v>
      </c>
      <c r="BW429" s="30" t="s">
        <v>192</v>
      </c>
      <c r="BX429" s="37" t="s">
        <v>151</v>
      </c>
      <c r="BY429" s="30" t="s">
        <v>151</v>
      </c>
      <c r="BZ429" s="30" t="s">
        <v>293</v>
      </c>
      <c r="CA429" s="30" t="s">
        <v>293</v>
      </c>
      <c r="CB429" s="30" t="s">
        <v>151</v>
      </c>
      <c r="CC429" s="30" t="s">
        <v>165</v>
      </c>
      <c r="CD429" s="30" t="s">
        <v>151</v>
      </c>
      <c r="CE429" s="30" t="s">
        <v>191</v>
      </c>
      <c r="CF429" s="35">
        <v>44475</v>
      </c>
      <c r="CG429" s="37">
        <v>3</v>
      </c>
      <c r="CH429" s="30" t="s">
        <v>192</v>
      </c>
      <c r="CI429" s="37" t="s">
        <v>151</v>
      </c>
      <c r="CJ429" s="30" t="s">
        <v>151</v>
      </c>
      <c r="CK429" s="29" t="s">
        <v>151</v>
      </c>
      <c r="CL429" s="30" t="s">
        <v>293</v>
      </c>
      <c r="CM429" s="30" t="s">
        <v>293</v>
      </c>
      <c r="CN429" s="30" t="s">
        <v>151</v>
      </c>
      <c r="CO429" s="30" t="s">
        <v>165</v>
      </c>
      <c r="CP429" s="35">
        <v>44475</v>
      </c>
      <c r="CQ429" s="37" t="s">
        <v>151</v>
      </c>
      <c r="CR429" s="30" t="s">
        <v>151</v>
      </c>
      <c r="CS429" s="30" t="s">
        <v>191</v>
      </c>
      <c r="CT429" s="29" t="s">
        <v>151</v>
      </c>
      <c r="CU429" s="30" t="s">
        <v>151</v>
      </c>
      <c r="CV429" s="32" t="s">
        <v>151</v>
      </c>
      <c r="CW429" s="32" t="s">
        <v>151</v>
      </c>
      <c r="CX429" s="30" t="s">
        <v>151</v>
      </c>
      <c r="CY429" s="32" t="s">
        <v>151</v>
      </c>
      <c r="CZ429" s="32" t="s">
        <v>151</v>
      </c>
      <c r="DA429" s="37" t="s">
        <v>151</v>
      </c>
      <c r="DB429" s="35" t="s">
        <v>151</v>
      </c>
      <c r="DC429" s="30" t="s">
        <v>151</v>
      </c>
      <c r="DD429" s="29" t="s">
        <v>151</v>
      </c>
      <c r="DE429" s="32" t="s">
        <v>151</v>
      </c>
      <c r="DF429" s="34" t="s">
        <v>151</v>
      </c>
      <c r="DG429" s="32" t="s">
        <v>151</v>
      </c>
      <c r="DH429" s="32" t="s">
        <v>151</v>
      </c>
      <c r="DI429" s="32" t="s">
        <v>151</v>
      </c>
      <c r="DJ429" s="34" t="s">
        <v>151</v>
      </c>
      <c r="DK429" s="32" t="s">
        <v>151</v>
      </c>
      <c r="DL429" s="34" t="s">
        <v>151</v>
      </c>
      <c r="DM429" s="32" t="s">
        <v>151</v>
      </c>
      <c r="DN429" s="34" t="s">
        <v>151</v>
      </c>
      <c r="DO429" s="36" t="s">
        <v>151</v>
      </c>
      <c r="DP429" s="34" t="s">
        <v>151</v>
      </c>
      <c r="DQ429" s="36" t="s">
        <v>151</v>
      </c>
      <c r="DR429" s="32" t="s">
        <v>151</v>
      </c>
      <c r="DS429" s="36" t="s">
        <v>151</v>
      </c>
      <c r="DT429" s="34" t="s">
        <v>151</v>
      </c>
      <c r="DU429" s="36" t="s">
        <v>151</v>
      </c>
      <c r="DV429" s="34" t="s">
        <v>151</v>
      </c>
      <c r="DW429" s="36" t="s">
        <v>151</v>
      </c>
      <c r="DX429" s="34" t="s">
        <v>151</v>
      </c>
      <c r="DY429" s="31" t="s">
        <v>151</v>
      </c>
      <c r="DZ429" s="35" t="s">
        <v>151</v>
      </c>
      <c r="EA429" s="35" t="s">
        <v>151</v>
      </c>
      <c r="EB429" s="34" t="s">
        <v>151</v>
      </c>
      <c r="EC429" s="33" t="s">
        <v>151</v>
      </c>
      <c r="ED429" s="32" t="s">
        <v>151</v>
      </c>
      <c r="EE429" s="34" t="s">
        <v>151</v>
      </c>
      <c r="EF429" s="33" t="s">
        <v>151</v>
      </c>
      <c r="EG429" s="32" t="s">
        <v>151</v>
      </c>
      <c r="EH429" s="29" t="s">
        <v>198</v>
      </c>
      <c r="EI429" s="30" t="s">
        <v>151</v>
      </c>
      <c r="EJ429" s="30" t="s">
        <v>151</v>
      </c>
      <c r="EK429" s="31" t="s">
        <v>151</v>
      </c>
      <c r="EL429" s="31" t="s">
        <v>151</v>
      </c>
      <c r="EM429" s="31" t="s">
        <v>151</v>
      </c>
      <c r="EN429" s="31" t="s">
        <v>151</v>
      </c>
      <c r="EO429" s="31" t="s">
        <v>151</v>
      </c>
      <c r="EP429" s="30" t="s">
        <v>151</v>
      </c>
      <c r="EQ429" s="29" t="s">
        <v>151</v>
      </c>
      <c r="ER429" s="29" t="s">
        <v>151</v>
      </c>
      <c r="ES429" s="4">
        <f>HYPERLINK("https://my.pitchbook.com?c=482190-58","View Company Online")</f>
      </c>
    </row>
    <row r="430">
      <c r="A430" s="17" t="s">
        <v>9166</v>
      </c>
      <c r="B430" s="17" t="s">
        <v>9167</v>
      </c>
      <c r="C430" s="18" t="s">
        <v>151</v>
      </c>
      <c r="D430" s="17" t="s">
        <v>151</v>
      </c>
      <c r="E430" s="17" t="s">
        <v>151</v>
      </c>
      <c r="F430" s="17" t="s">
        <v>9168</v>
      </c>
      <c r="G430" s="17" t="s">
        <v>151</v>
      </c>
      <c r="H430" s="17" t="s">
        <v>151</v>
      </c>
      <c r="I430" s="17" t="s">
        <v>9169</v>
      </c>
      <c r="J430" s="17" t="s">
        <v>9166</v>
      </c>
      <c r="K430" s="17" t="s">
        <v>9170</v>
      </c>
      <c r="L430" s="17" t="s">
        <v>616</v>
      </c>
      <c r="M430" s="17" t="s">
        <v>834</v>
      </c>
      <c r="N430" s="17" t="s">
        <v>1246</v>
      </c>
      <c r="O430" s="17" t="s">
        <v>4080</v>
      </c>
      <c r="P430" s="17" t="s">
        <v>9171</v>
      </c>
      <c r="Q430" s="17" t="s">
        <v>9172</v>
      </c>
      <c r="R430" s="17" t="s">
        <v>151</v>
      </c>
      <c r="S430" s="17" t="s">
        <v>162</v>
      </c>
      <c r="T430" s="24">
        <v>20.18</v>
      </c>
      <c r="U430" s="17" t="s">
        <v>163</v>
      </c>
      <c r="V430" s="17" t="s">
        <v>164</v>
      </c>
      <c r="W430" s="17" t="s">
        <v>165</v>
      </c>
      <c r="X430" s="15" t="s">
        <v>9173</v>
      </c>
      <c r="Y430" s="15" t="s">
        <v>9174</v>
      </c>
      <c r="Z430" s="27">
        <v>44</v>
      </c>
      <c r="AA430" s="17" t="s">
        <v>9175</v>
      </c>
      <c r="AB430" s="17" t="s">
        <v>151</v>
      </c>
      <c r="AC430" s="17" t="s">
        <v>151</v>
      </c>
      <c r="AD430" s="26">
        <v>2011</v>
      </c>
      <c r="AE430" s="17" t="s">
        <v>151</v>
      </c>
      <c r="AF430" s="22">
        <v>45470</v>
      </c>
      <c r="AG430" s="17" t="s">
        <v>151</v>
      </c>
      <c r="AH430" s="17" t="s">
        <v>151</v>
      </c>
      <c r="AI430" s="25" t="s">
        <v>151</v>
      </c>
      <c r="AJ430" s="19" t="s">
        <v>151</v>
      </c>
      <c r="AK430" s="25" t="s">
        <v>151</v>
      </c>
      <c r="AL430" s="25" t="s">
        <v>151</v>
      </c>
      <c r="AM430" s="25" t="s">
        <v>151</v>
      </c>
      <c r="AN430" s="25" t="s">
        <v>151</v>
      </c>
      <c r="AO430" s="25" t="s">
        <v>151</v>
      </c>
      <c r="AP430" s="25" t="s">
        <v>151</v>
      </c>
      <c r="AQ430" s="25" t="s">
        <v>151</v>
      </c>
      <c r="AR430" s="16" t="s">
        <v>151</v>
      </c>
      <c r="AS430" s="17" t="s">
        <v>9176</v>
      </c>
      <c r="AT430" s="17" t="s">
        <v>9177</v>
      </c>
      <c r="AU430" s="18">
        <v>24</v>
      </c>
      <c r="AV430" s="17" t="s">
        <v>151</v>
      </c>
      <c r="AW430" s="17" t="s">
        <v>151</v>
      </c>
      <c r="AX430" s="17" t="s">
        <v>151</v>
      </c>
      <c r="AY430" s="17" t="s">
        <v>9178</v>
      </c>
      <c r="AZ430" s="17" t="s">
        <v>151</v>
      </c>
      <c r="BA430" s="17" t="s">
        <v>151</v>
      </c>
      <c r="BB430" s="17" t="s">
        <v>9179</v>
      </c>
      <c r="BC430" s="17" t="s">
        <v>9180</v>
      </c>
      <c r="BD430" s="17" t="s">
        <v>9181</v>
      </c>
      <c r="BE430" s="17" t="s">
        <v>9182</v>
      </c>
      <c r="BF430" s="17" t="s">
        <v>493</v>
      </c>
      <c r="BG430" s="17" t="s">
        <v>9183</v>
      </c>
      <c r="BH430" s="17" t="s">
        <v>9184</v>
      </c>
      <c r="BI430" s="17" t="s">
        <v>285</v>
      </c>
      <c r="BJ430" s="17" t="s">
        <v>9185</v>
      </c>
      <c r="BK430" s="17" t="s">
        <v>151</v>
      </c>
      <c r="BL430" s="17" t="s">
        <v>288</v>
      </c>
      <c r="BM430" s="17" t="s">
        <v>289</v>
      </c>
      <c r="BN430" s="16" t="s">
        <v>9186</v>
      </c>
      <c r="BO430" s="17" t="s">
        <v>186</v>
      </c>
      <c r="BP430" s="16" t="s">
        <v>9184</v>
      </c>
      <c r="BQ430" s="16" t="s">
        <v>151</v>
      </c>
      <c r="BR430" s="17" t="s">
        <v>9187</v>
      </c>
      <c r="BS430" s="17" t="s">
        <v>187</v>
      </c>
      <c r="BT430" s="17" t="s">
        <v>188</v>
      </c>
      <c r="BU430" s="22">
        <v>42194</v>
      </c>
      <c r="BV430" s="24">
        <v>0.63</v>
      </c>
      <c r="BW430" s="17" t="s">
        <v>192</v>
      </c>
      <c r="BX430" s="24" t="s">
        <v>151</v>
      </c>
      <c r="BY430" s="17" t="s">
        <v>151</v>
      </c>
      <c r="BZ430" s="17" t="s">
        <v>1075</v>
      </c>
      <c r="CA430" s="17" t="s">
        <v>1075</v>
      </c>
      <c r="CB430" s="17" t="s">
        <v>151</v>
      </c>
      <c r="CC430" s="17" t="s">
        <v>585</v>
      </c>
      <c r="CD430" s="17" t="s">
        <v>151</v>
      </c>
      <c r="CE430" s="17" t="s">
        <v>191</v>
      </c>
      <c r="CF430" s="22">
        <v>45366</v>
      </c>
      <c r="CG430" s="24">
        <v>7.94</v>
      </c>
      <c r="CH430" s="17" t="s">
        <v>192</v>
      </c>
      <c r="CI430" s="24" t="s">
        <v>151</v>
      </c>
      <c r="CJ430" s="17" t="s">
        <v>151</v>
      </c>
      <c r="CK430" s="16" t="s">
        <v>151</v>
      </c>
      <c r="CL430" s="17" t="s">
        <v>194</v>
      </c>
      <c r="CM430" s="17" t="s">
        <v>151</v>
      </c>
      <c r="CN430" s="17" t="s">
        <v>151</v>
      </c>
      <c r="CO430" s="17" t="s">
        <v>165</v>
      </c>
      <c r="CP430" s="22">
        <v>45366</v>
      </c>
      <c r="CQ430" s="24" t="s">
        <v>151</v>
      </c>
      <c r="CR430" s="17" t="s">
        <v>151</v>
      </c>
      <c r="CS430" s="17" t="s">
        <v>191</v>
      </c>
      <c r="CT430" s="16">
        <v>95</v>
      </c>
      <c r="CU430" s="17" t="s">
        <v>196</v>
      </c>
      <c r="CV430" s="19">
        <v>88</v>
      </c>
      <c r="CW430" s="19">
        <v>12</v>
      </c>
      <c r="CX430" s="17" t="s">
        <v>294</v>
      </c>
      <c r="CY430" s="19">
        <v>2</v>
      </c>
      <c r="CZ430" s="19">
        <v>86</v>
      </c>
      <c r="DA430" s="24">
        <v>30</v>
      </c>
      <c r="DB430" s="22">
        <v>44804</v>
      </c>
      <c r="DC430" s="17" t="s">
        <v>194</v>
      </c>
      <c r="DD430" s="16">
        <v>0.94</v>
      </c>
      <c r="DE430" s="19">
        <v>0.78</v>
      </c>
      <c r="DF430" s="21">
        <v>95</v>
      </c>
      <c r="DG430" s="19">
        <v>0</v>
      </c>
      <c r="DH430" s="19">
        <v>0</v>
      </c>
      <c r="DI430" s="19">
        <v>1.83</v>
      </c>
      <c r="DJ430" s="21">
        <v>98</v>
      </c>
      <c r="DK430" s="19" t="s">
        <v>151</v>
      </c>
      <c r="DL430" s="21" t="s">
        <v>151</v>
      </c>
      <c r="DM430" s="19">
        <v>1.83</v>
      </c>
      <c r="DN430" s="21">
        <v>98</v>
      </c>
      <c r="DO430" s="23">
        <v>8.51</v>
      </c>
      <c r="DP430" s="21">
        <v>89</v>
      </c>
      <c r="DQ430" s="23">
        <v>0</v>
      </c>
      <c r="DR430" s="19">
        <v>0</v>
      </c>
      <c r="DS430" s="23">
        <v>13.63</v>
      </c>
      <c r="DT430" s="21">
        <v>92</v>
      </c>
      <c r="DU430" s="23" t="s">
        <v>151</v>
      </c>
      <c r="DV430" s="21" t="s">
        <v>151</v>
      </c>
      <c r="DW430" s="23">
        <v>13.63</v>
      </c>
      <c r="DX430" s="21">
        <v>92</v>
      </c>
      <c r="DY430" s="18">
        <v>1</v>
      </c>
      <c r="DZ430" s="22">
        <v>45174</v>
      </c>
      <c r="EA430" s="22" t="s">
        <v>151</v>
      </c>
      <c r="EB430" s="21" t="s">
        <v>151</v>
      </c>
      <c r="EC430" s="20" t="s">
        <v>151</v>
      </c>
      <c r="ED430" s="19" t="s">
        <v>151</v>
      </c>
      <c r="EE430" s="21">
        <v>259</v>
      </c>
      <c r="EF430" s="20">
        <v>3</v>
      </c>
      <c r="EG430" s="19">
        <v>1.17</v>
      </c>
      <c r="EH430" s="16" t="s">
        <v>198</v>
      </c>
      <c r="EI430" s="17" t="s">
        <v>151</v>
      </c>
      <c r="EJ430" s="17" t="s">
        <v>151</v>
      </c>
      <c r="EK430" s="18" t="s">
        <v>151</v>
      </c>
      <c r="EL430" s="18" t="s">
        <v>151</v>
      </c>
      <c r="EM430" s="18" t="s">
        <v>151</v>
      </c>
      <c r="EN430" s="18" t="s">
        <v>151</v>
      </c>
      <c r="EO430" s="18" t="s">
        <v>151</v>
      </c>
      <c r="EP430" s="17" t="s">
        <v>151</v>
      </c>
      <c r="EQ430" s="16" t="s">
        <v>151</v>
      </c>
      <c r="ER430" s="16" t="s">
        <v>151</v>
      </c>
      <c r="ES430" s="3">
        <f>HYPERLINK("https://my.pitchbook.com?c=62182-72","View Company Online")</f>
      </c>
    </row>
    <row r="431">
      <c r="A431" s="30" t="s">
        <v>9188</v>
      </c>
      <c r="B431" s="30" t="s">
        <v>9189</v>
      </c>
      <c r="C431" s="31" t="s">
        <v>151</v>
      </c>
      <c r="D431" s="30" t="s">
        <v>151</v>
      </c>
      <c r="E431" s="30" t="s">
        <v>9190</v>
      </c>
      <c r="F431" s="30" t="s">
        <v>9191</v>
      </c>
      <c r="G431" s="30" t="s">
        <v>151</v>
      </c>
      <c r="H431" s="30" t="s">
        <v>151</v>
      </c>
      <c r="I431" s="30" t="s">
        <v>151</v>
      </c>
      <c r="J431" s="30" t="s">
        <v>9188</v>
      </c>
      <c r="K431" s="30" t="s">
        <v>9192</v>
      </c>
      <c r="L431" s="30" t="s">
        <v>205</v>
      </c>
      <c r="M431" s="30" t="s">
        <v>206</v>
      </c>
      <c r="N431" s="30" t="s">
        <v>1268</v>
      </c>
      <c r="O431" s="30" t="s">
        <v>9193</v>
      </c>
      <c r="P431" s="30" t="s">
        <v>9194</v>
      </c>
      <c r="Q431" s="30" t="s">
        <v>9195</v>
      </c>
      <c r="R431" s="30" t="s">
        <v>151</v>
      </c>
      <c r="S431" s="30" t="s">
        <v>162</v>
      </c>
      <c r="T431" s="37">
        <v>3.7</v>
      </c>
      <c r="U431" s="30" t="s">
        <v>163</v>
      </c>
      <c r="V431" s="30" t="s">
        <v>164</v>
      </c>
      <c r="W431" s="30" t="s">
        <v>165</v>
      </c>
      <c r="X431" s="28" t="s">
        <v>9196</v>
      </c>
      <c r="Y431" s="28" t="s">
        <v>9197</v>
      </c>
      <c r="Z431" s="40">
        <v>10</v>
      </c>
      <c r="AA431" s="30" t="s">
        <v>9198</v>
      </c>
      <c r="AB431" s="30" t="s">
        <v>151</v>
      </c>
      <c r="AC431" s="30" t="s">
        <v>151</v>
      </c>
      <c r="AD431" s="39">
        <v>2023</v>
      </c>
      <c r="AE431" s="30" t="s">
        <v>151</v>
      </c>
      <c r="AF431" s="35">
        <v>45541</v>
      </c>
      <c r="AG431" s="30" t="s">
        <v>151</v>
      </c>
      <c r="AH431" s="30" t="s">
        <v>151</v>
      </c>
      <c r="AI431" s="38" t="s">
        <v>151</v>
      </c>
      <c r="AJ431" s="32" t="s">
        <v>151</v>
      </c>
      <c r="AK431" s="38" t="s">
        <v>151</v>
      </c>
      <c r="AL431" s="38" t="s">
        <v>151</v>
      </c>
      <c r="AM431" s="38" t="s">
        <v>151</v>
      </c>
      <c r="AN431" s="38" t="s">
        <v>151</v>
      </c>
      <c r="AO431" s="38" t="s">
        <v>151</v>
      </c>
      <c r="AP431" s="38" t="s">
        <v>151</v>
      </c>
      <c r="AQ431" s="38" t="s">
        <v>151</v>
      </c>
      <c r="AR431" s="29" t="s">
        <v>151</v>
      </c>
      <c r="AS431" s="30" t="s">
        <v>9199</v>
      </c>
      <c r="AT431" s="30" t="s">
        <v>9200</v>
      </c>
      <c r="AU431" s="31">
        <v>5</v>
      </c>
      <c r="AV431" s="30" t="s">
        <v>151</v>
      </c>
      <c r="AW431" s="30" t="s">
        <v>151</v>
      </c>
      <c r="AX431" s="30" t="s">
        <v>151</v>
      </c>
      <c r="AY431" s="30" t="s">
        <v>9201</v>
      </c>
      <c r="AZ431" s="30" t="s">
        <v>151</v>
      </c>
      <c r="BA431" s="30" t="s">
        <v>151</v>
      </c>
      <c r="BB431" s="30" t="s">
        <v>151</v>
      </c>
      <c r="BC431" s="30" t="s">
        <v>151</v>
      </c>
      <c r="BD431" s="30" t="s">
        <v>9202</v>
      </c>
      <c r="BE431" s="30" t="s">
        <v>9203</v>
      </c>
      <c r="BF431" s="30" t="s">
        <v>221</v>
      </c>
      <c r="BG431" s="30" t="s">
        <v>9204</v>
      </c>
      <c r="BH431" s="30" t="s">
        <v>229</v>
      </c>
      <c r="BI431" s="30" t="s">
        <v>3443</v>
      </c>
      <c r="BJ431" s="30" t="s">
        <v>9205</v>
      </c>
      <c r="BK431" s="30" t="s">
        <v>9206</v>
      </c>
      <c r="BL431" s="30" t="s">
        <v>3446</v>
      </c>
      <c r="BM431" s="30" t="s">
        <v>184</v>
      </c>
      <c r="BN431" s="29" t="s">
        <v>9207</v>
      </c>
      <c r="BO431" s="30" t="s">
        <v>186</v>
      </c>
      <c r="BP431" s="29" t="s">
        <v>229</v>
      </c>
      <c r="BQ431" s="29" t="s">
        <v>151</v>
      </c>
      <c r="BR431" s="30" t="s">
        <v>151</v>
      </c>
      <c r="BS431" s="30" t="s">
        <v>187</v>
      </c>
      <c r="BT431" s="30" t="s">
        <v>188</v>
      </c>
      <c r="BU431" s="35">
        <v>45108</v>
      </c>
      <c r="BV431" s="37">
        <v>0.5</v>
      </c>
      <c r="BW431" s="30" t="s">
        <v>192</v>
      </c>
      <c r="BX431" s="37" t="s">
        <v>151</v>
      </c>
      <c r="BY431" s="30" t="s">
        <v>151</v>
      </c>
      <c r="BZ431" s="30" t="s">
        <v>189</v>
      </c>
      <c r="CA431" s="30" t="s">
        <v>151</v>
      </c>
      <c r="CB431" s="30" t="s">
        <v>151</v>
      </c>
      <c r="CC431" s="30" t="s">
        <v>190</v>
      </c>
      <c r="CD431" s="30" t="s">
        <v>151</v>
      </c>
      <c r="CE431" s="30" t="s">
        <v>191</v>
      </c>
      <c r="CF431" s="35">
        <v>45539</v>
      </c>
      <c r="CG431" s="37">
        <v>3.2</v>
      </c>
      <c r="CH431" s="30" t="s">
        <v>192</v>
      </c>
      <c r="CI431" s="37" t="s">
        <v>151</v>
      </c>
      <c r="CJ431" s="30" t="s">
        <v>151</v>
      </c>
      <c r="CK431" s="29" t="s">
        <v>151</v>
      </c>
      <c r="CL431" s="30" t="s">
        <v>293</v>
      </c>
      <c r="CM431" s="30" t="s">
        <v>293</v>
      </c>
      <c r="CN431" s="30" t="s">
        <v>151</v>
      </c>
      <c r="CO431" s="30" t="s">
        <v>165</v>
      </c>
      <c r="CP431" s="35">
        <v>45539</v>
      </c>
      <c r="CQ431" s="37" t="s">
        <v>151</v>
      </c>
      <c r="CR431" s="30" t="s">
        <v>151</v>
      </c>
      <c r="CS431" s="30" t="s">
        <v>191</v>
      </c>
      <c r="CT431" s="29" t="s">
        <v>151</v>
      </c>
      <c r="CU431" s="30" t="s">
        <v>151</v>
      </c>
      <c r="CV431" s="32" t="s">
        <v>151</v>
      </c>
      <c r="CW431" s="32" t="s">
        <v>151</v>
      </c>
      <c r="CX431" s="30" t="s">
        <v>151</v>
      </c>
      <c r="CY431" s="32" t="s">
        <v>151</v>
      </c>
      <c r="CZ431" s="32" t="s">
        <v>151</v>
      </c>
      <c r="DA431" s="37" t="s">
        <v>151</v>
      </c>
      <c r="DB431" s="35" t="s">
        <v>151</v>
      </c>
      <c r="DC431" s="30" t="s">
        <v>151</v>
      </c>
      <c r="DD431" s="29" t="s">
        <v>151</v>
      </c>
      <c r="DE431" s="32">
        <v>0.69</v>
      </c>
      <c r="DF431" s="34">
        <v>95</v>
      </c>
      <c r="DG431" s="32">
        <v>0</v>
      </c>
      <c r="DH431" s="32">
        <v>0</v>
      </c>
      <c r="DI431" s="32">
        <v>0</v>
      </c>
      <c r="DJ431" s="34">
        <v>10</v>
      </c>
      <c r="DK431" s="32" t="s">
        <v>151</v>
      </c>
      <c r="DL431" s="34" t="s">
        <v>151</v>
      </c>
      <c r="DM431" s="32">
        <v>0</v>
      </c>
      <c r="DN431" s="34">
        <v>10</v>
      </c>
      <c r="DO431" s="36">
        <v>1.81</v>
      </c>
      <c r="DP431" s="34">
        <v>64</v>
      </c>
      <c r="DQ431" s="36">
        <v>0</v>
      </c>
      <c r="DR431" s="32">
        <v>0</v>
      </c>
      <c r="DS431" s="36">
        <v>2.84</v>
      </c>
      <c r="DT431" s="34">
        <v>73</v>
      </c>
      <c r="DU431" s="36" t="s">
        <v>151</v>
      </c>
      <c r="DV431" s="34" t="s">
        <v>151</v>
      </c>
      <c r="DW431" s="36">
        <v>2.84</v>
      </c>
      <c r="DX431" s="34">
        <v>73</v>
      </c>
      <c r="DY431" s="31" t="s">
        <v>151</v>
      </c>
      <c r="DZ431" s="35" t="s">
        <v>151</v>
      </c>
      <c r="EA431" s="35" t="s">
        <v>151</v>
      </c>
      <c r="EB431" s="34">
        <v>2504</v>
      </c>
      <c r="EC431" s="33">
        <v>31</v>
      </c>
      <c r="ED431" s="32">
        <v>1.25</v>
      </c>
      <c r="EE431" s="34">
        <v>54</v>
      </c>
      <c r="EF431" s="33">
        <v>3</v>
      </c>
      <c r="EG431" s="32">
        <v>5.88</v>
      </c>
      <c r="EH431" s="29" t="s">
        <v>198</v>
      </c>
      <c r="EI431" s="30" t="s">
        <v>151</v>
      </c>
      <c r="EJ431" s="30" t="s">
        <v>151</v>
      </c>
      <c r="EK431" s="31" t="s">
        <v>151</v>
      </c>
      <c r="EL431" s="31" t="s">
        <v>151</v>
      </c>
      <c r="EM431" s="31" t="s">
        <v>151</v>
      </c>
      <c r="EN431" s="31" t="s">
        <v>151</v>
      </c>
      <c r="EO431" s="31" t="s">
        <v>151</v>
      </c>
      <c r="EP431" s="30" t="s">
        <v>151</v>
      </c>
      <c r="EQ431" s="29" t="s">
        <v>151</v>
      </c>
      <c r="ER431" s="29" t="s">
        <v>151</v>
      </c>
      <c r="ES431" s="4">
        <f>HYPERLINK("https://my.pitchbook.com?c=534439-00","View Company Online")</f>
      </c>
    </row>
    <row r="432">
      <c r="A432" s="17" t="s">
        <v>9208</v>
      </c>
      <c r="B432" s="17" t="s">
        <v>9209</v>
      </c>
      <c r="C432" s="18" t="s">
        <v>151</v>
      </c>
      <c r="D432" s="17" t="s">
        <v>151</v>
      </c>
      <c r="E432" s="17" t="s">
        <v>151</v>
      </c>
      <c r="F432" s="17" t="s">
        <v>9210</v>
      </c>
      <c r="G432" s="17" t="s">
        <v>151</v>
      </c>
      <c r="H432" s="17" t="s">
        <v>151</v>
      </c>
      <c r="I432" s="17" t="s">
        <v>9211</v>
      </c>
      <c r="J432" s="17" t="s">
        <v>9208</v>
      </c>
      <c r="K432" s="17" t="s">
        <v>9212</v>
      </c>
      <c r="L432" s="17" t="s">
        <v>205</v>
      </c>
      <c r="M432" s="17" t="s">
        <v>206</v>
      </c>
      <c r="N432" s="17" t="s">
        <v>207</v>
      </c>
      <c r="O432" s="17" t="s">
        <v>9213</v>
      </c>
      <c r="P432" s="17" t="s">
        <v>9214</v>
      </c>
      <c r="Q432" s="17" t="s">
        <v>9215</v>
      </c>
      <c r="R432" s="17" t="s">
        <v>151</v>
      </c>
      <c r="S432" s="17" t="s">
        <v>162</v>
      </c>
      <c r="T432" s="24">
        <v>6.28</v>
      </c>
      <c r="U432" s="17" t="s">
        <v>163</v>
      </c>
      <c r="V432" s="17" t="s">
        <v>164</v>
      </c>
      <c r="W432" s="17" t="s">
        <v>165</v>
      </c>
      <c r="X432" s="15" t="s">
        <v>9216</v>
      </c>
      <c r="Y432" s="15" t="s">
        <v>9217</v>
      </c>
      <c r="Z432" s="27">
        <v>16</v>
      </c>
      <c r="AA432" s="17" t="s">
        <v>9218</v>
      </c>
      <c r="AB432" s="17" t="s">
        <v>151</v>
      </c>
      <c r="AC432" s="17" t="s">
        <v>151</v>
      </c>
      <c r="AD432" s="26">
        <v>2018</v>
      </c>
      <c r="AE432" s="17" t="s">
        <v>151</v>
      </c>
      <c r="AF432" s="22">
        <v>45594</v>
      </c>
      <c r="AG432" s="17" t="s">
        <v>151</v>
      </c>
      <c r="AH432" s="17" t="s">
        <v>151</v>
      </c>
      <c r="AI432" s="25" t="s">
        <v>151</v>
      </c>
      <c r="AJ432" s="19" t="s">
        <v>151</v>
      </c>
      <c r="AK432" s="25" t="s">
        <v>151</v>
      </c>
      <c r="AL432" s="25" t="s">
        <v>151</v>
      </c>
      <c r="AM432" s="25" t="s">
        <v>151</v>
      </c>
      <c r="AN432" s="25" t="s">
        <v>151</v>
      </c>
      <c r="AO432" s="25" t="s">
        <v>151</v>
      </c>
      <c r="AP432" s="25" t="s">
        <v>151</v>
      </c>
      <c r="AQ432" s="25" t="s">
        <v>151</v>
      </c>
      <c r="AR432" s="16" t="s">
        <v>151</v>
      </c>
      <c r="AS432" s="17" t="s">
        <v>9219</v>
      </c>
      <c r="AT432" s="17" t="s">
        <v>9220</v>
      </c>
      <c r="AU432" s="18">
        <v>19</v>
      </c>
      <c r="AV432" s="17" t="s">
        <v>151</v>
      </c>
      <c r="AW432" s="17" t="s">
        <v>151</v>
      </c>
      <c r="AX432" s="17" t="s">
        <v>151</v>
      </c>
      <c r="AY432" s="17" t="s">
        <v>9221</v>
      </c>
      <c r="AZ432" s="17" t="s">
        <v>151</v>
      </c>
      <c r="BA432" s="17" t="s">
        <v>151</v>
      </c>
      <c r="BB432" s="17" t="s">
        <v>5493</v>
      </c>
      <c r="BC432" s="17" t="s">
        <v>151</v>
      </c>
      <c r="BD432" s="17" t="s">
        <v>9222</v>
      </c>
      <c r="BE432" s="17" t="s">
        <v>9223</v>
      </c>
      <c r="BF432" s="17" t="s">
        <v>403</v>
      </c>
      <c r="BG432" s="17" t="s">
        <v>9224</v>
      </c>
      <c r="BH432" s="17" t="s">
        <v>9225</v>
      </c>
      <c r="BI432" s="17" t="s">
        <v>1710</v>
      </c>
      <c r="BJ432" s="17" t="s">
        <v>9226</v>
      </c>
      <c r="BK432" s="17" t="s">
        <v>9227</v>
      </c>
      <c r="BL432" s="17" t="s">
        <v>1713</v>
      </c>
      <c r="BM432" s="17" t="s">
        <v>184</v>
      </c>
      <c r="BN432" s="16" t="s">
        <v>1714</v>
      </c>
      <c r="BO432" s="17" t="s">
        <v>186</v>
      </c>
      <c r="BP432" s="16" t="s">
        <v>9225</v>
      </c>
      <c r="BQ432" s="16" t="s">
        <v>151</v>
      </c>
      <c r="BR432" s="17" t="s">
        <v>9228</v>
      </c>
      <c r="BS432" s="17" t="s">
        <v>187</v>
      </c>
      <c r="BT432" s="17" t="s">
        <v>188</v>
      </c>
      <c r="BU432" s="22">
        <v>44328</v>
      </c>
      <c r="BV432" s="24">
        <v>1.28</v>
      </c>
      <c r="BW432" s="17" t="s">
        <v>192</v>
      </c>
      <c r="BX432" s="24">
        <v>5</v>
      </c>
      <c r="BY432" s="17" t="s">
        <v>192</v>
      </c>
      <c r="BZ432" s="17" t="s">
        <v>293</v>
      </c>
      <c r="CA432" s="17" t="s">
        <v>293</v>
      </c>
      <c r="CB432" s="17" t="s">
        <v>151</v>
      </c>
      <c r="CC432" s="17" t="s">
        <v>165</v>
      </c>
      <c r="CD432" s="17" t="s">
        <v>151</v>
      </c>
      <c r="CE432" s="17" t="s">
        <v>191</v>
      </c>
      <c r="CF432" s="22">
        <v>45258</v>
      </c>
      <c r="CG432" s="24" t="s">
        <v>151</v>
      </c>
      <c r="CH432" s="17" t="s">
        <v>151</v>
      </c>
      <c r="CI432" s="24" t="s">
        <v>151</v>
      </c>
      <c r="CJ432" s="17" t="s">
        <v>151</v>
      </c>
      <c r="CK432" s="16" t="s">
        <v>151</v>
      </c>
      <c r="CL432" s="17" t="s">
        <v>194</v>
      </c>
      <c r="CM432" s="17" t="s">
        <v>151</v>
      </c>
      <c r="CN432" s="17" t="s">
        <v>151</v>
      </c>
      <c r="CO432" s="17" t="s">
        <v>385</v>
      </c>
      <c r="CP432" s="22">
        <v>45258</v>
      </c>
      <c r="CQ432" s="24" t="s">
        <v>151</v>
      </c>
      <c r="CR432" s="17" t="s">
        <v>151</v>
      </c>
      <c r="CS432" s="17" t="s">
        <v>191</v>
      </c>
      <c r="CT432" s="16">
        <v>58</v>
      </c>
      <c r="CU432" s="17" t="s">
        <v>196</v>
      </c>
      <c r="CV432" s="19">
        <v>55</v>
      </c>
      <c r="CW432" s="19">
        <v>45</v>
      </c>
      <c r="CX432" s="17" t="s">
        <v>294</v>
      </c>
      <c r="CY432" s="19">
        <v>1</v>
      </c>
      <c r="CZ432" s="19">
        <v>54</v>
      </c>
      <c r="DA432" s="24">
        <v>20</v>
      </c>
      <c r="DB432" s="22">
        <v>44501</v>
      </c>
      <c r="DC432" s="17" t="s">
        <v>293</v>
      </c>
      <c r="DD432" s="16">
        <v>3</v>
      </c>
      <c r="DE432" s="19">
        <v>0.11</v>
      </c>
      <c r="DF432" s="21">
        <v>90</v>
      </c>
      <c r="DG432" s="19">
        <v>0</v>
      </c>
      <c r="DH432" s="19">
        <v>0</v>
      </c>
      <c r="DI432" s="19">
        <v>-0.61</v>
      </c>
      <c r="DJ432" s="21">
        <v>6</v>
      </c>
      <c r="DK432" s="19">
        <v>0</v>
      </c>
      <c r="DL432" s="21">
        <v>11</v>
      </c>
      <c r="DM432" s="19">
        <v>-1.23</v>
      </c>
      <c r="DN432" s="21">
        <v>3</v>
      </c>
      <c r="DO432" s="23">
        <v>3.14</v>
      </c>
      <c r="DP432" s="21">
        <v>75</v>
      </c>
      <c r="DQ432" s="23">
        <v>0</v>
      </c>
      <c r="DR432" s="19">
        <v>0</v>
      </c>
      <c r="DS432" s="23">
        <v>5.04</v>
      </c>
      <c r="DT432" s="21">
        <v>82</v>
      </c>
      <c r="DU432" s="23">
        <v>0.98</v>
      </c>
      <c r="DV432" s="21">
        <v>51</v>
      </c>
      <c r="DW432" s="23">
        <v>9.11</v>
      </c>
      <c r="DX432" s="21">
        <v>89</v>
      </c>
      <c r="DY432" s="18" t="s">
        <v>151</v>
      </c>
      <c r="DZ432" s="22" t="s">
        <v>151</v>
      </c>
      <c r="EA432" s="22" t="s">
        <v>151</v>
      </c>
      <c r="EB432" s="21">
        <v>206</v>
      </c>
      <c r="EC432" s="20">
        <v>-48</v>
      </c>
      <c r="ED432" s="19">
        <v>-18.9</v>
      </c>
      <c r="EE432" s="21">
        <v>173</v>
      </c>
      <c r="EF432" s="20">
        <v>-1</v>
      </c>
      <c r="EG432" s="19">
        <v>-0.57</v>
      </c>
      <c r="EH432" s="16" t="s">
        <v>198</v>
      </c>
      <c r="EI432" s="17" t="s">
        <v>151</v>
      </c>
      <c r="EJ432" s="17" t="s">
        <v>151</v>
      </c>
      <c r="EK432" s="18" t="s">
        <v>151</v>
      </c>
      <c r="EL432" s="18" t="s">
        <v>151</v>
      </c>
      <c r="EM432" s="18" t="s">
        <v>151</v>
      </c>
      <c r="EN432" s="18" t="s">
        <v>151</v>
      </c>
      <c r="EO432" s="18" t="s">
        <v>151</v>
      </c>
      <c r="EP432" s="17" t="s">
        <v>151</v>
      </c>
      <c r="EQ432" s="16" t="s">
        <v>151</v>
      </c>
      <c r="ER432" s="16" t="s">
        <v>151</v>
      </c>
      <c r="ES432" s="3">
        <f>HYPERLINK("https://my.pitchbook.com?c=433624-15","View Company Online")</f>
      </c>
    </row>
    <row r="433">
      <c r="A433" s="30" t="s">
        <v>9229</v>
      </c>
      <c r="B433" s="30" t="s">
        <v>9230</v>
      </c>
      <c r="C433" s="31" t="s">
        <v>151</v>
      </c>
      <c r="D433" s="30" t="s">
        <v>151</v>
      </c>
      <c r="E433" s="30" t="s">
        <v>151</v>
      </c>
      <c r="F433" s="30" t="s">
        <v>9231</v>
      </c>
      <c r="G433" s="30" t="s">
        <v>151</v>
      </c>
      <c r="H433" s="30" t="s">
        <v>151</v>
      </c>
      <c r="I433" s="30" t="s">
        <v>151</v>
      </c>
      <c r="J433" s="30" t="s">
        <v>9229</v>
      </c>
      <c r="K433" s="30" t="s">
        <v>9232</v>
      </c>
      <c r="L433" s="30" t="s">
        <v>616</v>
      </c>
      <c r="M433" s="30" t="s">
        <v>834</v>
      </c>
      <c r="N433" s="30" t="s">
        <v>835</v>
      </c>
      <c r="O433" s="30" t="s">
        <v>9233</v>
      </c>
      <c r="P433" s="30" t="s">
        <v>9234</v>
      </c>
      <c r="Q433" s="30" t="s">
        <v>9235</v>
      </c>
      <c r="R433" s="30" t="s">
        <v>750</v>
      </c>
      <c r="S433" s="30" t="s">
        <v>162</v>
      </c>
      <c r="T433" s="37">
        <v>20.05</v>
      </c>
      <c r="U433" s="30" t="s">
        <v>163</v>
      </c>
      <c r="V433" s="30" t="s">
        <v>164</v>
      </c>
      <c r="W433" s="30" t="s">
        <v>165</v>
      </c>
      <c r="X433" s="28" t="s">
        <v>9236</v>
      </c>
      <c r="Y433" s="28" t="s">
        <v>9237</v>
      </c>
      <c r="Z433" s="40">
        <v>10</v>
      </c>
      <c r="AA433" s="30" t="s">
        <v>5417</v>
      </c>
      <c r="AB433" s="30" t="s">
        <v>151</v>
      </c>
      <c r="AC433" s="30" t="s">
        <v>151</v>
      </c>
      <c r="AD433" s="39">
        <v>2022</v>
      </c>
      <c r="AE433" s="30" t="s">
        <v>151</v>
      </c>
      <c r="AF433" s="35">
        <v>45617</v>
      </c>
      <c r="AG433" s="30" t="s">
        <v>169</v>
      </c>
      <c r="AH433" s="30" t="s">
        <v>9238</v>
      </c>
      <c r="AI433" s="38" t="s">
        <v>151</v>
      </c>
      <c r="AJ433" s="32" t="s">
        <v>151</v>
      </c>
      <c r="AK433" s="38" t="s">
        <v>151</v>
      </c>
      <c r="AL433" s="38" t="s">
        <v>151</v>
      </c>
      <c r="AM433" s="38" t="s">
        <v>151</v>
      </c>
      <c r="AN433" s="38" t="s">
        <v>151</v>
      </c>
      <c r="AO433" s="38" t="s">
        <v>151</v>
      </c>
      <c r="AP433" s="38" t="s">
        <v>151</v>
      </c>
      <c r="AQ433" s="38" t="s">
        <v>151</v>
      </c>
      <c r="AR433" s="29" t="s">
        <v>151</v>
      </c>
      <c r="AS433" s="30" t="s">
        <v>9239</v>
      </c>
      <c r="AT433" s="30" t="s">
        <v>9240</v>
      </c>
      <c r="AU433" s="31">
        <v>5</v>
      </c>
      <c r="AV433" s="30" t="s">
        <v>151</v>
      </c>
      <c r="AW433" s="30" t="s">
        <v>151</v>
      </c>
      <c r="AX433" s="30" t="s">
        <v>151</v>
      </c>
      <c r="AY433" s="30" t="s">
        <v>9241</v>
      </c>
      <c r="AZ433" s="30" t="s">
        <v>151</v>
      </c>
      <c r="BA433" s="30" t="s">
        <v>151</v>
      </c>
      <c r="BB433" s="30" t="s">
        <v>151</v>
      </c>
      <c r="BC433" s="30" t="s">
        <v>4944</v>
      </c>
      <c r="BD433" s="30" t="s">
        <v>9242</v>
      </c>
      <c r="BE433" s="30" t="s">
        <v>9243</v>
      </c>
      <c r="BF433" s="30" t="s">
        <v>493</v>
      </c>
      <c r="BG433" s="30" t="s">
        <v>9244</v>
      </c>
      <c r="BH433" s="30" t="s">
        <v>151</v>
      </c>
      <c r="BI433" s="30" t="s">
        <v>906</v>
      </c>
      <c r="BJ433" s="30" t="s">
        <v>9245</v>
      </c>
      <c r="BK433" s="30" t="s">
        <v>9246</v>
      </c>
      <c r="BL433" s="30" t="s">
        <v>259</v>
      </c>
      <c r="BM433" s="30" t="s">
        <v>259</v>
      </c>
      <c r="BN433" s="29" t="s">
        <v>9247</v>
      </c>
      <c r="BO433" s="30" t="s">
        <v>186</v>
      </c>
      <c r="BP433" s="29" t="s">
        <v>151</v>
      </c>
      <c r="BQ433" s="29" t="s">
        <v>151</v>
      </c>
      <c r="BR433" s="30" t="s">
        <v>9248</v>
      </c>
      <c r="BS433" s="30" t="s">
        <v>187</v>
      </c>
      <c r="BT433" s="30" t="s">
        <v>188</v>
      </c>
      <c r="BU433" s="35">
        <v>45134</v>
      </c>
      <c r="BV433" s="37">
        <v>4.5</v>
      </c>
      <c r="BW433" s="30" t="s">
        <v>192</v>
      </c>
      <c r="BX433" s="37" t="s">
        <v>151</v>
      </c>
      <c r="BY433" s="30" t="s">
        <v>151</v>
      </c>
      <c r="BZ433" s="30" t="s">
        <v>293</v>
      </c>
      <c r="CA433" s="30" t="s">
        <v>293</v>
      </c>
      <c r="CB433" s="30" t="s">
        <v>151</v>
      </c>
      <c r="CC433" s="30" t="s">
        <v>165</v>
      </c>
      <c r="CD433" s="30" t="s">
        <v>151</v>
      </c>
      <c r="CE433" s="30" t="s">
        <v>191</v>
      </c>
      <c r="CF433" s="35">
        <v>45615</v>
      </c>
      <c r="CG433" s="37">
        <v>15.55</v>
      </c>
      <c r="CH433" s="30" t="s">
        <v>192</v>
      </c>
      <c r="CI433" s="37" t="s">
        <v>151</v>
      </c>
      <c r="CJ433" s="30" t="s">
        <v>151</v>
      </c>
      <c r="CK433" s="29" t="s">
        <v>151</v>
      </c>
      <c r="CL433" s="30" t="s">
        <v>231</v>
      </c>
      <c r="CM433" s="30" t="s">
        <v>232</v>
      </c>
      <c r="CN433" s="30" t="s">
        <v>151</v>
      </c>
      <c r="CO433" s="30" t="s">
        <v>165</v>
      </c>
      <c r="CP433" s="35">
        <v>45615</v>
      </c>
      <c r="CQ433" s="37" t="s">
        <v>151</v>
      </c>
      <c r="CR433" s="30" t="s">
        <v>151</v>
      </c>
      <c r="CS433" s="30" t="s">
        <v>191</v>
      </c>
      <c r="CT433" s="29">
        <v>92</v>
      </c>
      <c r="CU433" s="30" t="s">
        <v>196</v>
      </c>
      <c r="CV433" s="32">
        <v>82</v>
      </c>
      <c r="CW433" s="32">
        <v>18</v>
      </c>
      <c r="CX433" s="30" t="s">
        <v>294</v>
      </c>
      <c r="CY433" s="32">
        <v>4</v>
      </c>
      <c r="CZ433" s="32">
        <v>78</v>
      </c>
      <c r="DA433" s="37" t="s">
        <v>151</v>
      </c>
      <c r="DB433" s="35" t="s">
        <v>151</v>
      </c>
      <c r="DC433" s="30" t="s">
        <v>151</v>
      </c>
      <c r="DD433" s="29" t="s">
        <v>151</v>
      </c>
      <c r="DE433" s="32" t="s">
        <v>151</v>
      </c>
      <c r="DF433" s="34" t="s">
        <v>151</v>
      </c>
      <c r="DG433" s="32" t="s">
        <v>151</v>
      </c>
      <c r="DH433" s="32" t="s">
        <v>151</v>
      </c>
      <c r="DI433" s="32" t="s">
        <v>151</v>
      </c>
      <c r="DJ433" s="34" t="s">
        <v>151</v>
      </c>
      <c r="DK433" s="32" t="s">
        <v>151</v>
      </c>
      <c r="DL433" s="34" t="s">
        <v>151</v>
      </c>
      <c r="DM433" s="32" t="s">
        <v>151</v>
      </c>
      <c r="DN433" s="34" t="s">
        <v>151</v>
      </c>
      <c r="DO433" s="36" t="s">
        <v>151</v>
      </c>
      <c r="DP433" s="34" t="s">
        <v>151</v>
      </c>
      <c r="DQ433" s="36" t="s">
        <v>151</v>
      </c>
      <c r="DR433" s="32" t="s">
        <v>151</v>
      </c>
      <c r="DS433" s="36" t="s">
        <v>151</v>
      </c>
      <c r="DT433" s="34" t="s">
        <v>151</v>
      </c>
      <c r="DU433" s="36" t="s">
        <v>151</v>
      </c>
      <c r="DV433" s="34" t="s">
        <v>151</v>
      </c>
      <c r="DW433" s="36" t="s">
        <v>151</v>
      </c>
      <c r="DX433" s="34" t="s">
        <v>151</v>
      </c>
      <c r="DY433" s="31" t="s">
        <v>151</v>
      </c>
      <c r="DZ433" s="35" t="s">
        <v>151</v>
      </c>
      <c r="EA433" s="35" t="s">
        <v>151</v>
      </c>
      <c r="EB433" s="34" t="s">
        <v>151</v>
      </c>
      <c r="EC433" s="33" t="s">
        <v>151</v>
      </c>
      <c r="ED433" s="32" t="s">
        <v>151</v>
      </c>
      <c r="EE433" s="34" t="s">
        <v>151</v>
      </c>
      <c r="EF433" s="33" t="s">
        <v>151</v>
      </c>
      <c r="EG433" s="32" t="s">
        <v>151</v>
      </c>
      <c r="EH433" s="29" t="s">
        <v>198</v>
      </c>
      <c r="EI433" s="30" t="s">
        <v>151</v>
      </c>
      <c r="EJ433" s="30" t="s">
        <v>151</v>
      </c>
      <c r="EK433" s="31" t="s">
        <v>151</v>
      </c>
      <c r="EL433" s="31" t="s">
        <v>151</v>
      </c>
      <c r="EM433" s="31" t="s">
        <v>151</v>
      </c>
      <c r="EN433" s="31" t="s">
        <v>151</v>
      </c>
      <c r="EO433" s="31" t="s">
        <v>151</v>
      </c>
      <c r="EP433" s="30" t="s">
        <v>151</v>
      </c>
      <c r="EQ433" s="29" t="s">
        <v>151</v>
      </c>
      <c r="ER433" s="29" t="s">
        <v>151</v>
      </c>
      <c r="ES433" s="4">
        <f>HYPERLINK("https://my.pitchbook.com?c=522198-82","View Company Online")</f>
      </c>
    </row>
    <row r="434">
      <c r="A434" s="17" t="s">
        <v>9249</v>
      </c>
      <c r="B434" s="17" t="s">
        <v>9250</v>
      </c>
      <c r="C434" s="18" t="s">
        <v>151</v>
      </c>
      <c r="D434" s="17" t="s">
        <v>151</v>
      </c>
      <c r="E434" s="17" t="s">
        <v>151</v>
      </c>
      <c r="F434" s="17" t="s">
        <v>151</v>
      </c>
      <c r="G434" s="17" t="s">
        <v>151</v>
      </c>
      <c r="H434" s="17" t="s">
        <v>151</v>
      </c>
      <c r="I434" s="17" t="s">
        <v>151</v>
      </c>
      <c r="J434" s="17" t="s">
        <v>9249</v>
      </c>
      <c r="K434" s="17" t="s">
        <v>9251</v>
      </c>
      <c r="L434" s="17" t="s">
        <v>205</v>
      </c>
      <c r="M434" s="17" t="s">
        <v>206</v>
      </c>
      <c r="N434" s="17" t="s">
        <v>269</v>
      </c>
      <c r="O434" s="17" t="s">
        <v>4250</v>
      </c>
      <c r="P434" s="17" t="s">
        <v>1107</v>
      </c>
      <c r="Q434" s="17" t="s">
        <v>9252</v>
      </c>
      <c r="R434" s="17" t="s">
        <v>780</v>
      </c>
      <c r="S434" s="17" t="s">
        <v>162</v>
      </c>
      <c r="T434" s="24">
        <v>1.5</v>
      </c>
      <c r="U434" s="17" t="s">
        <v>163</v>
      </c>
      <c r="V434" s="17" t="s">
        <v>164</v>
      </c>
      <c r="W434" s="17" t="s">
        <v>165</v>
      </c>
      <c r="X434" s="15" t="s">
        <v>9253</v>
      </c>
      <c r="Y434" s="15" t="s">
        <v>9254</v>
      </c>
      <c r="Z434" s="27">
        <v>22</v>
      </c>
      <c r="AA434" s="17" t="s">
        <v>9255</v>
      </c>
      <c r="AB434" s="17" t="s">
        <v>151</v>
      </c>
      <c r="AC434" s="17" t="s">
        <v>151</v>
      </c>
      <c r="AD434" s="26">
        <v>2021</v>
      </c>
      <c r="AE434" s="17" t="s">
        <v>151</v>
      </c>
      <c r="AF434" s="22">
        <v>45601</v>
      </c>
      <c r="AG434" s="17" t="s">
        <v>151</v>
      </c>
      <c r="AH434" s="17" t="s">
        <v>151</v>
      </c>
      <c r="AI434" s="25" t="s">
        <v>151</v>
      </c>
      <c r="AJ434" s="19" t="s">
        <v>151</v>
      </c>
      <c r="AK434" s="25" t="s">
        <v>151</v>
      </c>
      <c r="AL434" s="25" t="s">
        <v>151</v>
      </c>
      <c r="AM434" s="25" t="s">
        <v>151</v>
      </c>
      <c r="AN434" s="25" t="s">
        <v>151</v>
      </c>
      <c r="AO434" s="25" t="s">
        <v>151</v>
      </c>
      <c r="AP434" s="25" t="s">
        <v>151</v>
      </c>
      <c r="AQ434" s="25" t="s">
        <v>151</v>
      </c>
      <c r="AR434" s="16" t="s">
        <v>151</v>
      </c>
      <c r="AS434" s="17" t="s">
        <v>9256</v>
      </c>
      <c r="AT434" s="17" t="s">
        <v>9257</v>
      </c>
      <c r="AU434" s="18">
        <v>8</v>
      </c>
      <c r="AV434" s="17" t="s">
        <v>151</v>
      </c>
      <c r="AW434" s="17" t="s">
        <v>151</v>
      </c>
      <c r="AX434" s="17" t="s">
        <v>151</v>
      </c>
      <c r="AY434" s="17" t="s">
        <v>9258</v>
      </c>
      <c r="AZ434" s="17" t="s">
        <v>151</v>
      </c>
      <c r="BA434" s="17" t="s">
        <v>151</v>
      </c>
      <c r="BB434" s="17" t="s">
        <v>151</v>
      </c>
      <c r="BC434" s="17" t="s">
        <v>151</v>
      </c>
      <c r="BD434" s="17" t="s">
        <v>9259</v>
      </c>
      <c r="BE434" s="17" t="s">
        <v>9260</v>
      </c>
      <c r="BF434" s="17" t="s">
        <v>221</v>
      </c>
      <c r="BG434" s="17" t="s">
        <v>151</v>
      </c>
      <c r="BH434" s="17" t="s">
        <v>151</v>
      </c>
      <c r="BI434" s="17" t="s">
        <v>906</v>
      </c>
      <c r="BJ434" s="17" t="s">
        <v>151</v>
      </c>
      <c r="BK434" s="17" t="s">
        <v>151</v>
      </c>
      <c r="BL434" s="17" t="s">
        <v>259</v>
      </c>
      <c r="BM434" s="17" t="s">
        <v>259</v>
      </c>
      <c r="BN434" s="16" t="s">
        <v>9261</v>
      </c>
      <c r="BO434" s="17" t="s">
        <v>186</v>
      </c>
      <c r="BP434" s="16" t="s">
        <v>151</v>
      </c>
      <c r="BQ434" s="16" t="s">
        <v>151</v>
      </c>
      <c r="BR434" s="17" t="s">
        <v>9262</v>
      </c>
      <c r="BS434" s="17" t="s">
        <v>187</v>
      </c>
      <c r="BT434" s="17" t="s">
        <v>188</v>
      </c>
      <c r="BU434" s="22" t="s">
        <v>151</v>
      </c>
      <c r="BV434" s="24" t="s">
        <v>151</v>
      </c>
      <c r="BW434" s="17" t="s">
        <v>151</v>
      </c>
      <c r="BX434" s="24" t="s">
        <v>151</v>
      </c>
      <c r="BY434" s="17" t="s">
        <v>151</v>
      </c>
      <c r="BZ434" s="17" t="s">
        <v>189</v>
      </c>
      <c r="CA434" s="17" t="s">
        <v>151</v>
      </c>
      <c r="CB434" s="17" t="s">
        <v>151</v>
      </c>
      <c r="CC434" s="17" t="s">
        <v>190</v>
      </c>
      <c r="CD434" s="17" t="s">
        <v>151</v>
      </c>
      <c r="CE434" s="17" t="s">
        <v>191</v>
      </c>
      <c r="CF434" s="22">
        <v>45399</v>
      </c>
      <c r="CG434" s="24">
        <v>1.5</v>
      </c>
      <c r="CH434" s="17" t="s">
        <v>192</v>
      </c>
      <c r="CI434" s="24" t="s">
        <v>151</v>
      </c>
      <c r="CJ434" s="17" t="s">
        <v>151</v>
      </c>
      <c r="CK434" s="16" t="s">
        <v>151</v>
      </c>
      <c r="CL434" s="17" t="s">
        <v>293</v>
      </c>
      <c r="CM434" s="17" t="s">
        <v>293</v>
      </c>
      <c r="CN434" s="17" t="s">
        <v>151</v>
      </c>
      <c r="CO434" s="17" t="s">
        <v>165</v>
      </c>
      <c r="CP434" s="22">
        <v>45399</v>
      </c>
      <c r="CQ434" s="24" t="s">
        <v>151</v>
      </c>
      <c r="CR434" s="17" t="s">
        <v>151</v>
      </c>
      <c r="CS434" s="17" t="s">
        <v>191</v>
      </c>
      <c r="CT434" s="16" t="s">
        <v>151</v>
      </c>
      <c r="CU434" s="17" t="s">
        <v>151</v>
      </c>
      <c r="CV434" s="19" t="s">
        <v>151</v>
      </c>
      <c r="CW434" s="19" t="s">
        <v>151</v>
      </c>
      <c r="CX434" s="17" t="s">
        <v>151</v>
      </c>
      <c r="CY434" s="19" t="s">
        <v>151</v>
      </c>
      <c r="CZ434" s="19" t="s">
        <v>151</v>
      </c>
      <c r="DA434" s="24" t="s">
        <v>151</v>
      </c>
      <c r="DB434" s="22" t="s">
        <v>151</v>
      </c>
      <c r="DC434" s="17" t="s">
        <v>151</v>
      </c>
      <c r="DD434" s="16" t="s">
        <v>151</v>
      </c>
      <c r="DE434" s="19">
        <v>1.29</v>
      </c>
      <c r="DF434" s="21">
        <v>97</v>
      </c>
      <c r="DG434" s="19">
        <v>0</v>
      </c>
      <c r="DH434" s="19">
        <v>0</v>
      </c>
      <c r="DI434" s="19">
        <v>0</v>
      </c>
      <c r="DJ434" s="21">
        <v>10</v>
      </c>
      <c r="DK434" s="19" t="s">
        <v>151</v>
      </c>
      <c r="DL434" s="21" t="s">
        <v>151</v>
      </c>
      <c r="DM434" s="19">
        <v>0</v>
      </c>
      <c r="DN434" s="21">
        <v>10</v>
      </c>
      <c r="DO434" s="23">
        <v>1.08</v>
      </c>
      <c r="DP434" s="21">
        <v>52</v>
      </c>
      <c r="DQ434" s="23">
        <v>0</v>
      </c>
      <c r="DR434" s="19">
        <v>0</v>
      </c>
      <c r="DS434" s="23">
        <v>0.47</v>
      </c>
      <c r="DT434" s="21">
        <v>31</v>
      </c>
      <c r="DU434" s="23" t="s">
        <v>151</v>
      </c>
      <c r="DV434" s="21" t="s">
        <v>151</v>
      </c>
      <c r="DW434" s="23">
        <v>0.47</v>
      </c>
      <c r="DX434" s="21">
        <v>31</v>
      </c>
      <c r="DY434" s="18" t="s">
        <v>151</v>
      </c>
      <c r="DZ434" s="22" t="s">
        <v>151</v>
      </c>
      <c r="EA434" s="22" t="s">
        <v>151</v>
      </c>
      <c r="EB434" s="21">
        <v>375</v>
      </c>
      <c r="EC434" s="20">
        <v>-118</v>
      </c>
      <c r="ED434" s="19">
        <v>-23.94</v>
      </c>
      <c r="EE434" s="21">
        <v>9</v>
      </c>
      <c r="EF434" s="20">
        <v>1</v>
      </c>
      <c r="EG434" s="19">
        <v>12.5</v>
      </c>
      <c r="EH434" s="16" t="s">
        <v>198</v>
      </c>
      <c r="EI434" s="17" t="s">
        <v>151</v>
      </c>
      <c r="EJ434" s="17" t="s">
        <v>151</v>
      </c>
      <c r="EK434" s="18" t="s">
        <v>151</v>
      </c>
      <c r="EL434" s="18" t="s">
        <v>151</v>
      </c>
      <c r="EM434" s="18" t="s">
        <v>151</v>
      </c>
      <c r="EN434" s="18" t="s">
        <v>151</v>
      </c>
      <c r="EO434" s="18" t="s">
        <v>151</v>
      </c>
      <c r="EP434" s="17" t="s">
        <v>151</v>
      </c>
      <c r="EQ434" s="16" t="s">
        <v>151</v>
      </c>
      <c r="ER434" s="16" t="s">
        <v>151</v>
      </c>
      <c r="ES434" s="3">
        <f>HYPERLINK("https://my.pitchbook.com?c=536040-73","View Company Online")</f>
      </c>
    </row>
    <row r="435">
      <c r="A435" s="30" t="s">
        <v>9263</v>
      </c>
      <c r="B435" s="30" t="s">
        <v>9264</v>
      </c>
      <c r="C435" s="31" t="s">
        <v>151</v>
      </c>
      <c r="D435" s="30" t="s">
        <v>9265</v>
      </c>
      <c r="E435" s="30" t="s">
        <v>151</v>
      </c>
      <c r="F435" s="30" t="s">
        <v>9266</v>
      </c>
      <c r="G435" s="30" t="s">
        <v>151</v>
      </c>
      <c r="H435" s="30" t="s">
        <v>151</v>
      </c>
      <c r="I435" s="30" t="s">
        <v>151</v>
      </c>
      <c r="J435" s="30" t="s">
        <v>9263</v>
      </c>
      <c r="K435" s="30" t="s">
        <v>9267</v>
      </c>
      <c r="L435" s="30" t="s">
        <v>616</v>
      </c>
      <c r="M435" s="30" t="s">
        <v>834</v>
      </c>
      <c r="N435" s="30" t="s">
        <v>835</v>
      </c>
      <c r="O435" s="30" t="s">
        <v>9268</v>
      </c>
      <c r="P435" s="30" t="s">
        <v>9269</v>
      </c>
      <c r="Q435" s="30" t="s">
        <v>9270</v>
      </c>
      <c r="R435" s="30" t="s">
        <v>151</v>
      </c>
      <c r="S435" s="30" t="s">
        <v>162</v>
      </c>
      <c r="T435" s="37">
        <v>19.7</v>
      </c>
      <c r="U435" s="30" t="s">
        <v>163</v>
      </c>
      <c r="V435" s="30" t="s">
        <v>164</v>
      </c>
      <c r="W435" s="30" t="s">
        <v>165</v>
      </c>
      <c r="X435" s="28" t="s">
        <v>9271</v>
      </c>
      <c r="Y435" s="28" t="s">
        <v>9272</v>
      </c>
      <c r="Z435" s="40">
        <v>32</v>
      </c>
      <c r="AA435" s="30" t="s">
        <v>9273</v>
      </c>
      <c r="AB435" s="30" t="s">
        <v>151</v>
      </c>
      <c r="AC435" s="30" t="s">
        <v>151</v>
      </c>
      <c r="AD435" s="39">
        <v>2015</v>
      </c>
      <c r="AE435" s="30" t="s">
        <v>151</v>
      </c>
      <c r="AF435" s="35">
        <v>45616</v>
      </c>
      <c r="AG435" s="30" t="s">
        <v>151</v>
      </c>
      <c r="AH435" s="30" t="s">
        <v>151</v>
      </c>
      <c r="AI435" s="38" t="s">
        <v>151</v>
      </c>
      <c r="AJ435" s="32" t="s">
        <v>151</v>
      </c>
      <c r="AK435" s="38" t="s">
        <v>151</v>
      </c>
      <c r="AL435" s="38" t="s">
        <v>151</v>
      </c>
      <c r="AM435" s="38" t="s">
        <v>151</v>
      </c>
      <c r="AN435" s="38" t="s">
        <v>151</v>
      </c>
      <c r="AO435" s="38" t="s">
        <v>151</v>
      </c>
      <c r="AP435" s="38" t="s">
        <v>151</v>
      </c>
      <c r="AQ435" s="38" t="s">
        <v>151</v>
      </c>
      <c r="AR435" s="29" t="s">
        <v>151</v>
      </c>
      <c r="AS435" s="30" t="s">
        <v>9274</v>
      </c>
      <c r="AT435" s="30" t="s">
        <v>9275</v>
      </c>
      <c r="AU435" s="31">
        <v>19</v>
      </c>
      <c r="AV435" s="30" t="s">
        <v>151</v>
      </c>
      <c r="AW435" s="30" t="s">
        <v>151</v>
      </c>
      <c r="AX435" s="30" t="s">
        <v>151</v>
      </c>
      <c r="AY435" s="30" t="s">
        <v>9276</v>
      </c>
      <c r="AZ435" s="30" t="s">
        <v>151</v>
      </c>
      <c r="BA435" s="30" t="s">
        <v>151</v>
      </c>
      <c r="BB435" s="30" t="s">
        <v>151</v>
      </c>
      <c r="BC435" s="30" t="s">
        <v>151</v>
      </c>
      <c r="BD435" s="30" t="s">
        <v>9277</v>
      </c>
      <c r="BE435" s="30" t="s">
        <v>9278</v>
      </c>
      <c r="BF435" s="30" t="s">
        <v>5979</v>
      </c>
      <c r="BG435" s="30" t="s">
        <v>9279</v>
      </c>
      <c r="BH435" s="30" t="s">
        <v>5126</v>
      </c>
      <c r="BI435" s="30" t="s">
        <v>906</v>
      </c>
      <c r="BJ435" s="30" t="s">
        <v>9280</v>
      </c>
      <c r="BK435" s="30" t="s">
        <v>151</v>
      </c>
      <c r="BL435" s="30" t="s">
        <v>259</v>
      </c>
      <c r="BM435" s="30" t="s">
        <v>259</v>
      </c>
      <c r="BN435" s="29" t="s">
        <v>9247</v>
      </c>
      <c r="BO435" s="30" t="s">
        <v>186</v>
      </c>
      <c r="BP435" s="29" t="s">
        <v>5126</v>
      </c>
      <c r="BQ435" s="29" t="s">
        <v>151</v>
      </c>
      <c r="BR435" s="30" t="s">
        <v>9281</v>
      </c>
      <c r="BS435" s="30" t="s">
        <v>187</v>
      </c>
      <c r="BT435" s="30" t="s">
        <v>188</v>
      </c>
      <c r="BU435" s="35">
        <v>42005</v>
      </c>
      <c r="BV435" s="37" t="s">
        <v>151</v>
      </c>
      <c r="BW435" s="30" t="s">
        <v>151</v>
      </c>
      <c r="BX435" s="37" t="s">
        <v>151</v>
      </c>
      <c r="BY435" s="30" t="s">
        <v>151</v>
      </c>
      <c r="BZ435" s="30" t="s">
        <v>501</v>
      </c>
      <c r="CA435" s="30" t="s">
        <v>151</v>
      </c>
      <c r="CB435" s="30" t="s">
        <v>151</v>
      </c>
      <c r="CC435" s="30" t="s">
        <v>190</v>
      </c>
      <c r="CD435" s="30" t="s">
        <v>151</v>
      </c>
      <c r="CE435" s="30" t="s">
        <v>191</v>
      </c>
      <c r="CF435" s="35">
        <v>45175</v>
      </c>
      <c r="CG435" s="37" t="s">
        <v>151</v>
      </c>
      <c r="CH435" s="30" t="s">
        <v>151</v>
      </c>
      <c r="CI435" s="37" t="s">
        <v>151</v>
      </c>
      <c r="CJ435" s="30" t="s">
        <v>151</v>
      </c>
      <c r="CK435" s="29">
        <v>1.46</v>
      </c>
      <c r="CL435" s="30" t="s">
        <v>189</v>
      </c>
      <c r="CM435" s="30" t="s">
        <v>151</v>
      </c>
      <c r="CN435" s="30" t="s">
        <v>151</v>
      </c>
      <c r="CO435" s="30" t="s">
        <v>190</v>
      </c>
      <c r="CP435" s="35">
        <v>45175</v>
      </c>
      <c r="CQ435" s="37" t="s">
        <v>151</v>
      </c>
      <c r="CR435" s="30" t="s">
        <v>151</v>
      </c>
      <c r="CS435" s="30" t="s">
        <v>191</v>
      </c>
      <c r="CT435" s="29">
        <v>98</v>
      </c>
      <c r="CU435" s="30" t="s">
        <v>196</v>
      </c>
      <c r="CV435" s="32">
        <v>93</v>
      </c>
      <c r="CW435" s="32">
        <v>7</v>
      </c>
      <c r="CX435" s="30" t="s">
        <v>294</v>
      </c>
      <c r="CY435" s="32">
        <v>6</v>
      </c>
      <c r="CZ435" s="32">
        <v>87</v>
      </c>
      <c r="DA435" s="37">
        <v>50</v>
      </c>
      <c r="DB435" s="35">
        <v>44819</v>
      </c>
      <c r="DC435" s="30" t="s">
        <v>194</v>
      </c>
      <c r="DD435" s="29">
        <v>1.46</v>
      </c>
      <c r="DE435" s="32">
        <v>0.24</v>
      </c>
      <c r="DF435" s="34">
        <v>92</v>
      </c>
      <c r="DG435" s="32">
        <v>0</v>
      </c>
      <c r="DH435" s="32">
        <v>0</v>
      </c>
      <c r="DI435" s="32">
        <v>0.49</v>
      </c>
      <c r="DJ435" s="34">
        <v>95</v>
      </c>
      <c r="DK435" s="32" t="s">
        <v>151</v>
      </c>
      <c r="DL435" s="34" t="s">
        <v>151</v>
      </c>
      <c r="DM435" s="32">
        <v>0.49</v>
      </c>
      <c r="DN435" s="34">
        <v>95</v>
      </c>
      <c r="DO435" s="36">
        <v>9.73</v>
      </c>
      <c r="DP435" s="34">
        <v>90</v>
      </c>
      <c r="DQ435" s="36">
        <v>0</v>
      </c>
      <c r="DR435" s="32">
        <v>0</v>
      </c>
      <c r="DS435" s="36">
        <v>17</v>
      </c>
      <c r="DT435" s="34">
        <v>94</v>
      </c>
      <c r="DU435" s="36" t="s">
        <v>151</v>
      </c>
      <c r="DV435" s="34" t="s">
        <v>151</v>
      </c>
      <c r="DW435" s="36">
        <v>17</v>
      </c>
      <c r="DX435" s="34">
        <v>94</v>
      </c>
      <c r="DY435" s="31" t="s">
        <v>151</v>
      </c>
      <c r="DZ435" s="35" t="s">
        <v>151</v>
      </c>
      <c r="EA435" s="35" t="s">
        <v>151</v>
      </c>
      <c r="EB435" s="34">
        <v>1373</v>
      </c>
      <c r="EC435" s="33">
        <v>111</v>
      </c>
      <c r="ED435" s="32">
        <v>8.8</v>
      </c>
      <c r="EE435" s="34">
        <v>323</v>
      </c>
      <c r="EF435" s="33">
        <v>-1</v>
      </c>
      <c r="EG435" s="32">
        <v>-0.31</v>
      </c>
      <c r="EH435" s="29" t="s">
        <v>198</v>
      </c>
      <c r="EI435" s="30" t="s">
        <v>151</v>
      </c>
      <c r="EJ435" s="30" t="s">
        <v>151</v>
      </c>
      <c r="EK435" s="31" t="s">
        <v>151</v>
      </c>
      <c r="EL435" s="31" t="s">
        <v>151</v>
      </c>
      <c r="EM435" s="31" t="s">
        <v>151</v>
      </c>
      <c r="EN435" s="31" t="s">
        <v>151</v>
      </c>
      <c r="EO435" s="31" t="s">
        <v>151</v>
      </c>
      <c r="EP435" s="30" t="s">
        <v>151</v>
      </c>
      <c r="EQ435" s="29" t="s">
        <v>151</v>
      </c>
      <c r="ER435" s="29" t="s">
        <v>151</v>
      </c>
      <c r="ES435" s="4">
        <f>HYPERLINK("https://my.pitchbook.com?c=224060-59","View Company Online")</f>
      </c>
    </row>
    <row r="436">
      <c r="A436" s="17" t="s">
        <v>9282</v>
      </c>
      <c r="B436" s="17" t="s">
        <v>9283</v>
      </c>
      <c r="C436" s="18" t="s">
        <v>151</v>
      </c>
      <c r="D436" s="17" t="s">
        <v>151</v>
      </c>
      <c r="E436" s="17" t="s">
        <v>9284</v>
      </c>
      <c r="F436" s="17" t="s">
        <v>9285</v>
      </c>
      <c r="G436" s="17" t="s">
        <v>151</v>
      </c>
      <c r="H436" s="17" t="s">
        <v>151</v>
      </c>
      <c r="I436" s="17" t="s">
        <v>9286</v>
      </c>
      <c r="J436" s="17" t="s">
        <v>9282</v>
      </c>
      <c r="K436" s="17" t="s">
        <v>9287</v>
      </c>
      <c r="L436" s="17" t="s">
        <v>1178</v>
      </c>
      <c r="M436" s="17" t="s">
        <v>1179</v>
      </c>
      <c r="N436" s="17" t="s">
        <v>1179</v>
      </c>
      <c r="O436" s="17" t="s">
        <v>9288</v>
      </c>
      <c r="P436" s="17" t="s">
        <v>9289</v>
      </c>
      <c r="Q436" s="17" t="s">
        <v>9290</v>
      </c>
      <c r="R436" s="17" t="s">
        <v>9291</v>
      </c>
      <c r="S436" s="17" t="s">
        <v>162</v>
      </c>
      <c r="T436" s="24">
        <v>32</v>
      </c>
      <c r="U436" s="17" t="s">
        <v>163</v>
      </c>
      <c r="V436" s="17" t="s">
        <v>164</v>
      </c>
      <c r="W436" s="17" t="s">
        <v>165</v>
      </c>
      <c r="X436" s="15" t="s">
        <v>9292</v>
      </c>
      <c r="Y436" s="15" t="s">
        <v>9293</v>
      </c>
      <c r="Z436" s="27">
        <v>35</v>
      </c>
      <c r="AA436" s="17" t="s">
        <v>9294</v>
      </c>
      <c r="AB436" s="17" t="s">
        <v>151</v>
      </c>
      <c r="AC436" s="17" t="s">
        <v>151</v>
      </c>
      <c r="AD436" s="26">
        <v>2021</v>
      </c>
      <c r="AE436" s="17" t="s">
        <v>151</v>
      </c>
      <c r="AF436" s="22">
        <v>45615</v>
      </c>
      <c r="AG436" s="17" t="s">
        <v>151</v>
      </c>
      <c r="AH436" s="17" t="s">
        <v>151</v>
      </c>
      <c r="AI436" s="25" t="s">
        <v>151</v>
      </c>
      <c r="AJ436" s="19" t="s">
        <v>151</v>
      </c>
      <c r="AK436" s="25" t="s">
        <v>151</v>
      </c>
      <c r="AL436" s="25" t="s">
        <v>151</v>
      </c>
      <c r="AM436" s="25" t="s">
        <v>151</v>
      </c>
      <c r="AN436" s="25" t="s">
        <v>151</v>
      </c>
      <c r="AO436" s="25" t="s">
        <v>151</v>
      </c>
      <c r="AP436" s="25" t="s">
        <v>151</v>
      </c>
      <c r="AQ436" s="25" t="s">
        <v>151</v>
      </c>
      <c r="AR436" s="16" t="s">
        <v>151</v>
      </c>
      <c r="AS436" s="17" t="s">
        <v>9295</v>
      </c>
      <c r="AT436" s="17" t="s">
        <v>9296</v>
      </c>
      <c r="AU436" s="18">
        <v>22</v>
      </c>
      <c r="AV436" s="17" t="s">
        <v>151</v>
      </c>
      <c r="AW436" s="17" t="s">
        <v>151</v>
      </c>
      <c r="AX436" s="17" t="s">
        <v>151</v>
      </c>
      <c r="AY436" s="17" t="s">
        <v>9297</v>
      </c>
      <c r="AZ436" s="17" t="s">
        <v>151</v>
      </c>
      <c r="BA436" s="17" t="s">
        <v>151</v>
      </c>
      <c r="BB436" s="17" t="s">
        <v>151</v>
      </c>
      <c r="BC436" s="17" t="s">
        <v>1115</v>
      </c>
      <c r="BD436" s="17" t="s">
        <v>9298</v>
      </c>
      <c r="BE436" s="17" t="s">
        <v>9299</v>
      </c>
      <c r="BF436" s="17" t="s">
        <v>731</v>
      </c>
      <c r="BG436" s="17" t="s">
        <v>9300</v>
      </c>
      <c r="BH436" s="17" t="s">
        <v>9301</v>
      </c>
      <c r="BI436" s="17" t="s">
        <v>906</v>
      </c>
      <c r="BJ436" s="17" t="s">
        <v>9302</v>
      </c>
      <c r="BK436" s="17" t="s">
        <v>151</v>
      </c>
      <c r="BL436" s="17" t="s">
        <v>259</v>
      </c>
      <c r="BM436" s="17" t="s">
        <v>259</v>
      </c>
      <c r="BN436" s="16" t="s">
        <v>5984</v>
      </c>
      <c r="BO436" s="17" t="s">
        <v>186</v>
      </c>
      <c r="BP436" s="16" t="s">
        <v>9301</v>
      </c>
      <c r="BQ436" s="16" t="s">
        <v>151</v>
      </c>
      <c r="BR436" s="17" t="s">
        <v>9303</v>
      </c>
      <c r="BS436" s="17" t="s">
        <v>187</v>
      </c>
      <c r="BT436" s="17" t="s">
        <v>188</v>
      </c>
      <c r="BU436" s="22">
        <v>44748</v>
      </c>
      <c r="BV436" s="24">
        <v>32</v>
      </c>
      <c r="BW436" s="17" t="s">
        <v>192</v>
      </c>
      <c r="BX436" s="24" t="s">
        <v>151</v>
      </c>
      <c r="BY436" s="17" t="s">
        <v>151</v>
      </c>
      <c r="BZ436" s="17" t="s">
        <v>231</v>
      </c>
      <c r="CA436" s="17" t="s">
        <v>232</v>
      </c>
      <c r="CB436" s="17" t="s">
        <v>151</v>
      </c>
      <c r="CC436" s="17" t="s">
        <v>165</v>
      </c>
      <c r="CD436" s="17" t="s">
        <v>151</v>
      </c>
      <c r="CE436" s="17" t="s">
        <v>191</v>
      </c>
      <c r="CF436" s="22">
        <v>44748</v>
      </c>
      <c r="CG436" s="24">
        <v>32</v>
      </c>
      <c r="CH436" s="17" t="s">
        <v>192</v>
      </c>
      <c r="CI436" s="24" t="s">
        <v>151</v>
      </c>
      <c r="CJ436" s="17" t="s">
        <v>151</v>
      </c>
      <c r="CK436" s="16" t="s">
        <v>151</v>
      </c>
      <c r="CL436" s="17" t="s">
        <v>231</v>
      </c>
      <c r="CM436" s="17" t="s">
        <v>232</v>
      </c>
      <c r="CN436" s="17" t="s">
        <v>151</v>
      </c>
      <c r="CO436" s="17" t="s">
        <v>165</v>
      </c>
      <c r="CP436" s="22">
        <v>44748</v>
      </c>
      <c r="CQ436" s="24" t="s">
        <v>151</v>
      </c>
      <c r="CR436" s="17" t="s">
        <v>151</v>
      </c>
      <c r="CS436" s="17" t="s">
        <v>191</v>
      </c>
      <c r="CT436" s="16" t="s">
        <v>151</v>
      </c>
      <c r="CU436" s="17" t="s">
        <v>151</v>
      </c>
      <c r="CV436" s="19" t="s">
        <v>151</v>
      </c>
      <c r="CW436" s="19" t="s">
        <v>151</v>
      </c>
      <c r="CX436" s="17" t="s">
        <v>151</v>
      </c>
      <c r="CY436" s="19" t="s">
        <v>151</v>
      </c>
      <c r="CZ436" s="19" t="s">
        <v>151</v>
      </c>
      <c r="DA436" s="24" t="s">
        <v>151</v>
      </c>
      <c r="DB436" s="22" t="s">
        <v>151</v>
      </c>
      <c r="DC436" s="17" t="s">
        <v>151</v>
      </c>
      <c r="DD436" s="16" t="s">
        <v>151</v>
      </c>
      <c r="DE436" s="19">
        <v>4</v>
      </c>
      <c r="DF436" s="21">
        <v>100</v>
      </c>
      <c r="DG436" s="19">
        <v>0</v>
      </c>
      <c r="DH436" s="19">
        <v>0</v>
      </c>
      <c r="DI436" s="19">
        <v>-0.69</v>
      </c>
      <c r="DJ436" s="21">
        <v>6</v>
      </c>
      <c r="DK436" s="19" t="s">
        <v>151</v>
      </c>
      <c r="DL436" s="21" t="s">
        <v>151</v>
      </c>
      <c r="DM436" s="19">
        <v>-0.69</v>
      </c>
      <c r="DN436" s="21">
        <v>5</v>
      </c>
      <c r="DO436" s="23">
        <v>15.11</v>
      </c>
      <c r="DP436" s="21">
        <v>93</v>
      </c>
      <c r="DQ436" s="23">
        <v>0</v>
      </c>
      <c r="DR436" s="19">
        <v>0</v>
      </c>
      <c r="DS436" s="23">
        <v>27.53</v>
      </c>
      <c r="DT436" s="21">
        <v>96</v>
      </c>
      <c r="DU436" s="23" t="s">
        <v>151</v>
      </c>
      <c r="DV436" s="21" t="s">
        <v>151</v>
      </c>
      <c r="DW436" s="23">
        <v>27.53</v>
      </c>
      <c r="DX436" s="21">
        <v>96</v>
      </c>
      <c r="DY436" s="18" t="s">
        <v>151</v>
      </c>
      <c r="DZ436" s="22" t="s">
        <v>151</v>
      </c>
      <c r="EA436" s="22" t="s">
        <v>151</v>
      </c>
      <c r="EB436" s="21">
        <v>2021</v>
      </c>
      <c r="EC436" s="20">
        <v>-219</v>
      </c>
      <c r="ED436" s="19">
        <v>-9.78</v>
      </c>
      <c r="EE436" s="21">
        <v>523</v>
      </c>
      <c r="EF436" s="20">
        <v>0</v>
      </c>
      <c r="EG436" s="19">
        <v>0</v>
      </c>
      <c r="EH436" s="16" t="s">
        <v>198</v>
      </c>
      <c r="EI436" s="17" t="s">
        <v>151</v>
      </c>
      <c r="EJ436" s="17" t="s">
        <v>151</v>
      </c>
      <c r="EK436" s="18" t="s">
        <v>151</v>
      </c>
      <c r="EL436" s="18" t="s">
        <v>151</v>
      </c>
      <c r="EM436" s="18" t="s">
        <v>151</v>
      </c>
      <c r="EN436" s="18" t="s">
        <v>151</v>
      </c>
      <c r="EO436" s="18" t="s">
        <v>151</v>
      </c>
      <c r="EP436" s="17" t="s">
        <v>151</v>
      </c>
      <c r="EQ436" s="16" t="s">
        <v>151</v>
      </c>
      <c r="ER436" s="16" t="s">
        <v>151</v>
      </c>
      <c r="ES436" s="3">
        <f>HYPERLINK("https://my.pitchbook.com?c=489934-63","View Company Online")</f>
      </c>
    </row>
    <row r="437">
      <c r="A437" s="30" t="s">
        <v>9304</v>
      </c>
      <c r="B437" s="30" t="s">
        <v>9305</v>
      </c>
      <c r="C437" s="31" t="s">
        <v>151</v>
      </c>
      <c r="D437" s="30" t="s">
        <v>151</v>
      </c>
      <c r="E437" s="30" t="s">
        <v>151</v>
      </c>
      <c r="F437" s="30" t="s">
        <v>9306</v>
      </c>
      <c r="G437" s="30" t="s">
        <v>151</v>
      </c>
      <c r="H437" s="30" t="s">
        <v>151</v>
      </c>
      <c r="I437" s="30" t="s">
        <v>9307</v>
      </c>
      <c r="J437" s="30" t="s">
        <v>9304</v>
      </c>
      <c r="K437" s="30" t="s">
        <v>9308</v>
      </c>
      <c r="L437" s="30" t="s">
        <v>205</v>
      </c>
      <c r="M437" s="30" t="s">
        <v>206</v>
      </c>
      <c r="N437" s="30" t="s">
        <v>269</v>
      </c>
      <c r="O437" s="30" t="s">
        <v>3703</v>
      </c>
      <c r="P437" s="30" t="s">
        <v>9309</v>
      </c>
      <c r="Q437" s="30" t="s">
        <v>9310</v>
      </c>
      <c r="R437" s="30" t="s">
        <v>151</v>
      </c>
      <c r="S437" s="30" t="s">
        <v>162</v>
      </c>
      <c r="T437" s="37">
        <v>7.2</v>
      </c>
      <c r="U437" s="30" t="s">
        <v>163</v>
      </c>
      <c r="V437" s="30" t="s">
        <v>164</v>
      </c>
      <c r="W437" s="30" t="s">
        <v>165</v>
      </c>
      <c r="X437" s="28" t="s">
        <v>9311</v>
      </c>
      <c r="Y437" s="28" t="s">
        <v>9312</v>
      </c>
      <c r="Z437" s="40">
        <v>32</v>
      </c>
      <c r="AA437" s="30" t="s">
        <v>9313</v>
      </c>
      <c r="AB437" s="30" t="s">
        <v>151</v>
      </c>
      <c r="AC437" s="30" t="s">
        <v>151</v>
      </c>
      <c r="AD437" s="39">
        <v>2015</v>
      </c>
      <c r="AE437" s="30" t="s">
        <v>151</v>
      </c>
      <c r="AF437" s="35">
        <v>45485</v>
      </c>
      <c r="AG437" s="30" t="s">
        <v>151</v>
      </c>
      <c r="AH437" s="30" t="s">
        <v>151</v>
      </c>
      <c r="AI437" s="38" t="s">
        <v>151</v>
      </c>
      <c r="AJ437" s="32" t="s">
        <v>151</v>
      </c>
      <c r="AK437" s="38" t="s">
        <v>151</v>
      </c>
      <c r="AL437" s="38" t="s">
        <v>151</v>
      </c>
      <c r="AM437" s="38" t="s">
        <v>151</v>
      </c>
      <c r="AN437" s="38" t="s">
        <v>151</v>
      </c>
      <c r="AO437" s="38" t="s">
        <v>151</v>
      </c>
      <c r="AP437" s="38" t="s">
        <v>151</v>
      </c>
      <c r="AQ437" s="38" t="s">
        <v>151</v>
      </c>
      <c r="AR437" s="29" t="s">
        <v>151</v>
      </c>
      <c r="AS437" s="30" t="s">
        <v>9314</v>
      </c>
      <c r="AT437" s="30" t="s">
        <v>9315</v>
      </c>
      <c r="AU437" s="31">
        <v>7</v>
      </c>
      <c r="AV437" s="30" t="s">
        <v>151</v>
      </c>
      <c r="AW437" s="30" t="s">
        <v>151</v>
      </c>
      <c r="AX437" s="30" t="s">
        <v>151</v>
      </c>
      <c r="AY437" s="30" t="s">
        <v>9316</v>
      </c>
      <c r="AZ437" s="30" t="s">
        <v>151</v>
      </c>
      <c r="BA437" s="30" t="s">
        <v>151</v>
      </c>
      <c r="BB437" s="30" t="s">
        <v>151</v>
      </c>
      <c r="BC437" s="30" t="s">
        <v>151</v>
      </c>
      <c r="BD437" s="30" t="s">
        <v>9317</v>
      </c>
      <c r="BE437" s="30" t="s">
        <v>9318</v>
      </c>
      <c r="BF437" s="30" t="s">
        <v>403</v>
      </c>
      <c r="BG437" s="30" t="s">
        <v>9319</v>
      </c>
      <c r="BH437" s="30" t="s">
        <v>9320</v>
      </c>
      <c r="BI437" s="30" t="s">
        <v>906</v>
      </c>
      <c r="BJ437" s="30" t="s">
        <v>9321</v>
      </c>
      <c r="BK437" s="30" t="s">
        <v>1574</v>
      </c>
      <c r="BL437" s="30" t="s">
        <v>259</v>
      </c>
      <c r="BM437" s="30" t="s">
        <v>259</v>
      </c>
      <c r="BN437" s="29" t="s">
        <v>7894</v>
      </c>
      <c r="BO437" s="30" t="s">
        <v>186</v>
      </c>
      <c r="BP437" s="29" t="s">
        <v>9320</v>
      </c>
      <c r="BQ437" s="29" t="s">
        <v>151</v>
      </c>
      <c r="BR437" s="30" t="s">
        <v>9322</v>
      </c>
      <c r="BS437" s="30" t="s">
        <v>187</v>
      </c>
      <c r="BT437" s="30" t="s">
        <v>188</v>
      </c>
      <c r="BU437" s="35">
        <v>43319</v>
      </c>
      <c r="BV437" s="37">
        <v>0.2</v>
      </c>
      <c r="BW437" s="30" t="s">
        <v>193</v>
      </c>
      <c r="BX437" s="37" t="s">
        <v>151</v>
      </c>
      <c r="BY437" s="30" t="s">
        <v>151</v>
      </c>
      <c r="BZ437" s="30" t="s">
        <v>189</v>
      </c>
      <c r="CA437" s="30" t="s">
        <v>151</v>
      </c>
      <c r="CB437" s="30" t="s">
        <v>151</v>
      </c>
      <c r="CC437" s="30" t="s">
        <v>190</v>
      </c>
      <c r="CD437" s="30" t="s">
        <v>151</v>
      </c>
      <c r="CE437" s="30" t="s">
        <v>191</v>
      </c>
      <c r="CF437" s="35">
        <v>44684</v>
      </c>
      <c r="CG437" s="37">
        <v>3.15</v>
      </c>
      <c r="CH437" s="30" t="s">
        <v>192</v>
      </c>
      <c r="CI437" s="37" t="s">
        <v>151</v>
      </c>
      <c r="CJ437" s="30" t="s">
        <v>151</v>
      </c>
      <c r="CK437" s="29" t="s">
        <v>151</v>
      </c>
      <c r="CL437" s="30" t="s">
        <v>293</v>
      </c>
      <c r="CM437" s="30" t="s">
        <v>293</v>
      </c>
      <c r="CN437" s="30" t="s">
        <v>151</v>
      </c>
      <c r="CO437" s="30" t="s">
        <v>165</v>
      </c>
      <c r="CP437" s="35">
        <v>44684</v>
      </c>
      <c r="CQ437" s="37" t="s">
        <v>151</v>
      </c>
      <c r="CR437" s="30" t="s">
        <v>151</v>
      </c>
      <c r="CS437" s="30" t="s">
        <v>191</v>
      </c>
      <c r="CT437" s="29">
        <v>86</v>
      </c>
      <c r="CU437" s="30" t="s">
        <v>196</v>
      </c>
      <c r="CV437" s="32">
        <v>78</v>
      </c>
      <c r="CW437" s="32">
        <v>22</v>
      </c>
      <c r="CX437" s="30" t="s">
        <v>294</v>
      </c>
      <c r="CY437" s="32">
        <v>1</v>
      </c>
      <c r="CZ437" s="32">
        <v>77</v>
      </c>
      <c r="DA437" s="37">
        <v>10.7</v>
      </c>
      <c r="DB437" s="35">
        <v>44460</v>
      </c>
      <c r="DC437" s="30" t="s">
        <v>293</v>
      </c>
      <c r="DD437" s="29" t="s">
        <v>151</v>
      </c>
      <c r="DE437" s="32">
        <v>0.35</v>
      </c>
      <c r="DF437" s="34">
        <v>93</v>
      </c>
      <c r="DG437" s="32">
        <v>0</v>
      </c>
      <c r="DH437" s="32">
        <v>0</v>
      </c>
      <c r="DI437" s="32">
        <v>1.08</v>
      </c>
      <c r="DJ437" s="34">
        <v>97</v>
      </c>
      <c r="DK437" s="32" t="s">
        <v>151</v>
      </c>
      <c r="DL437" s="34" t="s">
        <v>151</v>
      </c>
      <c r="DM437" s="32">
        <v>1.08</v>
      </c>
      <c r="DN437" s="34">
        <v>97</v>
      </c>
      <c r="DO437" s="36">
        <v>10.84</v>
      </c>
      <c r="DP437" s="34">
        <v>91</v>
      </c>
      <c r="DQ437" s="36">
        <v>0</v>
      </c>
      <c r="DR437" s="32">
        <v>0</v>
      </c>
      <c r="DS437" s="36">
        <v>19.21</v>
      </c>
      <c r="DT437" s="34">
        <v>95</v>
      </c>
      <c r="DU437" s="36" t="s">
        <v>151</v>
      </c>
      <c r="DV437" s="34" t="s">
        <v>151</v>
      </c>
      <c r="DW437" s="36">
        <v>19.21</v>
      </c>
      <c r="DX437" s="34">
        <v>95</v>
      </c>
      <c r="DY437" s="31" t="s">
        <v>151</v>
      </c>
      <c r="DZ437" s="35" t="s">
        <v>151</v>
      </c>
      <c r="EA437" s="35" t="s">
        <v>151</v>
      </c>
      <c r="EB437" s="34">
        <v>6854</v>
      </c>
      <c r="EC437" s="33">
        <v>565</v>
      </c>
      <c r="ED437" s="32">
        <v>8.98</v>
      </c>
      <c r="EE437" s="34">
        <v>365</v>
      </c>
      <c r="EF437" s="33">
        <v>1</v>
      </c>
      <c r="EG437" s="32">
        <v>0.27</v>
      </c>
      <c r="EH437" s="29" t="s">
        <v>198</v>
      </c>
      <c r="EI437" s="30" t="s">
        <v>151</v>
      </c>
      <c r="EJ437" s="30" t="s">
        <v>151</v>
      </c>
      <c r="EK437" s="31" t="s">
        <v>151</v>
      </c>
      <c r="EL437" s="31" t="s">
        <v>151</v>
      </c>
      <c r="EM437" s="31" t="s">
        <v>151</v>
      </c>
      <c r="EN437" s="31" t="s">
        <v>151</v>
      </c>
      <c r="EO437" s="31" t="s">
        <v>151</v>
      </c>
      <c r="EP437" s="30" t="s">
        <v>151</v>
      </c>
      <c r="EQ437" s="29" t="s">
        <v>151</v>
      </c>
      <c r="ER437" s="29" t="s">
        <v>151</v>
      </c>
      <c r="ES437" s="4">
        <f>HYPERLINK("https://my.pitchbook.com?c=268050-07","View Company Online")</f>
      </c>
    </row>
    <row r="438">
      <c r="A438" s="17" t="s">
        <v>9323</v>
      </c>
      <c r="B438" s="17" t="s">
        <v>9324</v>
      </c>
      <c r="C438" s="18" t="s">
        <v>151</v>
      </c>
      <c r="D438" s="17" t="s">
        <v>9325</v>
      </c>
      <c r="E438" s="17" t="s">
        <v>9326</v>
      </c>
      <c r="F438" s="17" t="s">
        <v>9327</v>
      </c>
      <c r="G438" s="17" t="s">
        <v>151</v>
      </c>
      <c r="H438" s="17" t="s">
        <v>151</v>
      </c>
      <c r="I438" s="17" t="s">
        <v>151</v>
      </c>
      <c r="J438" s="17" t="s">
        <v>9323</v>
      </c>
      <c r="K438" s="17" t="s">
        <v>9328</v>
      </c>
      <c r="L438" s="17" t="s">
        <v>155</v>
      </c>
      <c r="M438" s="17" t="s">
        <v>2320</v>
      </c>
      <c r="N438" s="17" t="s">
        <v>2321</v>
      </c>
      <c r="O438" s="17" t="s">
        <v>2322</v>
      </c>
      <c r="P438" s="17" t="s">
        <v>2640</v>
      </c>
      <c r="Q438" s="17" t="s">
        <v>9329</v>
      </c>
      <c r="R438" s="17" t="s">
        <v>151</v>
      </c>
      <c r="S438" s="17" t="s">
        <v>162</v>
      </c>
      <c r="T438" s="24">
        <v>4.1</v>
      </c>
      <c r="U438" s="17" t="s">
        <v>163</v>
      </c>
      <c r="V438" s="17" t="s">
        <v>164</v>
      </c>
      <c r="W438" s="17" t="s">
        <v>165</v>
      </c>
      <c r="X438" s="15" t="s">
        <v>9330</v>
      </c>
      <c r="Y438" s="15" t="s">
        <v>9331</v>
      </c>
      <c r="Z438" s="27">
        <v>6</v>
      </c>
      <c r="AA438" s="17" t="s">
        <v>2534</v>
      </c>
      <c r="AB438" s="17" t="s">
        <v>151</v>
      </c>
      <c r="AC438" s="17" t="s">
        <v>151</v>
      </c>
      <c r="AD438" s="26">
        <v>2022</v>
      </c>
      <c r="AE438" s="17" t="s">
        <v>151</v>
      </c>
      <c r="AF438" s="22">
        <v>45595</v>
      </c>
      <c r="AG438" s="17" t="s">
        <v>151</v>
      </c>
      <c r="AH438" s="17" t="s">
        <v>151</v>
      </c>
      <c r="AI438" s="25">
        <v>2</v>
      </c>
      <c r="AJ438" s="19">
        <v>400</v>
      </c>
      <c r="AK438" s="25" t="s">
        <v>151</v>
      </c>
      <c r="AL438" s="25" t="s">
        <v>151</v>
      </c>
      <c r="AM438" s="25" t="s">
        <v>151</v>
      </c>
      <c r="AN438" s="25" t="s">
        <v>151</v>
      </c>
      <c r="AO438" s="25" t="s">
        <v>151</v>
      </c>
      <c r="AP438" s="25" t="s">
        <v>151</v>
      </c>
      <c r="AQ438" s="25" t="s">
        <v>151</v>
      </c>
      <c r="AR438" s="16" t="s">
        <v>170</v>
      </c>
      <c r="AS438" s="17" t="s">
        <v>9332</v>
      </c>
      <c r="AT438" s="17" t="s">
        <v>9333</v>
      </c>
      <c r="AU438" s="18">
        <v>11</v>
      </c>
      <c r="AV438" s="17" t="s">
        <v>151</v>
      </c>
      <c r="AW438" s="17" t="s">
        <v>151</v>
      </c>
      <c r="AX438" s="17" t="s">
        <v>151</v>
      </c>
      <c r="AY438" s="17" t="s">
        <v>9334</v>
      </c>
      <c r="AZ438" s="17" t="s">
        <v>151</v>
      </c>
      <c r="BA438" s="17" t="s">
        <v>151</v>
      </c>
      <c r="BB438" s="17" t="s">
        <v>151</v>
      </c>
      <c r="BC438" s="17" t="s">
        <v>151</v>
      </c>
      <c r="BD438" s="17" t="s">
        <v>9335</v>
      </c>
      <c r="BE438" s="17" t="s">
        <v>9336</v>
      </c>
      <c r="BF438" s="17" t="s">
        <v>403</v>
      </c>
      <c r="BG438" s="17" t="s">
        <v>9337</v>
      </c>
      <c r="BH438" s="17" t="s">
        <v>151</v>
      </c>
      <c r="BI438" s="17" t="s">
        <v>6102</v>
      </c>
      <c r="BJ438" s="17" t="s">
        <v>9338</v>
      </c>
      <c r="BK438" s="17" t="s">
        <v>151</v>
      </c>
      <c r="BL438" s="17" t="s">
        <v>6104</v>
      </c>
      <c r="BM438" s="17" t="s">
        <v>184</v>
      </c>
      <c r="BN438" s="16" t="s">
        <v>9339</v>
      </c>
      <c r="BO438" s="17" t="s">
        <v>186</v>
      </c>
      <c r="BP438" s="16" t="s">
        <v>151</v>
      </c>
      <c r="BQ438" s="16" t="s">
        <v>151</v>
      </c>
      <c r="BR438" s="17" t="s">
        <v>9340</v>
      </c>
      <c r="BS438" s="17" t="s">
        <v>187</v>
      </c>
      <c r="BT438" s="17" t="s">
        <v>188</v>
      </c>
      <c r="BU438" s="22">
        <v>45436</v>
      </c>
      <c r="BV438" s="24" t="s">
        <v>151</v>
      </c>
      <c r="BW438" s="17" t="s">
        <v>151</v>
      </c>
      <c r="BX438" s="24" t="s">
        <v>151</v>
      </c>
      <c r="BY438" s="17" t="s">
        <v>151</v>
      </c>
      <c r="BZ438" s="17" t="s">
        <v>189</v>
      </c>
      <c r="CA438" s="17" t="s">
        <v>151</v>
      </c>
      <c r="CB438" s="17" t="s">
        <v>151</v>
      </c>
      <c r="CC438" s="17" t="s">
        <v>190</v>
      </c>
      <c r="CD438" s="17" t="s">
        <v>151</v>
      </c>
      <c r="CE438" s="17" t="s">
        <v>191</v>
      </c>
      <c r="CF438" s="22">
        <v>45505</v>
      </c>
      <c r="CG438" s="24">
        <v>4.1</v>
      </c>
      <c r="CH438" s="17" t="s">
        <v>192</v>
      </c>
      <c r="CI438" s="24" t="s">
        <v>151</v>
      </c>
      <c r="CJ438" s="17" t="s">
        <v>151</v>
      </c>
      <c r="CK438" s="16" t="s">
        <v>151</v>
      </c>
      <c r="CL438" s="17" t="s">
        <v>293</v>
      </c>
      <c r="CM438" s="17" t="s">
        <v>293</v>
      </c>
      <c r="CN438" s="17" t="s">
        <v>151</v>
      </c>
      <c r="CO438" s="17" t="s">
        <v>165</v>
      </c>
      <c r="CP438" s="22">
        <v>45505</v>
      </c>
      <c r="CQ438" s="24" t="s">
        <v>151</v>
      </c>
      <c r="CR438" s="17" t="s">
        <v>151</v>
      </c>
      <c r="CS438" s="17" t="s">
        <v>191</v>
      </c>
      <c r="CT438" s="16" t="s">
        <v>151</v>
      </c>
      <c r="CU438" s="17" t="s">
        <v>151</v>
      </c>
      <c r="CV438" s="19" t="s">
        <v>151</v>
      </c>
      <c r="CW438" s="19" t="s">
        <v>151</v>
      </c>
      <c r="CX438" s="17" t="s">
        <v>151</v>
      </c>
      <c r="CY438" s="19" t="s">
        <v>151</v>
      </c>
      <c r="CZ438" s="19" t="s">
        <v>151</v>
      </c>
      <c r="DA438" s="24" t="s">
        <v>151</v>
      </c>
      <c r="DB438" s="22" t="s">
        <v>151</v>
      </c>
      <c r="DC438" s="17" t="s">
        <v>151</v>
      </c>
      <c r="DD438" s="16" t="s">
        <v>151</v>
      </c>
      <c r="DE438" s="19">
        <v>0</v>
      </c>
      <c r="DF438" s="21">
        <v>11</v>
      </c>
      <c r="DG438" s="19">
        <v>0</v>
      </c>
      <c r="DH438" s="19">
        <v>0</v>
      </c>
      <c r="DI438" s="19">
        <v>0</v>
      </c>
      <c r="DJ438" s="21">
        <v>10</v>
      </c>
      <c r="DK438" s="19" t="s">
        <v>151</v>
      </c>
      <c r="DL438" s="21" t="s">
        <v>151</v>
      </c>
      <c r="DM438" s="19">
        <v>0</v>
      </c>
      <c r="DN438" s="21">
        <v>10</v>
      </c>
      <c r="DO438" s="23">
        <v>0.91</v>
      </c>
      <c r="DP438" s="21">
        <v>48</v>
      </c>
      <c r="DQ438" s="23">
        <v>0</v>
      </c>
      <c r="DR438" s="19">
        <v>0</v>
      </c>
      <c r="DS438" s="23">
        <v>1.37</v>
      </c>
      <c r="DT438" s="21">
        <v>57</v>
      </c>
      <c r="DU438" s="23" t="s">
        <v>151</v>
      </c>
      <c r="DV438" s="21" t="s">
        <v>151</v>
      </c>
      <c r="DW438" s="23">
        <v>1.37</v>
      </c>
      <c r="DX438" s="21">
        <v>57</v>
      </c>
      <c r="DY438" s="18" t="s">
        <v>151</v>
      </c>
      <c r="DZ438" s="22" t="s">
        <v>151</v>
      </c>
      <c r="EA438" s="22" t="s">
        <v>151</v>
      </c>
      <c r="EB438" s="21">
        <v>10457</v>
      </c>
      <c r="EC438" s="20">
        <v>293</v>
      </c>
      <c r="ED438" s="19">
        <v>2.88</v>
      </c>
      <c r="EE438" s="21">
        <v>26</v>
      </c>
      <c r="EF438" s="20">
        <v>0</v>
      </c>
      <c r="EG438" s="19">
        <v>0</v>
      </c>
      <c r="EH438" s="16" t="s">
        <v>198</v>
      </c>
      <c r="EI438" s="17" t="s">
        <v>151</v>
      </c>
      <c r="EJ438" s="17" t="s">
        <v>151</v>
      </c>
      <c r="EK438" s="18" t="s">
        <v>151</v>
      </c>
      <c r="EL438" s="18" t="s">
        <v>151</v>
      </c>
      <c r="EM438" s="18" t="s">
        <v>151</v>
      </c>
      <c r="EN438" s="18" t="s">
        <v>151</v>
      </c>
      <c r="EO438" s="18" t="s">
        <v>151</v>
      </c>
      <c r="EP438" s="17" t="s">
        <v>151</v>
      </c>
      <c r="EQ438" s="16" t="s">
        <v>151</v>
      </c>
      <c r="ER438" s="16" t="s">
        <v>151</v>
      </c>
      <c r="ES438" s="3">
        <f>HYPERLINK("https://my.pitchbook.com?c=500617-99","View Company Online")</f>
      </c>
    </row>
    <row r="439">
      <c r="A439" s="30" t="s">
        <v>9341</v>
      </c>
      <c r="B439" s="30" t="s">
        <v>9342</v>
      </c>
      <c r="C439" s="31" t="s">
        <v>151</v>
      </c>
      <c r="D439" s="30" t="s">
        <v>151</v>
      </c>
      <c r="E439" s="30" t="s">
        <v>151</v>
      </c>
      <c r="F439" s="30" t="s">
        <v>9343</v>
      </c>
      <c r="G439" s="30" t="s">
        <v>151</v>
      </c>
      <c r="H439" s="30" t="s">
        <v>151</v>
      </c>
      <c r="I439" s="30" t="s">
        <v>151</v>
      </c>
      <c r="J439" s="30" t="s">
        <v>9341</v>
      </c>
      <c r="K439" s="30" t="s">
        <v>9344</v>
      </c>
      <c r="L439" s="30" t="s">
        <v>205</v>
      </c>
      <c r="M439" s="30" t="s">
        <v>206</v>
      </c>
      <c r="N439" s="30" t="s">
        <v>917</v>
      </c>
      <c r="O439" s="30" t="s">
        <v>9345</v>
      </c>
      <c r="P439" s="30" t="s">
        <v>919</v>
      </c>
      <c r="Q439" s="30" t="s">
        <v>9346</v>
      </c>
      <c r="R439" s="30" t="s">
        <v>151</v>
      </c>
      <c r="S439" s="30" t="s">
        <v>162</v>
      </c>
      <c r="T439" s="37">
        <v>0.03</v>
      </c>
      <c r="U439" s="30" t="s">
        <v>163</v>
      </c>
      <c r="V439" s="30" t="s">
        <v>164</v>
      </c>
      <c r="W439" s="30" t="s">
        <v>165</v>
      </c>
      <c r="X439" s="28" t="s">
        <v>9347</v>
      </c>
      <c r="Y439" s="28" t="s">
        <v>9348</v>
      </c>
      <c r="Z439" s="40">
        <v>2</v>
      </c>
      <c r="AA439" s="30" t="s">
        <v>3903</v>
      </c>
      <c r="AB439" s="30" t="s">
        <v>151</v>
      </c>
      <c r="AC439" s="30" t="s">
        <v>151</v>
      </c>
      <c r="AD439" s="39">
        <v>2021</v>
      </c>
      <c r="AE439" s="30" t="s">
        <v>151</v>
      </c>
      <c r="AF439" s="35">
        <v>45582</v>
      </c>
      <c r="AG439" s="30" t="s">
        <v>151</v>
      </c>
      <c r="AH439" s="30" t="s">
        <v>151</v>
      </c>
      <c r="AI439" s="38" t="s">
        <v>151</v>
      </c>
      <c r="AJ439" s="32" t="s">
        <v>151</v>
      </c>
      <c r="AK439" s="38" t="s">
        <v>151</v>
      </c>
      <c r="AL439" s="38" t="s">
        <v>151</v>
      </c>
      <c r="AM439" s="38" t="s">
        <v>151</v>
      </c>
      <c r="AN439" s="38" t="s">
        <v>151</v>
      </c>
      <c r="AO439" s="38" t="s">
        <v>151</v>
      </c>
      <c r="AP439" s="38" t="s">
        <v>151</v>
      </c>
      <c r="AQ439" s="38" t="s">
        <v>151</v>
      </c>
      <c r="AR439" s="29" t="s">
        <v>151</v>
      </c>
      <c r="AS439" s="30" t="s">
        <v>9349</v>
      </c>
      <c r="AT439" s="30" t="s">
        <v>9350</v>
      </c>
      <c r="AU439" s="31">
        <v>2</v>
      </c>
      <c r="AV439" s="30" t="s">
        <v>151</v>
      </c>
      <c r="AW439" s="30" t="s">
        <v>151</v>
      </c>
      <c r="AX439" s="30" t="s">
        <v>151</v>
      </c>
      <c r="AY439" s="30" t="s">
        <v>9351</v>
      </c>
      <c r="AZ439" s="30" t="s">
        <v>151</v>
      </c>
      <c r="BA439" s="30" t="s">
        <v>151</v>
      </c>
      <c r="BB439" s="30" t="s">
        <v>151</v>
      </c>
      <c r="BC439" s="30" t="s">
        <v>151</v>
      </c>
      <c r="BD439" s="30" t="s">
        <v>151</v>
      </c>
      <c r="BE439" s="30" t="s">
        <v>151</v>
      </c>
      <c r="BF439" s="30" t="s">
        <v>151</v>
      </c>
      <c r="BG439" s="30" t="s">
        <v>151</v>
      </c>
      <c r="BH439" s="30" t="s">
        <v>151</v>
      </c>
      <c r="BI439" s="30" t="s">
        <v>3627</v>
      </c>
      <c r="BJ439" s="30" t="s">
        <v>9352</v>
      </c>
      <c r="BK439" s="30" t="s">
        <v>9353</v>
      </c>
      <c r="BL439" s="30" t="s">
        <v>3628</v>
      </c>
      <c r="BM439" s="30" t="s">
        <v>3217</v>
      </c>
      <c r="BN439" s="29" t="s">
        <v>9354</v>
      </c>
      <c r="BO439" s="30" t="s">
        <v>186</v>
      </c>
      <c r="BP439" s="29" t="s">
        <v>9355</v>
      </c>
      <c r="BQ439" s="29" t="s">
        <v>151</v>
      </c>
      <c r="BR439" s="30" t="s">
        <v>151</v>
      </c>
      <c r="BS439" s="30" t="s">
        <v>187</v>
      </c>
      <c r="BT439" s="30" t="s">
        <v>188</v>
      </c>
      <c r="BU439" s="35">
        <v>44389</v>
      </c>
      <c r="BV439" s="37">
        <v>0.02</v>
      </c>
      <c r="BW439" s="30" t="s">
        <v>192</v>
      </c>
      <c r="BX439" s="37" t="s">
        <v>151</v>
      </c>
      <c r="BY439" s="30" t="s">
        <v>151</v>
      </c>
      <c r="BZ439" s="30" t="s">
        <v>293</v>
      </c>
      <c r="CA439" s="30" t="s">
        <v>293</v>
      </c>
      <c r="CB439" s="30" t="s">
        <v>151</v>
      </c>
      <c r="CC439" s="30" t="s">
        <v>165</v>
      </c>
      <c r="CD439" s="30" t="s">
        <v>151</v>
      </c>
      <c r="CE439" s="30" t="s">
        <v>191</v>
      </c>
      <c r="CF439" s="35">
        <v>44670</v>
      </c>
      <c r="CG439" s="37">
        <v>0.01</v>
      </c>
      <c r="CH439" s="30" t="s">
        <v>192</v>
      </c>
      <c r="CI439" s="37" t="s">
        <v>151</v>
      </c>
      <c r="CJ439" s="30" t="s">
        <v>151</v>
      </c>
      <c r="CK439" s="29" t="s">
        <v>151</v>
      </c>
      <c r="CL439" s="30" t="s">
        <v>231</v>
      </c>
      <c r="CM439" s="30" t="s">
        <v>151</v>
      </c>
      <c r="CN439" s="30" t="s">
        <v>151</v>
      </c>
      <c r="CO439" s="30" t="s">
        <v>165</v>
      </c>
      <c r="CP439" s="35">
        <v>44670</v>
      </c>
      <c r="CQ439" s="37" t="s">
        <v>151</v>
      </c>
      <c r="CR439" s="30" t="s">
        <v>151</v>
      </c>
      <c r="CS439" s="30" t="s">
        <v>191</v>
      </c>
      <c r="CT439" s="29">
        <v>13</v>
      </c>
      <c r="CU439" s="30" t="s">
        <v>263</v>
      </c>
      <c r="CV439" s="32">
        <v>14</v>
      </c>
      <c r="CW439" s="32">
        <v>86</v>
      </c>
      <c r="CX439" s="30" t="s">
        <v>263</v>
      </c>
      <c r="CY439" s="32">
        <v>1</v>
      </c>
      <c r="CZ439" s="32">
        <v>13</v>
      </c>
      <c r="DA439" s="37" t="s">
        <v>151</v>
      </c>
      <c r="DB439" s="35" t="s">
        <v>151</v>
      </c>
      <c r="DC439" s="30" t="s">
        <v>151</v>
      </c>
      <c r="DD439" s="29" t="s">
        <v>151</v>
      </c>
      <c r="DE439" s="32">
        <v>0</v>
      </c>
      <c r="DF439" s="34">
        <v>11</v>
      </c>
      <c r="DG439" s="32">
        <v>0</v>
      </c>
      <c r="DH439" s="32">
        <v>0</v>
      </c>
      <c r="DI439" s="32">
        <v>0</v>
      </c>
      <c r="DJ439" s="34">
        <v>10</v>
      </c>
      <c r="DK439" s="32" t="s">
        <v>151</v>
      </c>
      <c r="DL439" s="34" t="s">
        <v>151</v>
      </c>
      <c r="DM439" s="32">
        <v>0</v>
      </c>
      <c r="DN439" s="34">
        <v>10</v>
      </c>
      <c r="DO439" s="36">
        <v>0.1</v>
      </c>
      <c r="DP439" s="34">
        <v>5</v>
      </c>
      <c r="DQ439" s="36">
        <v>0</v>
      </c>
      <c r="DR439" s="32">
        <v>0</v>
      </c>
      <c r="DS439" s="36">
        <v>0.05</v>
      </c>
      <c r="DT439" s="34">
        <v>1</v>
      </c>
      <c r="DU439" s="36" t="s">
        <v>151</v>
      </c>
      <c r="DV439" s="34" t="s">
        <v>151</v>
      </c>
      <c r="DW439" s="36">
        <v>0.05</v>
      </c>
      <c r="DX439" s="34">
        <v>1</v>
      </c>
      <c r="DY439" s="31" t="s">
        <v>151</v>
      </c>
      <c r="DZ439" s="35" t="s">
        <v>151</v>
      </c>
      <c r="EA439" s="35" t="s">
        <v>151</v>
      </c>
      <c r="EB439" s="34">
        <v>8</v>
      </c>
      <c r="EC439" s="33">
        <v>-40</v>
      </c>
      <c r="ED439" s="32">
        <v>-83.33</v>
      </c>
      <c r="EE439" s="34">
        <v>1</v>
      </c>
      <c r="EF439" s="33">
        <v>0</v>
      </c>
      <c r="EG439" s="32">
        <v>0</v>
      </c>
      <c r="EH439" s="29" t="s">
        <v>198</v>
      </c>
      <c r="EI439" s="30" t="s">
        <v>151</v>
      </c>
      <c r="EJ439" s="30" t="s">
        <v>151</v>
      </c>
      <c r="EK439" s="31" t="s">
        <v>151</v>
      </c>
      <c r="EL439" s="31" t="s">
        <v>151</v>
      </c>
      <c r="EM439" s="31" t="s">
        <v>151</v>
      </c>
      <c r="EN439" s="31" t="s">
        <v>151</v>
      </c>
      <c r="EO439" s="31" t="s">
        <v>151</v>
      </c>
      <c r="EP439" s="30" t="s">
        <v>151</v>
      </c>
      <c r="EQ439" s="29" t="s">
        <v>151</v>
      </c>
      <c r="ER439" s="29" t="s">
        <v>151</v>
      </c>
      <c r="ES439" s="4">
        <f>HYPERLINK("https://my.pitchbook.com?c=501100-12","View Company Online")</f>
      </c>
    </row>
    <row r="440">
      <c r="A440" s="17" t="s">
        <v>9356</v>
      </c>
      <c r="B440" s="17" t="s">
        <v>9357</v>
      </c>
      <c r="C440" s="18" t="s">
        <v>151</v>
      </c>
      <c r="D440" s="17" t="s">
        <v>151</v>
      </c>
      <c r="E440" s="17" t="s">
        <v>9358</v>
      </c>
      <c r="F440" s="17" t="s">
        <v>9359</v>
      </c>
      <c r="G440" s="17" t="s">
        <v>151</v>
      </c>
      <c r="H440" s="17" t="s">
        <v>151</v>
      </c>
      <c r="I440" s="17" t="s">
        <v>151</v>
      </c>
      <c r="J440" s="17" t="s">
        <v>9356</v>
      </c>
      <c r="K440" s="17" t="s">
        <v>9360</v>
      </c>
      <c r="L440" s="17" t="s">
        <v>1178</v>
      </c>
      <c r="M440" s="17" t="s">
        <v>1179</v>
      </c>
      <c r="N440" s="17" t="s">
        <v>3985</v>
      </c>
      <c r="O440" s="17" t="s">
        <v>9361</v>
      </c>
      <c r="P440" s="17" t="s">
        <v>151</v>
      </c>
      <c r="Q440" s="17" t="s">
        <v>9362</v>
      </c>
      <c r="R440" s="17" t="s">
        <v>151</v>
      </c>
      <c r="S440" s="17" t="s">
        <v>162</v>
      </c>
      <c r="T440" s="24">
        <v>20</v>
      </c>
      <c r="U440" s="17" t="s">
        <v>163</v>
      </c>
      <c r="V440" s="17" t="s">
        <v>164</v>
      </c>
      <c r="W440" s="17" t="s">
        <v>420</v>
      </c>
      <c r="X440" s="15" t="s">
        <v>9363</v>
      </c>
      <c r="Y440" s="15" t="s">
        <v>9364</v>
      </c>
      <c r="Z440" s="27">
        <v>40</v>
      </c>
      <c r="AA440" s="17" t="s">
        <v>9365</v>
      </c>
      <c r="AB440" s="17" t="s">
        <v>151</v>
      </c>
      <c r="AC440" s="17" t="s">
        <v>151</v>
      </c>
      <c r="AD440" s="26">
        <v>2015</v>
      </c>
      <c r="AE440" s="17" t="s">
        <v>151</v>
      </c>
      <c r="AF440" s="22">
        <v>45608</v>
      </c>
      <c r="AG440" s="17" t="s">
        <v>151</v>
      </c>
      <c r="AH440" s="17" t="s">
        <v>151</v>
      </c>
      <c r="AI440" s="25" t="s">
        <v>151</v>
      </c>
      <c r="AJ440" s="19" t="s">
        <v>151</v>
      </c>
      <c r="AK440" s="25" t="s">
        <v>151</v>
      </c>
      <c r="AL440" s="25" t="s">
        <v>151</v>
      </c>
      <c r="AM440" s="25" t="s">
        <v>151</v>
      </c>
      <c r="AN440" s="25" t="s">
        <v>151</v>
      </c>
      <c r="AO440" s="25" t="s">
        <v>151</v>
      </c>
      <c r="AP440" s="25" t="s">
        <v>151</v>
      </c>
      <c r="AQ440" s="25" t="s">
        <v>151</v>
      </c>
      <c r="AR440" s="16" t="s">
        <v>151</v>
      </c>
      <c r="AS440" s="17" t="s">
        <v>9366</v>
      </c>
      <c r="AT440" s="17" t="s">
        <v>9367</v>
      </c>
      <c r="AU440" s="18">
        <v>13</v>
      </c>
      <c r="AV440" s="17" t="s">
        <v>151</v>
      </c>
      <c r="AW440" s="17" t="s">
        <v>151</v>
      </c>
      <c r="AX440" s="17" t="s">
        <v>151</v>
      </c>
      <c r="AY440" s="17" t="s">
        <v>9368</v>
      </c>
      <c r="AZ440" s="17" t="s">
        <v>151</v>
      </c>
      <c r="BA440" s="17" t="s">
        <v>151</v>
      </c>
      <c r="BB440" s="17" t="s">
        <v>151</v>
      </c>
      <c r="BC440" s="17" t="s">
        <v>9369</v>
      </c>
      <c r="BD440" s="17" t="s">
        <v>9370</v>
      </c>
      <c r="BE440" s="17" t="s">
        <v>9371</v>
      </c>
      <c r="BF440" s="17" t="s">
        <v>9372</v>
      </c>
      <c r="BG440" s="17" t="s">
        <v>9373</v>
      </c>
      <c r="BH440" s="17" t="s">
        <v>9374</v>
      </c>
      <c r="BI440" s="17" t="s">
        <v>1144</v>
      </c>
      <c r="BJ440" s="17" t="s">
        <v>9375</v>
      </c>
      <c r="BK440" s="17" t="s">
        <v>3506</v>
      </c>
      <c r="BL440" s="17" t="s">
        <v>1145</v>
      </c>
      <c r="BM440" s="17" t="s">
        <v>184</v>
      </c>
      <c r="BN440" s="16" t="s">
        <v>3507</v>
      </c>
      <c r="BO440" s="17" t="s">
        <v>186</v>
      </c>
      <c r="BP440" s="16" t="s">
        <v>9376</v>
      </c>
      <c r="BQ440" s="16" t="s">
        <v>151</v>
      </c>
      <c r="BR440" s="17" t="s">
        <v>9377</v>
      </c>
      <c r="BS440" s="17" t="s">
        <v>187</v>
      </c>
      <c r="BT440" s="17" t="s">
        <v>188</v>
      </c>
      <c r="BU440" s="22">
        <v>43789</v>
      </c>
      <c r="BV440" s="24">
        <v>100</v>
      </c>
      <c r="BW440" s="17" t="s">
        <v>192</v>
      </c>
      <c r="BX440" s="24" t="s">
        <v>151</v>
      </c>
      <c r="BY440" s="17" t="s">
        <v>151</v>
      </c>
      <c r="BZ440" s="17" t="s">
        <v>527</v>
      </c>
      <c r="CA440" s="17" t="s">
        <v>151</v>
      </c>
      <c r="CB440" s="17" t="s">
        <v>151</v>
      </c>
      <c r="CC440" s="17" t="s">
        <v>439</v>
      </c>
      <c r="CD440" s="17" t="s">
        <v>9378</v>
      </c>
      <c r="CE440" s="17" t="s">
        <v>191</v>
      </c>
      <c r="CF440" s="22">
        <v>44509</v>
      </c>
      <c r="CG440" s="24">
        <v>11</v>
      </c>
      <c r="CH440" s="17" t="s">
        <v>192</v>
      </c>
      <c r="CI440" s="24" t="s">
        <v>151</v>
      </c>
      <c r="CJ440" s="17" t="s">
        <v>151</v>
      </c>
      <c r="CK440" s="16" t="s">
        <v>151</v>
      </c>
      <c r="CL440" s="17" t="s">
        <v>194</v>
      </c>
      <c r="CM440" s="17" t="s">
        <v>1239</v>
      </c>
      <c r="CN440" s="17" t="s">
        <v>151</v>
      </c>
      <c r="CO440" s="17" t="s">
        <v>165</v>
      </c>
      <c r="CP440" s="22">
        <v>44509</v>
      </c>
      <c r="CQ440" s="24" t="s">
        <v>151</v>
      </c>
      <c r="CR440" s="17" t="s">
        <v>151</v>
      </c>
      <c r="CS440" s="17" t="s">
        <v>191</v>
      </c>
      <c r="CT440" s="16">
        <v>53</v>
      </c>
      <c r="CU440" s="17" t="s">
        <v>196</v>
      </c>
      <c r="CV440" s="19">
        <v>51</v>
      </c>
      <c r="CW440" s="19">
        <v>49</v>
      </c>
      <c r="CX440" s="17" t="s">
        <v>294</v>
      </c>
      <c r="CY440" s="19">
        <v>1</v>
      </c>
      <c r="CZ440" s="19">
        <v>50</v>
      </c>
      <c r="DA440" s="24" t="s">
        <v>151</v>
      </c>
      <c r="DB440" s="22" t="s">
        <v>151</v>
      </c>
      <c r="DC440" s="17" t="s">
        <v>151</v>
      </c>
      <c r="DD440" s="16" t="s">
        <v>151</v>
      </c>
      <c r="DE440" s="19">
        <v>-0.43</v>
      </c>
      <c r="DF440" s="21">
        <v>7</v>
      </c>
      <c r="DG440" s="19">
        <v>0</v>
      </c>
      <c r="DH440" s="19">
        <v>0</v>
      </c>
      <c r="DI440" s="19">
        <v>-0.86</v>
      </c>
      <c r="DJ440" s="21">
        <v>5</v>
      </c>
      <c r="DK440" s="19" t="s">
        <v>151</v>
      </c>
      <c r="DL440" s="21" t="s">
        <v>151</v>
      </c>
      <c r="DM440" s="19">
        <v>-0.86</v>
      </c>
      <c r="DN440" s="21">
        <v>5</v>
      </c>
      <c r="DO440" s="23">
        <v>6.33</v>
      </c>
      <c r="DP440" s="21">
        <v>85</v>
      </c>
      <c r="DQ440" s="23">
        <v>0</v>
      </c>
      <c r="DR440" s="19">
        <v>0</v>
      </c>
      <c r="DS440" s="23">
        <v>9.58</v>
      </c>
      <c r="DT440" s="21">
        <v>90</v>
      </c>
      <c r="DU440" s="23" t="s">
        <v>151</v>
      </c>
      <c r="DV440" s="21" t="s">
        <v>151</v>
      </c>
      <c r="DW440" s="23">
        <v>9.58</v>
      </c>
      <c r="DX440" s="21">
        <v>89</v>
      </c>
      <c r="DY440" s="18" t="s">
        <v>151</v>
      </c>
      <c r="DZ440" s="22" t="s">
        <v>151</v>
      </c>
      <c r="EA440" s="22" t="s">
        <v>151</v>
      </c>
      <c r="EB440" s="21">
        <v>762</v>
      </c>
      <c r="EC440" s="20">
        <v>-169</v>
      </c>
      <c r="ED440" s="19">
        <v>-18.15</v>
      </c>
      <c r="EE440" s="21">
        <v>182</v>
      </c>
      <c r="EF440" s="20">
        <v>-1</v>
      </c>
      <c r="EG440" s="19">
        <v>-0.55</v>
      </c>
      <c r="EH440" s="16" t="s">
        <v>198</v>
      </c>
      <c r="EI440" s="17" t="s">
        <v>151</v>
      </c>
      <c r="EJ440" s="17" t="s">
        <v>151</v>
      </c>
      <c r="EK440" s="18" t="s">
        <v>151</v>
      </c>
      <c r="EL440" s="18" t="s">
        <v>151</v>
      </c>
      <c r="EM440" s="18" t="s">
        <v>151</v>
      </c>
      <c r="EN440" s="18" t="s">
        <v>151</v>
      </c>
      <c r="EO440" s="18" t="s">
        <v>151</v>
      </c>
      <c r="EP440" s="17" t="s">
        <v>151</v>
      </c>
      <c r="EQ440" s="16" t="s">
        <v>151</v>
      </c>
      <c r="ER440" s="16" t="s">
        <v>151</v>
      </c>
      <c r="ES440" s="3">
        <f>HYPERLINK("https://my.pitchbook.com?c=224235-91","View Company Online")</f>
      </c>
    </row>
    <row r="441">
      <c r="A441" s="30" t="s">
        <v>9379</v>
      </c>
      <c r="B441" s="30" t="s">
        <v>9380</v>
      </c>
      <c r="C441" s="31" t="s">
        <v>151</v>
      </c>
      <c r="D441" s="30" t="s">
        <v>151</v>
      </c>
      <c r="E441" s="30" t="s">
        <v>9381</v>
      </c>
      <c r="F441" s="30" t="s">
        <v>9382</v>
      </c>
      <c r="G441" s="30" t="s">
        <v>151</v>
      </c>
      <c r="H441" s="30" t="s">
        <v>151</v>
      </c>
      <c r="I441" s="30" t="s">
        <v>151</v>
      </c>
      <c r="J441" s="30" t="s">
        <v>9379</v>
      </c>
      <c r="K441" s="30" t="s">
        <v>9383</v>
      </c>
      <c r="L441" s="30" t="s">
        <v>1178</v>
      </c>
      <c r="M441" s="30" t="s">
        <v>1179</v>
      </c>
      <c r="N441" s="30" t="s">
        <v>1179</v>
      </c>
      <c r="O441" s="30" t="s">
        <v>5552</v>
      </c>
      <c r="P441" s="30" t="s">
        <v>9384</v>
      </c>
      <c r="Q441" s="30" t="s">
        <v>9385</v>
      </c>
      <c r="R441" s="30" t="s">
        <v>151</v>
      </c>
      <c r="S441" s="30" t="s">
        <v>162</v>
      </c>
      <c r="T441" s="37">
        <v>3.75</v>
      </c>
      <c r="U441" s="30" t="s">
        <v>1727</v>
      </c>
      <c r="V441" s="30" t="s">
        <v>164</v>
      </c>
      <c r="W441" s="30" t="s">
        <v>165</v>
      </c>
      <c r="X441" s="28" t="s">
        <v>9386</v>
      </c>
      <c r="Y441" s="28" t="s">
        <v>9387</v>
      </c>
      <c r="Z441" s="40">
        <v>3</v>
      </c>
      <c r="AA441" s="30" t="s">
        <v>3862</v>
      </c>
      <c r="AB441" s="30" t="s">
        <v>151</v>
      </c>
      <c r="AC441" s="30" t="s">
        <v>151</v>
      </c>
      <c r="AD441" s="39">
        <v>2022</v>
      </c>
      <c r="AE441" s="30" t="s">
        <v>151</v>
      </c>
      <c r="AF441" s="35">
        <v>45600</v>
      </c>
      <c r="AG441" s="30" t="s">
        <v>151</v>
      </c>
      <c r="AH441" s="30" t="s">
        <v>151</v>
      </c>
      <c r="AI441" s="38" t="s">
        <v>151</v>
      </c>
      <c r="AJ441" s="32" t="s">
        <v>151</v>
      </c>
      <c r="AK441" s="38" t="s">
        <v>151</v>
      </c>
      <c r="AL441" s="38" t="s">
        <v>151</v>
      </c>
      <c r="AM441" s="38" t="s">
        <v>151</v>
      </c>
      <c r="AN441" s="38" t="s">
        <v>151</v>
      </c>
      <c r="AO441" s="38" t="s">
        <v>151</v>
      </c>
      <c r="AP441" s="38" t="s">
        <v>151</v>
      </c>
      <c r="AQ441" s="38" t="s">
        <v>151</v>
      </c>
      <c r="AR441" s="29" t="s">
        <v>151</v>
      </c>
      <c r="AS441" s="30" t="s">
        <v>9388</v>
      </c>
      <c r="AT441" s="30" t="s">
        <v>9389</v>
      </c>
      <c r="AU441" s="31">
        <v>13</v>
      </c>
      <c r="AV441" s="30" t="s">
        <v>151</v>
      </c>
      <c r="AW441" s="30" t="s">
        <v>151</v>
      </c>
      <c r="AX441" s="30" t="s">
        <v>151</v>
      </c>
      <c r="AY441" s="30" t="s">
        <v>9390</v>
      </c>
      <c r="AZ441" s="30" t="s">
        <v>151</v>
      </c>
      <c r="BA441" s="30" t="s">
        <v>151</v>
      </c>
      <c r="BB441" s="30" t="s">
        <v>151</v>
      </c>
      <c r="BC441" s="30" t="s">
        <v>151</v>
      </c>
      <c r="BD441" s="30" t="s">
        <v>9391</v>
      </c>
      <c r="BE441" s="30" t="s">
        <v>9392</v>
      </c>
      <c r="BF441" s="30" t="s">
        <v>403</v>
      </c>
      <c r="BG441" s="30" t="s">
        <v>9393</v>
      </c>
      <c r="BH441" s="30" t="s">
        <v>151</v>
      </c>
      <c r="BI441" s="30" t="s">
        <v>906</v>
      </c>
      <c r="BJ441" s="30" t="s">
        <v>9394</v>
      </c>
      <c r="BK441" s="30" t="s">
        <v>151</v>
      </c>
      <c r="BL441" s="30" t="s">
        <v>259</v>
      </c>
      <c r="BM441" s="30" t="s">
        <v>259</v>
      </c>
      <c r="BN441" s="29" t="s">
        <v>151</v>
      </c>
      <c r="BO441" s="30" t="s">
        <v>186</v>
      </c>
      <c r="BP441" s="29" t="s">
        <v>151</v>
      </c>
      <c r="BQ441" s="29" t="s">
        <v>151</v>
      </c>
      <c r="BR441" s="30" t="s">
        <v>9395</v>
      </c>
      <c r="BS441" s="30" t="s">
        <v>187</v>
      </c>
      <c r="BT441" s="30" t="s">
        <v>188</v>
      </c>
      <c r="BU441" s="35">
        <v>45064</v>
      </c>
      <c r="BV441" s="37">
        <v>0.25</v>
      </c>
      <c r="BW441" s="30" t="s">
        <v>192</v>
      </c>
      <c r="BX441" s="37">
        <v>5</v>
      </c>
      <c r="BY441" s="30" t="s">
        <v>192</v>
      </c>
      <c r="BZ441" s="30" t="s">
        <v>189</v>
      </c>
      <c r="CA441" s="30" t="s">
        <v>151</v>
      </c>
      <c r="CB441" s="30" t="s">
        <v>151</v>
      </c>
      <c r="CC441" s="30" t="s">
        <v>190</v>
      </c>
      <c r="CD441" s="30" t="s">
        <v>151</v>
      </c>
      <c r="CE441" s="30" t="s">
        <v>191</v>
      </c>
      <c r="CF441" s="35">
        <v>45104</v>
      </c>
      <c r="CG441" s="37">
        <v>3.5</v>
      </c>
      <c r="CH441" s="30" t="s">
        <v>192</v>
      </c>
      <c r="CI441" s="37">
        <v>17</v>
      </c>
      <c r="CJ441" s="30" t="s">
        <v>192</v>
      </c>
      <c r="CK441" s="29" t="s">
        <v>151</v>
      </c>
      <c r="CL441" s="30" t="s">
        <v>293</v>
      </c>
      <c r="CM441" s="30" t="s">
        <v>293</v>
      </c>
      <c r="CN441" s="30" t="s">
        <v>151</v>
      </c>
      <c r="CO441" s="30" t="s">
        <v>165</v>
      </c>
      <c r="CP441" s="35">
        <v>45104</v>
      </c>
      <c r="CQ441" s="37" t="s">
        <v>151</v>
      </c>
      <c r="CR441" s="30" t="s">
        <v>151</v>
      </c>
      <c r="CS441" s="30" t="s">
        <v>191</v>
      </c>
      <c r="CT441" s="29" t="s">
        <v>151</v>
      </c>
      <c r="CU441" s="30" t="s">
        <v>151</v>
      </c>
      <c r="CV441" s="32" t="s">
        <v>151</v>
      </c>
      <c r="CW441" s="32" t="s">
        <v>151</v>
      </c>
      <c r="CX441" s="30" t="s">
        <v>151</v>
      </c>
      <c r="CY441" s="32" t="s">
        <v>151</v>
      </c>
      <c r="CZ441" s="32" t="s">
        <v>151</v>
      </c>
      <c r="DA441" s="37">
        <v>17</v>
      </c>
      <c r="DB441" s="35">
        <v>45104</v>
      </c>
      <c r="DC441" s="30" t="s">
        <v>293</v>
      </c>
      <c r="DD441" s="29" t="s">
        <v>151</v>
      </c>
      <c r="DE441" s="32">
        <v>-1.56</v>
      </c>
      <c r="DF441" s="34">
        <v>3</v>
      </c>
      <c r="DG441" s="32">
        <v>0</v>
      </c>
      <c r="DH441" s="32">
        <v>0</v>
      </c>
      <c r="DI441" s="32">
        <v>0</v>
      </c>
      <c r="DJ441" s="34">
        <v>10</v>
      </c>
      <c r="DK441" s="32" t="s">
        <v>151</v>
      </c>
      <c r="DL441" s="34" t="s">
        <v>151</v>
      </c>
      <c r="DM441" s="32">
        <v>0</v>
      </c>
      <c r="DN441" s="34">
        <v>10</v>
      </c>
      <c r="DO441" s="36">
        <v>0.67</v>
      </c>
      <c r="DP441" s="34">
        <v>40</v>
      </c>
      <c r="DQ441" s="36">
        <v>0</v>
      </c>
      <c r="DR441" s="32">
        <v>0</v>
      </c>
      <c r="DS441" s="36">
        <v>1.11</v>
      </c>
      <c r="DT441" s="34">
        <v>52</v>
      </c>
      <c r="DU441" s="36" t="s">
        <v>151</v>
      </c>
      <c r="DV441" s="34" t="s">
        <v>151</v>
      </c>
      <c r="DW441" s="36">
        <v>1.11</v>
      </c>
      <c r="DX441" s="34">
        <v>52</v>
      </c>
      <c r="DY441" s="31" t="s">
        <v>151</v>
      </c>
      <c r="DZ441" s="35" t="s">
        <v>151</v>
      </c>
      <c r="EA441" s="35" t="s">
        <v>151</v>
      </c>
      <c r="EB441" s="34" t="s">
        <v>151</v>
      </c>
      <c r="EC441" s="33" t="s">
        <v>151</v>
      </c>
      <c r="ED441" s="32" t="s">
        <v>151</v>
      </c>
      <c r="EE441" s="34">
        <v>21</v>
      </c>
      <c r="EF441" s="33">
        <v>2</v>
      </c>
      <c r="EG441" s="32">
        <v>10.53</v>
      </c>
      <c r="EH441" s="29" t="s">
        <v>198</v>
      </c>
      <c r="EI441" s="30" t="s">
        <v>151</v>
      </c>
      <c r="EJ441" s="30" t="s">
        <v>151</v>
      </c>
      <c r="EK441" s="31" t="s">
        <v>151</v>
      </c>
      <c r="EL441" s="31" t="s">
        <v>151</v>
      </c>
      <c r="EM441" s="31" t="s">
        <v>151</v>
      </c>
      <c r="EN441" s="31" t="s">
        <v>151</v>
      </c>
      <c r="EO441" s="31" t="s">
        <v>151</v>
      </c>
      <c r="EP441" s="30" t="s">
        <v>151</v>
      </c>
      <c r="EQ441" s="29" t="s">
        <v>151</v>
      </c>
      <c r="ER441" s="29" t="s">
        <v>151</v>
      </c>
      <c r="ES441" s="4">
        <f>HYPERLINK("https://my.pitchbook.com?c=532706-95","View Company Online")</f>
      </c>
    </row>
    <row r="442">
      <c r="A442" s="17" t="s">
        <v>9396</v>
      </c>
      <c r="B442" s="17" t="s">
        <v>9397</v>
      </c>
      <c r="C442" s="18" t="s">
        <v>151</v>
      </c>
      <c r="D442" s="17" t="s">
        <v>151</v>
      </c>
      <c r="E442" s="17" t="s">
        <v>151</v>
      </c>
      <c r="F442" s="17" t="s">
        <v>9398</v>
      </c>
      <c r="G442" s="17" t="s">
        <v>151</v>
      </c>
      <c r="H442" s="17" t="s">
        <v>151</v>
      </c>
      <c r="I442" s="17" t="s">
        <v>151</v>
      </c>
      <c r="J442" s="17" t="s">
        <v>9396</v>
      </c>
      <c r="K442" s="17" t="s">
        <v>9399</v>
      </c>
      <c r="L442" s="17" t="s">
        <v>155</v>
      </c>
      <c r="M442" s="17" t="s">
        <v>361</v>
      </c>
      <c r="N442" s="17" t="s">
        <v>362</v>
      </c>
      <c r="O442" s="17" t="s">
        <v>363</v>
      </c>
      <c r="P442" s="17" t="s">
        <v>4922</v>
      </c>
      <c r="Q442" s="17" t="s">
        <v>9400</v>
      </c>
      <c r="R442" s="17" t="s">
        <v>151</v>
      </c>
      <c r="S442" s="17" t="s">
        <v>162</v>
      </c>
      <c r="T442" s="24">
        <v>1.6</v>
      </c>
      <c r="U442" s="17" t="s">
        <v>163</v>
      </c>
      <c r="V442" s="17" t="s">
        <v>164</v>
      </c>
      <c r="W442" s="17" t="s">
        <v>165</v>
      </c>
      <c r="X442" s="15" t="s">
        <v>9401</v>
      </c>
      <c r="Y442" s="15" t="s">
        <v>9402</v>
      </c>
      <c r="Z442" s="27">
        <v>10</v>
      </c>
      <c r="AA442" s="17" t="s">
        <v>9403</v>
      </c>
      <c r="AB442" s="17" t="s">
        <v>151</v>
      </c>
      <c r="AC442" s="17" t="s">
        <v>151</v>
      </c>
      <c r="AD442" s="26">
        <v>2019</v>
      </c>
      <c r="AE442" s="17" t="s">
        <v>151</v>
      </c>
      <c r="AF442" s="22">
        <v>45595</v>
      </c>
      <c r="AG442" s="17" t="s">
        <v>151</v>
      </c>
      <c r="AH442" s="17" t="s">
        <v>151</v>
      </c>
      <c r="AI442" s="25" t="s">
        <v>151</v>
      </c>
      <c r="AJ442" s="19" t="s">
        <v>151</v>
      </c>
      <c r="AK442" s="25" t="s">
        <v>151</v>
      </c>
      <c r="AL442" s="25" t="s">
        <v>151</v>
      </c>
      <c r="AM442" s="25" t="s">
        <v>151</v>
      </c>
      <c r="AN442" s="25" t="s">
        <v>151</v>
      </c>
      <c r="AO442" s="25" t="s">
        <v>151</v>
      </c>
      <c r="AP442" s="25" t="s">
        <v>151</v>
      </c>
      <c r="AQ442" s="25" t="s">
        <v>151</v>
      </c>
      <c r="AR442" s="16" t="s">
        <v>151</v>
      </c>
      <c r="AS442" s="17" t="s">
        <v>9404</v>
      </c>
      <c r="AT442" s="17" t="s">
        <v>9405</v>
      </c>
      <c r="AU442" s="18">
        <v>1</v>
      </c>
      <c r="AV442" s="17" t="s">
        <v>151</v>
      </c>
      <c r="AW442" s="17" t="s">
        <v>151</v>
      </c>
      <c r="AX442" s="17" t="s">
        <v>151</v>
      </c>
      <c r="AY442" s="17" t="s">
        <v>9406</v>
      </c>
      <c r="AZ442" s="17" t="s">
        <v>151</v>
      </c>
      <c r="BA442" s="17" t="s">
        <v>151</v>
      </c>
      <c r="BB442" s="17" t="s">
        <v>151</v>
      </c>
      <c r="BC442" s="17" t="s">
        <v>151</v>
      </c>
      <c r="BD442" s="17" t="s">
        <v>9407</v>
      </c>
      <c r="BE442" s="17" t="s">
        <v>9408</v>
      </c>
      <c r="BF442" s="17" t="s">
        <v>403</v>
      </c>
      <c r="BG442" s="17" t="s">
        <v>9409</v>
      </c>
      <c r="BH442" s="17" t="s">
        <v>9410</v>
      </c>
      <c r="BI442" s="17" t="s">
        <v>707</v>
      </c>
      <c r="BJ442" s="17" t="s">
        <v>1236</v>
      </c>
      <c r="BK442" s="17" t="s">
        <v>9411</v>
      </c>
      <c r="BL442" s="17" t="s">
        <v>709</v>
      </c>
      <c r="BM442" s="17" t="s">
        <v>184</v>
      </c>
      <c r="BN442" s="16" t="s">
        <v>1237</v>
      </c>
      <c r="BO442" s="17" t="s">
        <v>186</v>
      </c>
      <c r="BP442" s="16" t="s">
        <v>151</v>
      </c>
      <c r="BQ442" s="16" t="s">
        <v>151</v>
      </c>
      <c r="BR442" s="17" t="s">
        <v>9412</v>
      </c>
      <c r="BS442" s="17" t="s">
        <v>187</v>
      </c>
      <c r="BT442" s="17" t="s">
        <v>188</v>
      </c>
      <c r="BU442" s="22">
        <v>44470</v>
      </c>
      <c r="BV442" s="24">
        <v>1.6</v>
      </c>
      <c r="BW442" s="17" t="s">
        <v>192</v>
      </c>
      <c r="BX442" s="24" t="s">
        <v>151</v>
      </c>
      <c r="BY442" s="17" t="s">
        <v>151</v>
      </c>
      <c r="BZ442" s="17" t="s">
        <v>293</v>
      </c>
      <c r="CA442" s="17" t="s">
        <v>293</v>
      </c>
      <c r="CB442" s="17" t="s">
        <v>151</v>
      </c>
      <c r="CC442" s="17" t="s">
        <v>165</v>
      </c>
      <c r="CD442" s="17" t="s">
        <v>151</v>
      </c>
      <c r="CE442" s="17" t="s">
        <v>191</v>
      </c>
      <c r="CF442" s="22">
        <v>44470</v>
      </c>
      <c r="CG442" s="24">
        <v>1.6</v>
      </c>
      <c r="CH442" s="17" t="s">
        <v>192</v>
      </c>
      <c r="CI442" s="24" t="s">
        <v>151</v>
      </c>
      <c r="CJ442" s="17" t="s">
        <v>151</v>
      </c>
      <c r="CK442" s="16" t="s">
        <v>151</v>
      </c>
      <c r="CL442" s="17" t="s">
        <v>293</v>
      </c>
      <c r="CM442" s="17" t="s">
        <v>293</v>
      </c>
      <c r="CN442" s="17" t="s">
        <v>151</v>
      </c>
      <c r="CO442" s="17" t="s">
        <v>165</v>
      </c>
      <c r="CP442" s="22">
        <v>44470</v>
      </c>
      <c r="CQ442" s="24" t="s">
        <v>151</v>
      </c>
      <c r="CR442" s="17" t="s">
        <v>151</v>
      </c>
      <c r="CS442" s="17" t="s">
        <v>191</v>
      </c>
      <c r="CT442" s="16" t="s">
        <v>151</v>
      </c>
      <c r="CU442" s="17" t="s">
        <v>151</v>
      </c>
      <c r="CV442" s="19" t="s">
        <v>151</v>
      </c>
      <c r="CW442" s="19" t="s">
        <v>151</v>
      </c>
      <c r="CX442" s="17" t="s">
        <v>151</v>
      </c>
      <c r="CY442" s="19" t="s">
        <v>151</v>
      </c>
      <c r="CZ442" s="19" t="s">
        <v>151</v>
      </c>
      <c r="DA442" s="24" t="s">
        <v>151</v>
      </c>
      <c r="DB442" s="22" t="s">
        <v>151</v>
      </c>
      <c r="DC442" s="17" t="s">
        <v>151</v>
      </c>
      <c r="DD442" s="16" t="s">
        <v>151</v>
      </c>
      <c r="DE442" s="19">
        <v>0</v>
      </c>
      <c r="DF442" s="21">
        <v>11</v>
      </c>
      <c r="DG442" s="19">
        <v>0</v>
      </c>
      <c r="DH442" s="19">
        <v>0</v>
      </c>
      <c r="DI442" s="19">
        <v>0</v>
      </c>
      <c r="DJ442" s="21">
        <v>10</v>
      </c>
      <c r="DK442" s="19" t="s">
        <v>151</v>
      </c>
      <c r="DL442" s="21" t="s">
        <v>151</v>
      </c>
      <c r="DM442" s="19">
        <v>0</v>
      </c>
      <c r="DN442" s="21">
        <v>10</v>
      </c>
      <c r="DO442" s="23">
        <v>2.58</v>
      </c>
      <c r="DP442" s="21">
        <v>71</v>
      </c>
      <c r="DQ442" s="23">
        <v>0</v>
      </c>
      <c r="DR442" s="19">
        <v>0</v>
      </c>
      <c r="DS442" s="23">
        <v>2.58</v>
      </c>
      <c r="DT442" s="21">
        <v>71</v>
      </c>
      <c r="DU442" s="23" t="s">
        <v>151</v>
      </c>
      <c r="DV442" s="21" t="s">
        <v>151</v>
      </c>
      <c r="DW442" s="23">
        <v>2.58</v>
      </c>
      <c r="DX442" s="21">
        <v>71</v>
      </c>
      <c r="DY442" s="18" t="s">
        <v>151</v>
      </c>
      <c r="DZ442" s="22" t="s">
        <v>151</v>
      </c>
      <c r="EA442" s="22" t="s">
        <v>151</v>
      </c>
      <c r="EB442" s="21">
        <v>2644</v>
      </c>
      <c r="EC442" s="20">
        <v>116</v>
      </c>
      <c r="ED442" s="19">
        <v>4.59</v>
      </c>
      <c r="EE442" s="21">
        <v>49</v>
      </c>
      <c r="EF442" s="20">
        <v>0</v>
      </c>
      <c r="EG442" s="19">
        <v>0</v>
      </c>
      <c r="EH442" s="16" t="s">
        <v>198</v>
      </c>
      <c r="EI442" s="17" t="s">
        <v>151</v>
      </c>
      <c r="EJ442" s="17" t="s">
        <v>151</v>
      </c>
      <c r="EK442" s="18" t="s">
        <v>151</v>
      </c>
      <c r="EL442" s="18" t="s">
        <v>151</v>
      </c>
      <c r="EM442" s="18" t="s">
        <v>151</v>
      </c>
      <c r="EN442" s="18" t="s">
        <v>151</v>
      </c>
      <c r="EO442" s="18" t="s">
        <v>151</v>
      </c>
      <c r="EP442" s="17" t="s">
        <v>151</v>
      </c>
      <c r="EQ442" s="16" t="s">
        <v>151</v>
      </c>
      <c r="ER442" s="16" t="s">
        <v>151</v>
      </c>
      <c r="ES442" s="3">
        <f>HYPERLINK("https://my.pitchbook.com?c=443082-61","View Company Online")</f>
      </c>
    </row>
    <row r="443">
      <c r="A443" s="30" t="s">
        <v>9413</v>
      </c>
      <c r="B443" s="30" t="s">
        <v>9414</v>
      </c>
      <c r="C443" s="31" t="s">
        <v>151</v>
      </c>
      <c r="D443" s="30" t="s">
        <v>151</v>
      </c>
      <c r="E443" s="30" t="s">
        <v>9415</v>
      </c>
      <c r="F443" s="30" t="s">
        <v>9416</v>
      </c>
      <c r="G443" s="30" t="s">
        <v>151</v>
      </c>
      <c r="H443" s="30" t="s">
        <v>151</v>
      </c>
      <c r="I443" s="30" t="s">
        <v>9417</v>
      </c>
      <c r="J443" s="30" t="s">
        <v>9413</v>
      </c>
      <c r="K443" s="30" t="s">
        <v>9418</v>
      </c>
      <c r="L443" s="30" t="s">
        <v>205</v>
      </c>
      <c r="M443" s="30" t="s">
        <v>206</v>
      </c>
      <c r="N443" s="30" t="s">
        <v>1268</v>
      </c>
      <c r="O443" s="30" t="s">
        <v>1269</v>
      </c>
      <c r="P443" s="30" t="s">
        <v>209</v>
      </c>
      <c r="Q443" s="30" t="s">
        <v>9419</v>
      </c>
      <c r="R443" s="30" t="s">
        <v>4288</v>
      </c>
      <c r="S443" s="30" t="s">
        <v>162</v>
      </c>
      <c r="T443" s="37">
        <v>6</v>
      </c>
      <c r="U443" s="30" t="s">
        <v>163</v>
      </c>
      <c r="V443" s="30" t="s">
        <v>164</v>
      </c>
      <c r="W443" s="30" t="s">
        <v>165</v>
      </c>
      <c r="X443" s="28" t="s">
        <v>9420</v>
      </c>
      <c r="Y443" s="28" t="s">
        <v>9421</v>
      </c>
      <c r="Z443" s="40">
        <v>8</v>
      </c>
      <c r="AA443" s="30" t="s">
        <v>9422</v>
      </c>
      <c r="AB443" s="30" t="s">
        <v>151</v>
      </c>
      <c r="AC443" s="30" t="s">
        <v>151</v>
      </c>
      <c r="AD443" s="39">
        <v>2022</v>
      </c>
      <c r="AE443" s="30" t="s">
        <v>151</v>
      </c>
      <c r="AF443" s="35">
        <v>45588</v>
      </c>
      <c r="AG443" s="30" t="s">
        <v>151</v>
      </c>
      <c r="AH443" s="30" t="s">
        <v>151</v>
      </c>
      <c r="AI443" s="38" t="s">
        <v>151</v>
      </c>
      <c r="AJ443" s="32" t="s">
        <v>151</v>
      </c>
      <c r="AK443" s="38" t="s">
        <v>151</v>
      </c>
      <c r="AL443" s="38" t="s">
        <v>151</v>
      </c>
      <c r="AM443" s="38" t="s">
        <v>151</v>
      </c>
      <c r="AN443" s="38" t="s">
        <v>151</v>
      </c>
      <c r="AO443" s="38" t="s">
        <v>151</v>
      </c>
      <c r="AP443" s="38" t="s">
        <v>151</v>
      </c>
      <c r="AQ443" s="38" t="s">
        <v>151</v>
      </c>
      <c r="AR443" s="29" t="s">
        <v>151</v>
      </c>
      <c r="AS443" s="30" t="s">
        <v>9423</v>
      </c>
      <c r="AT443" s="30" t="s">
        <v>9424</v>
      </c>
      <c r="AU443" s="31">
        <v>16</v>
      </c>
      <c r="AV443" s="30" t="s">
        <v>151</v>
      </c>
      <c r="AW443" s="30" t="s">
        <v>151</v>
      </c>
      <c r="AX443" s="30" t="s">
        <v>151</v>
      </c>
      <c r="AY443" s="30" t="s">
        <v>9425</v>
      </c>
      <c r="AZ443" s="30" t="s">
        <v>151</v>
      </c>
      <c r="BA443" s="30" t="s">
        <v>151</v>
      </c>
      <c r="BB443" s="30" t="s">
        <v>151</v>
      </c>
      <c r="BC443" s="30" t="s">
        <v>1115</v>
      </c>
      <c r="BD443" s="30" t="s">
        <v>9426</v>
      </c>
      <c r="BE443" s="30" t="s">
        <v>9427</v>
      </c>
      <c r="BF443" s="30" t="s">
        <v>931</v>
      </c>
      <c r="BG443" s="30" t="s">
        <v>151</v>
      </c>
      <c r="BH443" s="30" t="s">
        <v>151</v>
      </c>
      <c r="BI443" s="30" t="s">
        <v>906</v>
      </c>
      <c r="BJ443" s="30" t="s">
        <v>151</v>
      </c>
      <c r="BK443" s="30" t="s">
        <v>151</v>
      </c>
      <c r="BL443" s="30" t="s">
        <v>259</v>
      </c>
      <c r="BM443" s="30" t="s">
        <v>259</v>
      </c>
      <c r="BN443" s="29" t="s">
        <v>151</v>
      </c>
      <c r="BO443" s="30" t="s">
        <v>186</v>
      </c>
      <c r="BP443" s="29" t="s">
        <v>151</v>
      </c>
      <c r="BQ443" s="29" t="s">
        <v>151</v>
      </c>
      <c r="BR443" s="30" t="s">
        <v>151</v>
      </c>
      <c r="BS443" s="30" t="s">
        <v>187</v>
      </c>
      <c r="BT443" s="30" t="s">
        <v>188</v>
      </c>
      <c r="BU443" s="35">
        <v>45033</v>
      </c>
      <c r="BV443" s="37">
        <v>6</v>
      </c>
      <c r="BW443" s="30" t="s">
        <v>192</v>
      </c>
      <c r="BX443" s="37" t="s">
        <v>151</v>
      </c>
      <c r="BY443" s="30" t="s">
        <v>151</v>
      </c>
      <c r="BZ443" s="30" t="s">
        <v>293</v>
      </c>
      <c r="CA443" s="30" t="s">
        <v>293</v>
      </c>
      <c r="CB443" s="30" t="s">
        <v>151</v>
      </c>
      <c r="CC443" s="30" t="s">
        <v>165</v>
      </c>
      <c r="CD443" s="30" t="s">
        <v>151</v>
      </c>
      <c r="CE443" s="30" t="s">
        <v>191</v>
      </c>
      <c r="CF443" s="35">
        <v>45033</v>
      </c>
      <c r="CG443" s="37">
        <v>6</v>
      </c>
      <c r="CH443" s="30" t="s">
        <v>192</v>
      </c>
      <c r="CI443" s="37" t="s">
        <v>151</v>
      </c>
      <c r="CJ443" s="30" t="s">
        <v>151</v>
      </c>
      <c r="CK443" s="29" t="s">
        <v>151</v>
      </c>
      <c r="CL443" s="30" t="s">
        <v>293</v>
      </c>
      <c r="CM443" s="30" t="s">
        <v>293</v>
      </c>
      <c r="CN443" s="30" t="s">
        <v>151</v>
      </c>
      <c r="CO443" s="30" t="s">
        <v>165</v>
      </c>
      <c r="CP443" s="35">
        <v>45033</v>
      </c>
      <c r="CQ443" s="37" t="s">
        <v>151</v>
      </c>
      <c r="CR443" s="30" t="s">
        <v>151</v>
      </c>
      <c r="CS443" s="30" t="s">
        <v>191</v>
      </c>
      <c r="CT443" s="29" t="s">
        <v>151</v>
      </c>
      <c r="CU443" s="30" t="s">
        <v>151</v>
      </c>
      <c r="CV443" s="32" t="s">
        <v>151</v>
      </c>
      <c r="CW443" s="32" t="s">
        <v>151</v>
      </c>
      <c r="CX443" s="30" t="s">
        <v>151</v>
      </c>
      <c r="CY443" s="32" t="s">
        <v>151</v>
      </c>
      <c r="CZ443" s="32" t="s">
        <v>151</v>
      </c>
      <c r="DA443" s="37" t="s">
        <v>151</v>
      </c>
      <c r="DB443" s="35" t="s">
        <v>151</v>
      </c>
      <c r="DC443" s="30" t="s">
        <v>151</v>
      </c>
      <c r="DD443" s="29" t="s">
        <v>151</v>
      </c>
      <c r="DE443" s="32">
        <v>0</v>
      </c>
      <c r="DF443" s="34">
        <v>11</v>
      </c>
      <c r="DG443" s="32">
        <v>0</v>
      </c>
      <c r="DH443" s="32">
        <v>0</v>
      </c>
      <c r="DI443" s="32">
        <v>0</v>
      </c>
      <c r="DJ443" s="34">
        <v>10</v>
      </c>
      <c r="DK443" s="32" t="s">
        <v>151</v>
      </c>
      <c r="DL443" s="34" t="s">
        <v>151</v>
      </c>
      <c r="DM443" s="32">
        <v>0</v>
      </c>
      <c r="DN443" s="34">
        <v>10</v>
      </c>
      <c r="DO443" s="36">
        <v>1.7</v>
      </c>
      <c r="DP443" s="34">
        <v>63</v>
      </c>
      <c r="DQ443" s="36">
        <v>0</v>
      </c>
      <c r="DR443" s="32">
        <v>0</v>
      </c>
      <c r="DS443" s="36">
        <v>2.79</v>
      </c>
      <c r="DT443" s="34">
        <v>73</v>
      </c>
      <c r="DU443" s="36" t="s">
        <v>151</v>
      </c>
      <c r="DV443" s="34" t="s">
        <v>151</v>
      </c>
      <c r="DW443" s="36">
        <v>2.79</v>
      </c>
      <c r="DX443" s="34">
        <v>72</v>
      </c>
      <c r="DY443" s="31" t="s">
        <v>151</v>
      </c>
      <c r="DZ443" s="35" t="s">
        <v>151</v>
      </c>
      <c r="EA443" s="35" t="s">
        <v>151</v>
      </c>
      <c r="EB443" s="34">
        <v>0</v>
      </c>
      <c r="EC443" s="33">
        <v>0</v>
      </c>
      <c r="ED443" s="32">
        <v>0</v>
      </c>
      <c r="EE443" s="34">
        <v>53</v>
      </c>
      <c r="EF443" s="33">
        <v>0</v>
      </c>
      <c r="EG443" s="32">
        <v>0</v>
      </c>
      <c r="EH443" s="29" t="s">
        <v>198</v>
      </c>
      <c r="EI443" s="30" t="s">
        <v>151</v>
      </c>
      <c r="EJ443" s="30" t="s">
        <v>151</v>
      </c>
      <c r="EK443" s="31" t="s">
        <v>151</v>
      </c>
      <c r="EL443" s="31" t="s">
        <v>151</v>
      </c>
      <c r="EM443" s="31" t="s">
        <v>151</v>
      </c>
      <c r="EN443" s="31" t="s">
        <v>151</v>
      </c>
      <c r="EO443" s="31" t="s">
        <v>151</v>
      </c>
      <c r="EP443" s="30" t="s">
        <v>151</v>
      </c>
      <c r="EQ443" s="29" t="s">
        <v>151</v>
      </c>
      <c r="ER443" s="29" t="s">
        <v>151</v>
      </c>
      <c r="ES443" s="4">
        <f>HYPERLINK("https://my.pitchbook.com?c=513391-96","View Company Online")</f>
      </c>
    </row>
    <row r="444">
      <c r="A444" s="17" t="s">
        <v>9428</v>
      </c>
      <c r="B444" s="17" t="s">
        <v>9429</v>
      </c>
      <c r="C444" s="18" t="s">
        <v>151</v>
      </c>
      <c r="D444" s="17" t="s">
        <v>151</v>
      </c>
      <c r="E444" s="17" t="s">
        <v>151</v>
      </c>
      <c r="F444" s="17" t="s">
        <v>9430</v>
      </c>
      <c r="G444" s="17" t="s">
        <v>151</v>
      </c>
      <c r="H444" s="17" t="s">
        <v>151</v>
      </c>
      <c r="I444" s="17" t="s">
        <v>151</v>
      </c>
      <c r="J444" s="17" t="s">
        <v>9428</v>
      </c>
      <c r="K444" s="17" t="s">
        <v>9431</v>
      </c>
      <c r="L444" s="17" t="s">
        <v>205</v>
      </c>
      <c r="M444" s="17" t="s">
        <v>206</v>
      </c>
      <c r="N444" s="17" t="s">
        <v>1268</v>
      </c>
      <c r="O444" s="17" t="s">
        <v>1269</v>
      </c>
      <c r="P444" s="17" t="s">
        <v>9432</v>
      </c>
      <c r="Q444" s="17" t="s">
        <v>9433</v>
      </c>
      <c r="R444" s="17" t="s">
        <v>151</v>
      </c>
      <c r="S444" s="17" t="s">
        <v>162</v>
      </c>
      <c r="T444" s="24">
        <v>33.88</v>
      </c>
      <c r="U444" s="17" t="s">
        <v>1727</v>
      </c>
      <c r="V444" s="17" t="s">
        <v>164</v>
      </c>
      <c r="W444" s="17" t="s">
        <v>165</v>
      </c>
      <c r="X444" s="15" t="s">
        <v>9434</v>
      </c>
      <c r="Y444" s="15" t="s">
        <v>9435</v>
      </c>
      <c r="Z444" s="27">
        <v>12</v>
      </c>
      <c r="AA444" s="17" t="s">
        <v>9436</v>
      </c>
      <c r="AB444" s="17" t="s">
        <v>151</v>
      </c>
      <c r="AC444" s="17" t="s">
        <v>151</v>
      </c>
      <c r="AD444" s="26">
        <v>2020</v>
      </c>
      <c r="AE444" s="17" t="s">
        <v>151</v>
      </c>
      <c r="AF444" s="22">
        <v>45609</v>
      </c>
      <c r="AG444" s="17" t="s">
        <v>151</v>
      </c>
      <c r="AH444" s="17" t="s">
        <v>151</v>
      </c>
      <c r="AI444" s="25" t="s">
        <v>151</v>
      </c>
      <c r="AJ444" s="19" t="s">
        <v>151</v>
      </c>
      <c r="AK444" s="25" t="s">
        <v>151</v>
      </c>
      <c r="AL444" s="25" t="s">
        <v>151</v>
      </c>
      <c r="AM444" s="25" t="s">
        <v>151</v>
      </c>
      <c r="AN444" s="25" t="s">
        <v>151</v>
      </c>
      <c r="AO444" s="25" t="s">
        <v>151</v>
      </c>
      <c r="AP444" s="25" t="s">
        <v>151</v>
      </c>
      <c r="AQ444" s="25" t="s">
        <v>151</v>
      </c>
      <c r="AR444" s="16" t="s">
        <v>151</v>
      </c>
      <c r="AS444" s="17" t="s">
        <v>9437</v>
      </c>
      <c r="AT444" s="17" t="s">
        <v>9438</v>
      </c>
      <c r="AU444" s="18">
        <v>23</v>
      </c>
      <c r="AV444" s="17" t="s">
        <v>151</v>
      </c>
      <c r="AW444" s="17" t="s">
        <v>151</v>
      </c>
      <c r="AX444" s="17" t="s">
        <v>151</v>
      </c>
      <c r="AY444" s="17" t="s">
        <v>9439</v>
      </c>
      <c r="AZ444" s="17" t="s">
        <v>151</v>
      </c>
      <c r="BA444" s="17" t="s">
        <v>151</v>
      </c>
      <c r="BB444" s="17" t="s">
        <v>151</v>
      </c>
      <c r="BC444" s="17" t="s">
        <v>9440</v>
      </c>
      <c r="BD444" s="17" t="s">
        <v>9441</v>
      </c>
      <c r="BE444" s="17" t="s">
        <v>9442</v>
      </c>
      <c r="BF444" s="17" t="s">
        <v>493</v>
      </c>
      <c r="BG444" s="17" t="s">
        <v>9443</v>
      </c>
      <c r="BH444" s="17" t="s">
        <v>9444</v>
      </c>
      <c r="BI444" s="17" t="s">
        <v>764</v>
      </c>
      <c r="BJ444" s="17" t="s">
        <v>5323</v>
      </c>
      <c r="BK444" s="17" t="s">
        <v>9445</v>
      </c>
      <c r="BL444" s="17" t="s">
        <v>767</v>
      </c>
      <c r="BM444" s="17" t="s">
        <v>184</v>
      </c>
      <c r="BN444" s="16" t="s">
        <v>1260</v>
      </c>
      <c r="BO444" s="17" t="s">
        <v>186</v>
      </c>
      <c r="BP444" s="16" t="s">
        <v>9444</v>
      </c>
      <c r="BQ444" s="16" t="s">
        <v>151</v>
      </c>
      <c r="BR444" s="17" t="s">
        <v>9446</v>
      </c>
      <c r="BS444" s="17" t="s">
        <v>187</v>
      </c>
      <c r="BT444" s="17" t="s">
        <v>188</v>
      </c>
      <c r="BU444" s="22">
        <v>44197</v>
      </c>
      <c r="BV444" s="24">
        <v>0.13</v>
      </c>
      <c r="BW444" s="17" t="s">
        <v>192</v>
      </c>
      <c r="BX444" s="24">
        <v>1.79</v>
      </c>
      <c r="BY444" s="17" t="s">
        <v>192</v>
      </c>
      <c r="BZ444" s="17" t="s">
        <v>189</v>
      </c>
      <c r="CA444" s="17" t="s">
        <v>151</v>
      </c>
      <c r="CB444" s="17" t="s">
        <v>151</v>
      </c>
      <c r="CC444" s="17" t="s">
        <v>190</v>
      </c>
      <c r="CD444" s="17" t="s">
        <v>151</v>
      </c>
      <c r="CE444" s="17" t="s">
        <v>191</v>
      </c>
      <c r="CF444" s="22">
        <v>45602</v>
      </c>
      <c r="CG444" s="24">
        <v>15</v>
      </c>
      <c r="CH444" s="17" t="s">
        <v>192</v>
      </c>
      <c r="CI444" s="24" t="s">
        <v>151</v>
      </c>
      <c r="CJ444" s="17" t="s">
        <v>151</v>
      </c>
      <c r="CK444" s="16" t="s">
        <v>151</v>
      </c>
      <c r="CL444" s="17" t="s">
        <v>231</v>
      </c>
      <c r="CM444" s="17" t="s">
        <v>232</v>
      </c>
      <c r="CN444" s="17" t="s">
        <v>151</v>
      </c>
      <c r="CO444" s="17" t="s">
        <v>165</v>
      </c>
      <c r="CP444" s="22">
        <v>45602</v>
      </c>
      <c r="CQ444" s="24" t="s">
        <v>151</v>
      </c>
      <c r="CR444" s="17" t="s">
        <v>151</v>
      </c>
      <c r="CS444" s="17" t="s">
        <v>191</v>
      </c>
      <c r="CT444" s="16">
        <v>98</v>
      </c>
      <c r="CU444" s="17" t="s">
        <v>196</v>
      </c>
      <c r="CV444" s="19">
        <v>94</v>
      </c>
      <c r="CW444" s="19">
        <v>6</v>
      </c>
      <c r="CX444" s="17" t="s">
        <v>294</v>
      </c>
      <c r="CY444" s="19">
        <v>3</v>
      </c>
      <c r="CZ444" s="19">
        <v>91</v>
      </c>
      <c r="DA444" s="24">
        <v>100</v>
      </c>
      <c r="DB444" s="22">
        <v>44743</v>
      </c>
      <c r="DC444" s="17" t="s">
        <v>231</v>
      </c>
      <c r="DD444" s="16">
        <v>10.05</v>
      </c>
      <c r="DE444" s="19">
        <v>2.92</v>
      </c>
      <c r="DF444" s="21">
        <v>99</v>
      </c>
      <c r="DG444" s="19">
        <v>-0.39</v>
      </c>
      <c r="DH444" s="19">
        <v>-11.87</v>
      </c>
      <c r="DI444" s="19">
        <v>2.92</v>
      </c>
      <c r="DJ444" s="21">
        <v>99</v>
      </c>
      <c r="DK444" s="19" t="s">
        <v>151</v>
      </c>
      <c r="DL444" s="21" t="s">
        <v>151</v>
      </c>
      <c r="DM444" s="19">
        <v>2.92</v>
      </c>
      <c r="DN444" s="21">
        <v>99</v>
      </c>
      <c r="DO444" s="23">
        <v>13.05</v>
      </c>
      <c r="DP444" s="21">
        <v>92</v>
      </c>
      <c r="DQ444" s="23">
        <v>0.05</v>
      </c>
      <c r="DR444" s="19">
        <v>0.4</v>
      </c>
      <c r="DS444" s="23">
        <v>13.05</v>
      </c>
      <c r="DT444" s="21">
        <v>92</v>
      </c>
      <c r="DU444" s="23" t="s">
        <v>151</v>
      </c>
      <c r="DV444" s="21" t="s">
        <v>151</v>
      </c>
      <c r="DW444" s="23">
        <v>13.05</v>
      </c>
      <c r="DX444" s="21">
        <v>92</v>
      </c>
      <c r="DY444" s="18" t="s">
        <v>151</v>
      </c>
      <c r="DZ444" s="22" t="s">
        <v>151</v>
      </c>
      <c r="EA444" s="22" t="s">
        <v>151</v>
      </c>
      <c r="EB444" s="21">
        <v>4292</v>
      </c>
      <c r="EC444" s="20">
        <v>15</v>
      </c>
      <c r="ED444" s="19">
        <v>0.35</v>
      </c>
      <c r="EE444" s="21">
        <v>248</v>
      </c>
      <c r="EF444" s="20">
        <v>4</v>
      </c>
      <c r="EG444" s="19">
        <v>1.64</v>
      </c>
      <c r="EH444" s="16" t="s">
        <v>198</v>
      </c>
      <c r="EI444" s="17" t="s">
        <v>151</v>
      </c>
      <c r="EJ444" s="17" t="s">
        <v>151</v>
      </c>
      <c r="EK444" s="18" t="s">
        <v>151</v>
      </c>
      <c r="EL444" s="18" t="s">
        <v>151</v>
      </c>
      <c r="EM444" s="18" t="s">
        <v>151</v>
      </c>
      <c r="EN444" s="18" t="s">
        <v>151</v>
      </c>
      <c r="EO444" s="18" t="s">
        <v>151</v>
      </c>
      <c r="EP444" s="17" t="s">
        <v>151</v>
      </c>
      <c r="EQ444" s="16" t="s">
        <v>151</v>
      </c>
      <c r="ER444" s="16" t="s">
        <v>151</v>
      </c>
      <c r="ES444" s="3">
        <f>HYPERLINK("https://my.pitchbook.com?c=459548-38","View Company Online")</f>
      </c>
    </row>
    <row r="445">
      <c r="A445" s="30" t="s">
        <v>9447</v>
      </c>
      <c r="B445" s="30" t="s">
        <v>9448</v>
      </c>
      <c r="C445" s="31" t="s">
        <v>151</v>
      </c>
      <c r="D445" s="30" t="s">
        <v>151</v>
      </c>
      <c r="E445" s="30" t="s">
        <v>151</v>
      </c>
      <c r="F445" s="30" t="s">
        <v>9449</v>
      </c>
      <c r="G445" s="30" t="s">
        <v>151</v>
      </c>
      <c r="H445" s="30" t="s">
        <v>151</v>
      </c>
      <c r="I445" s="30" t="s">
        <v>151</v>
      </c>
      <c r="J445" s="30" t="s">
        <v>9447</v>
      </c>
      <c r="K445" s="30" t="s">
        <v>9450</v>
      </c>
      <c r="L445" s="30" t="s">
        <v>155</v>
      </c>
      <c r="M445" s="30" t="s">
        <v>7841</v>
      </c>
      <c r="N445" s="30" t="s">
        <v>9451</v>
      </c>
      <c r="O445" s="30" t="s">
        <v>9452</v>
      </c>
      <c r="P445" s="30" t="s">
        <v>1346</v>
      </c>
      <c r="Q445" s="30" t="s">
        <v>9453</v>
      </c>
      <c r="R445" s="30" t="s">
        <v>151</v>
      </c>
      <c r="S445" s="30" t="s">
        <v>162</v>
      </c>
      <c r="T445" s="37">
        <v>0.55</v>
      </c>
      <c r="U445" s="30" t="s">
        <v>163</v>
      </c>
      <c r="V445" s="30" t="s">
        <v>164</v>
      </c>
      <c r="W445" s="30" t="s">
        <v>165</v>
      </c>
      <c r="X445" s="28" t="s">
        <v>9454</v>
      </c>
      <c r="Y445" s="28" t="s">
        <v>9455</v>
      </c>
      <c r="Z445" s="40">
        <v>11</v>
      </c>
      <c r="AA445" s="30" t="s">
        <v>9456</v>
      </c>
      <c r="AB445" s="30" t="s">
        <v>151</v>
      </c>
      <c r="AC445" s="30" t="s">
        <v>151</v>
      </c>
      <c r="AD445" s="39">
        <v>2019</v>
      </c>
      <c r="AE445" s="30" t="s">
        <v>151</v>
      </c>
      <c r="AF445" s="35">
        <v>45412</v>
      </c>
      <c r="AG445" s="30" t="s">
        <v>151</v>
      </c>
      <c r="AH445" s="30" t="s">
        <v>151</v>
      </c>
      <c r="AI445" s="38">
        <v>2</v>
      </c>
      <c r="AJ445" s="32" t="s">
        <v>151</v>
      </c>
      <c r="AK445" s="38" t="s">
        <v>151</v>
      </c>
      <c r="AL445" s="38" t="s">
        <v>151</v>
      </c>
      <c r="AM445" s="38" t="s">
        <v>151</v>
      </c>
      <c r="AN445" s="38" t="s">
        <v>151</v>
      </c>
      <c r="AO445" s="38" t="s">
        <v>151</v>
      </c>
      <c r="AP445" s="38" t="s">
        <v>151</v>
      </c>
      <c r="AQ445" s="38" t="s">
        <v>151</v>
      </c>
      <c r="AR445" s="29" t="s">
        <v>456</v>
      </c>
      <c r="AS445" s="30" t="s">
        <v>9457</v>
      </c>
      <c r="AT445" s="30" t="s">
        <v>9458</v>
      </c>
      <c r="AU445" s="31">
        <v>4</v>
      </c>
      <c r="AV445" s="30" t="s">
        <v>151</v>
      </c>
      <c r="AW445" s="30" t="s">
        <v>151</v>
      </c>
      <c r="AX445" s="30" t="s">
        <v>151</v>
      </c>
      <c r="AY445" s="30" t="s">
        <v>9459</v>
      </c>
      <c r="AZ445" s="30" t="s">
        <v>151</v>
      </c>
      <c r="BA445" s="30" t="s">
        <v>151</v>
      </c>
      <c r="BB445" s="30" t="s">
        <v>151</v>
      </c>
      <c r="BC445" s="30" t="s">
        <v>151</v>
      </c>
      <c r="BD445" s="30" t="s">
        <v>9460</v>
      </c>
      <c r="BE445" s="30" t="s">
        <v>9461</v>
      </c>
      <c r="BF445" s="30" t="s">
        <v>221</v>
      </c>
      <c r="BG445" s="30" t="s">
        <v>9462</v>
      </c>
      <c r="BH445" s="30" t="s">
        <v>9463</v>
      </c>
      <c r="BI445" s="30" t="s">
        <v>2265</v>
      </c>
      <c r="BJ445" s="30" t="s">
        <v>9464</v>
      </c>
      <c r="BK445" s="30" t="s">
        <v>151</v>
      </c>
      <c r="BL445" s="30" t="s">
        <v>2267</v>
      </c>
      <c r="BM445" s="30" t="s">
        <v>855</v>
      </c>
      <c r="BN445" s="29" t="s">
        <v>9465</v>
      </c>
      <c r="BO445" s="30" t="s">
        <v>186</v>
      </c>
      <c r="BP445" s="29" t="s">
        <v>9463</v>
      </c>
      <c r="BQ445" s="29" t="s">
        <v>151</v>
      </c>
      <c r="BR445" s="30" t="s">
        <v>9466</v>
      </c>
      <c r="BS445" s="30" t="s">
        <v>187</v>
      </c>
      <c r="BT445" s="30" t="s">
        <v>188</v>
      </c>
      <c r="BU445" s="35">
        <v>44648</v>
      </c>
      <c r="BV445" s="37">
        <v>0.55</v>
      </c>
      <c r="BW445" s="30" t="s">
        <v>192</v>
      </c>
      <c r="BX445" s="37" t="s">
        <v>151</v>
      </c>
      <c r="BY445" s="30" t="s">
        <v>151</v>
      </c>
      <c r="BZ445" s="30" t="s">
        <v>231</v>
      </c>
      <c r="CA445" s="30" t="s">
        <v>151</v>
      </c>
      <c r="CB445" s="30" t="s">
        <v>151</v>
      </c>
      <c r="CC445" s="30" t="s">
        <v>165</v>
      </c>
      <c r="CD445" s="30" t="s">
        <v>151</v>
      </c>
      <c r="CE445" s="30" t="s">
        <v>191</v>
      </c>
      <c r="CF445" s="35">
        <v>44648</v>
      </c>
      <c r="CG445" s="37">
        <v>0.55</v>
      </c>
      <c r="CH445" s="30" t="s">
        <v>192</v>
      </c>
      <c r="CI445" s="37" t="s">
        <v>151</v>
      </c>
      <c r="CJ445" s="30" t="s">
        <v>151</v>
      </c>
      <c r="CK445" s="29" t="s">
        <v>151</v>
      </c>
      <c r="CL445" s="30" t="s">
        <v>231</v>
      </c>
      <c r="CM445" s="30" t="s">
        <v>151</v>
      </c>
      <c r="CN445" s="30" t="s">
        <v>151</v>
      </c>
      <c r="CO445" s="30" t="s">
        <v>165</v>
      </c>
      <c r="CP445" s="35">
        <v>44648</v>
      </c>
      <c r="CQ445" s="37" t="s">
        <v>151</v>
      </c>
      <c r="CR445" s="30" t="s">
        <v>151</v>
      </c>
      <c r="CS445" s="30" t="s">
        <v>191</v>
      </c>
      <c r="CT445" s="29" t="s">
        <v>151</v>
      </c>
      <c r="CU445" s="30" t="s">
        <v>151</v>
      </c>
      <c r="CV445" s="32" t="s">
        <v>151</v>
      </c>
      <c r="CW445" s="32" t="s">
        <v>151</v>
      </c>
      <c r="CX445" s="30" t="s">
        <v>151</v>
      </c>
      <c r="CY445" s="32" t="s">
        <v>151</v>
      </c>
      <c r="CZ445" s="32" t="s">
        <v>151</v>
      </c>
      <c r="DA445" s="37" t="s">
        <v>151</v>
      </c>
      <c r="DB445" s="35" t="s">
        <v>151</v>
      </c>
      <c r="DC445" s="30" t="s">
        <v>151</v>
      </c>
      <c r="DD445" s="29" t="s">
        <v>151</v>
      </c>
      <c r="DE445" s="32">
        <v>0.91</v>
      </c>
      <c r="DF445" s="34">
        <v>96</v>
      </c>
      <c r="DG445" s="32">
        <v>0</v>
      </c>
      <c r="DH445" s="32">
        <v>0</v>
      </c>
      <c r="DI445" s="32">
        <v>2.86</v>
      </c>
      <c r="DJ445" s="34">
        <v>99</v>
      </c>
      <c r="DK445" s="32">
        <v>5.69</v>
      </c>
      <c r="DL445" s="34">
        <v>98</v>
      </c>
      <c r="DM445" s="32">
        <v>0.03</v>
      </c>
      <c r="DN445" s="34">
        <v>92</v>
      </c>
      <c r="DO445" s="36">
        <v>15.92</v>
      </c>
      <c r="DP445" s="34">
        <v>94</v>
      </c>
      <c r="DQ445" s="36">
        <v>0</v>
      </c>
      <c r="DR445" s="32">
        <v>0</v>
      </c>
      <c r="DS445" s="36">
        <v>31</v>
      </c>
      <c r="DT445" s="34">
        <v>97</v>
      </c>
      <c r="DU445" s="36">
        <v>39.1</v>
      </c>
      <c r="DV445" s="34">
        <v>94</v>
      </c>
      <c r="DW445" s="36">
        <v>22.89</v>
      </c>
      <c r="DX445" s="34">
        <v>96</v>
      </c>
      <c r="DY445" s="31" t="s">
        <v>151</v>
      </c>
      <c r="DZ445" s="35" t="s">
        <v>151</v>
      </c>
      <c r="EA445" s="35" t="s">
        <v>151</v>
      </c>
      <c r="EB445" s="34">
        <v>8054</v>
      </c>
      <c r="EC445" s="33">
        <v>538</v>
      </c>
      <c r="ED445" s="32">
        <v>7.16</v>
      </c>
      <c r="EE445" s="34">
        <v>435</v>
      </c>
      <c r="EF445" s="33">
        <v>0</v>
      </c>
      <c r="EG445" s="32">
        <v>0</v>
      </c>
      <c r="EH445" s="29" t="s">
        <v>198</v>
      </c>
      <c r="EI445" s="30" t="s">
        <v>151</v>
      </c>
      <c r="EJ445" s="30" t="s">
        <v>151</v>
      </c>
      <c r="EK445" s="31" t="s">
        <v>151</v>
      </c>
      <c r="EL445" s="31" t="s">
        <v>151</v>
      </c>
      <c r="EM445" s="31" t="s">
        <v>151</v>
      </c>
      <c r="EN445" s="31" t="s">
        <v>151</v>
      </c>
      <c r="EO445" s="31" t="s">
        <v>151</v>
      </c>
      <c r="EP445" s="30" t="s">
        <v>151</v>
      </c>
      <c r="EQ445" s="29" t="s">
        <v>151</v>
      </c>
      <c r="ER445" s="29" t="s">
        <v>151</v>
      </c>
      <c r="ES445" s="4">
        <f>HYPERLINK("https://my.pitchbook.com?c=495479-89","View Company Online")</f>
      </c>
    </row>
    <row r="446">
      <c r="A446" s="17" t="s">
        <v>9467</v>
      </c>
      <c r="B446" s="17" t="s">
        <v>9468</v>
      </c>
      <c r="C446" s="18" t="s">
        <v>151</v>
      </c>
      <c r="D446" s="17" t="s">
        <v>151</v>
      </c>
      <c r="E446" s="17" t="s">
        <v>151</v>
      </c>
      <c r="F446" s="17" t="s">
        <v>9469</v>
      </c>
      <c r="G446" s="17" t="s">
        <v>151</v>
      </c>
      <c r="H446" s="17" t="s">
        <v>151</v>
      </c>
      <c r="I446" s="17" t="s">
        <v>151</v>
      </c>
      <c r="J446" s="17" t="s">
        <v>9467</v>
      </c>
      <c r="K446" s="17" t="s">
        <v>9470</v>
      </c>
      <c r="L446" s="17" t="s">
        <v>205</v>
      </c>
      <c r="M446" s="17" t="s">
        <v>206</v>
      </c>
      <c r="N446" s="17" t="s">
        <v>1268</v>
      </c>
      <c r="O446" s="17" t="s">
        <v>4147</v>
      </c>
      <c r="P446" s="17" t="s">
        <v>1205</v>
      </c>
      <c r="Q446" s="17" t="s">
        <v>9471</v>
      </c>
      <c r="R446" s="17" t="s">
        <v>151</v>
      </c>
      <c r="S446" s="17" t="s">
        <v>162</v>
      </c>
      <c r="T446" s="24">
        <v>3.06</v>
      </c>
      <c r="U446" s="17" t="s">
        <v>163</v>
      </c>
      <c r="V446" s="17" t="s">
        <v>164</v>
      </c>
      <c r="W446" s="17" t="s">
        <v>165</v>
      </c>
      <c r="X446" s="15" t="s">
        <v>9472</v>
      </c>
      <c r="Y446" s="15" t="s">
        <v>9473</v>
      </c>
      <c r="Z446" s="27">
        <v>4</v>
      </c>
      <c r="AA446" s="17" t="s">
        <v>9474</v>
      </c>
      <c r="AB446" s="17" t="s">
        <v>151</v>
      </c>
      <c r="AC446" s="17" t="s">
        <v>151</v>
      </c>
      <c r="AD446" s="26">
        <v>2021</v>
      </c>
      <c r="AE446" s="17" t="s">
        <v>151</v>
      </c>
      <c r="AF446" s="22">
        <v>45597</v>
      </c>
      <c r="AG446" s="17" t="s">
        <v>151</v>
      </c>
      <c r="AH446" s="17" t="s">
        <v>151</v>
      </c>
      <c r="AI446" s="25">
        <v>1</v>
      </c>
      <c r="AJ446" s="19" t="s">
        <v>151</v>
      </c>
      <c r="AK446" s="25" t="s">
        <v>151</v>
      </c>
      <c r="AL446" s="25" t="s">
        <v>151</v>
      </c>
      <c r="AM446" s="25" t="s">
        <v>151</v>
      </c>
      <c r="AN446" s="25" t="s">
        <v>151</v>
      </c>
      <c r="AO446" s="25" t="s">
        <v>151</v>
      </c>
      <c r="AP446" s="25" t="s">
        <v>151</v>
      </c>
      <c r="AQ446" s="25" t="s">
        <v>151</v>
      </c>
      <c r="AR446" s="16" t="s">
        <v>170</v>
      </c>
      <c r="AS446" s="17" t="s">
        <v>9475</v>
      </c>
      <c r="AT446" s="17" t="s">
        <v>9476</v>
      </c>
      <c r="AU446" s="18">
        <v>9</v>
      </c>
      <c r="AV446" s="17" t="s">
        <v>151</v>
      </c>
      <c r="AW446" s="17" t="s">
        <v>151</v>
      </c>
      <c r="AX446" s="17" t="s">
        <v>151</v>
      </c>
      <c r="AY446" s="17" t="s">
        <v>9477</v>
      </c>
      <c r="AZ446" s="17" t="s">
        <v>151</v>
      </c>
      <c r="BA446" s="17" t="s">
        <v>151</v>
      </c>
      <c r="BB446" s="17" t="s">
        <v>151</v>
      </c>
      <c r="BC446" s="17" t="s">
        <v>9478</v>
      </c>
      <c r="BD446" s="17" t="s">
        <v>9479</v>
      </c>
      <c r="BE446" s="17" t="s">
        <v>9480</v>
      </c>
      <c r="BF446" s="17" t="s">
        <v>221</v>
      </c>
      <c r="BG446" s="17" t="s">
        <v>9481</v>
      </c>
      <c r="BH446" s="17" t="s">
        <v>151</v>
      </c>
      <c r="BI446" s="17" t="s">
        <v>906</v>
      </c>
      <c r="BJ446" s="17" t="s">
        <v>9482</v>
      </c>
      <c r="BK446" s="17" t="s">
        <v>9483</v>
      </c>
      <c r="BL446" s="17" t="s">
        <v>259</v>
      </c>
      <c r="BM446" s="17" t="s">
        <v>259</v>
      </c>
      <c r="BN446" s="16" t="s">
        <v>5587</v>
      </c>
      <c r="BO446" s="17" t="s">
        <v>186</v>
      </c>
      <c r="BP446" s="16" t="s">
        <v>151</v>
      </c>
      <c r="BQ446" s="16" t="s">
        <v>151</v>
      </c>
      <c r="BR446" s="17" t="s">
        <v>9484</v>
      </c>
      <c r="BS446" s="17" t="s">
        <v>187</v>
      </c>
      <c r="BT446" s="17" t="s">
        <v>188</v>
      </c>
      <c r="BU446" s="22">
        <v>44361</v>
      </c>
      <c r="BV446" s="24">
        <v>0.01</v>
      </c>
      <c r="BW446" s="17" t="s">
        <v>192</v>
      </c>
      <c r="BX446" s="24" t="s">
        <v>151</v>
      </c>
      <c r="BY446" s="17" t="s">
        <v>151</v>
      </c>
      <c r="BZ446" s="17" t="s">
        <v>189</v>
      </c>
      <c r="CA446" s="17" t="s">
        <v>151</v>
      </c>
      <c r="CB446" s="17" t="s">
        <v>151</v>
      </c>
      <c r="CC446" s="17" t="s">
        <v>190</v>
      </c>
      <c r="CD446" s="17" t="s">
        <v>151</v>
      </c>
      <c r="CE446" s="17" t="s">
        <v>191</v>
      </c>
      <c r="CF446" s="22">
        <v>45076</v>
      </c>
      <c r="CG446" s="24">
        <v>2.8</v>
      </c>
      <c r="CH446" s="17" t="s">
        <v>192</v>
      </c>
      <c r="CI446" s="24">
        <v>11</v>
      </c>
      <c r="CJ446" s="17" t="s">
        <v>192</v>
      </c>
      <c r="CK446" s="16" t="s">
        <v>151</v>
      </c>
      <c r="CL446" s="17" t="s">
        <v>293</v>
      </c>
      <c r="CM446" s="17" t="s">
        <v>293</v>
      </c>
      <c r="CN446" s="17" t="s">
        <v>151</v>
      </c>
      <c r="CO446" s="17" t="s">
        <v>165</v>
      </c>
      <c r="CP446" s="22">
        <v>45076</v>
      </c>
      <c r="CQ446" s="24" t="s">
        <v>151</v>
      </c>
      <c r="CR446" s="17" t="s">
        <v>151</v>
      </c>
      <c r="CS446" s="17" t="s">
        <v>191</v>
      </c>
      <c r="CT446" s="16" t="s">
        <v>151</v>
      </c>
      <c r="CU446" s="17" t="s">
        <v>151</v>
      </c>
      <c r="CV446" s="19" t="s">
        <v>151</v>
      </c>
      <c r="CW446" s="19" t="s">
        <v>151</v>
      </c>
      <c r="CX446" s="17" t="s">
        <v>151</v>
      </c>
      <c r="CY446" s="19" t="s">
        <v>151</v>
      </c>
      <c r="CZ446" s="19" t="s">
        <v>151</v>
      </c>
      <c r="DA446" s="24">
        <v>11</v>
      </c>
      <c r="DB446" s="22">
        <v>45076</v>
      </c>
      <c r="DC446" s="17" t="s">
        <v>293</v>
      </c>
      <c r="DD446" s="16" t="s">
        <v>151</v>
      </c>
      <c r="DE446" s="19">
        <v>-1.64</v>
      </c>
      <c r="DF446" s="21">
        <v>3</v>
      </c>
      <c r="DG446" s="19">
        <v>0</v>
      </c>
      <c r="DH446" s="19">
        <v>0</v>
      </c>
      <c r="DI446" s="19">
        <v>-1.64</v>
      </c>
      <c r="DJ446" s="21">
        <v>3</v>
      </c>
      <c r="DK446" s="19" t="s">
        <v>151</v>
      </c>
      <c r="DL446" s="21" t="s">
        <v>151</v>
      </c>
      <c r="DM446" s="19">
        <v>-1.64</v>
      </c>
      <c r="DN446" s="21">
        <v>2</v>
      </c>
      <c r="DO446" s="23">
        <v>6.32</v>
      </c>
      <c r="DP446" s="21">
        <v>85</v>
      </c>
      <c r="DQ446" s="23">
        <v>0</v>
      </c>
      <c r="DR446" s="19">
        <v>0</v>
      </c>
      <c r="DS446" s="23">
        <v>6.32</v>
      </c>
      <c r="DT446" s="21">
        <v>85</v>
      </c>
      <c r="DU446" s="23" t="s">
        <v>151</v>
      </c>
      <c r="DV446" s="21" t="s">
        <v>151</v>
      </c>
      <c r="DW446" s="23">
        <v>6.32</v>
      </c>
      <c r="DX446" s="21">
        <v>85</v>
      </c>
      <c r="DY446" s="18" t="s">
        <v>151</v>
      </c>
      <c r="DZ446" s="22" t="s">
        <v>151</v>
      </c>
      <c r="EA446" s="22" t="s">
        <v>151</v>
      </c>
      <c r="EB446" s="21">
        <v>1569</v>
      </c>
      <c r="EC446" s="20">
        <v>156</v>
      </c>
      <c r="ED446" s="19">
        <v>11.04</v>
      </c>
      <c r="EE446" s="21">
        <v>120</v>
      </c>
      <c r="EF446" s="20">
        <v>-1</v>
      </c>
      <c r="EG446" s="19">
        <v>-0.83</v>
      </c>
      <c r="EH446" s="16" t="s">
        <v>198</v>
      </c>
      <c r="EI446" s="17" t="s">
        <v>151</v>
      </c>
      <c r="EJ446" s="17" t="s">
        <v>151</v>
      </c>
      <c r="EK446" s="18" t="s">
        <v>151</v>
      </c>
      <c r="EL446" s="18" t="s">
        <v>151</v>
      </c>
      <c r="EM446" s="18" t="s">
        <v>151</v>
      </c>
      <c r="EN446" s="18" t="s">
        <v>151</v>
      </c>
      <c r="EO446" s="18" t="s">
        <v>151</v>
      </c>
      <c r="EP446" s="17" t="s">
        <v>151</v>
      </c>
      <c r="EQ446" s="16" t="s">
        <v>151</v>
      </c>
      <c r="ER446" s="16" t="s">
        <v>151</v>
      </c>
      <c r="ES446" s="3">
        <f>HYPERLINK("https://my.pitchbook.com?c=470897-65","View Company Online")</f>
      </c>
    </row>
    <row r="447">
      <c r="A447" s="30" t="s">
        <v>9485</v>
      </c>
      <c r="B447" s="30" t="s">
        <v>9486</v>
      </c>
      <c r="C447" s="31" t="s">
        <v>151</v>
      </c>
      <c r="D447" s="30" t="s">
        <v>9487</v>
      </c>
      <c r="E447" s="30" t="s">
        <v>9488</v>
      </c>
      <c r="F447" s="30" t="s">
        <v>9489</v>
      </c>
      <c r="G447" s="30" t="s">
        <v>151</v>
      </c>
      <c r="H447" s="30" t="s">
        <v>151</v>
      </c>
      <c r="I447" s="30" t="s">
        <v>9490</v>
      </c>
      <c r="J447" s="30" t="s">
        <v>9485</v>
      </c>
      <c r="K447" s="30" t="s">
        <v>9491</v>
      </c>
      <c r="L447" s="30" t="s">
        <v>205</v>
      </c>
      <c r="M447" s="30" t="s">
        <v>206</v>
      </c>
      <c r="N447" s="30" t="s">
        <v>1268</v>
      </c>
      <c r="O447" s="30" t="s">
        <v>1485</v>
      </c>
      <c r="P447" s="30" t="s">
        <v>9492</v>
      </c>
      <c r="Q447" s="30" t="s">
        <v>9493</v>
      </c>
      <c r="R447" s="30" t="s">
        <v>151</v>
      </c>
      <c r="S447" s="30" t="s">
        <v>162</v>
      </c>
      <c r="T447" s="37">
        <v>28</v>
      </c>
      <c r="U447" s="30" t="s">
        <v>163</v>
      </c>
      <c r="V447" s="30" t="s">
        <v>164</v>
      </c>
      <c r="W447" s="30" t="s">
        <v>165</v>
      </c>
      <c r="X447" s="28" t="s">
        <v>9494</v>
      </c>
      <c r="Y447" s="28" t="s">
        <v>9495</v>
      </c>
      <c r="Z447" s="40">
        <v>29</v>
      </c>
      <c r="AA447" s="30" t="s">
        <v>9496</v>
      </c>
      <c r="AB447" s="30" t="s">
        <v>151</v>
      </c>
      <c r="AC447" s="30" t="s">
        <v>151</v>
      </c>
      <c r="AD447" s="39">
        <v>2021</v>
      </c>
      <c r="AE447" s="30" t="s">
        <v>151</v>
      </c>
      <c r="AF447" s="35">
        <v>45587</v>
      </c>
      <c r="AG447" s="30" t="s">
        <v>151</v>
      </c>
      <c r="AH447" s="30" t="s">
        <v>151</v>
      </c>
      <c r="AI447" s="38" t="s">
        <v>151</v>
      </c>
      <c r="AJ447" s="32" t="s">
        <v>151</v>
      </c>
      <c r="AK447" s="38" t="s">
        <v>151</v>
      </c>
      <c r="AL447" s="38" t="s">
        <v>151</v>
      </c>
      <c r="AM447" s="38" t="s">
        <v>151</v>
      </c>
      <c r="AN447" s="38" t="s">
        <v>151</v>
      </c>
      <c r="AO447" s="38" t="s">
        <v>151</v>
      </c>
      <c r="AP447" s="38" t="s">
        <v>151</v>
      </c>
      <c r="AQ447" s="38" t="s">
        <v>151</v>
      </c>
      <c r="AR447" s="29" t="s">
        <v>151</v>
      </c>
      <c r="AS447" s="30" t="s">
        <v>9497</v>
      </c>
      <c r="AT447" s="30" t="s">
        <v>9498</v>
      </c>
      <c r="AU447" s="31">
        <v>10</v>
      </c>
      <c r="AV447" s="30" t="s">
        <v>151</v>
      </c>
      <c r="AW447" s="30" t="s">
        <v>151</v>
      </c>
      <c r="AX447" s="30" t="s">
        <v>151</v>
      </c>
      <c r="AY447" s="30" t="s">
        <v>9499</v>
      </c>
      <c r="AZ447" s="30" t="s">
        <v>151</v>
      </c>
      <c r="BA447" s="30" t="s">
        <v>151</v>
      </c>
      <c r="BB447" s="30" t="s">
        <v>151</v>
      </c>
      <c r="BC447" s="30" t="s">
        <v>9500</v>
      </c>
      <c r="BD447" s="30" t="s">
        <v>9501</v>
      </c>
      <c r="BE447" s="30" t="s">
        <v>9502</v>
      </c>
      <c r="BF447" s="30" t="s">
        <v>493</v>
      </c>
      <c r="BG447" s="30" t="s">
        <v>9503</v>
      </c>
      <c r="BH447" s="30" t="s">
        <v>9504</v>
      </c>
      <c r="BI447" s="30" t="s">
        <v>764</v>
      </c>
      <c r="BJ447" s="30" t="s">
        <v>1434</v>
      </c>
      <c r="BK447" s="30" t="s">
        <v>9505</v>
      </c>
      <c r="BL447" s="30" t="s">
        <v>767</v>
      </c>
      <c r="BM447" s="30" t="s">
        <v>184</v>
      </c>
      <c r="BN447" s="29" t="s">
        <v>4531</v>
      </c>
      <c r="BO447" s="30" t="s">
        <v>186</v>
      </c>
      <c r="BP447" s="29" t="s">
        <v>9504</v>
      </c>
      <c r="BQ447" s="29" t="s">
        <v>151</v>
      </c>
      <c r="BR447" s="30" t="s">
        <v>9506</v>
      </c>
      <c r="BS447" s="30" t="s">
        <v>187</v>
      </c>
      <c r="BT447" s="30" t="s">
        <v>188</v>
      </c>
      <c r="BU447" s="35">
        <v>45141</v>
      </c>
      <c r="BV447" s="37">
        <v>8</v>
      </c>
      <c r="BW447" s="30" t="s">
        <v>192</v>
      </c>
      <c r="BX447" s="37">
        <v>36</v>
      </c>
      <c r="BY447" s="30" t="s">
        <v>192</v>
      </c>
      <c r="BZ447" s="30" t="s">
        <v>293</v>
      </c>
      <c r="CA447" s="30" t="s">
        <v>293</v>
      </c>
      <c r="CB447" s="30" t="s">
        <v>151</v>
      </c>
      <c r="CC447" s="30" t="s">
        <v>165</v>
      </c>
      <c r="CD447" s="30" t="s">
        <v>151</v>
      </c>
      <c r="CE447" s="30" t="s">
        <v>191</v>
      </c>
      <c r="CF447" s="35">
        <v>45554</v>
      </c>
      <c r="CG447" s="37">
        <v>20</v>
      </c>
      <c r="CH447" s="30" t="s">
        <v>192</v>
      </c>
      <c r="CI447" s="37">
        <v>80.15</v>
      </c>
      <c r="CJ447" s="30" t="s">
        <v>192</v>
      </c>
      <c r="CK447" s="29">
        <v>1.67</v>
      </c>
      <c r="CL447" s="30" t="s">
        <v>231</v>
      </c>
      <c r="CM447" s="30" t="s">
        <v>232</v>
      </c>
      <c r="CN447" s="30" t="s">
        <v>151</v>
      </c>
      <c r="CO447" s="30" t="s">
        <v>165</v>
      </c>
      <c r="CP447" s="35">
        <v>45554</v>
      </c>
      <c r="CQ447" s="37" t="s">
        <v>151</v>
      </c>
      <c r="CR447" s="30" t="s">
        <v>151</v>
      </c>
      <c r="CS447" s="30" t="s">
        <v>191</v>
      </c>
      <c r="CT447" s="29">
        <v>96</v>
      </c>
      <c r="CU447" s="30" t="s">
        <v>196</v>
      </c>
      <c r="CV447" s="32">
        <v>88</v>
      </c>
      <c r="CW447" s="32">
        <v>12</v>
      </c>
      <c r="CX447" s="30" t="s">
        <v>294</v>
      </c>
      <c r="CY447" s="32">
        <v>4</v>
      </c>
      <c r="CZ447" s="32">
        <v>84</v>
      </c>
      <c r="DA447" s="37">
        <v>80.15</v>
      </c>
      <c r="DB447" s="35">
        <v>45554</v>
      </c>
      <c r="DC447" s="30" t="s">
        <v>231</v>
      </c>
      <c r="DD447" s="29">
        <v>1.67</v>
      </c>
      <c r="DE447" s="32">
        <v>0.7</v>
      </c>
      <c r="DF447" s="34">
        <v>95</v>
      </c>
      <c r="DG447" s="32">
        <v>0</v>
      </c>
      <c r="DH447" s="32">
        <v>0</v>
      </c>
      <c r="DI447" s="32">
        <v>0</v>
      </c>
      <c r="DJ447" s="34">
        <v>10</v>
      </c>
      <c r="DK447" s="32" t="s">
        <v>151</v>
      </c>
      <c r="DL447" s="34" t="s">
        <v>151</v>
      </c>
      <c r="DM447" s="32">
        <v>0</v>
      </c>
      <c r="DN447" s="34">
        <v>10</v>
      </c>
      <c r="DO447" s="36">
        <v>2.06</v>
      </c>
      <c r="DP447" s="34">
        <v>67</v>
      </c>
      <c r="DQ447" s="36">
        <v>0</v>
      </c>
      <c r="DR447" s="32">
        <v>0</v>
      </c>
      <c r="DS447" s="36">
        <v>1.89</v>
      </c>
      <c r="DT447" s="34">
        <v>65</v>
      </c>
      <c r="DU447" s="36" t="s">
        <v>151</v>
      </c>
      <c r="DV447" s="34" t="s">
        <v>151</v>
      </c>
      <c r="DW447" s="36">
        <v>1.89</v>
      </c>
      <c r="DX447" s="34">
        <v>64</v>
      </c>
      <c r="DY447" s="31" t="s">
        <v>151</v>
      </c>
      <c r="DZ447" s="35" t="s">
        <v>151</v>
      </c>
      <c r="EA447" s="35" t="s">
        <v>151</v>
      </c>
      <c r="EB447" s="34">
        <v>684</v>
      </c>
      <c r="EC447" s="33">
        <v>16</v>
      </c>
      <c r="ED447" s="32">
        <v>2.4</v>
      </c>
      <c r="EE447" s="34">
        <v>36</v>
      </c>
      <c r="EF447" s="33">
        <v>1</v>
      </c>
      <c r="EG447" s="32">
        <v>2.86</v>
      </c>
      <c r="EH447" s="29" t="s">
        <v>198</v>
      </c>
      <c r="EI447" s="30" t="s">
        <v>151</v>
      </c>
      <c r="EJ447" s="30" t="s">
        <v>151</v>
      </c>
      <c r="EK447" s="31" t="s">
        <v>151</v>
      </c>
      <c r="EL447" s="31" t="s">
        <v>151</v>
      </c>
      <c r="EM447" s="31" t="s">
        <v>151</v>
      </c>
      <c r="EN447" s="31" t="s">
        <v>151</v>
      </c>
      <c r="EO447" s="31" t="s">
        <v>151</v>
      </c>
      <c r="EP447" s="30" t="s">
        <v>151</v>
      </c>
      <c r="EQ447" s="29" t="s">
        <v>151</v>
      </c>
      <c r="ER447" s="29" t="s">
        <v>151</v>
      </c>
      <c r="ES447" s="4">
        <f>HYPERLINK("https://my.pitchbook.com?c=503171-11","View Company Online")</f>
      </c>
    </row>
    <row r="448">
      <c r="A448" s="17" t="s">
        <v>9507</v>
      </c>
      <c r="B448" s="17" t="s">
        <v>9508</v>
      </c>
      <c r="C448" s="18" t="s">
        <v>151</v>
      </c>
      <c r="D448" s="17" t="s">
        <v>151</v>
      </c>
      <c r="E448" s="17" t="s">
        <v>151</v>
      </c>
      <c r="F448" s="17" t="s">
        <v>9509</v>
      </c>
      <c r="G448" s="17" t="s">
        <v>151</v>
      </c>
      <c r="H448" s="17" t="s">
        <v>151</v>
      </c>
      <c r="I448" s="17" t="s">
        <v>151</v>
      </c>
      <c r="J448" s="17" t="s">
        <v>9507</v>
      </c>
      <c r="K448" s="17" t="s">
        <v>9510</v>
      </c>
      <c r="L448" s="17" t="s">
        <v>205</v>
      </c>
      <c r="M448" s="17" t="s">
        <v>206</v>
      </c>
      <c r="N448" s="17" t="s">
        <v>1268</v>
      </c>
      <c r="O448" s="17" t="s">
        <v>1269</v>
      </c>
      <c r="P448" s="17" t="s">
        <v>4540</v>
      </c>
      <c r="Q448" s="17" t="s">
        <v>9511</v>
      </c>
      <c r="R448" s="17" t="s">
        <v>151</v>
      </c>
      <c r="S448" s="17" t="s">
        <v>162</v>
      </c>
      <c r="T448" s="24">
        <v>5.25</v>
      </c>
      <c r="U448" s="17" t="s">
        <v>163</v>
      </c>
      <c r="V448" s="17" t="s">
        <v>164</v>
      </c>
      <c r="W448" s="17" t="s">
        <v>165</v>
      </c>
      <c r="X448" s="15" t="s">
        <v>9512</v>
      </c>
      <c r="Y448" s="15" t="s">
        <v>9513</v>
      </c>
      <c r="Z448" s="27">
        <v>11</v>
      </c>
      <c r="AA448" s="17" t="s">
        <v>9514</v>
      </c>
      <c r="AB448" s="17" t="s">
        <v>151</v>
      </c>
      <c r="AC448" s="17" t="s">
        <v>151</v>
      </c>
      <c r="AD448" s="26">
        <v>2021</v>
      </c>
      <c r="AE448" s="17" t="s">
        <v>151</v>
      </c>
      <c r="AF448" s="22">
        <v>45611</v>
      </c>
      <c r="AG448" s="17" t="s">
        <v>151</v>
      </c>
      <c r="AH448" s="17" t="s">
        <v>151</v>
      </c>
      <c r="AI448" s="25" t="s">
        <v>151</v>
      </c>
      <c r="AJ448" s="19" t="s">
        <v>151</v>
      </c>
      <c r="AK448" s="25" t="s">
        <v>151</v>
      </c>
      <c r="AL448" s="25" t="s">
        <v>151</v>
      </c>
      <c r="AM448" s="25" t="s">
        <v>151</v>
      </c>
      <c r="AN448" s="25" t="s">
        <v>151</v>
      </c>
      <c r="AO448" s="25" t="s">
        <v>151</v>
      </c>
      <c r="AP448" s="25" t="s">
        <v>151</v>
      </c>
      <c r="AQ448" s="25" t="s">
        <v>151</v>
      </c>
      <c r="AR448" s="16" t="s">
        <v>151</v>
      </c>
      <c r="AS448" s="17" t="s">
        <v>9515</v>
      </c>
      <c r="AT448" s="17" t="s">
        <v>9516</v>
      </c>
      <c r="AU448" s="18">
        <v>5</v>
      </c>
      <c r="AV448" s="17" t="s">
        <v>151</v>
      </c>
      <c r="AW448" s="17" t="s">
        <v>151</v>
      </c>
      <c r="AX448" s="17" t="s">
        <v>151</v>
      </c>
      <c r="AY448" s="17" t="s">
        <v>9517</v>
      </c>
      <c r="AZ448" s="17" t="s">
        <v>151</v>
      </c>
      <c r="BA448" s="17" t="s">
        <v>151</v>
      </c>
      <c r="BB448" s="17" t="s">
        <v>151</v>
      </c>
      <c r="BC448" s="17" t="s">
        <v>1115</v>
      </c>
      <c r="BD448" s="17" t="s">
        <v>9518</v>
      </c>
      <c r="BE448" s="17" t="s">
        <v>9519</v>
      </c>
      <c r="BF448" s="17" t="s">
        <v>403</v>
      </c>
      <c r="BG448" s="17" t="s">
        <v>151</v>
      </c>
      <c r="BH448" s="17" t="s">
        <v>9520</v>
      </c>
      <c r="BI448" s="17" t="s">
        <v>9521</v>
      </c>
      <c r="BJ448" s="17" t="s">
        <v>9522</v>
      </c>
      <c r="BK448" s="17" t="s">
        <v>151</v>
      </c>
      <c r="BL448" s="17" t="s">
        <v>9523</v>
      </c>
      <c r="BM448" s="17" t="s">
        <v>4356</v>
      </c>
      <c r="BN448" s="16" t="s">
        <v>9524</v>
      </c>
      <c r="BO448" s="17" t="s">
        <v>186</v>
      </c>
      <c r="BP448" s="16" t="s">
        <v>9525</v>
      </c>
      <c r="BQ448" s="16" t="s">
        <v>151</v>
      </c>
      <c r="BR448" s="17" t="s">
        <v>9526</v>
      </c>
      <c r="BS448" s="17" t="s">
        <v>187</v>
      </c>
      <c r="BT448" s="17" t="s">
        <v>188</v>
      </c>
      <c r="BU448" s="22">
        <v>44790</v>
      </c>
      <c r="BV448" s="24">
        <v>5.25</v>
      </c>
      <c r="BW448" s="17" t="s">
        <v>192</v>
      </c>
      <c r="BX448" s="24" t="s">
        <v>151</v>
      </c>
      <c r="BY448" s="17" t="s">
        <v>151</v>
      </c>
      <c r="BZ448" s="17" t="s">
        <v>293</v>
      </c>
      <c r="CA448" s="17" t="s">
        <v>293</v>
      </c>
      <c r="CB448" s="17" t="s">
        <v>151</v>
      </c>
      <c r="CC448" s="17" t="s">
        <v>165</v>
      </c>
      <c r="CD448" s="17" t="s">
        <v>151</v>
      </c>
      <c r="CE448" s="17" t="s">
        <v>191</v>
      </c>
      <c r="CF448" s="22">
        <v>44790</v>
      </c>
      <c r="CG448" s="24">
        <v>5.25</v>
      </c>
      <c r="CH448" s="17" t="s">
        <v>192</v>
      </c>
      <c r="CI448" s="24" t="s">
        <v>151</v>
      </c>
      <c r="CJ448" s="17" t="s">
        <v>151</v>
      </c>
      <c r="CK448" s="16" t="s">
        <v>151</v>
      </c>
      <c r="CL448" s="17" t="s">
        <v>293</v>
      </c>
      <c r="CM448" s="17" t="s">
        <v>293</v>
      </c>
      <c r="CN448" s="17" t="s">
        <v>151</v>
      </c>
      <c r="CO448" s="17" t="s">
        <v>165</v>
      </c>
      <c r="CP448" s="22">
        <v>44790</v>
      </c>
      <c r="CQ448" s="24" t="s">
        <v>151</v>
      </c>
      <c r="CR448" s="17" t="s">
        <v>151</v>
      </c>
      <c r="CS448" s="17" t="s">
        <v>191</v>
      </c>
      <c r="CT448" s="16" t="s">
        <v>151</v>
      </c>
      <c r="CU448" s="17" t="s">
        <v>151</v>
      </c>
      <c r="CV448" s="19" t="s">
        <v>151</v>
      </c>
      <c r="CW448" s="19" t="s">
        <v>151</v>
      </c>
      <c r="CX448" s="17" t="s">
        <v>151</v>
      </c>
      <c r="CY448" s="19" t="s">
        <v>151</v>
      </c>
      <c r="CZ448" s="19" t="s">
        <v>151</v>
      </c>
      <c r="DA448" s="24" t="s">
        <v>151</v>
      </c>
      <c r="DB448" s="22" t="s">
        <v>151</v>
      </c>
      <c r="DC448" s="17" t="s">
        <v>151</v>
      </c>
      <c r="DD448" s="16" t="s">
        <v>151</v>
      </c>
      <c r="DE448" s="19">
        <v>-2.16</v>
      </c>
      <c r="DF448" s="21">
        <v>2</v>
      </c>
      <c r="DG448" s="19">
        <v>0</v>
      </c>
      <c r="DH448" s="19">
        <v>0</v>
      </c>
      <c r="DI448" s="19">
        <v>-2.16</v>
      </c>
      <c r="DJ448" s="21">
        <v>2</v>
      </c>
      <c r="DK448" s="19" t="s">
        <v>151</v>
      </c>
      <c r="DL448" s="21" t="s">
        <v>151</v>
      </c>
      <c r="DM448" s="19">
        <v>-2.16</v>
      </c>
      <c r="DN448" s="21">
        <v>2</v>
      </c>
      <c r="DO448" s="23">
        <v>18.37</v>
      </c>
      <c r="DP448" s="21">
        <v>94</v>
      </c>
      <c r="DQ448" s="23">
        <v>0</v>
      </c>
      <c r="DR448" s="19">
        <v>0</v>
      </c>
      <c r="DS448" s="23">
        <v>18.37</v>
      </c>
      <c r="DT448" s="21">
        <v>94</v>
      </c>
      <c r="DU448" s="23" t="s">
        <v>151</v>
      </c>
      <c r="DV448" s="21" t="s">
        <v>151</v>
      </c>
      <c r="DW448" s="23">
        <v>18.37</v>
      </c>
      <c r="DX448" s="21">
        <v>94</v>
      </c>
      <c r="DY448" s="18">
        <v>1</v>
      </c>
      <c r="DZ448" s="22">
        <v>44886</v>
      </c>
      <c r="EA448" s="22" t="s">
        <v>151</v>
      </c>
      <c r="EB448" s="21">
        <v>7764</v>
      </c>
      <c r="EC448" s="20">
        <v>-161</v>
      </c>
      <c r="ED448" s="19">
        <v>-2.03</v>
      </c>
      <c r="EE448" s="21">
        <v>349</v>
      </c>
      <c r="EF448" s="20">
        <v>-9</v>
      </c>
      <c r="EG448" s="19">
        <v>-2.51</v>
      </c>
      <c r="EH448" s="16" t="s">
        <v>198</v>
      </c>
      <c r="EI448" s="17" t="s">
        <v>151</v>
      </c>
      <c r="EJ448" s="17" t="s">
        <v>151</v>
      </c>
      <c r="EK448" s="18" t="s">
        <v>151</v>
      </c>
      <c r="EL448" s="18" t="s">
        <v>151</v>
      </c>
      <c r="EM448" s="18" t="s">
        <v>151</v>
      </c>
      <c r="EN448" s="18" t="s">
        <v>151</v>
      </c>
      <c r="EO448" s="18" t="s">
        <v>151</v>
      </c>
      <c r="EP448" s="17" t="s">
        <v>151</v>
      </c>
      <c r="EQ448" s="16" t="s">
        <v>151</v>
      </c>
      <c r="ER448" s="16" t="s">
        <v>151</v>
      </c>
      <c r="ES448" s="3">
        <f>HYPERLINK("https://my.pitchbook.com?c=484752-16","View Company Online")</f>
      </c>
    </row>
    <row r="449">
      <c r="A449" s="30" t="s">
        <v>9527</v>
      </c>
      <c r="B449" s="30" t="s">
        <v>9528</v>
      </c>
      <c r="C449" s="31" t="s">
        <v>151</v>
      </c>
      <c r="D449" s="30" t="s">
        <v>151</v>
      </c>
      <c r="E449" s="30" t="s">
        <v>151</v>
      </c>
      <c r="F449" s="30" t="s">
        <v>9529</v>
      </c>
      <c r="G449" s="30" t="s">
        <v>151</v>
      </c>
      <c r="H449" s="30" t="s">
        <v>151</v>
      </c>
      <c r="I449" s="30" t="s">
        <v>9530</v>
      </c>
      <c r="J449" s="30" t="s">
        <v>9527</v>
      </c>
      <c r="K449" s="30" t="s">
        <v>9531</v>
      </c>
      <c r="L449" s="30" t="s">
        <v>205</v>
      </c>
      <c r="M449" s="30" t="s">
        <v>206</v>
      </c>
      <c r="N449" s="30" t="s">
        <v>269</v>
      </c>
      <c r="O449" s="30" t="s">
        <v>1420</v>
      </c>
      <c r="P449" s="30" t="s">
        <v>892</v>
      </c>
      <c r="Q449" s="30" t="s">
        <v>9532</v>
      </c>
      <c r="R449" s="30" t="s">
        <v>151</v>
      </c>
      <c r="S449" s="30" t="s">
        <v>162</v>
      </c>
      <c r="T449" s="37">
        <v>4.22</v>
      </c>
      <c r="U449" s="30" t="s">
        <v>163</v>
      </c>
      <c r="V449" s="30" t="s">
        <v>164</v>
      </c>
      <c r="W449" s="30" t="s">
        <v>165</v>
      </c>
      <c r="X449" s="28" t="s">
        <v>9533</v>
      </c>
      <c r="Y449" s="28" t="s">
        <v>9534</v>
      </c>
      <c r="Z449" s="40">
        <v>10</v>
      </c>
      <c r="AA449" s="30" t="s">
        <v>7721</v>
      </c>
      <c r="AB449" s="30" t="s">
        <v>151</v>
      </c>
      <c r="AC449" s="30" t="s">
        <v>151</v>
      </c>
      <c r="AD449" s="39">
        <v>2022</v>
      </c>
      <c r="AE449" s="30" t="s">
        <v>151</v>
      </c>
      <c r="AF449" s="35">
        <v>45595</v>
      </c>
      <c r="AG449" s="30" t="s">
        <v>151</v>
      </c>
      <c r="AH449" s="30" t="s">
        <v>151</v>
      </c>
      <c r="AI449" s="38" t="s">
        <v>151</v>
      </c>
      <c r="AJ449" s="32" t="s">
        <v>151</v>
      </c>
      <c r="AK449" s="38" t="s">
        <v>151</v>
      </c>
      <c r="AL449" s="38" t="s">
        <v>151</v>
      </c>
      <c r="AM449" s="38" t="s">
        <v>151</v>
      </c>
      <c r="AN449" s="38" t="s">
        <v>151</v>
      </c>
      <c r="AO449" s="38" t="s">
        <v>151</v>
      </c>
      <c r="AP449" s="38" t="s">
        <v>151</v>
      </c>
      <c r="AQ449" s="38" t="s">
        <v>151</v>
      </c>
      <c r="AR449" s="29" t="s">
        <v>151</v>
      </c>
      <c r="AS449" s="30" t="s">
        <v>9535</v>
      </c>
      <c r="AT449" s="30" t="s">
        <v>9536</v>
      </c>
      <c r="AU449" s="31">
        <v>7</v>
      </c>
      <c r="AV449" s="30" t="s">
        <v>151</v>
      </c>
      <c r="AW449" s="30" t="s">
        <v>151</v>
      </c>
      <c r="AX449" s="30" t="s">
        <v>151</v>
      </c>
      <c r="AY449" s="30" t="s">
        <v>9537</v>
      </c>
      <c r="AZ449" s="30" t="s">
        <v>151</v>
      </c>
      <c r="BA449" s="30" t="s">
        <v>151</v>
      </c>
      <c r="BB449" s="30" t="s">
        <v>151</v>
      </c>
      <c r="BC449" s="30" t="s">
        <v>490</v>
      </c>
      <c r="BD449" s="30" t="s">
        <v>9538</v>
      </c>
      <c r="BE449" s="30" t="s">
        <v>9539</v>
      </c>
      <c r="BF449" s="30" t="s">
        <v>221</v>
      </c>
      <c r="BG449" s="30" t="s">
        <v>9540</v>
      </c>
      <c r="BH449" s="30" t="s">
        <v>151</v>
      </c>
      <c r="BI449" s="30" t="s">
        <v>9541</v>
      </c>
      <c r="BJ449" s="30" t="s">
        <v>9542</v>
      </c>
      <c r="BK449" s="30" t="s">
        <v>151</v>
      </c>
      <c r="BL449" s="30" t="s">
        <v>9543</v>
      </c>
      <c r="BM449" s="30" t="s">
        <v>1043</v>
      </c>
      <c r="BN449" s="29" t="s">
        <v>9544</v>
      </c>
      <c r="BO449" s="30" t="s">
        <v>186</v>
      </c>
      <c r="BP449" s="29" t="s">
        <v>151</v>
      </c>
      <c r="BQ449" s="29" t="s">
        <v>151</v>
      </c>
      <c r="BR449" s="30" t="s">
        <v>9545</v>
      </c>
      <c r="BS449" s="30" t="s">
        <v>187</v>
      </c>
      <c r="BT449" s="30" t="s">
        <v>188</v>
      </c>
      <c r="BU449" s="35">
        <v>44896</v>
      </c>
      <c r="BV449" s="37">
        <v>0.01</v>
      </c>
      <c r="BW449" s="30" t="s">
        <v>192</v>
      </c>
      <c r="BX449" s="37" t="s">
        <v>151</v>
      </c>
      <c r="BY449" s="30" t="s">
        <v>151</v>
      </c>
      <c r="BZ449" s="30" t="s">
        <v>501</v>
      </c>
      <c r="CA449" s="30" t="s">
        <v>151</v>
      </c>
      <c r="CB449" s="30" t="s">
        <v>151</v>
      </c>
      <c r="CC449" s="30" t="s">
        <v>190</v>
      </c>
      <c r="CD449" s="30" t="s">
        <v>151</v>
      </c>
      <c r="CE449" s="30" t="s">
        <v>191</v>
      </c>
      <c r="CF449" s="35">
        <v>45475</v>
      </c>
      <c r="CG449" s="37">
        <v>2.5</v>
      </c>
      <c r="CH449" s="30" t="s">
        <v>192</v>
      </c>
      <c r="CI449" s="37">
        <v>17.5</v>
      </c>
      <c r="CJ449" s="30" t="s">
        <v>192</v>
      </c>
      <c r="CK449" s="29">
        <v>2.24</v>
      </c>
      <c r="CL449" s="30" t="s">
        <v>293</v>
      </c>
      <c r="CM449" s="30" t="s">
        <v>293</v>
      </c>
      <c r="CN449" s="30" t="s">
        <v>151</v>
      </c>
      <c r="CO449" s="30" t="s">
        <v>165</v>
      </c>
      <c r="CP449" s="35">
        <v>45475</v>
      </c>
      <c r="CQ449" s="37" t="s">
        <v>151</v>
      </c>
      <c r="CR449" s="30" t="s">
        <v>151</v>
      </c>
      <c r="CS449" s="30" t="s">
        <v>191</v>
      </c>
      <c r="CT449" s="29">
        <v>50</v>
      </c>
      <c r="CU449" s="30" t="s">
        <v>263</v>
      </c>
      <c r="CV449" s="32">
        <v>48</v>
      </c>
      <c r="CW449" s="32">
        <v>52</v>
      </c>
      <c r="CX449" s="30" t="s">
        <v>263</v>
      </c>
      <c r="CY449" s="32">
        <v>1</v>
      </c>
      <c r="CZ449" s="32">
        <v>47</v>
      </c>
      <c r="DA449" s="37">
        <v>17.5</v>
      </c>
      <c r="DB449" s="35">
        <v>45475</v>
      </c>
      <c r="DC449" s="30" t="s">
        <v>293</v>
      </c>
      <c r="DD449" s="29">
        <v>2.24</v>
      </c>
      <c r="DE449" s="32">
        <v>0.69</v>
      </c>
      <c r="DF449" s="34">
        <v>95</v>
      </c>
      <c r="DG449" s="32">
        <v>0</v>
      </c>
      <c r="DH449" s="32">
        <v>0</v>
      </c>
      <c r="DI449" s="32">
        <v>0</v>
      </c>
      <c r="DJ449" s="34">
        <v>10</v>
      </c>
      <c r="DK449" s="32" t="s">
        <v>151</v>
      </c>
      <c r="DL449" s="34" t="s">
        <v>151</v>
      </c>
      <c r="DM449" s="32">
        <v>0</v>
      </c>
      <c r="DN449" s="34">
        <v>10</v>
      </c>
      <c r="DO449" s="36">
        <v>1.46</v>
      </c>
      <c r="DP449" s="34">
        <v>59</v>
      </c>
      <c r="DQ449" s="36">
        <v>0</v>
      </c>
      <c r="DR449" s="32">
        <v>0</v>
      </c>
      <c r="DS449" s="36">
        <v>2.16</v>
      </c>
      <c r="DT449" s="34">
        <v>68</v>
      </c>
      <c r="DU449" s="36" t="s">
        <v>151</v>
      </c>
      <c r="DV449" s="34" t="s">
        <v>151</v>
      </c>
      <c r="DW449" s="36">
        <v>2.16</v>
      </c>
      <c r="DX449" s="34">
        <v>67</v>
      </c>
      <c r="DY449" s="31" t="s">
        <v>151</v>
      </c>
      <c r="DZ449" s="35" t="s">
        <v>151</v>
      </c>
      <c r="EA449" s="35" t="s">
        <v>151</v>
      </c>
      <c r="EB449" s="34">
        <v>250</v>
      </c>
      <c r="EC449" s="33">
        <v>-48</v>
      </c>
      <c r="ED449" s="32">
        <v>-16.11</v>
      </c>
      <c r="EE449" s="34">
        <v>41</v>
      </c>
      <c r="EF449" s="33">
        <v>0</v>
      </c>
      <c r="EG449" s="32">
        <v>0</v>
      </c>
      <c r="EH449" s="29" t="s">
        <v>198</v>
      </c>
      <c r="EI449" s="30" t="s">
        <v>151</v>
      </c>
      <c r="EJ449" s="30" t="s">
        <v>151</v>
      </c>
      <c r="EK449" s="31" t="s">
        <v>151</v>
      </c>
      <c r="EL449" s="31" t="s">
        <v>151</v>
      </c>
      <c r="EM449" s="31" t="s">
        <v>151</v>
      </c>
      <c r="EN449" s="31" t="s">
        <v>151</v>
      </c>
      <c r="EO449" s="31" t="s">
        <v>151</v>
      </c>
      <c r="EP449" s="30" t="s">
        <v>151</v>
      </c>
      <c r="EQ449" s="29" t="s">
        <v>151</v>
      </c>
      <c r="ER449" s="29" t="s">
        <v>151</v>
      </c>
      <c r="ES449" s="4">
        <f>HYPERLINK("https://my.pitchbook.com?c=521405-20","View Company Online")</f>
      </c>
    </row>
    <row r="450">
      <c r="A450" s="17" t="s">
        <v>9546</v>
      </c>
      <c r="B450" s="17" t="s">
        <v>9547</v>
      </c>
      <c r="C450" s="18" t="s">
        <v>151</v>
      </c>
      <c r="D450" s="17" t="s">
        <v>151</v>
      </c>
      <c r="E450" s="17" t="s">
        <v>151</v>
      </c>
      <c r="F450" s="17" t="s">
        <v>9548</v>
      </c>
      <c r="G450" s="17" t="s">
        <v>151</v>
      </c>
      <c r="H450" s="17" t="s">
        <v>151</v>
      </c>
      <c r="I450" s="17" t="s">
        <v>151</v>
      </c>
      <c r="J450" s="17" t="s">
        <v>9546</v>
      </c>
      <c r="K450" s="17" t="s">
        <v>9549</v>
      </c>
      <c r="L450" s="17" t="s">
        <v>205</v>
      </c>
      <c r="M450" s="17" t="s">
        <v>206</v>
      </c>
      <c r="N450" s="17" t="s">
        <v>1268</v>
      </c>
      <c r="O450" s="17" t="s">
        <v>9550</v>
      </c>
      <c r="P450" s="17" t="s">
        <v>2130</v>
      </c>
      <c r="Q450" s="17" t="s">
        <v>9551</v>
      </c>
      <c r="R450" s="17" t="s">
        <v>151</v>
      </c>
      <c r="S450" s="17" t="s">
        <v>162</v>
      </c>
      <c r="T450" s="24">
        <v>1.1</v>
      </c>
      <c r="U450" s="17" t="s">
        <v>163</v>
      </c>
      <c r="V450" s="17" t="s">
        <v>164</v>
      </c>
      <c r="W450" s="17" t="s">
        <v>165</v>
      </c>
      <c r="X450" s="15" t="s">
        <v>9552</v>
      </c>
      <c r="Y450" s="15" t="s">
        <v>9553</v>
      </c>
      <c r="Z450" s="27">
        <v>5</v>
      </c>
      <c r="AA450" s="17" t="s">
        <v>9554</v>
      </c>
      <c r="AB450" s="17" t="s">
        <v>151</v>
      </c>
      <c r="AC450" s="17" t="s">
        <v>151</v>
      </c>
      <c r="AD450" s="26">
        <v>2018</v>
      </c>
      <c r="AE450" s="17" t="s">
        <v>151</v>
      </c>
      <c r="AF450" s="22">
        <v>45365</v>
      </c>
      <c r="AG450" s="17" t="s">
        <v>151</v>
      </c>
      <c r="AH450" s="17" t="s">
        <v>151</v>
      </c>
      <c r="AI450" s="25" t="s">
        <v>151</v>
      </c>
      <c r="AJ450" s="19" t="s">
        <v>151</v>
      </c>
      <c r="AK450" s="25" t="s">
        <v>151</v>
      </c>
      <c r="AL450" s="25" t="s">
        <v>151</v>
      </c>
      <c r="AM450" s="25" t="s">
        <v>151</v>
      </c>
      <c r="AN450" s="25" t="s">
        <v>151</v>
      </c>
      <c r="AO450" s="25" t="s">
        <v>151</v>
      </c>
      <c r="AP450" s="25" t="s">
        <v>151</v>
      </c>
      <c r="AQ450" s="25" t="s">
        <v>151</v>
      </c>
      <c r="AR450" s="16" t="s">
        <v>151</v>
      </c>
      <c r="AS450" s="17" t="s">
        <v>9555</v>
      </c>
      <c r="AT450" s="17" t="s">
        <v>9556</v>
      </c>
      <c r="AU450" s="18">
        <v>3</v>
      </c>
      <c r="AV450" s="17" t="s">
        <v>151</v>
      </c>
      <c r="AW450" s="17" t="s">
        <v>151</v>
      </c>
      <c r="AX450" s="17" t="s">
        <v>151</v>
      </c>
      <c r="AY450" s="17" t="s">
        <v>9557</v>
      </c>
      <c r="AZ450" s="17" t="s">
        <v>151</v>
      </c>
      <c r="BA450" s="17" t="s">
        <v>151</v>
      </c>
      <c r="BB450" s="17" t="s">
        <v>151</v>
      </c>
      <c r="BC450" s="17" t="s">
        <v>151</v>
      </c>
      <c r="BD450" s="17" t="s">
        <v>9558</v>
      </c>
      <c r="BE450" s="17" t="s">
        <v>9559</v>
      </c>
      <c r="BF450" s="17" t="s">
        <v>221</v>
      </c>
      <c r="BG450" s="17" t="s">
        <v>9560</v>
      </c>
      <c r="BH450" s="17" t="s">
        <v>151</v>
      </c>
      <c r="BI450" s="17" t="s">
        <v>1040</v>
      </c>
      <c r="BJ450" s="17" t="s">
        <v>9561</v>
      </c>
      <c r="BK450" s="17" t="s">
        <v>9562</v>
      </c>
      <c r="BL450" s="17" t="s">
        <v>1042</v>
      </c>
      <c r="BM450" s="17" t="s">
        <v>1043</v>
      </c>
      <c r="BN450" s="16" t="s">
        <v>9563</v>
      </c>
      <c r="BO450" s="17" t="s">
        <v>186</v>
      </c>
      <c r="BP450" s="16" t="s">
        <v>151</v>
      </c>
      <c r="BQ450" s="16" t="s">
        <v>151</v>
      </c>
      <c r="BR450" s="17" t="s">
        <v>9564</v>
      </c>
      <c r="BS450" s="17" t="s">
        <v>187</v>
      </c>
      <c r="BT450" s="17" t="s">
        <v>188</v>
      </c>
      <c r="BU450" s="22">
        <v>44166</v>
      </c>
      <c r="BV450" s="24">
        <v>0.1</v>
      </c>
      <c r="BW450" s="17" t="s">
        <v>192</v>
      </c>
      <c r="BX450" s="24" t="s">
        <v>151</v>
      </c>
      <c r="BY450" s="17" t="s">
        <v>151</v>
      </c>
      <c r="BZ450" s="17" t="s">
        <v>189</v>
      </c>
      <c r="CA450" s="17" t="s">
        <v>151</v>
      </c>
      <c r="CB450" s="17" t="s">
        <v>151</v>
      </c>
      <c r="CC450" s="17" t="s">
        <v>190</v>
      </c>
      <c r="CD450" s="17" t="s">
        <v>151</v>
      </c>
      <c r="CE450" s="17" t="s">
        <v>191</v>
      </c>
      <c r="CF450" s="22">
        <v>44417</v>
      </c>
      <c r="CG450" s="24">
        <v>1</v>
      </c>
      <c r="CH450" s="17" t="s">
        <v>192</v>
      </c>
      <c r="CI450" s="24" t="s">
        <v>151</v>
      </c>
      <c r="CJ450" s="17" t="s">
        <v>151</v>
      </c>
      <c r="CK450" s="16" t="s">
        <v>151</v>
      </c>
      <c r="CL450" s="17" t="s">
        <v>293</v>
      </c>
      <c r="CM450" s="17" t="s">
        <v>293</v>
      </c>
      <c r="CN450" s="17" t="s">
        <v>151</v>
      </c>
      <c r="CO450" s="17" t="s">
        <v>165</v>
      </c>
      <c r="CP450" s="22">
        <v>44417</v>
      </c>
      <c r="CQ450" s="24" t="s">
        <v>151</v>
      </c>
      <c r="CR450" s="17" t="s">
        <v>151</v>
      </c>
      <c r="CS450" s="17" t="s">
        <v>191</v>
      </c>
      <c r="CT450" s="16" t="s">
        <v>151</v>
      </c>
      <c r="CU450" s="17" t="s">
        <v>151</v>
      </c>
      <c r="CV450" s="19" t="s">
        <v>151</v>
      </c>
      <c r="CW450" s="19" t="s">
        <v>151</v>
      </c>
      <c r="CX450" s="17" t="s">
        <v>151</v>
      </c>
      <c r="CY450" s="19" t="s">
        <v>151</v>
      </c>
      <c r="CZ450" s="19" t="s">
        <v>151</v>
      </c>
      <c r="DA450" s="24" t="s">
        <v>151</v>
      </c>
      <c r="DB450" s="22" t="s">
        <v>151</v>
      </c>
      <c r="DC450" s="17" t="s">
        <v>151</v>
      </c>
      <c r="DD450" s="16" t="s">
        <v>151</v>
      </c>
      <c r="DE450" s="19">
        <v>0</v>
      </c>
      <c r="DF450" s="21">
        <v>11</v>
      </c>
      <c r="DG450" s="19">
        <v>0</v>
      </c>
      <c r="DH450" s="19">
        <v>0</v>
      </c>
      <c r="DI450" s="19">
        <v>0</v>
      </c>
      <c r="DJ450" s="21">
        <v>10</v>
      </c>
      <c r="DK450" s="19" t="s">
        <v>151</v>
      </c>
      <c r="DL450" s="21" t="s">
        <v>151</v>
      </c>
      <c r="DM450" s="19">
        <v>0</v>
      </c>
      <c r="DN450" s="21">
        <v>10</v>
      </c>
      <c r="DO450" s="23">
        <v>4.74</v>
      </c>
      <c r="DP450" s="21">
        <v>82</v>
      </c>
      <c r="DQ450" s="23">
        <v>0</v>
      </c>
      <c r="DR450" s="19">
        <v>0</v>
      </c>
      <c r="DS450" s="23">
        <v>4.74</v>
      </c>
      <c r="DT450" s="21">
        <v>81</v>
      </c>
      <c r="DU450" s="23" t="s">
        <v>151</v>
      </c>
      <c r="DV450" s="21" t="s">
        <v>151</v>
      </c>
      <c r="DW450" s="23">
        <v>4.74</v>
      </c>
      <c r="DX450" s="21">
        <v>81</v>
      </c>
      <c r="DY450" s="18" t="s">
        <v>151</v>
      </c>
      <c r="DZ450" s="22" t="s">
        <v>151</v>
      </c>
      <c r="EA450" s="22" t="s">
        <v>151</v>
      </c>
      <c r="EB450" s="21">
        <v>9</v>
      </c>
      <c r="EC450" s="20">
        <v>-47</v>
      </c>
      <c r="ED450" s="19">
        <v>-83.93</v>
      </c>
      <c r="EE450" s="21">
        <v>90</v>
      </c>
      <c r="EF450" s="20">
        <v>1</v>
      </c>
      <c r="EG450" s="19">
        <v>1.12</v>
      </c>
      <c r="EH450" s="16" t="s">
        <v>198</v>
      </c>
      <c r="EI450" s="17" t="s">
        <v>151</v>
      </c>
      <c r="EJ450" s="17" t="s">
        <v>151</v>
      </c>
      <c r="EK450" s="18" t="s">
        <v>151</v>
      </c>
      <c r="EL450" s="18" t="s">
        <v>151</v>
      </c>
      <c r="EM450" s="18" t="s">
        <v>151</v>
      </c>
      <c r="EN450" s="18" t="s">
        <v>151</v>
      </c>
      <c r="EO450" s="18" t="s">
        <v>151</v>
      </c>
      <c r="EP450" s="17" t="s">
        <v>151</v>
      </c>
      <c r="EQ450" s="16" t="s">
        <v>151</v>
      </c>
      <c r="ER450" s="16" t="s">
        <v>151</v>
      </c>
      <c r="ES450" s="3">
        <f>HYPERLINK("https://my.pitchbook.com?c=454562-83","View Company Online")</f>
      </c>
    </row>
    <row r="451">
      <c r="A451" s="30" t="s">
        <v>9565</v>
      </c>
      <c r="B451" s="30" t="s">
        <v>9566</v>
      </c>
      <c r="C451" s="31" t="s">
        <v>151</v>
      </c>
      <c r="D451" s="30" t="s">
        <v>151</v>
      </c>
      <c r="E451" s="30" t="s">
        <v>151</v>
      </c>
      <c r="F451" s="30" t="s">
        <v>9567</v>
      </c>
      <c r="G451" s="30" t="s">
        <v>151</v>
      </c>
      <c r="H451" s="30" t="s">
        <v>151</v>
      </c>
      <c r="I451" s="30" t="s">
        <v>9568</v>
      </c>
      <c r="J451" s="30" t="s">
        <v>9565</v>
      </c>
      <c r="K451" s="30" t="s">
        <v>9569</v>
      </c>
      <c r="L451" s="30" t="s">
        <v>155</v>
      </c>
      <c r="M451" s="30" t="s">
        <v>361</v>
      </c>
      <c r="N451" s="30" t="s">
        <v>3162</v>
      </c>
      <c r="O451" s="30" t="s">
        <v>9570</v>
      </c>
      <c r="P451" s="30" t="s">
        <v>9571</v>
      </c>
      <c r="Q451" s="30" t="s">
        <v>9572</v>
      </c>
      <c r="R451" s="30" t="s">
        <v>151</v>
      </c>
      <c r="S451" s="30" t="s">
        <v>162</v>
      </c>
      <c r="T451" s="37">
        <v>6</v>
      </c>
      <c r="U451" s="30" t="s">
        <v>163</v>
      </c>
      <c r="V451" s="30" t="s">
        <v>164</v>
      </c>
      <c r="W451" s="30" t="s">
        <v>165</v>
      </c>
      <c r="X451" s="28" t="s">
        <v>9573</v>
      </c>
      <c r="Y451" s="28" t="s">
        <v>9574</v>
      </c>
      <c r="Z451" s="40">
        <v>8</v>
      </c>
      <c r="AA451" s="30" t="s">
        <v>9575</v>
      </c>
      <c r="AB451" s="30" t="s">
        <v>151</v>
      </c>
      <c r="AC451" s="30" t="s">
        <v>151</v>
      </c>
      <c r="AD451" s="39">
        <v>2020</v>
      </c>
      <c r="AE451" s="30" t="s">
        <v>151</v>
      </c>
      <c r="AF451" s="35">
        <v>45617</v>
      </c>
      <c r="AG451" s="30" t="s">
        <v>151</v>
      </c>
      <c r="AH451" s="30" t="s">
        <v>151</v>
      </c>
      <c r="AI451" s="38" t="s">
        <v>151</v>
      </c>
      <c r="AJ451" s="32" t="s">
        <v>151</v>
      </c>
      <c r="AK451" s="38" t="s">
        <v>151</v>
      </c>
      <c r="AL451" s="38" t="s">
        <v>151</v>
      </c>
      <c r="AM451" s="38" t="s">
        <v>151</v>
      </c>
      <c r="AN451" s="38" t="s">
        <v>151</v>
      </c>
      <c r="AO451" s="38" t="s">
        <v>151</v>
      </c>
      <c r="AP451" s="38" t="s">
        <v>151</v>
      </c>
      <c r="AQ451" s="38" t="s">
        <v>151</v>
      </c>
      <c r="AR451" s="29" t="s">
        <v>151</v>
      </c>
      <c r="AS451" s="30" t="s">
        <v>9576</v>
      </c>
      <c r="AT451" s="30" t="s">
        <v>9577</v>
      </c>
      <c r="AU451" s="31">
        <v>12</v>
      </c>
      <c r="AV451" s="30" t="s">
        <v>151</v>
      </c>
      <c r="AW451" s="30" t="s">
        <v>151</v>
      </c>
      <c r="AX451" s="30" t="s">
        <v>151</v>
      </c>
      <c r="AY451" s="30" t="s">
        <v>9578</v>
      </c>
      <c r="AZ451" s="30" t="s">
        <v>151</v>
      </c>
      <c r="BA451" s="30" t="s">
        <v>151</v>
      </c>
      <c r="BB451" s="30" t="s">
        <v>151</v>
      </c>
      <c r="BC451" s="30" t="s">
        <v>151</v>
      </c>
      <c r="BD451" s="30" t="s">
        <v>9579</v>
      </c>
      <c r="BE451" s="30" t="s">
        <v>9580</v>
      </c>
      <c r="BF451" s="30" t="s">
        <v>221</v>
      </c>
      <c r="BG451" s="30" t="s">
        <v>9581</v>
      </c>
      <c r="BH451" s="30" t="s">
        <v>151</v>
      </c>
      <c r="BI451" s="30" t="s">
        <v>764</v>
      </c>
      <c r="BJ451" s="30" t="s">
        <v>9582</v>
      </c>
      <c r="BK451" s="30" t="s">
        <v>9583</v>
      </c>
      <c r="BL451" s="30" t="s">
        <v>767</v>
      </c>
      <c r="BM451" s="30" t="s">
        <v>184</v>
      </c>
      <c r="BN451" s="29" t="s">
        <v>3049</v>
      </c>
      <c r="BO451" s="30" t="s">
        <v>186</v>
      </c>
      <c r="BP451" s="29" t="s">
        <v>151</v>
      </c>
      <c r="BQ451" s="29" t="s">
        <v>151</v>
      </c>
      <c r="BR451" s="30" t="s">
        <v>9584</v>
      </c>
      <c r="BS451" s="30" t="s">
        <v>187</v>
      </c>
      <c r="BT451" s="30" t="s">
        <v>188</v>
      </c>
      <c r="BU451" s="35">
        <v>44281</v>
      </c>
      <c r="BV451" s="37">
        <v>3</v>
      </c>
      <c r="BW451" s="30" t="s">
        <v>192</v>
      </c>
      <c r="BX451" s="37">
        <v>20</v>
      </c>
      <c r="BY451" s="30" t="s">
        <v>192</v>
      </c>
      <c r="BZ451" s="30" t="s">
        <v>293</v>
      </c>
      <c r="CA451" s="30" t="s">
        <v>472</v>
      </c>
      <c r="CB451" s="30" t="s">
        <v>151</v>
      </c>
      <c r="CC451" s="30" t="s">
        <v>165</v>
      </c>
      <c r="CD451" s="30" t="s">
        <v>151</v>
      </c>
      <c r="CE451" s="30" t="s">
        <v>191</v>
      </c>
      <c r="CF451" s="35">
        <v>44861</v>
      </c>
      <c r="CG451" s="37">
        <v>3</v>
      </c>
      <c r="CH451" s="30" t="s">
        <v>192</v>
      </c>
      <c r="CI451" s="37">
        <v>25</v>
      </c>
      <c r="CJ451" s="30" t="s">
        <v>192</v>
      </c>
      <c r="CK451" s="29">
        <v>1.1</v>
      </c>
      <c r="CL451" s="30" t="s">
        <v>293</v>
      </c>
      <c r="CM451" s="30" t="s">
        <v>293</v>
      </c>
      <c r="CN451" s="30" t="s">
        <v>151</v>
      </c>
      <c r="CO451" s="30" t="s">
        <v>165</v>
      </c>
      <c r="CP451" s="35">
        <v>44861</v>
      </c>
      <c r="CQ451" s="37" t="s">
        <v>151</v>
      </c>
      <c r="CR451" s="30" t="s">
        <v>151</v>
      </c>
      <c r="CS451" s="30" t="s">
        <v>191</v>
      </c>
      <c r="CT451" s="29">
        <v>88</v>
      </c>
      <c r="CU451" s="30" t="s">
        <v>196</v>
      </c>
      <c r="CV451" s="32">
        <v>80</v>
      </c>
      <c r="CW451" s="32">
        <v>20</v>
      </c>
      <c r="CX451" s="30" t="s">
        <v>294</v>
      </c>
      <c r="CY451" s="32">
        <v>1</v>
      </c>
      <c r="CZ451" s="32">
        <v>79</v>
      </c>
      <c r="DA451" s="37">
        <v>25</v>
      </c>
      <c r="DB451" s="35">
        <v>44861</v>
      </c>
      <c r="DC451" s="30" t="s">
        <v>293</v>
      </c>
      <c r="DD451" s="29">
        <v>1.1</v>
      </c>
      <c r="DE451" s="32">
        <v>0.11</v>
      </c>
      <c r="DF451" s="34">
        <v>90</v>
      </c>
      <c r="DG451" s="32">
        <v>0</v>
      </c>
      <c r="DH451" s="32">
        <v>0</v>
      </c>
      <c r="DI451" s="32">
        <v>0.11</v>
      </c>
      <c r="DJ451" s="34">
        <v>93</v>
      </c>
      <c r="DK451" s="32" t="s">
        <v>151</v>
      </c>
      <c r="DL451" s="34" t="s">
        <v>151</v>
      </c>
      <c r="DM451" s="32">
        <v>0.11</v>
      </c>
      <c r="DN451" s="34">
        <v>93</v>
      </c>
      <c r="DO451" s="36">
        <v>5.84</v>
      </c>
      <c r="DP451" s="34">
        <v>84</v>
      </c>
      <c r="DQ451" s="36">
        <v>0</v>
      </c>
      <c r="DR451" s="32">
        <v>0</v>
      </c>
      <c r="DS451" s="36">
        <v>5.84</v>
      </c>
      <c r="DT451" s="34">
        <v>84</v>
      </c>
      <c r="DU451" s="36" t="s">
        <v>151</v>
      </c>
      <c r="DV451" s="34" t="s">
        <v>151</v>
      </c>
      <c r="DW451" s="36">
        <v>5.84</v>
      </c>
      <c r="DX451" s="34">
        <v>84</v>
      </c>
      <c r="DY451" s="31" t="s">
        <v>151</v>
      </c>
      <c r="DZ451" s="35" t="s">
        <v>151</v>
      </c>
      <c r="EA451" s="35" t="s">
        <v>151</v>
      </c>
      <c r="EB451" s="34">
        <v>1554</v>
      </c>
      <c r="EC451" s="33">
        <v>123</v>
      </c>
      <c r="ED451" s="32">
        <v>8.6</v>
      </c>
      <c r="EE451" s="34">
        <v>111</v>
      </c>
      <c r="EF451" s="33">
        <v>0</v>
      </c>
      <c r="EG451" s="32">
        <v>0</v>
      </c>
      <c r="EH451" s="29" t="s">
        <v>198</v>
      </c>
      <c r="EI451" s="30" t="s">
        <v>151</v>
      </c>
      <c r="EJ451" s="30" t="s">
        <v>151</v>
      </c>
      <c r="EK451" s="31" t="s">
        <v>151</v>
      </c>
      <c r="EL451" s="31" t="s">
        <v>151</v>
      </c>
      <c r="EM451" s="31" t="s">
        <v>151</v>
      </c>
      <c r="EN451" s="31" t="s">
        <v>151</v>
      </c>
      <c r="EO451" s="31" t="s">
        <v>151</v>
      </c>
      <c r="EP451" s="30" t="s">
        <v>151</v>
      </c>
      <c r="EQ451" s="29" t="s">
        <v>151</v>
      </c>
      <c r="ER451" s="29" t="s">
        <v>151</v>
      </c>
      <c r="ES451" s="4">
        <f>HYPERLINK("https://my.pitchbook.com?c=438128-20","View Company Online")</f>
      </c>
    </row>
    <row r="452">
      <c r="A452" s="17" t="s">
        <v>9585</v>
      </c>
      <c r="B452" s="17" t="s">
        <v>9586</v>
      </c>
      <c r="C452" s="18" t="s">
        <v>151</v>
      </c>
      <c r="D452" s="17" t="s">
        <v>9587</v>
      </c>
      <c r="E452" s="17" t="s">
        <v>151</v>
      </c>
      <c r="F452" s="17" t="s">
        <v>9588</v>
      </c>
      <c r="G452" s="17" t="s">
        <v>151</v>
      </c>
      <c r="H452" s="17" t="s">
        <v>151</v>
      </c>
      <c r="I452" s="17" t="s">
        <v>9589</v>
      </c>
      <c r="J452" s="17" t="s">
        <v>9585</v>
      </c>
      <c r="K452" s="17" t="s">
        <v>9590</v>
      </c>
      <c r="L452" s="17" t="s">
        <v>205</v>
      </c>
      <c r="M452" s="17" t="s">
        <v>206</v>
      </c>
      <c r="N452" s="17" t="s">
        <v>269</v>
      </c>
      <c r="O452" s="17" t="s">
        <v>563</v>
      </c>
      <c r="P452" s="17" t="s">
        <v>9591</v>
      </c>
      <c r="Q452" s="17" t="s">
        <v>9592</v>
      </c>
      <c r="R452" s="17" t="s">
        <v>151</v>
      </c>
      <c r="S452" s="17" t="s">
        <v>162</v>
      </c>
      <c r="T452" s="24">
        <v>3</v>
      </c>
      <c r="U452" s="17" t="s">
        <v>163</v>
      </c>
      <c r="V452" s="17" t="s">
        <v>164</v>
      </c>
      <c r="W452" s="17" t="s">
        <v>165</v>
      </c>
      <c r="X452" s="15" t="s">
        <v>9593</v>
      </c>
      <c r="Y452" s="15" t="s">
        <v>9594</v>
      </c>
      <c r="Z452" s="27">
        <v>42</v>
      </c>
      <c r="AA452" s="17" t="s">
        <v>9595</v>
      </c>
      <c r="AB452" s="17" t="s">
        <v>151</v>
      </c>
      <c r="AC452" s="17" t="s">
        <v>151</v>
      </c>
      <c r="AD452" s="26">
        <v>2014</v>
      </c>
      <c r="AE452" s="17" t="s">
        <v>151</v>
      </c>
      <c r="AF452" s="22">
        <v>45510</v>
      </c>
      <c r="AG452" s="17" t="s">
        <v>151</v>
      </c>
      <c r="AH452" s="17" t="s">
        <v>151</v>
      </c>
      <c r="AI452" s="25" t="s">
        <v>151</v>
      </c>
      <c r="AJ452" s="19" t="s">
        <v>151</v>
      </c>
      <c r="AK452" s="25" t="s">
        <v>151</v>
      </c>
      <c r="AL452" s="25" t="s">
        <v>151</v>
      </c>
      <c r="AM452" s="25" t="s">
        <v>151</v>
      </c>
      <c r="AN452" s="25" t="s">
        <v>151</v>
      </c>
      <c r="AO452" s="25" t="s">
        <v>151</v>
      </c>
      <c r="AP452" s="25" t="s">
        <v>151</v>
      </c>
      <c r="AQ452" s="25" t="s">
        <v>151</v>
      </c>
      <c r="AR452" s="16" t="s">
        <v>151</v>
      </c>
      <c r="AS452" s="17" t="s">
        <v>9596</v>
      </c>
      <c r="AT452" s="17" t="s">
        <v>9597</v>
      </c>
      <c r="AU452" s="18">
        <v>1</v>
      </c>
      <c r="AV452" s="17" t="s">
        <v>151</v>
      </c>
      <c r="AW452" s="17" t="s">
        <v>151</v>
      </c>
      <c r="AX452" s="17" t="s">
        <v>151</v>
      </c>
      <c r="AY452" s="17" t="s">
        <v>5787</v>
      </c>
      <c r="AZ452" s="17" t="s">
        <v>151</v>
      </c>
      <c r="BA452" s="17" t="s">
        <v>151</v>
      </c>
      <c r="BB452" s="17" t="s">
        <v>151</v>
      </c>
      <c r="BC452" s="17" t="s">
        <v>9598</v>
      </c>
      <c r="BD452" s="17" t="s">
        <v>9599</v>
      </c>
      <c r="BE452" s="17" t="s">
        <v>9600</v>
      </c>
      <c r="BF452" s="17" t="s">
        <v>282</v>
      </c>
      <c r="BG452" s="17" t="s">
        <v>9601</v>
      </c>
      <c r="BH452" s="17" t="s">
        <v>9602</v>
      </c>
      <c r="BI452" s="17" t="s">
        <v>707</v>
      </c>
      <c r="BJ452" s="17" t="s">
        <v>9603</v>
      </c>
      <c r="BK452" s="17" t="s">
        <v>9604</v>
      </c>
      <c r="BL452" s="17" t="s">
        <v>709</v>
      </c>
      <c r="BM452" s="17" t="s">
        <v>184</v>
      </c>
      <c r="BN452" s="16" t="s">
        <v>6977</v>
      </c>
      <c r="BO452" s="17" t="s">
        <v>186</v>
      </c>
      <c r="BP452" s="16" t="s">
        <v>9602</v>
      </c>
      <c r="BQ452" s="16" t="s">
        <v>151</v>
      </c>
      <c r="BR452" s="17" t="s">
        <v>151</v>
      </c>
      <c r="BS452" s="17" t="s">
        <v>187</v>
      </c>
      <c r="BT452" s="17" t="s">
        <v>188</v>
      </c>
      <c r="BU452" s="22">
        <v>44753</v>
      </c>
      <c r="BV452" s="24">
        <v>3</v>
      </c>
      <c r="BW452" s="17" t="s">
        <v>192</v>
      </c>
      <c r="BX452" s="24" t="s">
        <v>151</v>
      </c>
      <c r="BY452" s="17" t="s">
        <v>151</v>
      </c>
      <c r="BZ452" s="17" t="s">
        <v>293</v>
      </c>
      <c r="CA452" s="17" t="s">
        <v>293</v>
      </c>
      <c r="CB452" s="17" t="s">
        <v>151</v>
      </c>
      <c r="CC452" s="17" t="s">
        <v>165</v>
      </c>
      <c r="CD452" s="17" t="s">
        <v>151</v>
      </c>
      <c r="CE452" s="17" t="s">
        <v>191</v>
      </c>
      <c r="CF452" s="22">
        <v>44753</v>
      </c>
      <c r="CG452" s="24">
        <v>3</v>
      </c>
      <c r="CH452" s="17" t="s">
        <v>192</v>
      </c>
      <c r="CI452" s="24" t="s">
        <v>151</v>
      </c>
      <c r="CJ452" s="17" t="s">
        <v>151</v>
      </c>
      <c r="CK452" s="16" t="s">
        <v>151</v>
      </c>
      <c r="CL452" s="17" t="s">
        <v>293</v>
      </c>
      <c r="CM452" s="17" t="s">
        <v>293</v>
      </c>
      <c r="CN452" s="17" t="s">
        <v>151</v>
      </c>
      <c r="CO452" s="17" t="s">
        <v>165</v>
      </c>
      <c r="CP452" s="22">
        <v>44753</v>
      </c>
      <c r="CQ452" s="24" t="s">
        <v>151</v>
      </c>
      <c r="CR452" s="17" t="s">
        <v>151</v>
      </c>
      <c r="CS452" s="17" t="s">
        <v>191</v>
      </c>
      <c r="CT452" s="16" t="s">
        <v>151</v>
      </c>
      <c r="CU452" s="17" t="s">
        <v>151</v>
      </c>
      <c r="CV452" s="19" t="s">
        <v>151</v>
      </c>
      <c r="CW452" s="19" t="s">
        <v>151</v>
      </c>
      <c r="CX452" s="17" t="s">
        <v>151</v>
      </c>
      <c r="CY452" s="19" t="s">
        <v>151</v>
      </c>
      <c r="CZ452" s="19" t="s">
        <v>151</v>
      </c>
      <c r="DA452" s="24" t="s">
        <v>151</v>
      </c>
      <c r="DB452" s="22" t="s">
        <v>151</v>
      </c>
      <c r="DC452" s="17" t="s">
        <v>151</v>
      </c>
      <c r="DD452" s="16" t="s">
        <v>151</v>
      </c>
      <c r="DE452" s="19">
        <v>1.4</v>
      </c>
      <c r="DF452" s="21">
        <v>97</v>
      </c>
      <c r="DG452" s="19">
        <v>0</v>
      </c>
      <c r="DH452" s="19">
        <v>0</v>
      </c>
      <c r="DI452" s="19">
        <v>0</v>
      </c>
      <c r="DJ452" s="21">
        <v>10</v>
      </c>
      <c r="DK452" s="19" t="s">
        <v>151</v>
      </c>
      <c r="DL452" s="21" t="s">
        <v>151</v>
      </c>
      <c r="DM452" s="19">
        <v>0</v>
      </c>
      <c r="DN452" s="21">
        <v>10</v>
      </c>
      <c r="DO452" s="23">
        <v>2.67</v>
      </c>
      <c r="DP452" s="21">
        <v>72</v>
      </c>
      <c r="DQ452" s="23">
        <v>0</v>
      </c>
      <c r="DR452" s="19">
        <v>0</v>
      </c>
      <c r="DS452" s="23">
        <v>2.11</v>
      </c>
      <c r="DT452" s="21">
        <v>67</v>
      </c>
      <c r="DU452" s="23" t="s">
        <v>151</v>
      </c>
      <c r="DV452" s="21" t="s">
        <v>151</v>
      </c>
      <c r="DW452" s="23">
        <v>2.11</v>
      </c>
      <c r="DX452" s="21">
        <v>67</v>
      </c>
      <c r="DY452" s="18" t="s">
        <v>151</v>
      </c>
      <c r="DZ452" s="22" t="s">
        <v>151</v>
      </c>
      <c r="EA452" s="22" t="s">
        <v>151</v>
      </c>
      <c r="EB452" s="21">
        <v>1810</v>
      </c>
      <c r="EC452" s="20">
        <v>7</v>
      </c>
      <c r="ED452" s="19">
        <v>0.39</v>
      </c>
      <c r="EE452" s="21">
        <v>40</v>
      </c>
      <c r="EF452" s="20">
        <v>1</v>
      </c>
      <c r="EG452" s="19">
        <v>2.56</v>
      </c>
      <c r="EH452" s="16" t="s">
        <v>198</v>
      </c>
      <c r="EI452" s="17" t="s">
        <v>151</v>
      </c>
      <c r="EJ452" s="17" t="s">
        <v>151</v>
      </c>
      <c r="EK452" s="18" t="s">
        <v>151</v>
      </c>
      <c r="EL452" s="18" t="s">
        <v>151</v>
      </c>
      <c r="EM452" s="18" t="s">
        <v>151</v>
      </c>
      <c r="EN452" s="18" t="s">
        <v>151</v>
      </c>
      <c r="EO452" s="18" t="s">
        <v>151</v>
      </c>
      <c r="EP452" s="17" t="s">
        <v>151</v>
      </c>
      <c r="EQ452" s="16" t="s">
        <v>151</v>
      </c>
      <c r="ER452" s="16" t="s">
        <v>151</v>
      </c>
      <c r="ES452" s="3">
        <f>HYPERLINK("https://my.pitchbook.com?c=462057-58","View Company Online")</f>
      </c>
    </row>
    <row r="453">
      <c r="A453" s="30" t="s">
        <v>9605</v>
      </c>
      <c r="B453" s="30" t="s">
        <v>9606</v>
      </c>
      <c r="C453" s="31" t="s">
        <v>151</v>
      </c>
      <c r="D453" s="30" t="s">
        <v>151</v>
      </c>
      <c r="E453" s="30" t="s">
        <v>151</v>
      </c>
      <c r="F453" s="30" t="s">
        <v>9607</v>
      </c>
      <c r="G453" s="30" t="s">
        <v>151</v>
      </c>
      <c r="H453" s="30" t="s">
        <v>151</v>
      </c>
      <c r="I453" s="30" t="s">
        <v>9608</v>
      </c>
      <c r="J453" s="30" t="s">
        <v>9605</v>
      </c>
      <c r="K453" s="30" t="s">
        <v>9609</v>
      </c>
      <c r="L453" s="30" t="s">
        <v>205</v>
      </c>
      <c r="M453" s="30" t="s">
        <v>206</v>
      </c>
      <c r="N453" s="30" t="s">
        <v>207</v>
      </c>
      <c r="O453" s="30" t="s">
        <v>9610</v>
      </c>
      <c r="P453" s="30" t="s">
        <v>3577</v>
      </c>
      <c r="Q453" s="30" t="s">
        <v>9611</v>
      </c>
      <c r="R453" s="30" t="s">
        <v>780</v>
      </c>
      <c r="S453" s="30" t="s">
        <v>162</v>
      </c>
      <c r="T453" s="37">
        <v>2.64</v>
      </c>
      <c r="U453" s="30" t="s">
        <v>163</v>
      </c>
      <c r="V453" s="30" t="s">
        <v>164</v>
      </c>
      <c r="W453" s="30" t="s">
        <v>165</v>
      </c>
      <c r="X453" s="28" t="s">
        <v>9612</v>
      </c>
      <c r="Y453" s="28" t="s">
        <v>9613</v>
      </c>
      <c r="Z453" s="40">
        <v>13</v>
      </c>
      <c r="AA453" s="30" t="s">
        <v>9614</v>
      </c>
      <c r="AB453" s="30" t="s">
        <v>151</v>
      </c>
      <c r="AC453" s="30" t="s">
        <v>151</v>
      </c>
      <c r="AD453" s="39">
        <v>2020</v>
      </c>
      <c r="AE453" s="30" t="s">
        <v>151</v>
      </c>
      <c r="AF453" s="35">
        <v>45464</v>
      </c>
      <c r="AG453" s="30" t="s">
        <v>151</v>
      </c>
      <c r="AH453" s="30" t="s">
        <v>151</v>
      </c>
      <c r="AI453" s="38" t="s">
        <v>151</v>
      </c>
      <c r="AJ453" s="32" t="s">
        <v>151</v>
      </c>
      <c r="AK453" s="38" t="s">
        <v>151</v>
      </c>
      <c r="AL453" s="38" t="s">
        <v>151</v>
      </c>
      <c r="AM453" s="38" t="s">
        <v>151</v>
      </c>
      <c r="AN453" s="38" t="s">
        <v>151</v>
      </c>
      <c r="AO453" s="38" t="s">
        <v>151</v>
      </c>
      <c r="AP453" s="38" t="s">
        <v>151</v>
      </c>
      <c r="AQ453" s="38" t="s">
        <v>151</v>
      </c>
      <c r="AR453" s="29" t="s">
        <v>151</v>
      </c>
      <c r="AS453" s="30" t="s">
        <v>9615</v>
      </c>
      <c r="AT453" s="30" t="s">
        <v>9616</v>
      </c>
      <c r="AU453" s="31">
        <v>11</v>
      </c>
      <c r="AV453" s="30" t="s">
        <v>151</v>
      </c>
      <c r="AW453" s="30" t="s">
        <v>151</v>
      </c>
      <c r="AX453" s="30" t="s">
        <v>151</v>
      </c>
      <c r="AY453" s="30" t="s">
        <v>9617</v>
      </c>
      <c r="AZ453" s="30" t="s">
        <v>151</v>
      </c>
      <c r="BA453" s="30" t="s">
        <v>151</v>
      </c>
      <c r="BB453" s="30" t="s">
        <v>151</v>
      </c>
      <c r="BC453" s="30" t="s">
        <v>1115</v>
      </c>
      <c r="BD453" s="30" t="s">
        <v>9618</v>
      </c>
      <c r="BE453" s="30" t="s">
        <v>9619</v>
      </c>
      <c r="BF453" s="30" t="s">
        <v>3400</v>
      </c>
      <c r="BG453" s="30" t="s">
        <v>9620</v>
      </c>
      <c r="BH453" s="30" t="s">
        <v>151</v>
      </c>
      <c r="BI453" s="30" t="s">
        <v>285</v>
      </c>
      <c r="BJ453" s="30" t="s">
        <v>9621</v>
      </c>
      <c r="BK453" s="30" t="s">
        <v>3998</v>
      </c>
      <c r="BL453" s="30" t="s">
        <v>288</v>
      </c>
      <c r="BM453" s="30" t="s">
        <v>289</v>
      </c>
      <c r="BN453" s="29" t="s">
        <v>9186</v>
      </c>
      <c r="BO453" s="30" t="s">
        <v>186</v>
      </c>
      <c r="BP453" s="29" t="s">
        <v>9622</v>
      </c>
      <c r="BQ453" s="29" t="s">
        <v>151</v>
      </c>
      <c r="BR453" s="30" t="s">
        <v>9623</v>
      </c>
      <c r="BS453" s="30" t="s">
        <v>187</v>
      </c>
      <c r="BT453" s="30" t="s">
        <v>188</v>
      </c>
      <c r="BU453" s="35">
        <v>43831</v>
      </c>
      <c r="BV453" s="37" t="s">
        <v>151</v>
      </c>
      <c r="BW453" s="30" t="s">
        <v>151</v>
      </c>
      <c r="BX453" s="37" t="s">
        <v>151</v>
      </c>
      <c r="BY453" s="30" t="s">
        <v>151</v>
      </c>
      <c r="BZ453" s="30" t="s">
        <v>189</v>
      </c>
      <c r="CA453" s="30" t="s">
        <v>151</v>
      </c>
      <c r="CB453" s="30" t="s">
        <v>151</v>
      </c>
      <c r="CC453" s="30" t="s">
        <v>190</v>
      </c>
      <c r="CD453" s="30" t="s">
        <v>151</v>
      </c>
      <c r="CE453" s="30" t="s">
        <v>191</v>
      </c>
      <c r="CF453" s="35">
        <v>44447</v>
      </c>
      <c r="CG453" s="37">
        <v>2.64</v>
      </c>
      <c r="CH453" s="30" t="s">
        <v>192</v>
      </c>
      <c r="CI453" s="37">
        <v>12</v>
      </c>
      <c r="CJ453" s="30" t="s">
        <v>192</v>
      </c>
      <c r="CK453" s="29" t="s">
        <v>151</v>
      </c>
      <c r="CL453" s="30" t="s">
        <v>293</v>
      </c>
      <c r="CM453" s="30" t="s">
        <v>293</v>
      </c>
      <c r="CN453" s="30" t="s">
        <v>151</v>
      </c>
      <c r="CO453" s="30" t="s">
        <v>165</v>
      </c>
      <c r="CP453" s="35">
        <v>44447</v>
      </c>
      <c r="CQ453" s="37" t="s">
        <v>151</v>
      </c>
      <c r="CR453" s="30" t="s">
        <v>151</v>
      </c>
      <c r="CS453" s="30" t="s">
        <v>191</v>
      </c>
      <c r="CT453" s="29" t="s">
        <v>151</v>
      </c>
      <c r="CU453" s="30" t="s">
        <v>151</v>
      </c>
      <c r="CV453" s="32" t="s">
        <v>151</v>
      </c>
      <c r="CW453" s="32" t="s">
        <v>151</v>
      </c>
      <c r="CX453" s="30" t="s">
        <v>151</v>
      </c>
      <c r="CY453" s="32" t="s">
        <v>151</v>
      </c>
      <c r="CZ453" s="32" t="s">
        <v>151</v>
      </c>
      <c r="DA453" s="37">
        <v>12</v>
      </c>
      <c r="DB453" s="35">
        <v>44447</v>
      </c>
      <c r="DC453" s="30" t="s">
        <v>293</v>
      </c>
      <c r="DD453" s="29" t="s">
        <v>151</v>
      </c>
      <c r="DE453" s="32">
        <v>0.45</v>
      </c>
      <c r="DF453" s="34">
        <v>94</v>
      </c>
      <c r="DG453" s="32">
        <v>-0.03</v>
      </c>
      <c r="DH453" s="32">
        <v>-5.81</v>
      </c>
      <c r="DI453" s="32">
        <v>-0.19</v>
      </c>
      <c r="DJ453" s="34">
        <v>9</v>
      </c>
      <c r="DK453" s="32" t="s">
        <v>151</v>
      </c>
      <c r="DL453" s="34" t="s">
        <v>151</v>
      </c>
      <c r="DM453" s="32">
        <v>-0.19</v>
      </c>
      <c r="DN453" s="34">
        <v>9</v>
      </c>
      <c r="DO453" s="36">
        <v>202.86</v>
      </c>
      <c r="DP453" s="34">
        <v>100</v>
      </c>
      <c r="DQ453" s="36">
        <v>0.09</v>
      </c>
      <c r="DR453" s="32">
        <v>0.05</v>
      </c>
      <c r="DS453" s="36">
        <v>535.32</v>
      </c>
      <c r="DT453" s="34">
        <v>100</v>
      </c>
      <c r="DU453" s="36" t="s">
        <v>151</v>
      </c>
      <c r="DV453" s="34" t="s">
        <v>151</v>
      </c>
      <c r="DW453" s="36">
        <v>535.32</v>
      </c>
      <c r="DX453" s="34">
        <v>100</v>
      </c>
      <c r="DY453" s="31" t="s">
        <v>151</v>
      </c>
      <c r="DZ453" s="35" t="s">
        <v>151</v>
      </c>
      <c r="EA453" s="35" t="s">
        <v>151</v>
      </c>
      <c r="EB453" s="34">
        <v>1011247</v>
      </c>
      <c r="EC453" s="33">
        <v>22912</v>
      </c>
      <c r="ED453" s="32">
        <v>2.32</v>
      </c>
      <c r="EE453" s="34">
        <v>10171</v>
      </c>
      <c r="EF453" s="33">
        <v>-22</v>
      </c>
      <c r="EG453" s="32">
        <v>-0.22</v>
      </c>
      <c r="EH453" s="29" t="s">
        <v>198</v>
      </c>
      <c r="EI453" s="30" t="s">
        <v>151</v>
      </c>
      <c r="EJ453" s="30" t="s">
        <v>151</v>
      </c>
      <c r="EK453" s="31" t="s">
        <v>151</v>
      </c>
      <c r="EL453" s="31" t="s">
        <v>151</v>
      </c>
      <c r="EM453" s="31" t="s">
        <v>151</v>
      </c>
      <c r="EN453" s="31" t="s">
        <v>151</v>
      </c>
      <c r="EO453" s="31" t="s">
        <v>151</v>
      </c>
      <c r="EP453" s="30" t="s">
        <v>151</v>
      </c>
      <c r="EQ453" s="29" t="s">
        <v>151</v>
      </c>
      <c r="ER453" s="29" t="s">
        <v>151</v>
      </c>
      <c r="ES453" s="4">
        <f>HYPERLINK("https://my.pitchbook.com?c=434657-26","View Company Online")</f>
      </c>
    </row>
    <row r="454">
      <c r="A454" s="17" t="s">
        <v>9624</v>
      </c>
      <c r="B454" s="17" t="s">
        <v>9625</v>
      </c>
      <c r="C454" s="18" t="s">
        <v>151</v>
      </c>
      <c r="D454" s="17" t="s">
        <v>151</v>
      </c>
      <c r="E454" s="17" t="s">
        <v>9626</v>
      </c>
      <c r="F454" s="17" t="s">
        <v>9627</v>
      </c>
      <c r="G454" s="17" t="s">
        <v>151</v>
      </c>
      <c r="H454" s="17" t="s">
        <v>151</v>
      </c>
      <c r="I454" s="17" t="s">
        <v>151</v>
      </c>
      <c r="J454" s="17" t="s">
        <v>9624</v>
      </c>
      <c r="K454" s="17" t="s">
        <v>9628</v>
      </c>
      <c r="L454" s="17" t="s">
        <v>205</v>
      </c>
      <c r="M454" s="17" t="s">
        <v>206</v>
      </c>
      <c r="N454" s="17" t="s">
        <v>269</v>
      </c>
      <c r="O454" s="17" t="s">
        <v>2661</v>
      </c>
      <c r="P454" s="17" t="s">
        <v>2662</v>
      </c>
      <c r="Q454" s="17" t="s">
        <v>9629</v>
      </c>
      <c r="R454" s="17" t="s">
        <v>780</v>
      </c>
      <c r="S454" s="17" t="s">
        <v>162</v>
      </c>
      <c r="T454" s="24">
        <v>1.65</v>
      </c>
      <c r="U454" s="17" t="s">
        <v>163</v>
      </c>
      <c r="V454" s="17" t="s">
        <v>164</v>
      </c>
      <c r="W454" s="17" t="s">
        <v>165</v>
      </c>
      <c r="X454" s="15" t="s">
        <v>9630</v>
      </c>
      <c r="Y454" s="15" t="s">
        <v>9631</v>
      </c>
      <c r="Z454" s="27">
        <v>8</v>
      </c>
      <c r="AA454" s="17" t="s">
        <v>9632</v>
      </c>
      <c r="AB454" s="17" t="s">
        <v>151</v>
      </c>
      <c r="AC454" s="17" t="s">
        <v>151</v>
      </c>
      <c r="AD454" s="26">
        <v>2023</v>
      </c>
      <c r="AE454" s="17" t="s">
        <v>151</v>
      </c>
      <c r="AF454" s="22">
        <v>45604</v>
      </c>
      <c r="AG454" s="17" t="s">
        <v>151</v>
      </c>
      <c r="AH454" s="17" t="s">
        <v>151</v>
      </c>
      <c r="AI454" s="25" t="s">
        <v>151</v>
      </c>
      <c r="AJ454" s="19" t="s">
        <v>151</v>
      </c>
      <c r="AK454" s="25" t="s">
        <v>151</v>
      </c>
      <c r="AL454" s="25" t="s">
        <v>151</v>
      </c>
      <c r="AM454" s="25" t="s">
        <v>151</v>
      </c>
      <c r="AN454" s="25" t="s">
        <v>151</v>
      </c>
      <c r="AO454" s="25" t="s">
        <v>151</v>
      </c>
      <c r="AP454" s="25" t="s">
        <v>151</v>
      </c>
      <c r="AQ454" s="25" t="s">
        <v>151</v>
      </c>
      <c r="AR454" s="16" t="s">
        <v>151</v>
      </c>
      <c r="AS454" s="17" t="s">
        <v>9633</v>
      </c>
      <c r="AT454" s="17" t="s">
        <v>9634</v>
      </c>
      <c r="AU454" s="18">
        <v>2</v>
      </c>
      <c r="AV454" s="17" t="s">
        <v>151</v>
      </c>
      <c r="AW454" s="17" t="s">
        <v>151</v>
      </c>
      <c r="AX454" s="17" t="s">
        <v>151</v>
      </c>
      <c r="AY454" s="17" t="s">
        <v>9635</v>
      </c>
      <c r="AZ454" s="17" t="s">
        <v>151</v>
      </c>
      <c r="BA454" s="17" t="s">
        <v>151</v>
      </c>
      <c r="BB454" s="17" t="s">
        <v>151</v>
      </c>
      <c r="BC454" s="17" t="s">
        <v>151</v>
      </c>
      <c r="BD454" s="17" t="s">
        <v>9636</v>
      </c>
      <c r="BE454" s="17" t="s">
        <v>9637</v>
      </c>
      <c r="BF454" s="17" t="s">
        <v>9638</v>
      </c>
      <c r="BG454" s="17" t="s">
        <v>9639</v>
      </c>
      <c r="BH454" s="17" t="s">
        <v>9640</v>
      </c>
      <c r="BI454" s="17" t="s">
        <v>764</v>
      </c>
      <c r="BJ454" s="17" t="s">
        <v>3969</v>
      </c>
      <c r="BK454" s="17" t="s">
        <v>9641</v>
      </c>
      <c r="BL454" s="17" t="s">
        <v>767</v>
      </c>
      <c r="BM454" s="17" t="s">
        <v>184</v>
      </c>
      <c r="BN454" s="16" t="s">
        <v>794</v>
      </c>
      <c r="BO454" s="17" t="s">
        <v>186</v>
      </c>
      <c r="BP454" s="16" t="s">
        <v>9640</v>
      </c>
      <c r="BQ454" s="16" t="s">
        <v>151</v>
      </c>
      <c r="BR454" s="17" t="s">
        <v>9642</v>
      </c>
      <c r="BS454" s="17" t="s">
        <v>187</v>
      </c>
      <c r="BT454" s="17" t="s">
        <v>188</v>
      </c>
      <c r="BU454" s="22">
        <v>45551</v>
      </c>
      <c r="BV454" s="24">
        <v>1.65</v>
      </c>
      <c r="BW454" s="17" t="s">
        <v>192</v>
      </c>
      <c r="BX454" s="24">
        <v>10</v>
      </c>
      <c r="BY454" s="17" t="s">
        <v>192</v>
      </c>
      <c r="BZ454" s="17" t="s">
        <v>293</v>
      </c>
      <c r="CA454" s="17" t="s">
        <v>293</v>
      </c>
      <c r="CB454" s="17" t="s">
        <v>151</v>
      </c>
      <c r="CC454" s="17" t="s">
        <v>165</v>
      </c>
      <c r="CD454" s="17" t="s">
        <v>151</v>
      </c>
      <c r="CE454" s="17" t="s">
        <v>191</v>
      </c>
      <c r="CF454" s="22">
        <v>45551</v>
      </c>
      <c r="CG454" s="24">
        <v>1.65</v>
      </c>
      <c r="CH454" s="17" t="s">
        <v>192</v>
      </c>
      <c r="CI454" s="24">
        <v>10</v>
      </c>
      <c r="CJ454" s="17" t="s">
        <v>192</v>
      </c>
      <c r="CK454" s="16" t="s">
        <v>151</v>
      </c>
      <c r="CL454" s="17" t="s">
        <v>293</v>
      </c>
      <c r="CM454" s="17" t="s">
        <v>293</v>
      </c>
      <c r="CN454" s="17" t="s">
        <v>151</v>
      </c>
      <c r="CO454" s="17" t="s">
        <v>165</v>
      </c>
      <c r="CP454" s="22">
        <v>45551</v>
      </c>
      <c r="CQ454" s="24" t="s">
        <v>151</v>
      </c>
      <c r="CR454" s="17" t="s">
        <v>151</v>
      </c>
      <c r="CS454" s="17" t="s">
        <v>191</v>
      </c>
      <c r="CT454" s="16" t="s">
        <v>151</v>
      </c>
      <c r="CU454" s="17" t="s">
        <v>151</v>
      </c>
      <c r="CV454" s="19" t="s">
        <v>151</v>
      </c>
      <c r="CW454" s="19" t="s">
        <v>151</v>
      </c>
      <c r="CX454" s="17" t="s">
        <v>151</v>
      </c>
      <c r="CY454" s="19" t="s">
        <v>151</v>
      </c>
      <c r="CZ454" s="19" t="s">
        <v>151</v>
      </c>
      <c r="DA454" s="24">
        <v>10</v>
      </c>
      <c r="DB454" s="22">
        <v>45551</v>
      </c>
      <c r="DC454" s="17" t="s">
        <v>293</v>
      </c>
      <c r="DD454" s="16" t="s">
        <v>151</v>
      </c>
      <c r="DE454" s="19">
        <v>1.93</v>
      </c>
      <c r="DF454" s="21">
        <v>98</v>
      </c>
      <c r="DG454" s="19">
        <v>0</v>
      </c>
      <c r="DH454" s="19">
        <v>0</v>
      </c>
      <c r="DI454" s="19">
        <v>0</v>
      </c>
      <c r="DJ454" s="21">
        <v>10</v>
      </c>
      <c r="DK454" s="19">
        <v>0</v>
      </c>
      <c r="DL454" s="21">
        <v>11</v>
      </c>
      <c r="DM454" s="19">
        <v>0</v>
      </c>
      <c r="DN454" s="21">
        <v>10</v>
      </c>
      <c r="DO454" s="23">
        <v>1.82</v>
      </c>
      <c r="DP454" s="21">
        <v>64</v>
      </c>
      <c r="DQ454" s="23">
        <v>0</v>
      </c>
      <c r="DR454" s="19">
        <v>0</v>
      </c>
      <c r="DS454" s="23">
        <v>3.02</v>
      </c>
      <c r="DT454" s="21">
        <v>74</v>
      </c>
      <c r="DU454" s="23">
        <v>3.89</v>
      </c>
      <c r="DV454" s="21">
        <v>79</v>
      </c>
      <c r="DW454" s="23">
        <v>2.16</v>
      </c>
      <c r="DX454" s="21">
        <v>67</v>
      </c>
      <c r="DY454" s="18" t="s">
        <v>151</v>
      </c>
      <c r="DZ454" s="22" t="s">
        <v>151</v>
      </c>
      <c r="EA454" s="22" t="s">
        <v>151</v>
      </c>
      <c r="EB454" s="21">
        <v>800</v>
      </c>
      <c r="EC454" s="20">
        <v>6</v>
      </c>
      <c r="ED454" s="19">
        <v>0.76</v>
      </c>
      <c r="EE454" s="21">
        <v>41</v>
      </c>
      <c r="EF454" s="20">
        <v>1</v>
      </c>
      <c r="EG454" s="19">
        <v>2.5</v>
      </c>
      <c r="EH454" s="16" t="s">
        <v>198</v>
      </c>
      <c r="EI454" s="17" t="s">
        <v>151</v>
      </c>
      <c r="EJ454" s="17" t="s">
        <v>151</v>
      </c>
      <c r="EK454" s="18" t="s">
        <v>151</v>
      </c>
      <c r="EL454" s="18" t="s">
        <v>151</v>
      </c>
      <c r="EM454" s="18" t="s">
        <v>151</v>
      </c>
      <c r="EN454" s="18" t="s">
        <v>151</v>
      </c>
      <c r="EO454" s="18" t="s">
        <v>151</v>
      </c>
      <c r="EP454" s="17" t="s">
        <v>151</v>
      </c>
      <c r="EQ454" s="16" t="s">
        <v>151</v>
      </c>
      <c r="ER454" s="16" t="s">
        <v>151</v>
      </c>
      <c r="ES454" s="3">
        <f>HYPERLINK("https://my.pitchbook.com?c=594193-06","View Company Online")</f>
      </c>
    </row>
    <row r="455">
      <c r="A455" s="30" t="s">
        <v>9643</v>
      </c>
      <c r="B455" s="30" t="s">
        <v>9644</v>
      </c>
      <c r="C455" s="31" t="s">
        <v>151</v>
      </c>
      <c r="D455" s="30" t="s">
        <v>151</v>
      </c>
      <c r="E455" s="30" t="s">
        <v>151</v>
      </c>
      <c r="F455" s="30" t="s">
        <v>9645</v>
      </c>
      <c r="G455" s="30" t="s">
        <v>151</v>
      </c>
      <c r="H455" s="30" t="s">
        <v>151</v>
      </c>
      <c r="I455" s="30" t="s">
        <v>151</v>
      </c>
      <c r="J455" s="30" t="s">
        <v>9643</v>
      </c>
      <c r="K455" s="30" t="s">
        <v>9646</v>
      </c>
      <c r="L455" s="30" t="s">
        <v>205</v>
      </c>
      <c r="M455" s="30" t="s">
        <v>206</v>
      </c>
      <c r="N455" s="30" t="s">
        <v>1268</v>
      </c>
      <c r="O455" s="30" t="s">
        <v>2129</v>
      </c>
      <c r="P455" s="30" t="s">
        <v>1205</v>
      </c>
      <c r="Q455" s="30" t="s">
        <v>9647</v>
      </c>
      <c r="R455" s="30" t="s">
        <v>151</v>
      </c>
      <c r="S455" s="30" t="s">
        <v>162</v>
      </c>
      <c r="T455" s="37">
        <v>0.2</v>
      </c>
      <c r="U455" s="30" t="s">
        <v>163</v>
      </c>
      <c r="V455" s="30" t="s">
        <v>164</v>
      </c>
      <c r="W455" s="30" t="s">
        <v>165</v>
      </c>
      <c r="X455" s="28" t="s">
        <v>9648</v>
      </c>
      <c r="Y455" s="28" t="s">
        <v>9649</v>
      </c>
      <c r="Z455" s="40">
        <v>4</v>
      </c>
      <c r="AA455" s="30" t="s">
        <v>9650</v>
      </c>
      <c r="AB455" s="30" t="s">
        <v>151</v>
      </c>
      <c r="AC455" s="30" t="s">
        <v>151</v>
      </c>
      <c r="AD455" s="39">
        <v>2021</v>
      </c>
      <c r="AE455" s="30" t="s">
        <v>151</v>
      </c>
      <c r="AF455" s="35">
        <v>45334</v>
      </c>
      <c r="AG455" s="30" t="s">
        <v>151</v>
      </c>
      <c r="AH455" s="30" t="s">
        <v>151</v>
      </c>
      <c r="AI455" s="38" t="s">
        <v>151</v>
      </c>
      <c r="AJ455" s="32" t="s">
        <v>151</v>
      </c>
      <c r="AK455" s="38" t="s">
        <v>151</v>
      </c>
      <c r="AL455" s="38" t="s">
        <v>151</v>
      </c>
      <c r="AM455" s="38" t="s">
        <v>151</v>
      </c>
      <c r="AN455" s="38" t="s">
        <v>151</v>
      </c>
      <c r="AO455" s="38" t="s">
        <v>151</v>
      </c>
      <c r="AP455" s="38" t="s">
        <v>151</v>
      </c>
      <c r="AQ455" s="38" t="s">
        <v>151</v>
      </c>
      <c r="AR455" s="29" t="s">
        <v>151</v>
      </c>
      <c r="AS455" s="30" t="s">
        <v>9651</v>
      </c>
      <c r="AT455" s="30" t="s">
        <v>9652</v>
      </c>
      <c r="AU455" s="31">
        <v>4</v>
      </c>
      <c r="AV455" s="30" t="s">
        <v>151</v>
      </c>
      <c r="AW455" s="30" t="s">
        <v>151</v>
      </c>
      <c r="AX455" s="30" t="s">
        <v>151</v>
      </c>
      <c r="AY455" s="30" t="s">
        <v>9653</v>
      </c>
      <c r="AZ455" s="30" t="s">
        <v>151</v>
      </c>
      <c r="BA455" s="30" t="s">
        <v>151</v>
      </c>
      <c r="BB455" s="30" t="s">
        <v>151</v>
      </c>
      <c r="BC455" s="30" t="s">
        <v>151</v>
      </c>
      <c r="BD455" s="30" t="s">
        <v>9654</v>
      </c>
      <c r="BE455" s="30" t="s">
        <v>9655</v>
      </c>
      <c r="BF455" s="30" t="s">
        <v>9656</v>
      </c>
      <c r="BG455" s="30" t="s">
        <v>9657</v>
      </c>
      <c r="BH455" s="30" t="s">
        <v>151</v>
      </c>
      <c r="BI455" s="30" t="s">
        <v>9658</v>
      </c>
      <c r="BJ455" s="30" t="s">
        <v>9659</v>
      </c>
      <c r="BK455" s="30" t="s">
        <v>151</v>
      </c>
      <c r="BL455" s="30" t="s">
        <v>151</v>
      </c>
      <c r="BM455" s="30" t="s">
        <v>6425</v>
      </c>
      <c r="BN455" s="29" t="s">
        <v>9660</v>
      </c>
      <c r="BO455" s="30" t="s">
        <v>186</v>
      </c>
      <c r="BP455" s="29" t="s">
        <v>151</v>
      </c>
      <c r="BQ455" s="29" t="s">
        <v>151</v>
      </c>
      <c r="BR455" s="30" t="s">
        <v>9661</v>
      </c>
      <c r="BS455" s="30" t="s">
        <v>187</v>
      </c>
      <c r="BT455" s="30" t="s">
        <v>188</v>
      </c>
      <c r="BU455" s="35">
        <v>44421</v>
      </c>
      <c r="BV455" s="37" t="s">
        <v>151</v>
      </c>
      <c r="BW455" s="30" t="s">
        <v>151</v>
      </c>
      <c r="BX455" s="37" t="s">
        <v>151</v>
      </c>
      <c r="BY455" s="30" t="s">
        <v>151</v>
      </c>
      <c r="BZ455" s="30" t="s">
        <v>189</v>
      </c>
      <c r="CA455" s="30" t="s">
        <v>151</v>
      </c>
      <c r="CB455" s="30" t="s">
        <v>151</v>
      </c>
      <c r="CC455" s="30" t="s">
        <v>190</v>
      </c>
      <c r="CD455" s="30" t="s">
        <v>151</v>
      </c>
      <c r="CE455" s="30" t="s">
        <v>191</v>
      </c>
      <c r="CF455" s="35">
        <v>45200</v>
      </c>
      <c r="CG455" s="37" t="s">
        <v>151</v>
      </c>
      <c r="CH455" s="30" t="s">
        <v>151</v>
      </c>
      <c r="CI455" s="37" t="s">
        <v>151</v>
      </c>
      <c r="CJ455" s="30" t="s">
        <v>151</v>
      </c>
      <c r="CK455" s="29" t="s">
        <v>151</v>
      </c>
      <c r="CL455" s="30" t="s">
        <v>194</v>
      </c>
      <c r="CM455" s="30" t="s">
        <v>151</v>
      </c>
      <c r="CN455" s="30" t="s">
        <v>151</v>
      </c>
      <c r="CO455" s="30" t="s">
        <v>165</v>
      </c>
      <c r="CP455" s="35">
        <v>45200</v>
      </c>
      <c r="CQ455" s="37" t="s">
        <v>151</v>
      </c>
      <c r="CR455" s="30" t="s">
        <v>151</v>
      </c>
      <c r="CS455" s="30" t="s">
        <v>191</v>
      </c>
      <c r="CT455" s="29">
        <v>39</v>
      </c>
      <c r="CU455" s="30" t="s">
        <v>196</v>
      </c>
      <c r="CV455" s="32">
        <v>51</v>
      </c>
      <c r="CW455" s="32">
        <v>49</v>
      </c>
      <c r="CX455" s="30" t="s">
        <v>294</v>
      </c>
      <c r="CY455" s="32">
        <v>1</v>
      </c>
      <c r="CZ455" s="32">
        <v>50</v>
      </c>
      <c r="DA455" s="37">
        <v>1.25</v>
      </c>
      <c r="DB455" s="35">
        <v>44562</v>
      </c>
      <c r="DC455" s="30" t="s">
        <v>189</v>
      </c>
      <c r="DD455" s="29" t="s">
        <v>151</v>
      </c>
      <c r="DE455" s="32">
        <v>0</v>
      </c>
      <c r="DF455" s="34">
        <v>11</v>
      </c>
      <c r="DG455" s="32">
        <v>0</v>
      </c>
      <c r="DH455" s="32">
        <v>0</v>
      </c>
      <c r="DI455" s="32">
        <v>0</v>
      </c>
      <c r="DJ455" s="34">
        <v>10</v>
      </c>
      <c r="DK455" s="32" t="s">
        <v>151</v>
      </c>
      <c r="DL455" s="34" t="s">
        <v>151</v>
      </c>
      <c r="DM455" s="32">
        <v>0</v>
      </c>
      <c r="DN455" s="34">
        <v>10</v>
      </c>
      <c r="DO455" s="36">
        <v>1.84</v>
      </c>
      <c r="DP455" s="34">
        <v>64</v>
      </c>
      <c r="DQ455" s="36">
        <v>0</v>
      </c>
      <c r="DR455" s="32">
        <v>0</v>
      </c>
      <c r="DS455" s="36">
        <v>1.84</v>
      </c>
      <c r="DT455" s="34">
        <v>64</v>
      </c>
      <c r="DU455" s="36" t="s">
        <v>151</v>
      </c>
      <c r="DV455" s="34" t="s">
        <v>151</v>
      </c>
      <c r="DW455" s="36">
        <v>1.84</v>
      </c>
      <c r="DX455" s="34">
        <v>64</v>
      </c>
      <c r="DY455" s="31" t="s">
        <v>151</v>
      </c>
      <c r="DZ455" s="35" t="s">
        <v>151</v>
      </c>
      <c r="EA455" s="35" t="s">
        <v>151</v>
      </c>
      <c r="EB455" s="34">
        <v>0</v>
      </c>
      <c r="EC455" s="33">
        <v>0</v>
      </c>
      <c r="ED455" s="32">
        <v>0</v>
      </c>
      <c r="EE455" s="34">
        <v>35</v>
      </c>
      <c r="EF455" s="33">
        <v>0</v>
      </c>
      <c r="EG455" s="32">
        <v>0</v>
      </c>
      <c r="EH455" s="29" t="s">
        <v>198</v>
      </c>
      <c r="EI455" s="30" t="s">
        <v>151</v>
      </c>
      <c r="EJ455" s="30" t="s">
        <v>151</v>
      </c>
      <c r="EK455" s="31" t="s">
        <v>151</v>
      </c>
      <c r="EL455" s="31" t="s">
        <v>151</v>
      </c>
      <c r="EM455" s="31" t="s">
        <v>151</v>
      </c>
      <c r="EN455" s="31" t="s">
        <v>151</v>
      </c>
      <c r="EO455" s="31" t="s">
        <v>151</v>
      </c>
      <c r="EP455" s="30" t="s">
        <v>151</v>
      </c>
      <c r="EQ455" s="29" t="s">
        <v>151</v>
      </c>
      <c r="ER455" s="29" t="s">
        <v>151</v>
      </c>
      <c r="ES455" s="4">
        <f>HYPERLINK("https://my.pitchbook.com?c=498309-31","View Company Online")</f>
      </c>
    </row>
    <row r="456">
      <c r="A456" s="17" t="s">
        <v>9662</v>
      </c>
      <c r="B456" s="17" t="s">
        <v>9663</v>
      </c>
      <c r="C456" s="18" t="s">
        <v>151</v>
      </c>
      <c r="D456" s="17" t="s">
        <v>151</v>
      </c>
      <c r="E456" s="17" t="s">
        <v>9664</v>
      </c>
      <c r="F456" s="17" t="s">
        <v>9665</v>
      </c>
      <c r="G456" s="17" t="s">
        <v>151</v>
      </c>
      <c r="H456" s="17" t="s">
        <v>151</v>
      </c>
      <c r="I456" s="17" t="s">
        <v>151</v>
      </c>
      <c r="J456" s="17" t="s">
        <v>9662</v>
      </c>
      <c r="K456" s="17" t="s">
        <v>9666</v>
      </c>
      <c r="L456" s="17" t="s">
        <v>205</v>
      </c>
      <c r="M456" s="17" t="s">
        <v>206</v>
      </c>
      <c r="N456" s="17" t="s">
        <v>1940</v>
      </c>
      <c r="O456" s="17" t="s">
        <v>5396</v>
      </c>
      <c r="P456" s="17" t="s">
        <v>2174</v>
      </c>
      <c r="Q456" s="17" t="s">
        <v>9667</v>
      </c>
      <c r="R456" s="17" t="s">
        <v>151</v>
      </c>
      <c r="S456" s="17" t="s">
        <v>162</v>
      </c>
      <c r="T456" s="24">
        <v>2.1</v>
      </c>
      <c r="U456" s="17" t="s">
        <v>163</v>
      </c>
      <c r="V456" s="17" t="s">
        <v>164</v>
      </c>
      <c r="W456" s="17" t="s">
        <v>165</v>
      </c>
      <c r="X456" s="15" t="s">
        <v>9668</v>
      </c>
      <c r="Y456" s="15" t="s">
        <v>9669</v>
      </c>
      <c r="Z456" s="27">
        <v>43</v>
      </c>
      <c r="AA456" s="17" t="s">
        <v>9670</v>
      </c>
      <c r="AB456" s="17" t="s">
        <v>151</v>
      </c>
      <c r="AC456" s="17" t="s">
        <v>151</v>
      </c>
      <c r="AD456" s="26">
        <v>2010</v>
      </c>
      <c r="AE456" s="17" t="s">
        <v>151</v>
      </c>
      <c r="AF456" s="22">
        <v>45617</v>
      </c>
      <c r="AG456" s="17" t="s">
        <v>9671</v>
      </c>
      <c r="AH456" s="17" t="s">
        <v>9671</v>
      </c>
      <c r="AI456" s="25" t="s">
        <v>151</v>
      </c>
      <c r="AJ456" s="19" t="s">
        <v>151</v>
      </c>
      <c r="AK456" s="25" t="s">
        <v>151</v>
      </c>
      <c r="AL456" s="25" t="s">
        <v>151</v>
      </c>
      <c r="AM456" s="25" t="s">
        <v>151</v>
      </c>
      <c r="AN456" s="25" t="s">
        <v>151</v>
      </c>
      <c r="AO456" s="25" t="s">
        <v>151</v>
      </c>
      <c r="AP456" s="25" t="s">
        <v>151</v>
      </c>
      <c r="AQ456" s="25" t="s">
        <v>151</v>
      </c>
      <c r="AR456" s="16" t="s">
        <v>151</v>
      </c>
      <c r="AS456" s="17" t="s">
        <v>9672</v>
      </c>
      <c r="AT456" s="17" t="s">
        <v>9673</v>
      </c>
      <c r="AU456" s="18">
        <v>4</v>
      </c>
      <c r="AV456" s="17" t="s">
        <v>151</v>
      </c>
      <c r="AW456" s="17" t="s">
        <v>151</v>
      </c>
      <c r="AX456" s="17" t="s">
        <v>151</v>
      </c>
      <c r="AY456" s="17" t="s">
        <v>9674</v>
      </c>
      <c r="AZ456" s="17" t="s">
        <v>151</v>
      </c>
      <c r="BA456" s="17" t="s">
        <v>151</v>
      </c>
      <c r="BB456" s="17" t="s">
        <v>151</v>
      </c>
      <c r="BC456" s="17" t="s">
        <v>151</v>
      </c>
      <c r="BD456" s="17" t="s">
        <v>9675</v>
      </c>
      <c r="BE456" s="17" t="s">
        <v>9676</v>
      </c>
      <c r="BF456" s="17" t="s">
        <v>9677</v>
      </c>
      <c r="BG456" s="17" t="s">
        <v>151</v>
      </c>
      <c r="BH456" s="17" t="s">
        <v>9678</v>
      </c>
      <c r="BI456" s="17" t="s">
        <v>8795</v>
      </c>
      <c r="BJ456" s="17" t="s">
        <v>9679</v>
      </c>
      <c r="BK456" s="17" t="s">
        <v>151</v>
      </c>
      <c r="BL456" s="17" t="s">
        <v>8797</v>
      </c>
      <c r="BM456" s="17" t="s">
        <v>184</v>
      </c>
      <c r="BN456" s="16" t="s">
        <v>8798</v>
      </c>
      <c r="BO456" s="17" t="s">
        <v>186</v>
      </c>
      <c r="BP456" s="16" t="s">
        <v>9678</v>
      </c>
      <c r="BQ456" s="16" t="s">
        <v>151</v>
      </c>
      <c r="BR456" s="17" t="s">
        <v>9680</v>
      </c>
      <c r="BS456" s="17" t="s">
        <v>187</v>
      </c>
      <c r="BT456" s="17" t="s">
        <v>188</v>
      </c>
      <c r="BU456" s="22">
        <v>44440</v>
      </c>
      <c r="BV456" s="24">
        <v>1.1</v>
      </c>
      <c r="BW456" s="17" t="s">
        <v>192</v>
      </c>
      <c r="BX456" s="24">
        <v>7</v>
      </c>
      <c r="BY456" s="17" t="s">
        <v>192</v>
      </c>
      <c r="BZ456" s="17" t="s">
        <v>293</v>
      </c>
      <c r="CA456" s="17" t="s">
        <v>293</v>
      </c>
      <c r="CB456" s="17" t="s">
        <v>151</v>
      </c>
      <c r="CC456" s="17" t="s">
        <v>165</v>
      </c>
      <c r="CD456" s="17" t="s">
        <v>151</v>
      </c>
      <c r="CE456" s="17" t="s">
        <v>191</v>
      </c>
      <c r="CF456" s="22">
        <v>45292</v>
      </c>
      <c r="CG456" s="24" t="s">
        <v>151</v>
      </c>
      <c r="CH456" s="17" t="s">
        <v>151</v>
      </c>
      <c r="CI456" s="24" t="s">
        <v>151</v>
      </c>
      <c r="CJ456" s="17" t="s">
        <v>151</v>
      </c>
      <c r="CK456" s="16">
        <v>1.29</v>
      </c>
      <c r="CL456" s="17" t="s">
        <v>189</v>
      </c>
      <c r="CM456" s="17" t="s">
        <v>151</v>
      </c>
      <c r="CN456" s="17" t="s">
        <v>151</v>
      </c>
      <c r="CO456" s="17" t="s">
        <v>190</v>
      </c>
      <c r="CP456" s="22">
        <v>45292</v>
      </c>
      <c r="CQ456" s="24" t="s">
        <v>151</v>
      </c>
      <c r="CR456" s="17" t="s">
        <v>151</v>
      </c>
      <c r="CS456" s="17" t="s">
        <v>191</v>
      </c>
      <c r="CT456" s="16">
        <v>73</v>
      </c>
      <c r="CU456" s="17" t="s">
        <v>196</v>
      </c>
      <c r="CV456" s="19">
        <v>68</v>
      </c>
      <c r="CW456" s="19">
        <v>32</v>
      </c>
      <c r="CX456" s="17" t="s">
        <v>294</v>
      </c>
      <c r="CY456" s="19">
        <v>1</v>
      </c>
      <c r="CZ456" s="19">
        <v>67</v>
      </c>
      <c r="DA456" s="24">
        <v>10</v>
      </c>
      <c r="DB456" s="22">
        <v>45271</v>
      </c>
      <c r="DC456" s="17" t="s">
        <v>231</v>
      </c>
      <c r="DD456" s="16">
        <v>1.29</v>
      </c>
      <c r="DE456" s="19">
        <v>0</v>
      </c>
      <c r="DF456" s="21">
        <v>11</v>
      </c>
      <c r="DG456" s="19">
        <v>0</v>
      </c>
      <c r="DH456" s="19">
        <v>0</v>
      </c>
      <c r="DI456" s="19">
        <v>0</v>
      </c>
      <c r="DJ456" s="21">
        <v>10</v>
      </c>
      <c r="DK456" s="19" t="s">
        <v>151</v>
      </c>
      <c r="DL456" s="21" t="s">
        <v>151</v>
      </c>
      <c r="DM456" s="19">
        <v>0</v>
      </c>
      <c r="DN456" s="21">
        <v>10</v>
      </c>
      <c r="DO456" s="23">
        <v>1.88</v>
      </c>
      <c r="DP456" s="21">
        <v>65</v>
      </c>
      <c r="DQ456" s="23">
        <v>0</v>
      </c>
      <c r="DR456" s="19">
        <v>0</v>
      </c>
      <c r="DS456" s="23">
        <v>0.53</v>
      </c>
      <c r="DT456" s="21">
        <v>34</v>
      </c>
      <c r="DU456" s="23" t="s">
        <v>151</v>
      </c>
      <c r="DV456" s="21" t="s">
        <v>151</v>
      </c>
      <c r="DW456" s="23">
        <v>0.53</v>
      </c>
      <c r="DX456" s="21">
        <v>34</v>
      </c>
      <c r="DY456" s="18" t="s">
        <v>151</v>
      </c>
      <c r="DZ456" s="22" t="s">
        <v>151</v>
      </c>
      <c r="EA456" s="22" t="s">
        <v>151</v>
      </c>
      <c r="EB456" s="21">
        <v>362</v>
      </c>
      <c r="EC456" s="20">
        <v>-26</v>
      </c>
      <c r="ED456" s="19">
        <v>-6.7</v>
      </c>
      <c r="EE456" s="21">
        <v>10</v>
      </c>
      <c r="EF456" s="20">
        <v>0</v>
      </c>
      <c r="EG456" s="19">
        <v>0</v>
      </c>
      <c r="EH456" s="16" t="s">
        <v>198</v>
      </c>
      <c r="EI456" s="17" t="s">
        <v>151</v>
      </c>
      <c r="EJ456" s="17" t="s">
        <v>151</v>
      </c>
      <c r="EK456" s="18" t="s">
        <v>151</v>
      </c>
      <c r="EL456" s="18" t="s">
        <v>151</v>
      </c>
      <c r="EM456" s="18" t="s">
        <v>151</v>
      </c>
      <c r="EN456" s="18" t="s">
        <v>151</v>
      </c>
      <c r="EO456" s="18" t="s">
        <v>151</v>
      </c>
      <c r="EP456" s="17" t="s">
        <v>151</v>
      </c>
      <c r="EQ456" s="16" t="s">
        <v>151</v>
      </c>
      <c r="ER456" s="16" t="s">
        <v>151</v>
      </c>
      <c r="ES456" s="3">
        <f>HYPERLINK("https://my.pitchbook.com?c=529004-62","View Company Online")</f>
      </c>
    </row>
    <row r="457">
      <c r="A457" s="30" t="s">
        <v>9681</v>
      </c>
      <c r="B457" s="30" t="s">
        <v>9682</v>
      </c>
      <c r="C457" s="31" t="s">
        <v>151</v>
      </c>
      <c r="D457" s="30" t="s">
        <v>151</v>
      </c>
      <c r="E457" s="30" t="s">
        <v>151</v>
      </c>
      <c r="F457" s="30" t="s">
        <v>9683</v>
      </c>
      <c r="G457" s="30" t="s">
        <v>151</v>
      </c>
      <c r="H457" s="30" t="s">
        <v>151</v>
      </c>
      <c r="I457" s="30" t="s">
        <v>151</v>
      </c>
      <c r="J457" s="30" t="s">
        <v>9681</v>
      </c>
      <c r="K457" s="30" t="s">
        <v>9684</v>
      </c>
      <c r="L457" s="30" t="s">
        <v>155</v>
      </c>
      <c r="M457" s="30" t="s">
        <v>361</v>
      </c>
      <c r="N457" s="30" t="s">
        <v>9685</v>
      </c>
      <c r="O457" s="30" t="s">
        <v>9686</v>
      </c>
      <c r="P457" s="30" t="s">
        <v>4307</v>
      </c>
      <c r="Q457" s="30" t="s">
        <v>9687</v>
      </c>
      <c r="R457" s="30" t="s">
        <v>151</v>
      </c>
      <c r="S457" s="30" t="s">
        <v>162</v>
      </c>
      <c r="T457" s="37">
        <v>0.63</v>
      </c>
      <c r="U457" s="30" t="s">
        <v>163</v>
      </c>
      <c r="V457" s="30" t="s">
        <v>164</v>
      </c>
      <c r="W457" s="30" t="s">
        <v>165</v>
      </c>
      <c r="X457" s="28" t="s">
        <v>9688</v>
      </c>
      <c r="Y457" s="28" t="s">
        <v>9689</v>
      </c>
      <c r="Z457" s="40">
        <v>19</v>
      </c>
      <c r="AA457" s="30" t="s">
        <v>9690</v>
      </c>
      <c r="AB457" s="30" t="s">
        <v>151</v>
      </c>
      <c r="AC457" s="30" t="s">
        <v>151</v>
      </c>
      <c r="AD457" s="39">
        <v>2017</v>
      </c>
      <c r="AE457" s="30" t="s">
        <v>151</v>
      </c>
      <c r="AF457" s="35">
        <v>45468</v>
      </c>
      <c r="AG457" s="30" t="s">
        <v>151</v>
      </c>
      <c r="AH457" s="30" t="s">
        <v>151</v>
      </c>
      <c r="AI457" s="38" t="s">
        <v>151</v>
      </c>
      <c r="AJ457" s="32" t="s">
        <v>151</v>
      </c>
      <c r="AK457" s="38" t="s">
        <v>151</v>
      </c>
      <c r="AL457" s="38" t="s">
        <v>151</v>
      </c>
      <c r="AM457" s="38" t="s">
        <v>151</v>
      </c>
      <c r="AN457" s="38" t="s">
        <v>151</v>
      </c>
      <c r="AO457" s="38" t="s">
        <v>151</v>
      </c>
      <c r="AP457" s="38" t="s">
        <v>151</v>
      </c>
      <c r="AQ457" s="38" t="s">
        <v>151</v>
      </c>
      <c r="AR457" s="29" t="s">
        <v>151</v>
      </c>
      <c r="AS457" s="30" t="s">
        <v>9691</v>
      </c>
      <c r="AT457" s="30" t="s">
        <v>9692</v>
      </c>
      <c r="AU457" s="31">
        <v>8</v>
      </c>
      <c r="AV457" s="30" t="s">
        <v>151</v>
      </c>
      <c r="AW457" s="30" t="s">
        <v>151</v>
      </c>
      <c r="AX457" s="30" t="s">
        <v>151</v>
      </c>
      <c r="AY457" s="30" t="s">
        <v>9693</v>
      </c>
      <c r="AZ457" s="30" t="s">
        <v>151</v>
      </c>
      <c r="BA457" s="30" t="s">
        <v>151</v>
      </c>
      <c r="BB457" s="30" t="s">
        <v>151</v>
      </c>
      <c r="BC457" s="30" t="s">
        <v>151</v>
      </c>
      <c r="BD457" s="30" t="s">
        <v>9694</v>
      </c>
      <c r="BE457" s="30" t="s">
        <v>9695</v>
      </c>
      <c r="BF457" s="30" t="s">
        <v>789</v>
      </c>
      <c r="BG457" s="30" t="s">
        <v>9696</v>
      </c>
      <c r="BH457" s="30" t="s">
        <v>9697</v>
      </c>
      <c r="BI457" s="30" t="s">
        <v>9698</v>
      </c>
      <c r="BJ457" s="30" t="s">
        <v>9699</v>
      </c>
      <c r="BK457" s="30" t="s">
        <v>523</v>
      </c>
      <c r="BL457" s="30" t="s">
        <v>9700</v>
      </c>
      <c r="BM457" s="30" t="s">
        <v>1576</v>
      </c>
      <c r="BN457" s="29" t="s">
        <v>9701</v>
      </c>
      <c r="BO457" s="30" t="s">
        <v>186</v>
      </c>
      <c r="BP457" s="29" t="s">
        <v>9702</v>
      </c>
      <c r="BQ457" s="29" t="s">
        <v>151</v>
      </c>
      <c r="BR457" s="30" t="s">
        <v>9703</v>
      </c>
      <c r="BS457" s="30" t="s">
        <v>187</v>
      </c>
      <c r="BT457" s="30" t="s">
        <v>188</v>
      </c>
      <c r="BU457" s="35" t="s">
        <v>151</v>
      </c>
      <c r="BV457" s="37">
        <v>0.1</v>
      </c>
      <c r="BW457" s="30" t="s">
        <v>192</v>
      </c>
      <c r="BX457" s="37" t="s">
        <v>151</v>
      </c>
      <c r="BY457" s="30" t="s">
        <v>151</v>
      </c>
      <c r="BZ457" s="30" t="s">
        <v>1075</v>
      </c>
      <c r="CA457" s="30" t="s">
        <v>1075</v>
      </c>
      <c r="CB457" s="30" t="s">
        <v>151</v>
      </c>
      <c r="CC457" s="30" t="s">
        <v>585</v>
      </c>
      <c r="CD457" s="30" t="s">
        <v>151</v>
      </c>
      <c r="CE457" s="30" t="s">
        <v>191</v>
      </c>
      <c r="CF457" s="35">
        <v>44810</v>
      </c>
      <c r="CG457" s="37">
        <v>0.25</v>
      </c>
      <c r="CH457" s="30" t="s">
        <v>192</v>
      </c>
      <c r="CI457" s="37" t="s">
        <v>151</v>
      </c>
      <c r="CJ457" s="30" t="s">
        <v>151</v>
      </c>
      <c r="CK457" s="29" t="s">
        <v>151</v>
      </c>
      <c r="CL457" s="30" t="s">
        <v>189</v>
      </c>
      <c r="CM457" s="30" t="s">
        <v>151</v>
      </c>
      <c r="CN457" s="30" t="s">
        <v>151</v>
      </c>
      <c r="CO457" s="30" t="s">
        <v>190</v>
      </c>
      <c r="CP457" s="35">
        <v>44810</v>
      </c>
      <c r="CQ457" s="37" t="s">
        <v>151</v>
      </c>
      <c r="CR457" s="30" t="s">
        <v>151</v>
      </c>
      <c r="CS457" s="30" t="s">
        <v>191</v>
      </c>
      <c r="CT457" s="29">
        <v>23</v>
      </c>
      <c r="CU457" s="30" t="s">
        <v>263</v>
      </c>
      <c r="CV457" s="32">
        <v>24</v>
      </c>
      <c r="CW457" s="32">
        <v>76</v>
      </c>
      <c r="CX457" s="30" t="s">
        <v>263</v>
      </c>
      <c r="CY457" s="32">
        <v>1</v>
      </c>
      <c r="CZ457" s="32">
        <v>23</v>
      </c>
      <c r="DA457" s="37" t="s">
        <v>151</v>
      </c>
      <c r="DB457" s="35" t="s">
        <v>151</v>
      </c>
      <c r="DC457" s="30" t="s">
        <v>151</v>
      </c>
      <c r="DD457" s="29" t="s">
        <v>151</v>
      </c>
      <c r="DE457" s="32">
        <v>0.37</v>
      </c>
      <c r="DF457" s="34">
        <v>93</v>
      </c>
      <c r="DG457" s="32">
        <v>0</v>
      </c>
      <c r="DH457" s="32">
        <v>0</v>
      </c>
      <c r="DI457" s="32">
        <v>0.37</v>
      </c>
      <c r="DJ457" s="34">
        <v>94</v>
      </c>
      <c r="DK457" s="32">
        <v>0</v>
      </c>
      <c r="DL457" s="34">
        <v>11</v>
      </c>
      <c r="DM457" s="32">
        <v>0.73</v>
      </c>
      <c r="DN457" s="34">
        <v>96</v>
      </c>
      <c r="DO457" s="36">
        <v>8.71</v>
      </c>
      <c r="DP457" s="34">
        <v>89</v>
      </c>
      <c r="DQ457" s="36">
        <v>0</v>
      </c>
      <c r="DR457" s="32">
        <v>0</v>
      </c>
      <c r="DS457" s="36">
        <v>8.71</v>
      </c>
      <c r="DT457" s="34">
        <v>89</v>
      </c>
      <c r="DU457" s="36">
        <v>1.36</v>
      </c>
      <c r="DV457" s="34">
        <v>63</v>
      </c>
      <c r="DW457" s="36">
        <v>16.05</v>
      </c>
      <c r="DX457" s="34">
        <v>94</v>
      </c>
      <c r="DY457" s="31" t="s">
        <v>151</v>
      </c>
      <c r="DZ457" s="35" t="s">
        <v>151</v>
      </c>
      <c r="EA457" s="35" t="s">
        <v>151</v>
      </c>
      <c r="EB457" s="34">
        <v>280</v>
      </c>
      <c r="EC457" s="33">
        <v>-4</v>
      </c>
      <c r="ED457" s="32">
        <v>-1.41</v>
      </c>
      <c r="EE457" s="34">
        <v>305</v>
      </c>
      <c r="EF457" s="33">
        <v>-1</v>
      </c>
      <c r="EG457" s="32">
        <v>-0.33</v>
      </c>
      <c r="EH457" s="29" t="s">
        <v>198</v>
      </c>
      <c r="EI457" s="30" t="s">
        <v>151</v>
      </c>
      <c r="EJ457" s="30" t="s">
        <v>151</v>
      </c>
      <c r="EK457" s="31" t="s">
        <v>151</v>
      </c>
      <c r="EL457" s="31" t="s">
        <v>151</v>
      </c>
      <c r="EM457" s="31" t="s">
        <v>151</v>
      </c>
      <c r="EN457" s="31" t="s">
        <v>151</v>
      </c>
      <c r="EO457" s="31" t="s">
        <v>151</v>
      </c>
      <c r="EP457" s="30" t="s">
        <v>151</v>
      </c>
      <c r="EQ457" s="29" t="s">
        <v>151</v>
      </c>
      <c r="ER457" s="29" t="s">
        <v>151</v>
      </c>
      <c r="ES457" s="4">
        <f>HYPERLINK("https://my.pitchbook.com?c=434063-26","View Company Online")</f>
      </c>
    </row>
    <row r="458">
      <c r="A458" s="17" t="s">
        <v>9704</v>
      </c>
      <c r="B458" s="17" t="s">
        <v>9705</v>
      </c>
      <c r="C458" s="18" t="s">
        <v>151</v>
      </c>
      <c r="D458" s="17" t="s">
        <v>151</v>
      </c>
      <c r="E458" s="17" t="s">
        <v>151</v>
      </c>
      <c r="F458" s="17" t="s">
        <v>9706</v>
      </c>
      <c r="G458" s="17" t="s">
        <v>151</v>
      </c>
      <c r="H458" s="17" t="s">
        <v>151</v>
      </c>
      <c r="I458" s="17" t="s">
        <v>151</v>
      </c>
      <c r="J458" s="17" t="s">
        <v>9704</v>
      </c>
      <c r="K458" s="17" t="s">
        <v>9707</v>
      </c>
      <c r="L458" s="17" t="s">
        <v>155</v>
      </c>
      <c r="M458" s="17" t="s">
        <v>2320</v>
      </c>
      <c r="N458" s="17" t="s">
        <v>3427</v>
      </c>
      <c r="O458" s="17" t="s">
        <v>9708</v>
      </c>
      <c r="P458" s="17" t="s">
        <v>9709</v>
      </c>
      <c r="Q458" s="17" t="s">
        <v>9710</v>
      </c>
      <c r="R458" s="17" t="s">
        <v>151</v>
      </c>
      <c r="S458" s="17" t="s">
        <v>162</v>
      </c>
      <c r="T458" s="24">
        <v>5.39</v>
      </c>
      <c r="U458" s="17" t="s">
        <v>163</v>
      </c>
      <c r="V458" s="17" t="s">
        <v>164</v>
      </c>
      <c r="W458" s="17" t="s">
        <v>165</v>
      </c>
      <c r="X458" s="15" t="s">
        <v>9711</v>
      </c>
      <c r="Y458" s="15" t="s">
        <v>9712</v>
      </c>
      <c r="Z458" s="27">
        <v>23</v>
      </c>
      <c r="AA458" s="17" t="s">
        <v>9713</v>
      </c>
      <c r="AB458" s="17" t="s">
        <v>151</v>
      </c>
      <c r="AC458" s="17" t="s">
        <v>151</v>
      </c>
      <c r="AD458" s="26">
        <v>2019</v>
      </c>
      <c r="AE458" s="17" t="s">
        <v>151</v>
      </c>
      <c r="AF458" s="22">
        <v>45569</v>
      </c>
      <c r="AG458" s="17" t="s">
        <v>151</v>
      </c>
      <c r="AH458" s="17" t="s">
        <v>151</v>
      </c>
      <c r="AI458" s="25">
        <v>4</v>
      </c>
      <c r="AJ458" s="19" t="s">
        <v>151</v>
      </c>
      <c r="AK458" s="25" t="s">
        <v>151</v>
      </c>
      <c r="AL458" s="25" t="s">
        <v>151</v>
      </c>
      <c r="AM458" s="25" t="s">
        <v>151</v>
      </c>
      <c r="AN458" s="25" t="s">
        <v>151</v>
      </c>
      <c r="AO458" s="25" t="s">
        <v>151</v>
      </c>
      <c r="AP458" s="25" t="s">
        <v>151</v>
      </c>
      <c r="AQ458" s="25" t="s">
        <v>151</v>
      </c>
      <c r="AR458" s="16" t="s">
        <v>170</v>
      </c>
      <c r="AS458" s="17" t="s">
        <v>9714</v>
      </c>
      <c r="AT458" s="17" t="s">
        <v>9715</v>
      </c>
      <c r="AU458" s="18">
        <v>9</v>
      </c>
      <c r="AV458" s="17" t="s">
        <v>151</v>
      </c>
      <c r="AW458" s="17" t="s">
        <v>151</v>
      </c>
      <c r="AX458" s="17" t="s">
        <v>151</v>
      </c>
      <c r="AY458" s="17" t="s">
        <v>9716</v>
      </c>
      <c r="AZ458" s="17" t="s">
        <v>151</v>
      </c>
      <c r="BA458" s="17" t="s">
        <v>151</v>
      </c>
      <c r="BB458" s="17" t="s">
        <v>151</v>
      </c>
      <c r="BC458" s="17" t="s">
        <v>151</v>
      </c>
      <c r="BD458" s="17" t="s">
        <v>9717</v>
      </c>
      <c r="BE458" s="17" t="s">
        <v>9718</v>
      </c>
      <c r="BF458" s="17" t="s">
        <v>9719</v>
      </c>
      <c r="BG458" s="17" t="s">
        <v>9720</v>
      </c>
      <c r="BH458" s="17" t="s">
        <v>9721</v>
      </c>
      <c r="BI458" s="17" t="s">
        <v>934</v>
      </c>
      <c r="BJ458" s="17" t="s">
        <v>9722</v>
      </c>
      <c r="BK458" s="17" t="s">
        <v>151</v>
      </c>
      <c r="BL458" s="17" t="s">
        <v>937</v>
      </c>
      <c r="BM458" s="17" t="s">
        <v>184</v>
      </c>
      <c r="BN458" s="16" t="s">
        <v>9723</v>
      </c>
      <c r="BO458" s="17" t="s">
        <v>186</v>
      </c>
      <c r="BP458" s="16" t="s">
        <v>9721</v>
      </c>
      <c r="BQ458" s="16" t="s">
        <v>151</v>
      </c>
      <c r="BR458" s="17" t="s">
        <v>9724</v>
      </c>
      <c r="BS458" s="17" t="s">
        <v>187</v>
      </c>
      <c r="BT458" s="17" t="s">
        <v>188</v>
      </c>
      <c r="BU458" s="22">
        <v>43945</v>
      </c>
      <c r="BV458" s="24">
        <v>2.5</v>
      </c>
      <c r="BW458" s="17" t="s">
        <v>192</v>
      </c>
      <c r="BX458" s="24">
        <v>5.1</v>
      </c>
      <c r="BY458" s="17" t="s">
        <v>192</v>
      </c>
      <c r="BZ458" s="17" t="s">
        <v>293</v>
      </c>
      <c r="CA458" s="17" t="s">
        <v>293</v>
      </c>
      <c r="CB458" s="17" t="s">
        <v>151</v>
      </c>
      <c r="CC458" s="17" t="s">
        <v>165</v>
      </c>
      <c r="CD458" s="17" t="s">
        <v>151</v>
      </c>
      <c r="CE458" s="17" t="s">
        <v>191</v>
      </c>
      <c r="CF458" s="22">
        <v>44549</v>
      </c>
      <c r="CG458" s="24">
        <v>2.89</v>
      </c>
      <c r="CH458" s="17" t="s">
        <v>193</v>
      </c>
      <c r="CI458" s="24">
        <v>12.89</v>
      </c>
      <c r="CJ458" s="17" t="s">
        <v>192</v>
      </c>
      <c r="CK458" s="16">
        <v>1.96</v>
      </c>
      <c r="CL458" s="17" t="s">
        <v>293</v>
      </c>
      <c r="CM458" s="17" t="s">
        <v>293</v>
      </c>
      <c r="CN458" s="17" t="s">
        <v>151</v>
      </c>
      <c r="CO458" s="17" t="s">
        <v>165</v>
      </c>
      <c r="CP458" s="22">
        <v>44549</v>
      </c>
      <c r="CQ458" s="24" t="s">
        <v>151</v>
      </c>
      <c r="CR458" s="17" t="s">
        <v>151</v>
      </c>
      <c r="CS458" s="17" t="s">
        <v>191</v>
      </c>
      <c r="CT458" s="16">
        <v>49</v>
      </c>
      <c r="CU458" s="17" t="s">
        <v>263</v>
      </c>
      <c r="CV458" s="19">
        <v>47</v>
      </c>
      <c r="CW458" s="19">
        <v>53</v>
      </c>
      <c r="CX458" s="17" t="s">
        <v>263</v>
      </c>
      <c r="CY458" s="19">
        <v>1</v>
      </c>
      <c r="CZ458" s="19">
        <v>46</v>
      </c>
      <c r="DA458" s="24">
        <v>12.89</v>
      </c>
      <c r="DB458" s="22">
        <v>44549</v>
      </c>
      <c r="DC458" s="17" t="s">
        <v>293</v>
      </c>
      <c r="DD458" s="16">
        <v>1.96</v>
      </c>
      <c r="DE458" s="19">
        <v>-0.52</v>
      </c>
      <c r="DF458" s="21">
        <v>7</v>
      </c>
      <c r="DG458" s="19">
        <v>0</v>
      </c>
      <c r="DH458" s="19">
        <v>0</v>
      </c>
      <c r="DI458" s="19">
        <v>-0.51</v>
      </c>
      <c r="DJ458" s="21">
        <v>7</v>
      </c>
      <c r="DK458" s="19">
        <v>0</v>
      </c>
      <c r="DL458" s="21">
        <v>11</v>
      </c>
      <c r="DM458" s="19">
        <v>-1.03</v>
      </c>
      <c r="DN458" s="21">
        <v>4</v>
      </c>
      <c r="DO458" s="23">
        <v>5.93</v>
      </c>
      <c r="DP458" s="21">
        <v>84</v>
      </c>
      <c r="DQ458" s="23">
        <v>0</v>
      </c>
      <c r="DR458" s="19">
        <v>0</v>
      </c>
      <c r="DS458" s="23">
        <v>10.09</v>
      </c>
      <c r="DT458" s="21">
        <v>90</v>
      </c>
      <c r="DU458" s="23">
        <v>1.87</v>
      </c>
      <c r="DV458" s="21">
        <v>69</v>
      </c>
      <c r="DW458" s="23">
        <v>18.32</v>
      </c>
      <c r="DX458" s="21">
        <v>94</v>
      </c>
      <c r="DY458" s="18" t="s">
        <v>151</v>
      </c>
      <c r="DZ458" s="22" t="s">
        <v>151</v>
      </c>
      <c r="EA458" s="22" t="s">
        <v>151</v>
      </c>
      <c r="EB458" s="21">
        <v>392</v>
      </c>
      <c r="EC458" s="20">
        <v>-21</v>
      </c>
      <c r="ED458" s="19">
        <v>-5.08</v>
      </c>
      <c r="EE458" s="21">
        <v>348</v>
      </c>
      <c r="EF458" s="20">
        <v>-1</v>
      </c>
      <c r="EG458" s="19">
        <v>-0.29</v>
      </c>
      <c r="EH458" s="16" t="s">
        <v>198</v>
      </c>
      <c r="EI458" s="17" t="s">
        <v>151</v>
      </c>
      <c r="EJ458" s="17" t="s">
        <v>151</v>
      </c>
      <c r="EK458" s="18" t="s">
        <v>151</v>
      </c>
      <c r="EL458" s="18" t="s">
        <v>151</v>
      </c>
      <c r="EM458" s="18" t="s">
        <v>151</v>
      </c>
      <c r="EN458" s="18" t="s">
        <v>151</v>
      </c>
      <c r="EO458" s="18" t="s">
        <v>151</v>
      </c>
      <c r="EP458" s="17" t="s">
        <v>151</v>
      </c>
      <c r="EQ458" s="16" t="s">
        <v>151</v>
      </c>
      <c r="ER458" s="16" t="s">
        <v>151</v>
      </c>
      <c r="ES458" s="3">
        <f>HYPERLINK("https://my.pitchbook.com?c=436806-10","View Company Online")</f>
      </c>
    </row>
    <row r="459">
      <c r="A459" s="30" t="s">
        <v>9725</v>
      </c>
      <c r="B459" s="30" t="s">
        <v>9726</v>
      </c>
      <c r="C459" s="31" t="s">
        <v>151</v>
      </c>
      <c r="D459" s="30" t="s">
        <v>151</v>
      </c>
      <c r="E459" s="30" t="s">
        <v>9727</v>
      </c>
      <c r="F459" s="30" t="s">
        <v>9728</v>
      </c>
      <c r="G459" s="30" t="s">
        <v>151</v>
      </c>
      <c r="H459" s="30" t="s">
        <v>151</v>
      </c>
      <c r="I459" s="30" t="s">
        <v>151</v>
      </c>
      <c r="J459" s="30" t="s">
        <v>9725</v>
      </c>
      <c r="K459" s="30" t="s">
        <v>9729</v>
      </c>
      <c r="L459" s="30" t="s">
        <v>205</v>
      </c>
      <c r="M459" s="30" t="s">
        <v>206</v>
      </c>
      <c r="N459" s="30" t="s">
        <v>1130</v>
      </c>
      <c r="O459" s="30" t="s">
        <v>1131</v>
      </c>
      <c r="P459" s="30" t="s">
        <v>1132</v>
      </c>
      <c r="Q459" s="30" t="s">
        <v>9730</v>
      </c>
      <c r="R459" s="30" t="s">
        <v>151</v>
      </c>
      <c r="S459" s="30" t="s">
        <v>162</v>
      </c>
      <c r="T459" s="37">
        <v>7.9</v>
      </c>
      <c r="U459" s="30" t="s">
        <v>163</v>
      </c>
      <c r="V459" s="30" t="s">
        <v>164</v>
      </c>
      <c r="W459" s="30" t="s">
        <v>165</v>
      </c>
      <c r="X459" s="28" t="s">
        <v>9731</v>
      </c>
      <c r="Y459" s="28" t="s">
        <v>9732</v>
      </c>
      <c r="Z459" s="40">
        <v>10</v>
      </c>
      <c r="AA459" s="30" t="s">
        <v>5417</v>
      </c>
      <c r="AB459" s="30" t="s">
        <v>151</v>
      </c>
      <c r="AC459" s="30" t="s">
        <v>151</v>
      </c>
      <c r="AD459" s="39">
        <v>2023</v>
      </c>
      <c r="AE459" s="30" t="s">
        <v>151</v>
      </c>
      <c r="AF459" s="35">
        <v>45588</v>
      </c>
      <c r="AG459" s="30" t="s">
        <v>151</v>
      </c>
      <c r="AH459" s="30" t="s">
        <v>151</v>
      </c>
      <c r="AI459" s="38" t="s">
        <v>151</v>
      </c>
      <c r="AJ459" s="32" t="s">
        <v>151</v>
      </c>
      <c r="AK459" s="38" t="s">
        <v>151</v>
      </c>
      <c r="AL459" s="38" t="s">
        <v>151</v>
      </c>
      <c r="AM459" s="38" t="s">
        <v>151</v>
      </c>
      <c r="AN459" s="38" t="s">
        <v>151</v>
      </c>
      <c r="AO459" s="38" t="s">
        <v>151</v>
      </c>
      <c r="AP459" s="38" t="s">
        <v>151</v>
      </c>
      <c r="AQ459" s="38" t="s">
        <v>151</v>
      </c>
      <c r="AR459" s="29" t="s">
        <v>151</v>
      </c>
      <c r="AS459" s="30" t="s">
        <v>9733</v>
      </c>
      <c r="AT459" s="30" t="s">
        <v>9734</v>
      </c>
      <c r="AU459" s="31">
        <v>9</v>
      </c>
      <c r="AV459" s="30" t="s">
        <v>151</v>
      </c>
      <c r="AW459" s="30" t="s">
        <v>151</v>
      </c>
      <c r="AX459" s="30" t="s">
        <v>151</v>
      </c>
      <c r="AY459" s="30" t="s">
        <v>9735</v>
      </c>
      <c r="AZ459" s="30" t="s">
        <v>151</v>
      </c>
      <c r="BA459" s="30" t="s">
        <v>151</v>
      </c>
      <c r="BB459" s="30" t="s">
        <v>151</v>
      </c>
      <c r="BC459" s="30" t="s">
        <v>151</v>
      </c>
      <c r="BD459" s="30" t="s">
        <v>9736</v>
      </c>
      <c r="BE459" s="30" t="s">
        <v>9737</v>
      </c>
      <c r="BF459" s="30" t="s">
        <v>221</v>
      </c>
      <c r="BG459" s="30" t="s">
        <v>9738</v>
      </c>
      <c r="BH459" s="30" t="s">
        <v>9739</v>
      </c>
      <c r="BI459" s="30" t="s">
        <v>9740</v>
      </c>
      <c r="BJ459" s="30" t="s">
        <v>151</v>
      </c>
      <c r="BK459" s="30" t="s">
        <v>151</v>
      </c>
      <c r="BL459" s="30" t="s">
        <v>9741</v>
      </c>
      <c r="BM459" s="30" t="s">
        <v>1043</v>
      </c>
      <c r="BN459" s="29" t="s">
        <v>9742</v>
      </c>
      <c r="BO459" s="30" t="s">
        <v>186</v>
      </c>
      <c r="BP459" s="29" t="s">
        <v>151</v>
      </c>
      <c r="BQ459" s="29" t="s">
        <v>151</v>
      </c>
      <c r="BR459" s="30" t="s">
        <v>9743</v>
      </c>
      <c r="BS459" s="30" t="s">
        <v>187</v>
      </c>
      <c r="BT459" s="30" t="s">
        <v>188</v>
      </c>
      <c r="BU459" s="35">
        <v>45245</v>
      </c>
      <c r="BV459" s="37">
        <v>0.1</v>
      </c>
      <c r="BW459" s="30" t="s">
        <v>192</v>
      </c>
      <c r="BX459" s="37" t="s">
        <v>151</v>
      </c>
      <c r="BY459" s="30" t="s">
        <v>151</v>
      </c>
      <c r="BZ459" s="30" t="s">
        <v>501</v>
      </c>
      <c r="CA459" s="30" t="s">
        <v>151</v>
      </c>
      <c r="CB459" s="30" t="s">
        <v>151</v>
      </c>
      <c r="CC459" s="30" t="s">
        <v>190</v>
      </c>
      <c r="CD459" s="30" t="s">
        <v>151</v>
      </c>
      <c r="CE459" s="30" t="s">
        <v>191</v>
      </c>
      <c r="CF459" s="35" t="s">
        <v>151</v>
      </c>
      <c r="CG459" s="37" t="s">
        <v>151</v>
      </c>
      <c r="CH459" s="30" t="s">
        <v>151</v>
      </c>
      <c r="CI459" s="37" t="s">
        <v>151</v>
      </c>
      <c r="CJ459" s="30" t="s">
        <v>151</v>
      </c>
      <c r="CK459" s="29" t="s">
        <v>151</v>
      </c>
      <c r="CL459" s="30" t="s">
        <v>189</v>
      </c>
      <c r="CM459" s="30" t="s">
        <v>151</v>
      </c>
      <c r="CN459" s="30" t="s">
        <v>151</v>
      </c>
      <c r="CO459" s="30" t="s">
        <v>190</v>
      </c>
      <c r="CP459" s="35" t="s">
        <v>151</v>
      </c>
      <c r="CQ459" s="37" t="s">
        <v>151</v>
      </c>
      <c r="CR459" s="30" t="s">
        <v>151</v>
      </c>
      <c r="CS459" s="30" t="s">
        <v>191</v>
      </c>
      <c r="CT459" s="29">
        <v>72</v>
      </c>
      <c r="CU459" s="30" t="s">
        <v>196</v>
      </c>
      <c r="CV459" s="32">
        <v>67</v>
      </c>
      <c r="CW459" s="32">
        <v>33</v>
      </c>
      <c r="CX459" s="30" t="s">
        <v>294</v>
      </c>
      <c r="CY459" s="32">
        <v>1</v>
      </c>
      <c r="CZ459" s="32">
        <v>66</v>
      </c>
      <c r="DA459" s="37" t="s">
        <v>151</v>
      </c>
      <c r="DB459" s="35" t="s">
        <v>151</v>
      </c>
      <c r="DC459" s="30" t="s">
        <v>151</v>
      </c>
      <c r="DD459" s="29" t="s">
        <v>151</v>
      </c>
      <c r="DE459" s="32">
        <v>0</v>
      </c>
      <c r="DF459" s="34">
        <v>11</v>
      </c>
      <c r="DG459" s="32">
        <v>0</v>
      </c>
      <c r="DH459" s="32">
        <v>0</v>
      </c>
      <c r="DI459" s="32">
        <v>0</v>
      </c>
      <c r="DJ459" s="34">
        <v>10</v>
      </c>
      <c r="DK459" s="32" t="s">
        <v>151</v>
      </c>
      <c r="DL459" s="34" t="s">
        <v>151</v>
      </c>
      <c r="DM459" s="32">
        <v>0</v>
      </c>
      <c r="DN459" s="34">
        <v>10</v>
      </c>
      <c r="DO459" s="36">
        <v>1.37</v>
      </c>
      <c r="DP459" s="34">
        <v>57</v>
      </c>
      <c r="DQ459" s="36">
        <v>0</v>
      </c>
      <c r="DR459" s="32">
        <v>0</v>
      </c>
      <c r="DS459" s="36">
        <v>1.37</v>
      </c>
      <c r="DT459" s="34">
        <v>57</v>
      </c>
      <c r="DU459" s="36" t="s">
        <v>151</v>
      </c>
      <c r="DV459" s="34" t="s">
        <v>151</v>
      </c>
      <c r="DW459" s="36">
        <v>1.37</v>
      </c>
      <c r="DX459" s="34">
        <v>57</v>
      </c>
      <c r="DY459" s="31" t="s">
        <v>151</v>
      </c>
      <c r="DZ459" s="35" t="s">
        <v>151</v>
      </c>
      <c r="EA459" s="35" t="s">
        <v>151</v>
      </c>
      <c r="EB459" s="34">
        <v>588</v>
      </c>
      <c r="EC459" s="33">
        <v>12</v>
      </c>
      <c r="ED459" s="32">
        <v>2.08</v>
      </c>
      <c r="EE459" s="34">
        <v>26</v>
      </c>
      <c r="EF459" s="33">
        <v>1</v>
      </c>
      <c r="EG459" s="32">
        <v>4</v>
      </c>
      <c r="EH459" s="29" t="s">
        <v>198</v>
      </c>
      <c r="EI459" s="30" t="s">
        <v>151</v>
      </c>
      <c r="EJ459" s="30" t="s">
        <v>151</v>
      </c>
      <c r="EK459" s="31" t="s">
        <v>151</v>
      </c>
      <c r="EL459" s="31" t="s">
        <v>151</v>
      </c>
      <c r="EM459" s="31" t="s">
        <v>151</v>
      </c>
      <c r="EN459" s="31" t="s">
        <v>151</v>
      </c>
      <c r="EO459" s="31" t="s">
        <v>151</v>
      </c>
      <c r="EP459" s="30" t="s">
        <v>151</v>
      </c>
      <c r="EQ459" s="29" t="s">
        <v>151</v>
      </c>
      <c r="ER459" s="29" t="s">
        <v>151</v>
      </c>
      <c r="ES459" s="4">
        <f>HYPERLINK("https://my.pitchbook.com?c=589838-23","View Company Online")</f>
      </c>
    </row>
    <row r="460">
      <c r="A460" s="17" t="s">
        <v>9744</v>
      </c>
      <c r="B460" s="17" t="s">
        <v>9745</v>
      </c>
      <c r="C460" s="18" t="s">
        <v>151</v>
      </c>
      <c r="D460" s="17" t="s">
        <v>151</v>
      </c>
      <c r="E460" s="17" t="s">
        <v>151</v>
      </c>
      <c r="F460" s="17" t="s">
        <v>9746</v>
      </c>
      <c r="G460" s="17" t="s">
        <v>151</v>
      </c>
      <c r="H460" s="17" t="s">
        <v>151</v>
      </c>
      <c r="I460" s="17" t="s">
        <v>9747</v>
      </c>
      <c r="J460" s="17" t="s">
        <v>9744</v>
      </c>
      <c r="K460" s="17" t="s">
        <v>9748</v>
      </c>
      <c r="L460" s="17" t="s">
        <v>205</v>
      </c>
      <c r="M460" s="17" t="s">
        <v>206</v>
      </c>
      <c r="N460" s="17" t="s">
        <v>269</v>
      </c>
      <c r="O460" s="17" t="s">
        <v>563</v>
      </c>
      <c r="P460" s="17" t="s">
        <v>2416</v>
      </c>
      <c r="Q460" s="17" t="s">
        <v>9749</v>
      </c>
      <c r="R460" s="17" t="s">
        <v>151</v>
      </c>
      <c r="S460" s="17" t="s">
        <v>162</v>
      </c>
      <c r="T460" s="24">
        <v>3</v>
      </c>
      <c r="U460" s="17" t="s">
        <v>163</v>
      </c>
      <c r="V460" s="17" t="s">
        <v>164</v>
      </c>
      <c r="W460" s="17" t="s">
        <v>420</v>
      </c>
      <c r="X460" s="15" t="s">
        <v>9750</v>
      </c>
      <c r="Y460" s="15" t="s">
        <v>9751</v>
      </c>
      <c r="Z460" s="27">
        <v>46</v>
      </c>
      <c r="AA460" s="17" t="s">
        <v>9752</v>
      </c>
      <c r="AB460" s="17" t="s">
        <v>151</v>
      </c>
      <c r="AC460" s="17" t="s">
        <v>151</v>
      </c>
      <c r="AD460" s="26">
        <v>2009</v>
      </c>
      <c r="AE460" s="17" t="s">
        <v>151</v>
      </c>
      <c r="AF460" s="22">
        <v>45555</v>
      </c>
      <c r="AG460" s="17" t="s">
        <v>151</v>
      </c>
      <c r="AH460" s="17" t="s">
        <v>151</v>
      </c>
      <c r="AI460" s="25">
        <v>1.6</v>
      </c>
      <c r="AJ460" s="19" t="s">
        <v>151</v>
      </c>
      <c r="AK460" s="25" t="s">
        <v>151</v>
      </c>
      <c r="AL460" s="25" t="s">
        <v>151</v>
      </c>
      <c r="AM460" s="25" t="s">
        <v>151</v>
      </c>
      <c r="AN460" s="25" t="s">
        <v>151</v>
      </c>
      <c r="AO460" s="25" t="s">
        <v>151</v>
      </c>
      <c r="AP460" s="25" t="s">
        <v>151</v>
      </c>
      <c r="AQ460" s="25" t="s">
        <v>151</v>
      </c>
      <c r="AR460" s="16" t="s">
        <v>810</v>
      </c>
      <c r="AS460" s="17" t="s">
        <v>9753</v>
      </c>
      <c r="AT460" s="17" t="s">
        <v>9754</v>
      </c>
      <c r="AU460" s="18">
        <v>1</v>
      </c>
      <c r="AV460" s="17" t="s">
        <v>151</v>
      </c>
      <c r="AW460" s="17" t="s">
        <v>151</v>
      </c>
      <c r="AX460" s="17" t="s">
        <v>151</v>
      </c>
      <c r="AY460" s="17" t="s">
        <v>9755</v>
      </c>
      <c r="AZ460" s="17" t="s">
        <v>151</v>
      </c>
      <c r="BA460" s="17" t="s">
        <v>151</v>
      </c>
      <c r="BB460" s="17" t="s">
        <v>151</v>
      </c>
      <c r="BC460" s="17" t="s">
        <v>9756</v>
      </c>
      <c r="BD460" s="17" t="s">
        <v>9757</v>
      </c>
      <c r="BE460" s="17" t="s">
        <v>9758</v>
      </c>
      <c r="BF460" s="17" t="s">
        <v>9759</v>
      </c>
      <c r="BG460" s="17" t="s">
        <v>9760</v>
      </c>
      <c r="BH460" s="17" t="s">
        <v>9761</v>
      </c>
      <c r="BI460" s="17" t="s">
        <v>1572</v>
      </c>
      <c r="BJ460" s="17" t="s">
        <v>9762</v>
      </c>
      <c r="BK460" s="17" t="s">
        <v>151</v>
      </c>
      <c r="BL460" s="17" t="s">
        <v>1575</v>
      </c>
      <c r="BM460" s="17" t="s">
        <v>1576</v>
      </c>
      <c r="BN460" s="16" t="s">
        <v>1577</v>
      </c>
      <c r="BO460" s="17" t="s">
        <v>186</v>
      </c>
      <c r="BP460" s="16" t="s">
        <v>9761</v>
      </c>
      <c r="BQ460" s="16" t="s">
        <v>151</v>
      </c>
      <c r="BR460" s="17" t="s">
        <v>9763</v>
      </c>
      <c r="BS460" s="17" t="s">
        <v>187</v>
      </c>
      <c r="BT460" s="17" t="s">
        <v>188</v>
      </c>
      <c r="BU460" s="22">
        <v>43932</v>
      </c>
      <c r="BV460" s="24" t="s">
        <v>151</v>
      </c>
      <c r="BW460" s="17" t="s">
        <v>151</v>
      </c>
      <c r="BX460" s="24" t="s">
        <v>151</v>
      </c>
      <c r="BY460" s="17" t="s">
        <v>151</v>
      </c>
      <c r="BZ460" s="17" t="s">
        <v>438</v>
      </c>
      <c r="CA460" s="17" t="s">
        <v>151</v>
      </c>
      <c r="CB460" s="17" t="s">
        <v>151</v>
      </c>
      <c r="CC460" s="17" t="s">
        <v>439</v>
      </c>
      <c r="CD460" s="17" t="s">
        <v>9764</v>
      </c>
      <c r="CE460" s="17" t="s">
        <v>191</v>
      </c>
      <c r="CF460" s="22">
        <v>44137</v>
      </c>
      <c r="CG460" s="24">
        <v>3</v>
      </c>
      <c r="CH460" s="17" t="s">
        <v>192</v>
      </c>
      <c r="CI460" s="24">
        <v>13</v>
      </c>
      <c r="CJ460" s="17" t="s">
        <v>192</v>
      </c>
      <c r="CK460" s="16" t="s">
        <v>151</v>
      </c>
      <c r="CL460" s="17" t="s">
        <v>194</v>
      </c>
      <c r="CM460" s="17" t="s">
        <v>232</v>
      </c>
      <c r="CN460" s="17" t="s">
        <v>151</v>
      </c>
      <c r="CO460" s="17" t="s">
        <v>165</v>
      </c>
      <c r="CP460" s="22">
        <v>44137</v>
      </c>
      <c r="CQ460" s="24" t="s">
        <v>151</v>
      </c>
      <c r="CR460" s="17" t="s">
        <v>151</v>
      </c>
      <c r="CS460" s="17" t="s">
        <v>191</v>
      </c>
      <c r="CT460" s="16" t="s">
        <v>151</v>
      </c>
      <c r="CU460" s="17" t="s">
        <v>151</v>
      </c>
      <c r="CV460" s="19" t="s">
        <v>151</v>
      </c>
      <c r="CW460" s="19" t="s">
        <v>151</v>
      </c>
      <c r="CX460" s="17" t="s">
        <v>151</v>
      </c>
      <c r="CY460" s="19" t="s">
        <v>151</v>
      </c>
      <c r="CZ460" s="19" t="s">
        <v>151</v>
      </c>
      <c r="DA460" s="24">
        <v>13</v>
      </c>
      <c r="DB460" s="22">
        <v>44137</v>
      </c>
      <c r="DC460" s="17" t="s">
        <v>194</v>
      </c>
      <c r="DD460" s="16" t="s">
        <v>151</v>
      </c>
      <c r="DE460" s="19">
        <v>0.04</v>
      </c>
      <c r="DF460" s="21">
        <v>90</v>
      </c>
      <c r="DG460" s="19">
        <v>0</v>
      </c>
      <c r="DH460" s="19">
        <v>0</v>
      </c>
      <c r="DI460" s="19">
        <v>0.35</v>
      </c>
      <c r="DJ460" s="21">
        <v>94</v>
      </c>
      <c r="DK460" s="19" t="s">
        <v>151</v>
      </c>
      <c r="DL460" s="21" t="s">
        <v>151</v>
      </c>
      <c r="DM460" s="19">
        <v>0.35</v>
      </c>
      <c r="DN460" s="21">
        <v>94</v>
      </c>
      <c r="DO460" s="23">
        <v>6.64</v>
      </c>
      <c r="DP460" s="21">
        <v>86</v>
      </c>
      <c r="DQ460" s="23">
        <v>0</v>
      </c>
      <c r="DR460" s="19">
        <v>0</v>
      </c>
      <c r="DS460" s="23">
        <v>9.74</v>
      </c>
      <c r="DT460" s="21">
        <v>90</v>
      </c>
      <c r="DU460" s="23" t="s">
        <v>151</v>
      </c>
      <c r="DV460" s="21" t="s">
        <v>151</v>
      </c>
      <c r="DW460" s="23">
        <v>9.74</v>
      </c>
      <c r="DX460" s="21">
        <v>90</v>
      </c>
      <c r="DY460" s="18" t="s">
        <v>151</v>
      </c>
      <c r="DZ460" s="22" t="s">
        <v>151</v>
      </c>
      <c r="EA460" s="22" t="s">
        <v>151</v>
      </c>
      <c r="EB460" s="21" t="s">
        <v>151</v>
      </c>
      <c r="EC460" s="20" t="s">
        <v>151</v>
      </c>
      <c r="ED460" s="19" t="s">
        <v>151</v>
      </c>
      <c r="EE460" s="21">
        <v>185</v>
      </c>
      <c r="EF460" s="20">
        <v>0</v>
      </c>
      <c r="EG460" s="19">
        <v>0</v>
      </c>
      <c r="EH460" s="16" t="s">
        <v>198</v>
      </c>
      <c r="EI460" s="17" t="s">
        <v>151</v>
      </c>
      <c r="EJ460" s="17" t="s">
        <v>151</v>
      </c>
      <c r="EK460" s="18" t="s">
        <v>151</v>
      </c>
      <c r="EL460" s="18" t="s">
        <v>151</v>
      </c>
      <c r="EM460" s="18" t="s">
        <v>151</v>
      </c>
      <c r="EN460" s="18" t="s">
        <v>151</v>
      </c>
      <c r="EO460" s="18" t="s">
        <v>151</v>
      </c>
      <c r="EP460" s="17" t="s">
        <v>151</v>
      </c>
      <c r="EQ460" s="16" t="s">
        <v>151</v>
      </c>
      <c r="ER460" s="16" t="s">
        <v>151</v>
      </c>
      <c r="ES460" s="3">
        <f>HYPERLINK("https://my.pitchbook.com?c=231374-98","View Company Online")</f>
      </c>
    </row>
    <row r="461">
      <c r="A461" s="30" t="s">
        <v>9765</v>
      </c>
      <c r="B461" s="30" t="s">
        <v>9766</v>
      </c>
      <c r="C461" s="31" t="s">
        <v>151</v>
      </c>
      <c r="D461" s="30" t="s">
        <v>151</v>
      </c>
      <c r="E461" s="30" t="s">
        <v>151</v>
      </c>
      <c r="F461" s="30" t="s">
        <v>9767</v>
      </c>
      <c r="G461" s="30" t="s">
        <v>151</v>
      </c>
      <c r="H461" s="30" t="s">
        <v>151</v>
      </c>
      <c r="I461" s="30" t="s">
        <v>151</v>
      </c>
      <c r="J461" s="30" t="s">
        <v>9765</v>
      </c>
      <c r="K461" s="30" t="s">
        <v>9768</v>
      </c>
      <c r="L461" s="30" t="s">
        <v>155</v>
      </c>
      <c r="M461" s="30" t="s">
        <v>361</v>
      </c>
      <c r="N461" s="30" t="s">
        <v>3162</v>
      </c>
      <c r="O461" s="30" t="s">
        <v>3163</v>
      </c>
      <c r="P461" s="30" t="s">
        <v>2640</v>
      </c>
      <c r="Q461" s="30" t="s">
        <v>9769</v>
      </c>
      <c r="R461" s="30" t="s">
        <v>151</v>
      </c>
      <c r="S461" s="30" t="s">
        <v>162</v>
      </c>
      <c r="T461" s="37">
        <v>12.86</v>
      </c>
      <c r="U461" s="30" t="s">
        <v>163</v>
      </c>
      <c r="V461" s="30" t="s">
        <v>164</v>
      </c>
      <c r="W461" s="30" t="s">
        <v>165</v>
      </c>
      <c r="X461" s="28" t="s">
        <v>9770</v>
      </c>
      <c r="Y461" s="28" t="s">
        <v>9771</v>
      </c>
      <c r="Z461" s="40">
        <v>20</v>
      </c>
      <c r="AA461" s="30" t="s">
        <v>9772</v>
      </c>
      <c r="AB461" s="30" t="s">
        <v>151</v>
      </c>
      <c r="AC461" s="30" t="s">
        <v>151</v>
      </c>
      <c r="AD461" s="39">
        <v>2019</v>
      </c>
      <c r="AE461" s="30" t="s">
        <v>151</v>
      </c>
      <c r="AF461" s="35">
        <v>45518</v>
      </c>
      <c r="AG461" s="30" t="s">
        <v>151</v>
      </c>
      <c r="AH461" s="30" t="s">
        <v>151</v>
      </c>
      <c r="AI461" s="38" t="s">
        <v>151</v>
      </c>
      <c r="AJ461" s="32" t="s">
        <v>151</v>
      </c>
      <c r="AK461" s="38" t="s">
        <v>151</v>
      </c>
      <c r="AL461" s="38" t="s">
        <v>151</v>
      </c>
      <c r="AM461" s="38" t="s">
        <v>151</v>
      </c>
      <c r="AN461" s="38" t="s">
        <v>151</v>
      </c>
      <c r="AO461" s="38" t="s">
        <v>151</v>
      </c>
      <c r="AP461" s="38" t="s">
        <v>151</v>
      </c>
      <c r="AQ461" s="38" t="s">
        <v>151</v>
      </c>
      <c r="AR461" s="29" t="s">
        <v>151</v>
      </c>
      <c r="AS461" s="30" t="s">
        <v>9773</v>
      </c>
      <c r="AT461" s="30" t="s">
        <v>9774</v>
      </c>
      <c r="AU461" s="31">
        <v>6</v>
      </c>
      <c r="AV461" s="30" t="s">
        <v>151</v>
      </c>
      <c r="AW461" s="30" t="s">
        <v>151</v>
      </c>
      <c r="AX461" s="30" t="s">
        <v>151</v>
      </c>
      <c r="AY461" s="30" t="s">
        <v>9775</v>
      </c>
      <c r="AZ461" s="30" t="s">
        <v>151</v>
      </c>
      <c r="BA461" s="30" t="s">
        <v>151</v>
      </c>
      <c r="BB461" s="30" t="s">
        <v>151</v>
      </c>
      <c r="BC461" s="30" t="s">
        <v>343</v>
      </c>
      <c r="BD461" s="30" t="s">
        <v>9776</v>
      </c>
      <c r="BE461" s="30" t="s">
        <v>9777</v>
      </c>
      <c r="BF461" s="30" t="s">
        <v>493</v>
      </c>
      <c r="BG461" s="30" t="s">
        <v>9778</v>
      </c>
      <c r="BH461" s="30" t="s">
        <v>9779</v>
      </c>
      <c r="BI461" s="30" t="s">
        <v>5623</v>
      </c>
      <c r="BJ461" s="30" t="s">
        <v>9780</v>
      </c>
      <c r="BK461" s="30" t="s">
        <v>5050</v>
      </c>
      <c r="BL461" s="30" t="s">
        <v>5626</v>
      </c>
      <c r="BM461" s="30" t="s">
        <v>184</v>
      </c>
      <c r="BN461" s="29" t="s">
        <v>9781</v>
      </c>
      <c r="BO461" s="30" t="s">
        <v>186</v>
      </c>
      <c r="BP461" s="29" t="s">
        <v>9779</v>
      </c>
      <c r="BQ461" s="29" t="s">
        <v>151</v>
      </c>
      <c r="BR461" s="30" t="s">
        <v>9782</v>
      </c>
      <c r="BS461" s="30" t="s">
        <v>187</v>
      </c>
      <c r="BT461" s="30" t="s">
        <v>188</v>
      </c>
      <c r="BU461" s="35">
        <v>44243</v>
      </c>
      <c r="BV461" s="37">
        <v>0.15</v>
      </c>
      <c r="BW461" s="30" t="s">
        <v>192</v>
      </c>
      <c r="BX461" s="37" t="s">
        <v>151</v>
      </c>
      <c r="BY461" s="30" t="s">
        <v>151</v>
      </c>
      <c r="BZ461" s="30" t="s">
        <v>189</v>
      </c>
      <c r="CA461" s="30" t="s">
        <v>151</v>
      </c>
      <c r="CB461" s="30" t="s">
        <v>151</v>
      </c>
      <c r="CC461" s="30" t="s">
        <v>190</v>
      </c>
      <c r="CD461" s="30" t="s">
        <v>151</v>
      </c>
      <c r="CE461" s="30" t="s">
        <v>191</v>
      </c>
      <c r="CF461" s="35">
        <v>44866</v>
      </c>
      <c r="CG461" s="37">
        <v>7.86</v>
      </c>
      <c r="CH461" s="30" t="s">
        <v>192</v>
      </c>
      <c r="CI461" s="37">
        <v>37.86</v>
      </c>
      <c r="CJ461" s="30" t="s">
        <v>192</v>
      </c>
      <c r="CK461" s="29">
        <v>2.14</v>
      </c>
      <c r="CL461" s="30" t="s">
        <v>231</v>
      </c>
      <c r="CM461" s="30" t="s">
        <v>232</v>
      </c>
      <c r="CN461" s="30" t="s">
        <v>151</v>
      </c>
      <c r="CO461" s="30" t="s">
        <v>165</v>
      </c>
      <c r="CP461" s="35">
        <v>44866</v>
      </c>
      <c r="CQ461" s="37" t="s">
        <v>151</v>
      </c>
      <c r="CR461" s="30" t="s">
        <v>151</v>
      </c>
      <c r="CS461" s="30" t="s">
        <v>191</v>
      </c>
      <c r="CT461" s="29">
        <v>82</v>
      </c>
      <c r="CU461" s="30" t="s">
        <v>196</v>
      </c>
      <c r="CV461" s="32">
        <v>75</v>
      </c>
      <c r="CW461" s="32">
        <v>25</v>
      </c>
      <c r="CX461" s="30" t="s">
        <v>294</v>
      </c>
      <c r="CY461" s="32">
        <v>1</v>
      </c>
      <c r="CZ461" s="32">
        <v>74</v>
      </c>
      <c r="DA461" s="37">
        <v>37.86</v>
      </c>
      <c r="DB461" s="35">
        <v>44866</v>
      </c>
      <c r="DC461" s="30" t="s">
        <v>231</v>
      </c>
      <c r="DD461" s="29">
        <v>2.14</v>
      </c>
      <c r="DE461" s="32">
        <v>2.7</v>
      </c>
      <c r="DF461" s="34">
        <v>99</v>
      </c>
      <c r="DG461" s="32">
        <v>0</v>
      </c>
      <c r="DH461" s="32">
        <v>0</v>
      </c>
      <c r="DI461" s="32">
        <v>2.7</v>
      </c>
      <c r="DJ461" s="34">
        <v>99</v>
      </c>
      <c r="DK461" s="32" t="s">
        <v>151</v>
      </c>
      <c r="DL461" s="34" t="s">
        <v>151</v>
      </c>
      <c r="DM461" s="32">
        <v>2.7</v>
      </c>
      <c r="DN461" s="34">
        <v>99</v>
      </c>
      <c r="DO461" s="36">
        <v>14.26</v>
      </c>
      <c r="DP461" s="34">
        <v>93</v>
      </c>
      <c r="DQ461" s="36">
        <v>0</v>
      </c>
      <c r="DR461" s="32">
        <v>0</v>
      </c>
      <c r="DS461" s="36">
        <v>14.26</v>
      </c>
      <c r="DT461" s="34">
        <v>93</v>
      </c>
      <c r="DU461" s="36" t="s">
        <v>151</v>
      </c>
      <c r="DV461" s="34" t="s">
        <v>151</v>
      </c>
      <c r="DW461" s="36">
        <v>14.26</v>
      </c>
      <c r="DX461" s="34">
        <v>93</v>
      </c>
      <c r="DY461" s="31" t="s">
        <v>151</v>
      </c>
      <c r="DZ461" s="35" t="s">
        <v>151</v>
      </c>
      <c r="EA461" s="35" t="s">
        <v>151</v>
      </c>
      <c r="EB461" s="34">
        <v>7905</v>
      </c>
      <c r="EC461" s="33">
        <v>245</v>
      </c>
      <c r="ED461" s="32">
        <v>3.2</v>
      </c>
      <c r="EE461" s="34">
        <v>271</v>
      </c>
      <c r="EF461" s="33">
        <v>4</v>
      </c>
      <c r="EG461" s="32">
        <v>1.5</v>
      </c>
      <c r="EH461" s="29" t="s">
        <v>198</v>
      </c>
      <c r="EI461" s="30" t="s">
        <v>151</v>
      </c>
      <c r="EJ461" s="30" t="s">
        <v>151</v>
      </c>
      <c r="EK461" s="31" t="s">
        <v>151</v>
      </c>
      <c r="EL461" s="31" t="s">
        <v>151</v>
      </c>
      <c r="EM461" s="31" t="s">
        <v>151</v>
      </c>
      <c r="EN461" s="31" t="s">
        <v>151</v>
      </c>
      <c r="EO461" s="31" t="s">
        <v>151</v>
      </c>
      <c r="EP461" s="30" t="s">
        <v>151</v>
      </c>
      <c r="EQ461" s="29" t="s">
        <v>151</v>
      </c>
      <c r="ER461" s="29" t="s">
        <v>151</v>
      </c>
      <c r="ES461" s="4">
        <f>HYPERLINK("https://my.pitchbook.com?c=459156-07","View Company Online")</f>
      </c>
    </row>
    <row r="462">
      <c r="A462" s="17" t="s">
        <v>9783</v>
      </c>
      <c r="B462" s="17" t="s">
        <v>9784</v>
      </c>
      <c r="C462" s="18" t="s">
        <v>151</v>
      </c>
      <c r="D462" s="17" t="s">
        <v>151</v>
      </c>
      <c r="E462" s="17" t="s">
        <v>151</v>
      </c>
      <c r="F462" s="17" t="s">
        <v>151</v>
      </c>
      <c r="G462" s="17" t="s">
        <v>151</v>
      </c>
      <c r="H462" s="17" t="s">
        <v>151</v>
      </c>
      <c r="I462" s="17" t="s">
        <v>151</v>
      </c>
      <c r="J462" s="17" t="s">
        <v>9783</v>
      </c>
      <c r="K462" s="17" t="s">
        <v>9785</v>
      </c>
      <c r="L462" s="17" t="s">
        <v>205</v>
      </c>
      <c r="M462" s="17" t="s">
        <v>206</v>
      </c>
      <c r="N462" s="17" t="s">
        <v>207</v>
      </c>
      <c r="O462" s="17" t="s">
        <v>417</v>
      </c>
      <c r="P462" s="17" t="s">
        <v>8332</v>
      </c>
      <c r="Q462" s="17" t="s">
        <v>9786</v>
      </c>
      <c r="R462" s="17" t="s">
        <v>151</v>
      </c>
      <c r="S462" s="17" t="s">
        <v>162</v>
      </c>
      <c r="T462" s="24">
        <v>1.78</v>
      </c>
      <c r="U462" s="17" t="s">
        <v>163</v>
      </c>
      <c r="V462" s="17" t="s">
        <v>164</v>
      </c>
      <c r="W462" s="17" t="s">
        <v>165</v>
      </c>
      <c r="X462" s="15" t="s">
        <v>9787</v>
      </c>
      <c r="Y462" s="15" t="s">
        <v>9788</v>
      </c>
      <c r="Z462" s="27">
        <v>4</v>
      </c>
      <c r="AA462" s="17" t="s">
        <v>9789</v>
      </c>
      <c r="AB462" s="17" t="s">
        <v>151</v>
      </c>
      <c r="AC462" s="17" t="s">
        <v>151</v>
      </c>
      <c r="AD462" s="26">
        <v>2019</v>
      </c>
      <c r="AE462" s="17" t="s">
        <v>151</v>
      </c>
      <c r="AF462" s="22">
        <v>45462</v>
      </c>
      <c r="AG462" s="17" t="s">
        <v>151</v>
      </c>
      <c r="AH462" s="17" t="s">
        <v>151</v>
      </c>
      <c r="AI462" s="25" t="s">
        <v>151</v>
      </c>
      <c r="AJ462" s="19" t="s">
        <v>151</v>
      </c>
      <c r="AK462" s="25" t="s">
        <v>151</v>
      </c>
      <c r="AL462" s="25" t="s">
        <v>151</v>
      </c>
      <c r="AM462" s="25" t="s">
        <v>151</v>
      </c>
      <c r="AN462" s="25" t="s">
        <v>151</v>
      </c>
      <c r="AO462" s="25" t="s">
        <v>151</v>
      </c>
      <c r="AP462" s="25" t="s">
        <v>151</v>
      </c>
      <c r="AQ462" s="25" t="s">
        <v>151</v>
      </c>
      <c r="AR462" s="16" t="s">
        <v>151</v>
      </c>
      <c r="AS462" s="17" t="s">
        <v>9790</v>
      </c>
      <c r="AT462" s="17" t="s">
        <v>9791</v>
      </c>
      <c r="AU462" s="18">
        <v>6</v>
      </c>
      <c r="AV462" s="17" t="s">
        <v>151</v>
      </c>
      <c r="AW462" s="17" t="s">
        <v>151</v>
      </c>
      <c r="AX462" s="17" t="s">
        <v>151</v>
      </c>
      <c r="AY462" s="17" t="s">
        <v>9792</v>
      </c>
      <c r="AZ462" s="17" t="s">
        <v>151</v>
      </c>
      <c r="BA462" s="17" t="s">
        <v>151</v>
      </c>
      <c r="BB462" s="17" t="s">
        <v>151</v>
      </c>
      <c r="BC462" s="17" t="s">
        <v>151</v>
      </c>
      <c r="BD462" s="17" t="s">
        <v>9793</v>
      </c>
      <c r="BE462" s="17" t="s">
        <v>9794</v>
      </c>
      <c r="BF462" s="17" t="s">
        <v>9795</v>
      </c>
      <c r="BG462" s="17" t="s">
        <v>9796</v>
      </c>
      <c r="BH462" s="17" t="s">
        <v>9797</v>
      </c>
      <c r="BI462" s="17" t="s">
        <v>906</v>
      </c>
      <c r="BJ462" s="17" t="s">
        <v>1121</v>
      </c>
      <c r="BK462" s="17" t="s">
        <v>1122</v>
      </c>
      <c r="BL462" s="17" t="s">
        <v>259</v>
      </c>
      <c r="BM462" s="17" t="s">
        <v>259</v>
      </c>
      <c r="BN462" s="16" t="s">
        <v>1123</v>
      </c>
      <c r="BO462" s="17" t="s">
        <v>186</v>
      </c>
      <c r="BP462" s="16" t="s">
        <v>9797</v>
      </c>
      <c r="BQ462" s="16" t="s">
        <v>151</v>
      </c>
      <c r="BR462" s="17" t="s">
        <v>9798</v>
      </c>
      <c r="BS462" s="17" t="s">
        <v>187</v>
      </c>
      <c r="BT462" s="17" t="s">
        <v>188</v>
      </c>
      <c r="BU462" s="22">
        <v>44082</v>
      </c>
      <c r="BV462" s="24">
        <v>1.2</v>
      </c>
      <c r="BW462" s="17" t="s">
        <v>192</v>
      </c>
      <c r="BX462" s="24">
        <v>20</v>
      </c>
      <c r="BY462" s="17" t="s">
        <v>192</v>
      </c>
      <c r="BZ462" s="17" t="s">
        <v>189</v>
      </c>
      <c r="CA462" s="17" t="s">
        <v>151</v>
      </c>
      <c r="CB462" s="17" t="s">
        <v>151</v>
      </c>
      <c r="CC462" s="17" t="s">
        <v>190</v>
      </c>
      <c r="CD462" s="17" t="s">
        <v>151</v>
      </c>
      <c r="CE462" s="17" t="s">
        <v>191</v>
      </c>
      <c r="CF462" s="22">
        <v>44334</v>
      </c>
      <c r="CG462" s="24">
        <v>0.58</v>
      </c>
      <c r="CH462" s="17" t="s">
        <v>192</v>
      </c>
      <c r="CI462" s="24" t="s">
        <v>151</v>
      </c>
      <c r="CJ462" s="17" t="s">
        <v>151</v>
      </c>
      <c r="CK462" s="16" t="s">
        <v>151</v>
      </c>
      <c r="CL462" s="17" t="s">
        <v>293</v>
      </c>
      <c r="CM462" s="17" t="s">
        <v>293</v>
      </c>
      <c r="CN462" s="17" t="s">
        <v>151</v>
      </c>
      <c r="CO462" s="17" t="s">
        <v>165</v>
      </c>
      <c r="CP462" s="22">
        <v>44334</v>
      </c>
      <c r="CQ462" s="24" t="s">
        <v>151</v>
      </c>
      <c r="CR462" s="17" t="s">
        <v>151</v>
      </c>
      <c r="CS462" s="17" t="s">
        <v>191</v>
      </c>
      <c r="CT462" s="16" t="s">
        <v>151</v>
      </c>
      <c r="CU462" s="17" t="s">
        <v>151</v>
      </c>
      <c r="CV462" s="19" t="s">
        <v>151</v>
      </c>
      <c r="CW462" s="19" t="s">
        <v>151</v>
      </c>
      <c r="CX462" s="17" t="s">
        <v>151</v>
      </c>
      <c r="CY462" s="19" t="s">
        <v>151</v>
      </c>
      <c r="CZ462" s="19" t="s">
        <v>151</v>
      </c>
      <c r="DA462" s="24">
        <v>20</v>
      </c>
      <c r="DB462" s="22">
        <v>44082</v>
      </c>
      <c r="DC462" s="17" t="s">
        <v>189</v>
      </c>
      <c r="DD462" s="16" t="s">
        <v>151</v>
      </c>
      <c r="DE462" s="19">
        <v>1.53</v>
      </c>
      <c r="DF462" s="21">
        <v>97</v>
      </c>
      <c r="DG462" s="19">
        <v>0</v>
      </c>
      <c r="DH462" s="19">
        <v>0</v>
      </c>
      <c r="DI462" s="19">
        <v>0.48</v>
      </c>
      <c r="DJ462" s="21">
        <v>95</v>
      </c>
      <c r="DK462" s="19" t="s">
        <v>151</v>
      </c>
      <c r="DL462" s="21" t="s">
        <v>151</v>
      </c>
      <c r="DM462" s="19">
        <v>0.48</v>
      </c>
      <c r="DN462" s="21">
        <v>95</v>
      </c>
      <c r="DO462" s="23">
        <v>4.24</v>
      </c>
      <c r="DP462" s="21">
        <v>80</v>
      </c>
      <c r="DQ462" s="23">
        <v>0</v>
      </c>
      <c r="DR462" s="19">
        <v>0</v>
      </c>
      <c r="DS462" s="23">
        <v>5.58</v>
      </c>
      <c r="DT462" s="21">
        <v>83</v>
      </c>
      <c r="DU462" s="23" t="s">
        <v>151</v>
      </c>
      <c r="DV462" s="21" t="s">
        <v>151</v>
      </c>
      <c r="DW462" s="23">
        <v>5.58</v>
      </c>
      <c r="DX462" s="21">
        <v>83</v>
      </c>
      <c r="DY462" s="18" t="s">
        <v>151</v>
      </c>
      <c r="DZ462" s="22" t="s">
        <v>151</v>
      </c>
      <c r="EA462" s="22" t="s">
        <v>151</v>
      </c>
      <c r="EB462" s="21">
        <v>741</v>
      </c>
      <c r="EC462" s="20">
        <v>-5</v>
      </c>
      <c r="ED462" s="19">
        <v>-0.67</v>
      </c>
      <c r="EE462" s="21">
        <v>106</v>
      </c>
      <c r="EF462" s="20">
        <v>1</v>
      </c>
      <c r="EG462" s="19">
        <v>0.95</v>
      </c>
      <c r="EH462" s="16" t="s">
        <v>198</v>
      </c>
      <c r="EI462" s="17" t="s">
        <v>151</v>
      </c>
      <c r="EJ462" s="17" t="s">
        <v>151</v>
      </c>
      <c r="EK462" s="18" t="s">
        <v>151</v>
      </c>
      <c r="EL462" s="18" t="s">
        <v>151</v>
      </c>
      <c r="EM462" s="18" t="s">
        <v>151</v>
      </c>
      <c r="EN462" s="18" t="s">
        <v>151</v>
      </c>
      <c r="EO462" s="18" t="s">
        <v>151</v>
      </c>
      <c r="EP462" s="17" t="s">
        <v>151</v>
      </c>
      <c r="EQ462" s="16" t="s">
        <v>151</v>
      </c>
      <c r="ER462" s="16" t="s">
        <v>151</v>
      </c>
      <c r="ES462" s="3">
        <f>HYPERLINK("https://my.pitchbook.com?c=439420-69","View Company Online")</f>
      </c>
    </row>
    <row r="463">
      <c r="A463" s="30" t="s">
        <v>9799</v>
      </c>
      <c r="B463" s="30" t="s">
        <v>9800</v>
      </c>
      <c r="C463" s="31" t="s">
        <v>151</v>
      </c>
      <c r="D463" s="30" t="s">
        <v>151</v>
      </c>
      <c r="E463" s="30" t="s">
        <v>151</v>
      </c>
      <c r="F463" s="30" t="s">
        <v>9801</v>
      </c>
      <c r="G463" s="30" t="s">
        <v>151</v>
      </c>
      <c r="H463" s="30" t="s">
        <v>151</v>
      </c>
      <c r="I463" s="30" t="s">
        <v>151</v>
      </c>
      <c r="J463" s="30" t="s">
        <v>9799</v>
      </c>
      <c r="K463" s="30" t="s">
        <v>9802</v>
      </c>
      <c r="L463" s="30" t="s">
        <v>155</v>
      </c>
      <c r="M463" s="30" t="s">
        <v>2320</v>
      </c>
      <c r="N463" s="30" t="s">
        <v>6367</v>
      </c>
      <c r="O463" s="30" t="s">
        <v>6368</v>
      </c>
      <c r="P463" s="30" t="s">
        <v>151</v>
      </c>
      <c r="Q463" s="30" t="s">
        <v>9803</v>
      </c>
      <c r="R463" s="30" t="s">
        <v>151</v>
      </c>
      <c r="S463" s="30" t="s">
        <v>162</v>
      </c>
      <c r="T463" s="37">
        <v>1.1</v>
      </c>
      <c r="U463" s="30" t="s">
        <v>163</v>
      </c>
      <c r="V463" s="30" t="s">
        <v>164</v>
      </c>
      <c r="W463" s="30" t="s">
        <v>165</v>
      </c>
      <c r="X463" s="28" t="s">
        <v>9804</v>
      </c>
      <c r="Y463" s="28" t="s">
        <v>9805</v>
      </c>
      <c r="Z463" s="40">
        <v>9</v>
      </c>
      <c r="AA463" s="30" t="s">
        <v>9806</v>
      </c>
      <c r="AB463" s="30" t="s">
        <v>151</v>
      </c>
      <c r="AC463" s="30" t="s">
        <v>151</v>
      </c>
      <c r="AD463" s="39">
        <v>2020</v>
      </c>
      <c r="AE463" s="30" t="s">
        <v>151</v>
      </c>
      <c r="AF463" s="35">
        <v>45329</v>
      </c>
      <c r="AG463" s="30" t="s">
        <v>151</v>
      </c>
      <c r="AH463" s="30" t="s">
        <v>151</v>
      </c>
      <c r="AI463" s="38" t="s">
        <v>151</v>
      </c>
      <c r="AJ463" s="32" t="s">
        <v>151</v>
      </c>
      <c r="AK463" s="38" t="s">
        <v>151</v>
      </c>
      <c r="AL463" s="38" t="s">
        <v>151</v>
      </c>
      <c r="AM463" s="38" t="s">
        <v>151</v>
      </c>
      <c r="AN463" s="38" t="s">
        <v>151</v>
      </c>
      <c r="AO463" s="38" t="s">
        <v>151</v>
      </c>
      <c r="AP463" s="38" t="s">
        <v>151</v>
      </c>
      <c r="AQ463" s="38" t="s">
        <v>151</v>
      </c>
      <c r="AR463" s="29" t="s">
        <v>151</v>
      </c>
      <c r="AS463" s="30" t="s">
        <v>9807</v>
      </c>
      <c r="AT463" s="30" t="s">
        <v>9808</v>
      </c>
      <c r="AU463" s="31">
        <v>1</v>
      </c>
      <c r="AV463" s="30" t="s">
        <v>151</v>
      </c>
      <c r="AW463" s="30" t="s">
        <v>151</v>
      </c>
      <c r="AX463" s="30" t="s">
        <v>151</v>
      </c>
      <c r="AY463" s="30" t="s">
        <v>9809</v>
      </c>
      <c r="AZ463" s="30" t="s">
        <v>151</v>
      </c>
      <c r="BA463" s="30" t="s">
        <v>151</v>
      </c>
      <c r="BB463" s="30" t="s">
        <v>9810</v>
      </c>
      <c r="BC463" s="30" t="s">
        <v>9810</v>
      </c>
      <c r="BD463" s="30" t="s">
        <v>9811</v>
      </c>
      <c r="BE463" s="30" t="s">
        <v>9812</v>
      </c>
      <c r="BF463" s="30" t="s">
        <v>8661</v>
      </c>
      <c r="BG463" s="30" t="s">
        <v>9813</v>
      </c>
      <c r="BH463" s="30" t="s">
        <v>9814</v>
      </c>
      <c r="BI463" s="30" t="s">
        <v>934</v>
      </c>
      <c r="BJ463" s="30" t="s">
        <v>9815</v>
      </c>
      <c r="BK463" s="30" t="s">
        <v>151</v>
      </c>
      <c r="BL463" s="30" t="s">
        <v>937</v>
      </c>
      <c r="BM463" s="30" t="s">
        <v>184</v>
      </c>
      <c r="BN463" s="29" t="s">
        <v>7358</v>
      </c>
      <c r="BO463" s="30" t="s">
        <v>186</v>
      </c>
      <c r="BP463" s="29" t="s">
        <v>151</v>
      </c>
      <c r="BQ463" s="29" t="s">
        <v>151</v>
      </c>
      <c r="BR463" s="30" t="s">
        <v>9816</v>
      </c>
      <c r="BS463" s="30" t="s">
        <v>187</v>
      </c>
      <c r="BT463" s="30" t="s">
        <v>188</v>
      </c>
      <c r="BU463" s="35">
        <v>44718</v>
      </c>
      <c r="BV463" s="37">
        <v>1.1</v>
      </c>
      <c r="BW463" s="30" t="s">
        <v>192</v>
      </c>
      <c r="BX463" s="37" t="s">
        <v>151</v>
      </c>
      <c r="BY463" s="30" t="s">
        <v>151</v>
      </c>
      <c r="BZ463" s="30" t="s">
        <v>231</v>
      </c>
      <c r="CA463" s="30" t="s">
        <v>151</v>
      </c>
      <c r="CB463" s="30" t="s">
        <v>151</v>
      </c>
      <c r="CC463" s="30" t="s">
        <v>165</v>
      </c>
      <c r="CD463" s="30" t="s">
        <v>151</v>
      </c>
      <c r="CE463" s="30" t="s">
        <v>191</v>
      </c>
      <c r="CF463" s="35">
        <v>44718</v>
      </c>
      <c r="CG463" s="37">
        <v>1.1</v>
      </c>
      <c r="CH463" s="30" t="s">
        <v>192</v>
      </c>
      <c r="CI463" s="37" t="s">
        <v>151</v>
      </c>
      <c r="CJ463" s="30" t="s">
        <v>151</v>
      </c>
      <c r="CK463" s="29" t="s">
        <v>151</v>
      </c>
      <c r="CL463" s="30" t="s">
        <v>231</v>
      </c>
      <c r="CM463" s="30" t="s">
        <v>151</v>
      </c>
      <c r="CN463" s="30" t="s">
        <v>151</v>
      </c>
      <c r="CO463" s="30" t="s">
        <v>165</v>
      </c>
      <c r="CP463" s="35">
        <v>44718</v>
      </c>
      <c r="CQ463" s="37" t="s">
        <v>151</v>
      </c>
      <c r="CR463" s="30" t="s">
        <v>151</v>
      </c>
      <c r="CS463" s="30" t="s">
        <v>191</v>
      </c>
      <c r="CT463" s="29" t="s">
        <v>151</v>
      </c>
      <c r="CU463" s="30" t="s">
        <v>151</v>
      </c>
      <c r="CV463" s="32" t="s">
        <v>151</v>
      </c>
      <c r="CW463" s="32" t="s">
        <v>151</v>
      </c>
      <c r="CX463" s="30" t="s">
        <v>151</v>
      </c>
      <c r="CY463" s="32" t="s">
        <v>151</v>
      </c>
      <c r="CZ463" s="32" t="s">
        <v>151</v>
      </c>
      <c r="DA463" s="37" t="s">
        <v>151</v>
      </c>
      <c r="DB463" s="35" t="s">
        <v>151</v>
      </c>
      <c r="DC463" s="30" t="s">
        <v>151</v>
      </c>
      <c r="DD463" s="29" t="s">
        <v>151</v>
      </c>
      <c r="DE463" s="32">
        <v>0</v>
      </c>
      <c r="DF463" s="34">
        <v>11</v>
      </c>
      <c r="DG463" s="32">
        <v>0</v>
      </c>
      <c r="DH463" s="32">
        <v>0</v>
      </c>
      <c r="DI463" s="32">
        <v>0</v>
      </c>
      <c r="DJ463" s="34">
        <v>10</v>
      </c>
      <c r="DK463" s="32" t="s">
        <v>151</v>
      </c>
      <c r="DL463" s="34" t="s">
        <v>151</v>
      </c>
      <c r="DM463" s="32">
        <v>0</v>
      </c>
      <c r="DN463" s="34">
        <v>10</v>
      </c>
      <c r="DO463" s="36">
        <v>3.21</v>
      </c>
      <c r="DP463" s="34">
        <v>75</v>
      </c>
      <c r="DQ463" s="36">
        <v>0</v>
      </c>
      <c r="DR463" s="32">
        <v>0</v>
      </c>
      <c r="DS463" s="36">
        <v>3.21</v>
      </c>
      <c r="DT463" s="34">
        <v>75</v>
      </c>
      <c r="DU463" s="36" t="s">
        <v>151</v>
      </c>
      <c r="DV463" s="34" t="s">
        <v>151</v>
      </c>
      <c r="DW463" s="36">
        <v>3.21</v>
      </c>
      <c r="DX463" s="34">
        <v>75</v>
      </c>
      <c r="DY463" s="31" t="s">
        <v>151</v>
      </c>
      <c r="DZ463" s="35" t="s">
        <v>151</v>
      </c>
      <c r="EA463" s="35" t="s">
        <v>151</v>
      </c>
      <c r="EB463" s="34">
        <v>251</v>
      </c>
      <c r="EC463" s="33">
        <v>-40</v>
      </c>
      <c r="ED463" s="32">
        <v>-13.75</v>
      </c>
      <c r="EE463" s="34">
        <v>61</v>
      </c>
      <c r="EF463" s="33">
        <v>0</v>
      </c>
      <c r="EG463" s="32">
        <v>0</v>
      </c>
      <c r="EH463" s="29" t="s">
        <v>198</v>
      </c>
      <c r="EI463" s="30" t="s">
        <v>151</v>
      </c>
      <c r="EJ463" s="30" t="s">
        <v>151</v>
      </c>
      <c r="EK463" s="31" t="s">
        <v>151</v>
      </c>
      <c r="EL463" s="31" t="s">
        <v>151</v>
      </c>
      <c r="EM463" s="31" t="s">
        <v>151</v>
      </c>
      <c r="EN463" s="31" t="s">
        <v>151</v>
      </c>
      <c r="EO463" s="31" t="s">
        <v>151</v>
      </c>
      <c r="EP463" s="30" t="s">
        <v>151</v>
      </c>
      <c r="EQ463" s="29" t="s">
        <v>151</v>
      </c>
      <c r="ER463" s="29" t="s">
        <v>151</v>
      </c>
      <c r="ES463" s="4">
        <f>HYPERLINK("https://my.pitchbook.com?c=498035-71","View Company Online")</f>
      </c>
    </row>
    <row r="464">
      <c r="A464" s="17" t="s">
        <v>9817</v>
      </c>
      <c r="B464" s="17" t="s">
        <v>9818</v>
      </c>
      <c r="C464" s="18" t="s">
        <v>151</v>
      </c>
      <c r="D464" s="17" t="s">
        <v>151</v>
      </c>
      <c r="E464" s="17" t="s">
        <v>151</v>
      </c>
      <c r="F464" s="17" t="s">
        <v>151</v>
      </c>
      <c r="G464" s="17" t="s">
        <v>151</v>
      </c>
      <c r="H464" s="17" t="s">
        <v>151</v>
      </c>
      <c r="I464" s="17" t="s">
        <v>151</v>
      </c>
      <c r="J464" s="17" t="s">
        <v>9817</v>
      </c>
      <c r="K464" s="17" t="s">
        <v>9819</v>
      </c>
      <c r="L464" s="17" t="s">
        <v>205</v>
      </c>
      <c r="M464" s="17" t="s">
        <v>206</v>
      </c>
      <c r="N464" s="17" t="s">
        <v>1268</v>
      </c>
      <c r="O464" s="17" t="s">
        <v>2129</v>
      </c>
      <c r="P464" s="17" t="s">
        <v>9820</v>
      </c>
      <c r="Q464" s="17" t="s">
        <v>9821</v>
      </c>
      <c r="R464" s="17" t="s">
        <v>9822</v>
      </c>
      <c r="S464" s="17" t="s">
        <v>162</v>
      </c>
      <c r="T464" s="24">
        <v>1.02</v>
      </c>
      <c r="U464" s="17" t="s">
        <v>1870</v>
      </c>
      <c r="V464" s="17" t="s">
        <v>164</v>
      </c>
      <c r="W464" s="17" t="s">
        <v>165</v>
      </c>
      <c r="X464" s="15" t="s">
        <v>9823</v>
      </c>
      <c r="Y464" s="15" t="s">
        <v>9824</v>
      </c>
      <c r="Z464" s="27">
        <v>6</v>
      </c>
      <c r="AA464" s="17" t="s">
        <v>9825</v>
      </c>
      <c r="AB464" s="17" t="s">
        <v>151</v>
      </c>
      <c r="AC464" s="17" t="s">
        <v>151</v>
      </c>
      <c r="AD464" s="26">
        <v>2022</v>
      </c>
      <c r="AE464" s="17" t="s">
        <v>151</v>
      </c>
      <c r="AF464" s="22">
        <v>45595</v>
      </c>
      <c r="AG464" s="17" t="s">
        <v>151</v>
      </c>
      <c r="AH464" s="17" t="s">
        <v>151</v>
      </c>
      <c r="AI464" s="25">
        <v>0.15</v>
      </c>
      <c r="AJ464" s="19">
        <v>194.12</v>
      </c>
      <c r="AK464" s="25" t="s">
        <v>151</v>
      </c>
      <c r="AL464" s="25" t="s">
        <v>151</v>
      </c>
      <c r="AM464" s="25">
        <v>4</v>
      </c>
      <c r="AN464" s="25" t="s">
        <v>151</v>
      </c>
      <c r="AO464" s="25" t="s">
        <v>151</v>
      </c>
      <c r="AP464" s="25" t="s">
        <v>151</v>
      </c>
      <c r="AQ464" s="25" t="s">
        <v>151</v>
      </c>
      <c r="AR464" s="16" t="s">
        <v>170</v>
      </c>
      <c r="AS464" s="17" t="s">
        <v>9826</v>
      </c>
      <c r="AT464" s="17" t="s">
        <v>9827</v>
      </c>
      <c r="AU464" s="18">
        <v>9</v>
      </c>
      <c r="AV464" s="17" t="s">
        <v>151</v>
      </c>
      <c r="AW464" s="17" t="s">
        <v>151</v>
      </c>
      <c r="AX464" s="17" t="s">
        <v>151</v>
      </c>
      <c r="AY464" s="17" t="s">
        <v>9828</v>
      </c>
      <c r="AZ464" s="17" t="s">
        <v>151</v>
      </c>
      <c r="BA464" s="17" t="s">
        <v>151</v>
      </c>
      <c r="BB464" s="17" t="s">
        <v>151</v>
      </c>
      <c r="BC464" s="17" t="s">
        <v>151</v>
      </c>
      <c r="BD464" s="17" t="s">
        <v>9829</v>
      </c>
      <c r="BE464" s="17" t="s">
        <v>9830</v>
      </c>
      <c r="BF464" s="17" t="s">
        <v>221</v>
      </c>
      <c r="BG464" s="17" t="s">
        <v>9831</v>
      </c>
      <c r="BH464" s="17" t="s">
        <v>9832</v>
      </c>
      <c r="BI464" s="17" t="s">
        <v>1068</v>
      </c>
      <c r="BJ464" s="17" t="s">
        <v>9833</v>
      </c>
      <c r="BK464" s="17" t="s">
        <v>151</v>
      </c>
      <c r="BL464" s="17" t="s">
        <v>1071</v>
      </c>
      <c r="BM464" s="17" t="s">
        <v>1072</v>
      </c>
      <c r="BN464" s="16" t="s">
        <v>9834</v>
      </c>
      <c r="BO464" s="17" t="s">
        <v>186</v>
      </c>
      <c r="BP464" s="16" t="s">
        <v>9835</v>
      </c>
      <c r="BQ464" s="16" t="s">
        <v>151</v>
      </c>
      <c r="BR464" s="17" t="s">
        <v>9836</v>
      </c>
      <c r="BS464" s="17" t="s">
        <v>187</v>
      </c>
      <c r="BT464" s="17" t="s">
        <v>188</v>
      </c>
      <c r="BU464" s="22" t="s">
        <v>151</v>
      </c>
      <c r="BV464" s="24">
        <v>0.25</v>
      </c>
      <c r="BW464" s="17" t="s">
        <v>192</v>
      </c>
      <c r="BX464" s="24" t="s">
        <v>151</v>
      </c>
      <c r="BY464" s="17" t="s">
        <v>151</v>
      </c>
      <c r="BZ464" s="17" t="s">
        <v>189</v>
      </c>
      <c r="CA464" s="17" t="s">
        <v>151</v>
      </c>
      <c r="CB464" s="17" t="s">
        <v>151</v>
      </c>
      <c r="CC464" s="17" t="s">
        <v>190</v>
      </c>
      <c r="CD464" s="17" t="s">
        <v>151</v>
      </c>
      <c r="CE464" s="17" t="s">
        <v>191</v>
      </c>
      <c r="CF464" s="22">
        <v>45536</v>
      </c>
      <c r="CG464" s="24">
        <v>0.65</v>
      </c>
      <c r="CH464" s="17" t="s">
        <v>192</v>
      </c>
      <c r="CI464" s="24">
        <v>4</v>
      </c>
      <c r="CJ464" s="17" t="s">
        <v>192</v>
      </c>
      <c r="CK464" s="16" t="s">
        <v>151</v>
      </c>
      <c r="CL464" s="17" t="s">
        <v>293</v>
      </c>
      <c r="CM464" s="17" t="s">
        <v>293</v>
      </c>
      <c r="CN464" s="17" t="s">
        <v>151</v>
      </c>
      <c r="CO464" s="17" t="s">
        <v>165</v>
      </c>
      <c r="CP464" s="22">
        <v>45536</v>
      </c>
      <c r="CQ464" s="24" t="s">
        <v>151</v>
      </c>
      <c r="CR464" s="17" t="s">
        <v>151</v>
      </c>
      <c r="CS464" s="17" t="s">
        <v>191</v>
      </c>
      <c r="CT464" s="16" t="s">
        <v>151</v>
      </c>
      <c r="CU464" s="17" t="s">
        <v>151</v>
      </c>
      <c r="CV464" s="19" t="s">
        <v>151</v>
      </c>
      <c r="CW464" s="19" t="s">
        <v>151</v>
      </c>
      <c r="CX464" s="17" t="s">
        <v>151</v>
      </c>
      <c r="CY464" s="19" t="s">
        <v>151</v>
      </c>
      <c r="CZ464" s="19" t="s">
        <v>151</v>
      </c>
      <c r="DA464" s="24">
        <v>4</v>
      </c>
      <c r="DB464" s="22">
        <v>45536</v>
      </c>
      <c r="DC464" s="17" t="s">
        <v>293</v>
      </c>
      <c r="DD464" s="16" t="s">
        <v>151</v>
      </c>
      <c r="DE464" s="19">
        <v>0</v>
      </c>
      <c r="DF464" s="21">
        <v>11</v>
      </c>
      <c r="DG464" s="19">
        <v>0</v>
      </c>
      <c r="DH464" s="19">
        <v>0</v>
      </c>
      <c r="DI464" s="19">
        <v>0</v>
      </c>
      <c r="DJ464" s="21">
        <v>10</v>
      </c>
      <c r="DK464" s="19" t="s">
        <v>151</v>
      </c>
      <c r="DL464" s="21" t="s">
        <v>151</v>
      </c>
      <c r="DM464" s="19">
        <v>0</v>
      </c>
      <c r="DN464" s="21">
        <v>10</v>
      </c>
      <c r="DO464" s="23">
        <v>1.57</v>
      </c>
      <c r="DP464" s="21">
        <v>61</v>
      </c>
      <c r="DQ464" s="23">
        <v>0</v>
      </c>
      <c r="DR464" s="19">
        <v>0</v>
      </c>
      <c r="DS464" s="23">
        <v>2.68</v>
      </c>
      <c r="DT464" s="21">
        <v>72</v>
      </c>
      <c r="DU464" s="23" t="s">
        <v>151</v>
      </c>
      <c r="DV464" s="21" t="s">
        <v>151</v>
      </c>
      <c r="DW464" s="23">
        <v>2.68</v>
      </c>
      <c r="DX464" s="21">
        <v>72</v>
      </c>
      <c r="DY464" s="18" t="s">
        <v>151</v>
      </c>
      <c r="DZ464" s="22" t="s">
        <v>151</v>
      </c>
      <c r="EA464" s="22" t="s">
        <v>151</v>
      </c>
      <c r="EB464" s="21">
        <v>630</v>
      </c>
      <c r="EC464" s="20">
        <v>-107</v>
      </c>
      <c r="ED464" s="19">
        <v>-14.52</v>
      </c>
      <c r="EE464" s="21">
        <v>51</v>
      </c>
      <c r="EF464" s="20">
        <v>0</v>
      </c>
      <c r="EG464" s="19">
        <v>0</v>
      </c>
      <c r="EH464" s="16" t="s">
        <v>198</v>
      </c>
      <c r="EI464" s="17" t="s">
        <v>151</v>
      </c>
      <c r="EJ464" s="17" t="s">
        <v>151</v>
      </c>
      <c r="EK464" s="18" t="s">
        <v>151</v>
      </c>
      <c r="EL464" s="18" t="s">
        <v>151</v>
      </c>
      <c r="EM464" s="18" t="s">
        <v>151</v>
      </c>
      <c r="EN464" s="18" t="s">
        <v>151</v>
      </c>
      <c r="EO464" s="18" t="s">
        <v>151</v>
      </c>
      <c r="EP464" s="17" t="s">
        <v>151</v>
      </c>
      <c r="EQ464" s="16" t="s">
        <v>151</v>
      </c>
      <c r="ER464" s="16" t="s">
        <v>151</v>
      </c>
      <c r="ES464" s="3">
        <f>HYPERLINK("https://my.pitchbook.com?c=521405-83","View Company Online")</f>
      </c>
    </row>
    <row r="465">
      <c r="A465" s="30" t="s">
        <v>9837</v>
      </c>
      <c r="B465" s="30" t="s">
        <v>9838</v>
      </c>
      <c r="C465" s="31" t="s">
        <v>151</v>
      </c>
      <c r="D465" s="30" t="s">
        <v>151</v>
      </c>
      <c r="E465" s="30" t="s">
        <v>151</v>
      </c>
      <c r="F465" s="30" t="s">
        <v>9839</v>
      </c>
      <c r="G465" s="30" t="s">
        <v>151</v>
      </c>
      <c r="H465" s="30" t="s">
        <v>151</v>
      </c>
      <c r="I465" s="30" t="s">
        <v>151</v>
      </c>
      <c r="J465" s="30" t="s">
        <v>9837</v>
      </c>
      <c r="K465" s="30" t="s">
        <v>9840</v>
      </c>
      <c r="L465" s="30" t="s">
        <v>1178</v>
      </c>
      <c r="M465" s="30" t="s">
        <v>1179</v>
      </c>
      <c r="N465" s="30" t="s">
        <v>1179</v>
      </c>
      <c r="O465" s="30" t="s">
        <v>9841</v>
      </c>
      <c r="P465" s="30" t="s">
        <v>1421</v>
      </c>
      <c r="Q465" s="30" t="s">
        <v>9842</v>
      </c>
      <c r="R465" s="30" t="s">
        <v>151</v>
      </c>
      <c r="S465" s="30" t="s">
        <v>162</v>
      </c>
      <c r="T465" s="37">
        <v>2.2</v>
      </c>
      <c r="U465" s="30" t="s">
        <v>163</v>
      </c>
      <c r="V465" s="30" t="s">
        <v>164</v>
      </c>
      <c r="W465" s="30" t="s">
        <v>165</v>
      </c>
      <c r="X465" s="28" t="s">
        <v>9843</v>
      </c>
      <c r="Y465" s="28" t="s">
        <v>9844</v>
      </c>
      <c r="Z465" s="40">
        <v>10</v>
      </c>
      <c r="AA465" s="30" t="s">
        <v>9845</v>
      </c>
      <c r="AB465" s="30" t="s">
        <v>151</v>
      </c>
      <c r="AC465" s="30" t="s">
        <v>151</v>
      </c>
      <c r="AD465" s="39">
        <v>2021</v>
      </c>
      <c r="AE465" s="30" t="s">
        <v>151</v>
      </c>
      <c r="AF465" s="35">
        <v>45338</v>
      </c>
      <c r="AG465" s="30" t="s">
        <v>151</v>
      </c>
      <c r="AH465" s="30" t="s">
        <v>151</v>
      </c>
      <c r="AI465" s="38" t="s">
        <v>151</v>
      </c>
      <c r="AJ465" s="32" t="s">
        <v>151</v>
      </c>
      <c r="AK465" s="38" t="s">
        <v>151</v>
      </c>
      <c r="AL465" s="38" t="s">
        <v>151</v>
      </c>
      <c r="AM465" s="38" t="s">
        <v>151</v>
      </c>
      <c r="AN465" s="38" t="s">
        <v>151</v>
      </c>
      <c r="AO465" s="38" t="s">
        <v>151</v>
      </c>
      <c r="AP465" s="38" t="s">
        <v>151</v>
      </c>
      <c r="AQ465" s="38" t="s">
        <v>151</v>
      </c>
      <c r="AR465" s="29" t="s">
        <v>151</v>
      </c>
      <c r="AS465" s="30" t="s">
        <v>9846</v>
      </c>
      <c r="AT465" s="30" t="s">
        <v>9847</v>
      </c>
      <c r="AU465" s="31">
        <v>7</v>
      </c>
      <c r="AV465" s="30" t="s">
        <v>151</v>
      </c>
      <c r="AW465" s="30" t="s">
        <v>151</v>
      </c>
      <c r="AX465" s="30" t="s">
        <v>151</v>
      </c>
      <c r="AY465" s="30" t="s">
        <v>9848</v>
      </c>
      <c r="AZ465" s="30" t="s">
        <v>151</v>
      </c>
      <c r="BA465" s="30" t="s">
        <v>151</v>
      </c>
      <c r="BB465" s="30" t="s">
        <v>151</v>
      </c>
      <c r="BC465" s="30" t="s">
        <v>151</v>
      </c>
      <c r="BD465" s="30" t="s">
        <v>9849</v>
      </c>
      <c r="BE465" s="30" t="s">
        <v>9850</v>
      </c>
      <c r="BF465" s="30" t="s">
        <v>221</v>
      </c>
      <c r="BG465" s="30" t="s">
        <v>151</v>
      </c>
      <c r="BH465" s="30" t="s">
        <v>9851</v>
      </c>
      <c r="BI465" s="30" t="s">
        <v>1068</v>
      </c>
      <c r="BJ465" s="30" t="s">
        <v>9852</v>
      </c>
      <c r="BK465" s="30" t="s">
        <v>9853</v>
      </c>
      <c r="BL465" s="30" t="s">
        <v>1071</v>
      </c>
      <c r="BM465" s="30" t="s">
        <v>1072</v>
      </c>
      <c r="BN465" s="29" t="s">
        <v>9854</v>
      </c>
      <c r="BO465" s="30" t="s">
        <v>186</v>
      </c>
      <c r="BP465" s="29" t="s">
        <v>9851</v>
      </c>
      <c r="BQ465" s="29" t="s">
        <v>151</v>
      </c>
      <c r="BR465" s="30" t="s">
        <v>9855</v>
      </c>
      <c r="BS465" s="30" t="s">
        <v>187</v>
      </c>
      <c r="BT465" s="30" t="s">
        <v>188</v>
      </c>
      <c r="BU465" s="35">
        <v>44326</v>
      </c>
      <c r="BV465" s="37">
        <v>2.1</v>
      </c>
      <c r="BW465" s="30" t="s">
        <v>192</v>
      </c>
      <c r="BX465" s="37" t="s">
        <v>151</v>
      </c>
      <c r="BY465" s="30" t="s">
        <v>151</v>
      </c>
      <c r="BZ465" s="30" t="s">
        <v>231</v>
      </c>
      <c r="CA465" s="30" t="s">
        <v>151</v>
      </c>
      <c r="CB465" s="30" t="s">
        <v>151</v>
      </c>
      <c r="CC465" s="30" t="s">
        <v>165</v>
      </c>
      <c r="CD465" s="30" t="s">
        <v>151</v>
      </c>
      <c r="CE465" s="30" t="s">
        <v>191</v>
      </c>
      <c r="CF465" s="35">
        <v>44835</v>
      </c>
      <c r="CG465" s="37">
        <v>0.1</v>
      </c>
      <c r="CH465" s="30" t="s">
        <v>192</v>
      </c>
      <c r="CI465" s="37">
        <v>1.67</v>
      </c>
      <c r="CJ465" s="30" t="s">
        <v>192</v>
      </c>
      <c r="CK465" s="29" t="s">
        <v>151</v>
      </c>
      <c r="CL465" s="30" t="s">
        <v>189</v>
      </c>
      <c r="CM465" s="30" t="s">
        <v>151</v>
      </c>
      <c r="CN465" s="30" t="s">
        <v>151</v>
      </c>
      <c r="CO465" s="30" t="s">
        <v>190</v>
      </c>
      <c r="CP465" s="35">
        <v>44835</v>
      </c>
      <c r="CQ465" s="37" t="s">
        <v>151</v>
      </c>
      <c r="CR465" s="30" t="s">
        <v>151</v>
      </c>
      <c r="CS465" s="30" t="s">
        <v>191</v>
      </c>
      <c r="CT465" s="29" t="s">
        <v>151</v>
      </c>
      <c r="CU465" s="30" t="s">
        <v>151</v>
      </c>
      <c r="CV465" s="32" t="s">
        <v>151</v>
      </c>
      <c r="CW465" s="32" t="s">
        <v>151</v>
      </c>
      <c r="CX465" s="30" t="s">
        <v>151</v>
      </c>
      <c r="CY465" s="32" t="s">
        <v>151</v>
      </c>
      <c r="CZ465" s="32" t="s">
        <v>151</v>
      </c>
      <c r="DA465" s="37">
        <v>1.67</v>
      </c>
      <c r="DB465" s="35">
        <v>44835</v>
      </c>
      <c r="DC465" s="30" t="s">
        <v>189</v>
      </c>
      <c r="DD465" s="29" t="s">
        <v>151</v>
      </c>
      <c r="DE465" s="32">
        <v>0</v>
      </c>
      <c r="DF465" s="34">
        <v>11</v>
      </c>
      <c r="DG465" s="32">
        <v>0</v>
      </c>
      <c r="DH465" s="32">
        <v>0</v>
      </c>
      <c r="DI465" s="32" t="s">
        <v>151</v>
      </c>
      <c r="DJ465" s="34" t="s">
        <v>151</v>
      </c>
      <c r="DK465" s="32" t="s">
        <v>151</v>
      </c>
      <c r="DL465" s="34" t="s">
        <v>151</v>
      </c>
      <c r="DM465" s="32" t="s">
        <v>151</v>
      </c>
      <c r="DN465" s="34" t="s">
        <v>151</v>
      </c>
      <c r="DO465" s="36">
        <v>0.77</v>
      </c>
      <c r="DP465" s="34">
        <v>44</v>
      </c>
      <c r="DQ465" s="36">
        <v>0</v>
      </c>
      <c r="DR465" s="32">
        <v>0</v>
      </c>
      <c r="DS465" s="36" t="s">
        <v>151</v>
      </c>
      <c r="DT465" s="34" t="s">
        <v>151</v>
      </c>
      <c r="DU465" s="36" t="s">
        <v>151</v>
      </c>
      <c r="DV465" s="34" t="s">
        <v>151</v>
      </c>
      <c r="DW465" s="36" t="s">
        <v>151</v>
      </c>
      <c r="DX465" s="34" t="s">
        <v>151</v>
      </c>
      <c r="DY465" s="31" t="s">
        <v>151</v>
      </c>
      <c r="DZ465" s="35" t="s">
        <v>151</v>
      </c>
      <c r="EA465" s="35" t="s">
        <v>151</v>
      </c>
      <c r="EB465" s="34">
        <v>321</v>
      </c>
      <c r="EC465" s="33">
        <v>19</v>
      </c>
      <c r="ED465" s="32">
        <v>6.29</v>
      </c>
      <c r="EE465" s="34" t="s">
        <v>151</v>
      </c>
      <c r="EF465" s="33" t="s">
        <v>151</v>
      </c>
      <c r="EG465" s="32" t="s">
        <v>151</v>
      </c>
      <c r="EH465" s="29" t="s">
        <v>198</v>
      </c>
      <c r="EI465" s="30" t="s">
        <v>151</v>
      </c>
      <c r="EJ465" s="30" t="s">
        <v>151</v>
      </c>
      <c r="EK465" s="31" t="s">
        <v>151</v>
      </c>
      <c r="EL465" s="31" t="s">
        <v>151</v>
      </c>
      <c r="EM465" s="31" t="s">
        <v>151</v>
      </c>
      <c r="EN465" s="31" t="s">
        <v>151</v>
      </c>
      <c r="EO465" s="31" t="s">
        <v>151</v>
      </c>
      <c r="EP465" s="30" t="s">
        <v>151</v>
      </c>
      <c r="EQ465" s="29" t="s">
        <v>151</v>
      </c>
      <c r="ER465" s="29" t="s">
        <v>151</v>
      </c>
      <c r="ES465" s="4">
        <f>HYPERLINK("https://my.pitchbook.com?c=482104-45","View Company Online")</f>
      </c>
    </row>
    <row r="466">
      <c r="A466" s="17" t="s">
        <v>9856</v>
      </c>
      <c r="B466" s="17" t="s">
        <v>9857</v>
      </c>
      <c r="C466" s="18" t="s">
        <v>151</v>
      </c>
      <c r="D466" s="17" t="s">
        <v>9858</v>
      </c>
      <c r="E466" s="17" t="s">
        <v>151</v>
      </c>
      <c r="F466" s="17" t="s">
        <v>9859</v>
      </c>
      <c r="G466" s="17" t="s">
        <v>151</v>
      </c>
      <c r="H466" s="17" t="s">
        <v>151</v>
      </c>
      <c r="I466" s="17" t="s">
        <v>151</v>
      </c>
      <c r="J466" s="17" t="s">
        <v>9856</v>
      </c>
      <c r="K466" s="17" t="s">
        <v>9860</v>
      </c>
      <c r="L466" s="17" t="s">
        <v>205</v>
      </c>
      <c r="M466" s="17" t="s">
        <v>206</v>
      </c>
      <c r="N466" s="17" t="s">
        <v>269</v>
      </c>
      <c r="O466" s="17" t="s">
        <v>1396</v>
      </c>
      <c r="P466" s="17" t="s">
        <v>892</v>
      </c>
      <c r="Q466" s="17" t="s">
        <v>9861</v>
      </c>
      <c r="R466" s="17" t="s">
        <v>151</v>
      </c>
      <c r="S466" s="17" t="s">
        <v>162</v>
      </c>
      <c r="T466" s="24">
        <v>0.67</v>
      </c>
      <c r="U466" s="17" t="s">
        <v>163</v>
      </c>
      <c r="V466" s="17" t="s">
        <v>164</v>
      </c>
      <c r="W466" s="17" t="s">
        <v>165</v>
      </c>
      <c r="X466" s="15" t="s">
        <v>9862</v>
      </c>
      <c r="Y466" s="15" t="s">
        <v>9863</v>
      </c>
      <c r="Z466" s="27">
        <v>4</v>
      </c>
      <c r="AA466" s="17" t="s">
        <v>9864</v>
      </c>
      <c r="AB466" s="17" t="s">
        <v>151</v>
      </c>
      <c r="AC466" s="17" t="s">
        <v>151</v>
      </c>
      <c r="AD466" s="26">
        <v>2019</v>
      </c>
      <c r="AE466" s="17" t="s">
        <v>151</v>
      </c>
      <c r="AF466" s="22">
        <v>45506</v>
      </c>
      <c r="AG466" s="17" t="s">
        <v>151</v>
      </c>
      <c r="AH466" s="17" t="s">
        <v>151</v>
      </c>
      <c r="AI466" s="25" t="s">
        <v>151</v>
      </c>
      <c r="AJ466" s="19" t="s">
        <v>151</v>
      </c>
      <c r="AK466" s="25" t="s">
        <v>151</v>
      </c>
      <c r="AL466" s="25" t="s">
        <v>151</v>
      </c>
      <c r="AM466" s="25" t="s">
        <v>151</v>
      </c>
      <c r="AN466" s="25" t="s">
        <v>151</v>
      </c>
      <c r="AO466" s="25" t="s">
        <v>151</v>
      </c>
      <c r="AP466" s="25" t="s">
        <v>151</v>
      </c>
      <c r="AQ466" s="25" t="s">
        <v>151</v>
      </c>
      <c r="AR466" s="16" t="s">
        <v>151</v>
      </c>
      <c r="AS466" s="17" t="s">
        <v>9865</v>
      </c>
      <c r="AT466" s="17" t="s">
        <v>9866</v>
      </c>
      <c r="AU466" s="18">
        <v>7</v>
      </c>
      <c r="AV466" s="17" t="s">
        <v>151</v>
      </c>
      <c r="AW466" s="17" t="s">
        <v>151</v>
      </c>
      <c r="AX466" s="17" t="s">
        <v>151</v>
      </c>
      <c r="AY466" s="17" t="s">
        <v>9867</v>
      </c>
      <c r="AZ466" s="17" t="s">
        <v>151</v>
      </c>
      <c r="BA466" s="17" t="s">
        <v>151</v>
      </c>
      <c r="BB466" s="17" t="s">
        <v>151</v>
      </c>
      <c r="BC466" s="17" t="s">
        <v>151</v>
      </c>
      <c r="BD466" s="17" t="s">
        <v>9868</v>
      </c>
      <c r="BE466" s="17" t="s">
        <v>9869</v>
      </c>
      <c r="BF466" s="17" t="s">
        <v>403</v>
      </c>
      <c r="BG466" s="17" t="s">
        <v>9870</v>
      </c>
      <c r="BH466" s="17" t="s">
        <v>9871</v>
      </c>
      <c r="BI466" s="17" t="s">
        <v>3627</v>
      </c>
      <c r="BJ466" s="17" t="s">
        <v>9872</v>
      </c>
      <c r="BK466" s="17" t="s">
        <v>151</v>
      </c>
      <c r="BL466" s="17" t="s">
        <v>3628</v>
      </c>
      <c r="BM466" s="17" t="s">
        <v>3217</v>
      </c>
      <c r="BN466" s="16" t="s">
        <v>9873</v>
      </c>
      <c r="BO466" s="17" t="s">
        <v>186</v>
      </c>
      <c r="BP466" s="16" t="s">
        <v>9871</v>
      </c>
      <c r="BQ466" s="16" t="s">
        <v>151</v>
      </c>
      <c r="BR466" s="17" t="s">
        <v>9874</v>
      </c>
      <c r="BS466" s="17" t="s">
        <v>187</v>
      </c>
      <c r="BT466" s="17" t="s">
        <v>188</v>
      </c>
      <c r="BU466" s="22">
        <v>44105</v>
      </c>
      <c r="BV466" s="24">
        <v>0.02</v>
      </c>
      <c r="BW466" s="17" t="s">
        <v>192</v>
      </c>
      <c r="BX466" s="24" t="s">
        <v>151</v>
      </c>
      <c r="BY466" s="17" t="s">
        <v>151</v>
      </c>
      <c r="BZ466" s="17" t="s">
        <v>293</v>
      </c>
      <c r="CA466" s="17" t="s">
        <v>472</v>
      </c>
      <c r="CB466" s="17" t="s">
        <v>151</v>
      </c>
      <c r="CC466" s="17" t="s">
        <v>165</v>
      </c>
      <c r="CD466" s="17" t="s">
        <v>151</v>
      </c>
      <c r="CE466" s="17" t="s">
        <v>191</v>
      </c>
      <c r="CF466" s="22">
        <v>45071</v>
      </c>
      <c r="CG466" s="24">
        <v>0.5</v>
      </c>
      <c r="CH466" s="17" t="s">
        <v>192</v>
      </c>
      <c r="CI466" s="24">
        <v>3</v>
      </c>
      <c r="CJ466" s="17" t="s">
        <v>192</v>
      </c>
      <c r="CK466" s="16" t="s">
        <v>151</v>
      </c>
      <c r="CL466" s="17" t="s">
        <v>231</v>
      </c>
      <c r="CM466" s="17" t="s">
        <v>151</v>
      </c>
      <c r="CN466" s="17" t="s">
        <v>151</v>
      </c>
      <c r="CO466" s="17" t="s">
        <v>165</v>
      </c>
      <c r="CP466" s="22">
        <v>45071</v>
      </c>
      <c r="CQ466" s="24" t="s">
        <v>151</v>
      </c>
      <c r="CR466" s="17" t="s">
        <v>151</v>
      </c>
      <c r="CS466" s="17" t="s">
        <v>191</v>
      </c>
      <c r="CT466" s="16">
        <v>38</v>
      </c>
      <c r="CU466" s="17" t="s">
        <v>263</v>
      </c>
      <c r="CV466" s="19">
        <v>38</v>
      </c>
      <c r="CW466" s="19">
        <v>62</v>
      </c>
      <c r="CX466" s="17" t="s">
        <v>263</v>
      </c>
      <c r="CY466" s="19">
        <v>1</v>
      </c>
      <c r="CZ466" s="19">
        <v>37</v>
      </c>
      <c r="DA466" s="24">
        <v>3</v>
      </c>
      <c r="DB466" s="22">
        <v>45071</v>
      </c>
      <c r="DC466" s="17" t="s">
        <v>231</v>
      </c>
      <c r="DD466" s="16" t="s">
        <v>151</v>
      </c>
      <c r="DE466" s="19">
        <v>0</v>
      </c>
      <c r="DF466" s="21">
        <v>11</v>
      </c>
      <c r="DG466" s="19">
        <v>0</v>
      </c>
      <c r="DH466" s="19">
        <v>0</v>
      </c>
      <c r="DI466" s="19" t="s">
        <v>151</v>
      </c>
      <c r="DJ466" s="21" t="s">
        <v>151</v>
      </c>
      <c r="DK466" s="19" t="s">
        <v>151</v>
      </c>
      <c r="DL466" s="21" t="s">
        <v>151</v>
      </c>
      <c r="DM466" s="19" t="s">
        <v>151</v>
      </c>
      <c r="DN466" s="21" t="s">
        <v>151</v>
      </c>
      <c r="DO466" s="23">
        <v>0.31</v>
      </c>
      <c r="DP466" s="21">
        <v>21</v>
      </c>
      <c r="DQ466" s="23">
        <v>0</v>
      </c>
      <c r="DR466" s="19">
        <v>0</v>
      </c>
      <c r="DS466" s="23" t="s">
        <v>151</v>
      </c>
      <c r="DT466" s="21" t="s">
        <v>151</v>
      </c>
      <c r="DU466" s="23" t="s">
        <v>151</v>
      </c>
      <c r="DV466" s="21" t="s">
        <v>151</v>
      </c>
      <c r="DW466" s="23" t="s">
        <v>151</v>
      </c>
      <c r="DX466" s="21" t="s">
        <v>151</v>
      </c>
      <c r="DY466" s="18" t="s">
        <v>151</v>
      </c>
      <c r="DZ466" s="22" t="s">
        <v>151</v>
      </c>
      <c r="EA466" s="22" t="s">
        <v>151</v>
      </c>
      <c r="EB466" s="21">
        <v>245</v>
      </c>
      <c r="EC466" s="20">
        <v>-8</v>
      </c>
      <c r="ED466" s="19">
        <v>-3.16</v>
      </c>
      <c r="EE466" s="21" t="s">
        <v>151</v>
      </c>
      <c r="EF466" s="20" t="s">
        <v>151</v>
      </c>
      <c r="EG466" s="19" t="s">
        <v>151</v>
      </c>
      <c r="EH466" s="16" t="s">
        <v>198</v>
      </c>
      <c r="EI466" s="17" t="s">
        <v>151</v>
      </c>
      <c r="EJ466" s="17" t="s">
        <v>151</v>
      </c>
      <c r="EK466" s="18" t="s">
        <v>151</v>
      </c>
      <c r="EL466" s="18" t="s">
        <v>151</v>
      </c>
      <c r="EM466" s="18" t="s">
        <v>151</v>
      </c>
      <c r="EN466" s="18" t="s">
        <v>151</v>
      </c>
      <c r="EO466" s="18" t="s">
        <v>151</v>
      </c>
      <c r="EP466" s="17" t="s">
        <v>151</v>
      </c>
      <c r="EQ466" s="16" t="s">
        <v>151</v>
      </c>
      <c r="ER466" s="16" t="s">
        <v>151</v>
      </c>
      <c r="ES466" s="3">
        <f>HYPERLINK("https://my.pitchbook.com?c=459435-61","View Company Online")</f>
      </c>
    </row>
    <row r="467">
      <c r="A467" s="30" t="s">
        <v>9875</v>
      </c>
      <c r="B467" s="30" t="s">
        <v>9876</v>
      </c>
      <c r="C467" s="31" t="s">
        <v>151</v>
      </c>
      <c r="D467" s="30" t="s">
        <v>151</v>
      </c>
      <c r="E467" s="30" t="s">
        <v>9877</v>
      </c>
      <c r="F467" s="30" t="s">
        <v>9878</v>
      </c>
      <c r="G467" s="30" t="s">
        <v>151</v>
      </c>
      <c r="H467" s="30" t="s">
        <v>151</v>
      </c>
      <c r="I467" s="30" t="s">
        <v>9879</v>
      </c>
      <c r="J467" s="30" t="s">
        <v>9875</v>
      </c>
      <c r="K467" s="30" t="s">
        <v>9880</v>
      </c>
      <c r="L467" s="30" t="s">
        <v>205</v>
      </c>
      <c r="M467" s="30" t="s">
        <v>206</v>
      </c>
      <c r="N467" s="30" t="s">
        <v>1268</v>
      </c>
      <c r="O467" s="30" t="s">
        <v>2129</v>
      </c>
      <c r="P467" s="30" t="s">
        <v>892</v>
      </c>
      <c r="Q467" s="30" t="s">
        <v>9881</v>
      </c>
      <c r="R467" s="30" t="s">
        <v>151</v>
      </c>
      <c r="S467" s="30" t="s">
        <v>162</v>
      </c>
      <c r="T467" s="37">
        <v>3.3</v>
      </c>
      <c r="U467" s="30" t="s">
        <v>163</v>
      </c>
      <c r="V467" s="30" t="s">
        <v>164</v>
      </c>
      <c r="W467" s="30" t="s">
        <v>165</v>
      </c>
      <c r="X467" s="28" t="s">
        <v>9882</v>
      </c>
      <c r="Y467" s="28" t="s">
        <v>9883</v>
      </c>
      <c r="Z467" s="40">
        <v>12</v>
      </c>
      <c r="AA467" s="30" t="s">
        <v>9884</v>
      </c>
      <c r="AB467" s="30" t="s">
        <v>151</v>
      </c>
      <c r="AC467" s="30" t="s">
        <v>151</v>
      </c>
      <c r="AD467" s="39">
        <v>2017</v>
      </c>
      <c r="AE467" s="30" t="s">
        <v>151</v>
      </c>
      <c r="AF467" s="35">
        <v>45610</v>
      </c>
      <c r="AG467" s="30" t="s">
        <v>151</v>
      </c>
      <c r="AH467" s="30" t="s">
        <v>151</v>
      </c>
      <c r="AI467" s="38" t="s">
        <v>151</v>
      </c>
      <c r="AJ467" s="32" t="s">
        <v>151</v>
      </c>
      <c r="AK467" s="38" t="s">
        <v>151</v>
      </c>
      <c r="AL467" s="38" t="s">
        <v>151</v>
      </c>
      <c r="AM467" s="38" t="s">
        <v>151</v>
      </c>
      <c r="AN467" s="38" t="s">
        <v>151</v>
      </c>
      <c r="AO467" s="38" t="s">
        <v>151</v>
      </c>
      <c r="AP467" s="38" t="s">
        <v>151</v>
      </c>
      <c r="AQ467" s="38" t="s">
        <v>151</v>
      </c>
      <c r="AR467" s="29" t="s">
        <v>151</v>
      </c>
      <c r="AS467" s="30" t="s">
        <v>9885</v>
      </c>
      <c r="AT467" s="30" t="s">
        <v>9886</v>
      </c>
      <c r="AU467" s="31">
        <v>26</v>
      </c>
      <c r="AV467" s="30" t="s">
        <v>151</v>
      </c>
      <c r="AW467" s="30" t="s">
        <v>9887</v>
      </c>
      <c r="AX467" s="30" t="s">
        <v>151</v>
      </c>
      <c r="AY467" s="30" t="s">
        <v>9888</v>
      </c>
      <c r="AZ467" s="30" t="s">
        <v>9889</v>
      </c>
      <c r="BA467" s="30" t="s">
        <v>151</v>
      </c>
      <c r="BB467" s="30" t="s">
        <v>151</v>
      </c>
      <c r="BC467" s="30" t="s">
        <v>2626</v>
      </c>
      <c r="BD467" s="30" t="s">
        <v>9890</v>
      </c>
      <c r="BE467" s="30" t="s">
        <v>9891</v>
      </c>
      <c r="BF467" s="30" t="s">
        <v>221</v>
      </c>
      <c r="BG467" s="30" t="s">
        <v>9892</v>
      </c>
      <c r="BH467" s="30" t="s">
        <v>9893</v>
      </c>
      <c r="BI467" s="30" t="s">
        <v>906</v>
      </c>
      <c r="BJ467" s="30" t="s">
        <v>9894</v>
      </c>
      <c r="BK467" s="30" t="s">
        <v>9895</v>
      </c>
      <c r="BL467" s="30" t="s">
        <v>259</v>
      </c>
      <c r="BM467" s="30" t="s">
        <v>259</v>
      </c>
      <c r="BN467" s="29" t="s">
        <v>1123</v>
      </c>
      <c r="BO467" s="30" t="s">
        <v>186</v>
      </c>
      <c r="BP467" s="29" t="s">
        <v>9893</v>
      </c>
      <c r="BQ467" s="29" t="s">
        <v>151</v>
      </c>
      <c r="BR467" s="30" t="s">
        <v>9896</v>
      </c>
      <c r="BS467" s="30" t="s">
        <v>187</v>
      </c>
      <c r="BT467" s="30" t="s">
        <v>188</v>
      </c>
      <c r="BU467" s="35">
        <v>43466</v>
      </c>
      <c r="BV467" s="37" t="s">
        <v>151</v>
      </c>
      <c r="BW467" s="30" t="s">
        <v>151</v>
      </c>
      <c r="BX467" s="37" t="s">
        <v>151</v>
      </c>
      <c r="BY467" s="30" t="s">
        <v>151</v>
      </c>
      <c r="BZ467" s="30" t="s">
        <v>189</v>
      </c>
      <c r="CA467" s="30" t="s">
        <v>151</v>
      </c>
      <c r="CB467" s="30" t="s">
        <v>151</v>
      </c>
      <c r="CC467" s="30" t="s">
        <v>190</v>
      </c>
      <c r="CD467" s="30" t="s">
        <v>151</v>
      </c>
      <c r="CE467" s="30" t="s">
        <v>191</v>
      </c>
      <c r="CF467" s="35">
        <v>45307</v>
      </c>
      <c r="CG467" s="37" t="s">
        <v>151</v>
      </c>
      <c r="CH467" s="30" t="s">
        <v>151</v>
      </c>
      <c r="CI467" s="37" t="s">
        <v>151</v>
      </c>
      <c r="CJ467" s="30" t="s">
        <v>151</v>
      </c>
      <c r="CK467" s="29" t="s">
        <v>151</v>
      </c>
      <c r="CL467" s="30" t="s">
        <v>189</v>
      </c>
      <c r="CM467" s="30" t="s">
        <v>151</v>
      </c>
      <c r="CN467" s="30" t="s">
        <v>151</v>
      </c>
      <c r="CO467" s="30" t="s">
        <v>190</v>
      </c>
      <c r="CP467" s="35">
        <v>45307</v>
      </c>
      <c r="CQ467" s="37" t="s">
        <v>151</v>
      </c>
      <c r="CR467" s="30" t="s">
        <v>151</v>
      </c>
      <c r="CS467" s="30" t="s">
        <v>191</v>
      </c>
      <c r="CT467" s="29">
        <v>81</v>
      </c>
      <c r="CU467" s="30" t="s">
        <v>196</v>
      </c>
      <c r="CV467" s="32">
        <v>74</v>
      </c>
      <c r="CW467" s="32">
        <v>26</v>
      </c>
      <c r="CX467" s="30" t="s">
        <v>294</v>
      </c>
      <c r="CY467" s="32">
        <v>1</v>
      </c>
      <c r="CZ467" s="32">
        <v>73</v>
      </c>
      <c r="DA467" s="37" t="s">
        <v>151</v>
      </c>
      <c r="DB467" s="35" t="s">
        <v>151</v>
      </c>
      <c r="DC467" s="30" t="s">
        <v>151</v>
      </c>
      <c r="DD467" s="29" t="s">
        <v>151</v>
      </c>
      <c r="DE467" s="32">
        <v>1.23</v>
      </c>
      <c r="DF467" s="34">
        <v>97</v>
      </c>
      <c r="DG467" s="32">
        <v>0</v>
      </c>
      <c r="DH467" s="32">
        <v>0</v>
      </c>
      <c r="DI467" s="32">
        <v>1.23</v>
      </c>
      <c r="DJ467" s="34">
        <v>97</v>
      </c>
      <c r="DK467" s="32" t="s">
        <v>151</v>
      </c>
      <c r="DL467" s="34" t="s">
        <v>151</v>
      </c>
      <c r="DM467" s="32">
        <v>1.23</v>
      </c>
      <c r="DN467" s="34">
        <v>97</v>
      </c>
      <c r="DO467" s="36">
        <v>33.47</v>
      </c>
      <c r="DP467" s="34">
        <v>97</v>
      </c>
      <c r="DQ467" s="36">
        <v>0</v>
      </c>
      <c r="DR467" s="32">
        <v>0</v>
      </c>
      <c r="DS467" s="36">
        <v>33.47</v>
      </c>
      <c r="DT467" s="34">
        <v>97</v>
      </c>
      <c r="DU467" s="36" t="s">
        <v>151</v>
      </c>
      <c r="DV467" s="34" t="s">
        <v>151</v>
      </c>
      <c r="DW467" s="36">
        <v>33.47</v>
      </c>
      <c r="DX467" s="34">
        <v>97</v>
      </c>
      <c r="DY467" s="31" t="s">
        <v>151</v>
      </c>
      <c r="DZ467" s="35" t="s">
        <v>151</v>
      </c>
      <c r="EA467" s="35" t="s">
        <v>151</v>
      </c>
      <c r="EB467" s="34">
        <v>16924</v>
      </c>
      <c r="EC467" s="33">
        <v>-295</v>
      </c>
      <c r="ED467" s="32">
        <v>-1.71</v>
      </c>
      <c r="EE467" s="34">
        <v>636</v>
      </c>
      <c r="EF467" s="33">
        <v>3</v>
      </c>
      <c r="EG467" s="32">
        <v>0.47</v>
      </c>
      <c r="EH467" s="29" t="s">
        <v>198</v>
      </c>
      <c r="EI467" s="30" t="s">
        <v>151</v>
      </c>
      <c r="EJ467" s="30" t="s">
        <v>151</v>
      </c>
      <c r="EK467" s="31" t="s">
        <v>151</v>
      </c>
      <c r="EL467" s="31" t="s">
        <v>151</v>
      </c>
      <c r="EM467" s="31" t="s">
        <v>151</v>
      </c>
      <c r="EN467" s="31" t="s">
        <v>151</v>
      </c>
      <c r="EO467" s="31" t="s">
        <v>151</v>
      </c>
      <c r="EP467" s="30" t="s">
        <v>151</v>
      </c>
      <c r="EQ467" s="29" t="s">
        <v>151</v>
      </c>
      <c r="ER467" s="29" t="s">
        <v>151</v>
      </c>
      <c r="ES467" s="4">
        <f>HYPERLINK("https://my.pitchbook.com?c=431555-14","View Company Online")</f>
      </c>
    </row>
    <row r="468">
      <c r="A468" s="17" t="s">
        <v>9897</v>
      </c>
      <c r="B468" s="17" t="s">
        <v>9898</v>
      </c>
      <c r="C468" s="18" t="s">
        <v>151</v>
      </c>
      <c r="D468" s="17" t="s">
        <v>151</v>
      </c>
      <c r="E468" s="17" t="s">
        <v>151</v>
      </c>
      <c r="F468" s="17" t="s">
        <v>9899</v>
      </c>
      <c r="G468" s="17" t="s">
        <v>151</v>
      </c>
      <c r="H468" s="17" t="s">
        <v>151</v>
      </c>
      <c r="I468" s="17" t="s">
        <v>9900</v>
      </c>
      <c r="J468" s="17" t="s">
        <v>9897</v>
      </c>
      <c r="K468" s="17" t="s">
        <v>9901</v>
      </c>
      <c r="L468" s="17" t="s">
        <v>616</v>
      </c>
      <c r="M468" s="17" t="s">
        <v>834</v>
      </c>
      <c r="N468" s="17" t="s">
        <v>835</v>
      </c>
      <c r="O468" s="17" t="s">
        <v>9902</v>
      </c>
      <c r="P468" s="17" t="s">
        <v>9903</v>
      </c>
      <c r="Q468" s="17" t="s">
        <v>9904</v>
      </c>
      <c r="R468" s="17" t="s">
        <v>151</v>
      </c>
      <c r="S468" s="17" t="s">
        <v>162</v>
      </c>
      <c r="T468" s="24">
        <v>23.38</v>
      </c>
      <c r="U468" s="17" t="s">
        <v>163</v>
      </c>
      <c r="V468" s="17" t="s">
        <v>164</v>
      </c>
      <c r="W468" s="17" t="s">
        <v>165</v>
      </c>
      <c r="X468" s="15" t="s">
        <v>9905</v>
      </c>
      <c r="Y468" s="15" t="s">
        <v>9906</v>
      </c>
      <c r="Z468" s="27">
        <v>42</v>
      </c>
      <c r="AA468" s="17" t="s">
        <v>9907</v>
      </c>
      <c r="AB468" s="17" t="s">
        <v>151</v>
      </c>
      <c r="AC468" s="17" t="s">
        <v>151</v>
      </c>
      <c r="AD468" s="26">
        <v>2013</v>
      </c>
      <c r="AE468" s="17" t="s">
        <v>151</v>
      </c>
      <c r="AF468" s="22">
        <v>45469</v>
      </c>
      <c r="AG468" s="17" t="s">
        <v>151</v>
      </c>
      <c r="AH468" s="17" t="s">
        <v>151</v>
      </c>
      <c r="AI468" s="25" t="s">
        <v>151</v>
      </c>
      <c r="AJ468" s="19" t="s">
        <v>151</v>
      </c>
      <c r="AK468" s="25" t="s">
        <v>151</v>
      </c>
      <c r="AL468" s="25" t="s">
        <v>151</v>
      </c>
      <c r="AM468" s="25" t="s">
        <v>151</v>
      </c>
      <c r="AN468" s="25" t="s">
        <v>151</v>
      </c>
      <c r="AO468" s="25" t="s">
        <v>151</v>
      </c>
      <c r="AP468" s="25" t="s">
        <v>151</v>
      </c>
      <c r="AQ468" s="25" t="s">
        <v>151</v>
      </c>
      <c r="AR468" s="16" t="s">
        <v>151</v>
      </c>
      <c r="AS468" s="17" t="s">
        <v>9908</v>
      </c>
      <c r="AT468" s="17" t="s">
        <v>9909</v>
      </c>
      <c r="AU468" s="18">
        <v>3</v>
      </c>
      <c r="AV468" s="17" t="s">
        <v>151</v>
      </c>
      <c r="AW468" s="17" t="s">
        <v>151</v>
      </c>
      <c r="AX468" s="17" t="s">
        <v>151</v>
      </c>
      <c r="AY468" s="17" t="s">
        <v>9910</v>
      </c>
      <c r="AZ468" s="17" t="s">
        <v>151</v>
      </c>
      <c r="BA468" s="17" t="s">
        <v>151</v>
      </c>
      <c r="BB468" s="17" t="s">
        <v>151</v>
      </c>
      <c r="BC468" s="17" t="s">
        <v>151</v>
      </c>
      <c r="BD468" s="17" t="s">
        <v>9911</v>
      </c>
      <c r="BE468" s="17" t="s">
        <v>9912</v>
      </c>
      <c r="BF468" s="17" t="s">
        <v>3909</v>
      </c>
      <c r="BG468" s="17" t="s">
        <v>9913</v>
      </c>
      <c r="BH468" s="17" t="s">
        <v>9914</v>
      </c>
      <c r="BI468" s="17" t="s">
        <v>578</v>
      </c>
      <c r="BJ468" s="17" t="s">
        <v>9915</v>
      </c>
      <c r="BK468" s="17" t="s">
        <v>9916</v>
      </c>
      <c r="BL468" s="17" t="s">
        <v>581</v>
      </c>
      <c r="BM468" s="17" t="s">
        <v>582</v>
      </c>
      <c r="BN468" s="16" t="s">
        <v>9917</v>
      </c>
      <c r="BO468" s="17" t="s">
        <v>186</v>
      </c>
      <c r="BP468" s="16" t="s">
        <v>9914</v>
      </c>
      <c r="BQ468" s="16" t="s">
        <v>151</v>
      </c>
      <c r="BR468" s="17" t="s">
        <v>9918</v>
      </c>
      <c r="BS468" s="17" t="s">
        <v>187</v>
      </c>
      <c r="BT468" s="17" t="s">
        <v>188</v>
      </c>
      <c r="BU468" s="22">
        <v>42153</v>
      </c>
      <c r="BV468" s="24">
        <v>0.5</v>
      </c>
      <c r="BW468" s="17" t="s">
        <v>151</v>
      </c>
      <c r="BX468" s="24" t="s">
        <v>151</v>
      </c>
      <c r="BY468" s="17" t="s">
        <v>151</v>
      </c>
      <c r="BZ468" s="17" t="s">
        <v>1075</v>
      </c>
      <c r="CA468" s="17" t="s">
        <v>1075</v>
      </c>
      <c r="CB468" s="17" t="s">
        <v>151</v>
      </c>
      <c r="CC468" s="17" t="s">
        <v>585</v>
      </c>
      <c r="CD468" s="17" t="s">
        <v>151</v>
      </c>
      <c r="CE468" s="17" t="s">
        <v>191</v>
      </c>
      <c r="CF468" s="22">
        <v>44868</v>
      </c>
      <c r="CG468" s="24">
        <v>8.5</v>
      </c>
      <c r="CH468" s="17" t="s">
        <v>192</v>
      </c>
      <c r="CI468" s="24">
        <v>68.5</v>
      </c>
      <c r="CJ468" s="17" t="s">
        <v>192</v>
      </c>
      <c r="CK468" s="16">
        <v>2.36</v>
      </c>
      <c r="CL468" s="17" t="s">
        <v>293</v>
      </c>
      <c r="CM468" s="17" t="s">
        <v>9919</v>
      </c>
      <c r="CN468" s="17" t="s">
        <v>151</v>
      </c>
      <c r="CO468" s="17" t="s">
        <v>165</v>
      </c>
      <c r="CP468" s="22">
        <v>44868</v>
      </c>
      <c r="CQ468" s="24" t="s">
        <v>151</v>
      </c>
      <c r="CR468" s="17" t="s">
        <v>151</v>
      </c>
      <c r="CS468" s="17" t="s">
        <v>191</v>
      </c>
      <c r="CT468" s="16">
        <v>68</v>
      </c>
      <c r="CU468" s="17" t="s">
        <v>196</v>
      </c>
      <c r="CV468" s="19">
        <v>63</v>
      </c>
      <c r="CW468" s="19">
        <v>37</v>
      </c>
      <c r="CX468" s="17" t="s">
        <v>294</v>
      </c>
      <c r="CY468" s="19">
        <v>1</v>
      </c>
      <c r="CZ468" s="19">
        <v>62</v>
      </c>
      <c r="DA468" s="24">
        <v>68.5</v>
      </c>
      <c r="DB468" s="22">
        <v>44868</v>
      </c>
      <c r="DC468" s="17" t="s">
        <v>293</v>
      </c>
      <c r="DD468" s="16">
        <v>2.36</v>
      </c>
      <c r="DE468" s="19">
        <v>0.15</v>
      </c>
      <c r="DF468" s="21">
        <v>91</v>
      </c>
      <c r="DG468" s="19">
        <v>0</v>
      </c>
      <c r="DH468" s="19">
        <v>0</v>
      </c>
      <c r="DI468" s="19">
        <v>0</v>
      </c>
      <c r="DJ468" s="21">
        <v>10</v>
      </c>
      <c r="DK468" s="19" t="s">
        <v>151</v>
      </c>
      <c r="DL468" s="21" t="s">
        <v>151</v>
      </c>
      <c r="DM468" s="19">
        <v>0</v>
      </c>
      <c r="DN468" s="21">
        <v>10</v>
      </c>
      <c r="DO468" s="23">
        <v>3.83</v>
      </c>
      <c r="DP468" s="21">
        <v>78</v>
      </c>
      <c r="DQ468" s="23">
        <v>0</v>
      </c>
      <c r="DR468" s="19">
        <v>0</v>
      </c>
      <c r="DS468" s="23">
        <v>4.42</v>
      </c>
      <c r="DT468" s="21">
        <v>80</v>
      </c>
      <c r="DU468" s="23" t="s">
        <v>151</v>
      </c>
      <c r="DV468" s="21" t="s">
        <v>151</v>
      </c>
      <c r="DW468" s="23">
        <v>4.42</v>
      </c>
      <c r="DX468" s="21">
        <v>80</v>
      </c>
      <c r="DY468" s="18">
        <v>4</v>
      </c>
      <c r="DZ468" s="22">
        <v>44010</v>
      </c>
      <c r="EA468" s="22" t="s">
        <v>8801</v>
      </c>
      <c r="EB468" s="21" t="s">
        <v>151</v>
      </c>
      <c r="EC468" s="20" t="s">
        <v>151</v>
      </c>
      <c r="ED468" s="19" t="s">
        <v>151</v>
      </c>
      <c r="EE468" s="21">
        <v>84</v>
      </c>
      <c r="EF468" s="20">
        <v>0</v>
      </c>
      <c r="EG468" s="19">
        <v>0</v>
      </c>
      <c r="EH468" s="16" t="s">
        <v>198</v>
      </c>
      <c r="EI468" s="17" t="s">
        <v>151</v>
      </c>
      <c r="EJ468" s="17" t="s">
        <v>151</v>
      </c>
      <c r="EK468" s="18" t="s">
        <v>151</v>
      </c>
      <c r="EL468" s="18" t="s">
        <v>151</v>
      </c>
      <c r="EM468" s="18" t="s">
        <v>151</v>
      </c>
      <c r="EN468" s="18" t="s">
        <v>151</v>
      </c>
      <c r="EO468" s="18" t="s">
        <v>151</v>
      </c>
      <c r="EP468" s="17" t="s">
        <v>151</v>
      </c>
      <c r="EQ468" s="16" t="s">
        <v>151</v>
      </c>
      <c r="ER468" s="16" t="s">
        <v>151</v>
      </c>
      <c r="ES468" s="3">
        <f>HYPERLINK("https://my.pitchbook.com?c=114681-70","View Company Online")</f>
      </c>
    </row>
    <row r="469">
      <c r="A469" s="30" t="s">
        <v>9920</v>
      </c>
      <c r="B469" s="30" t="s">
        <v>9921</v>
      </c>
      <c r="C469" s="31" t="s">
        <v>151</v>
      </c>
      <c r="D469" s="30" t="s">
        <v>151</v>
      </c>
      <c r="E469" s="30" t="s">
        <v>151</v>
      </c>
      <c r="F469" s="30" t="s">
        <v>9922</v>
      </c>
      <c r="G469" s="30" t="s">
        <v>151</v>
      </c>
      <c r="H469" s="30" t="s">
        <v>151</v>
      </c>
      <c r="I469" s="30" t="s">
        <v>151</v>
      </c>
      <c r="J469" s="30" t="s">
        <v>9920</v>
      </c>
      <c r="K469" s="30" t="s">
        <v>9923</v>
      </c>
      <c r="L469" s="30" t="s">
        <v>1792</v>
      </c>
      <c r="M469" s="30" t="s">
        <v>5329</v>
      </c>
      <c r="N469" s="30" t="s">
        <v>9924</v>
      </c>
      <c r="O469" s="30" t="s">
        <v>9925</v>
      </c>
      <c r="P469" s="30" t="s">
        <v>9926</v>
      </c>
      <c r="Q469" s="30" t="s">
        <v>9927</v>
      </c>
      <c r="R469" s="30" t="s">
        <v>151</v>
      </c>
      <c r="S469" s="30" t="s">
        <v>162</v>
      </c>
      <c r="T469" s="37">
        <v>16.4</v>
      </c>
      <c r="U469" s="30" t="s">
        <v>163</v>
      </c>
      <c r="V469" s="30" t="s">
        <v>164</v>
      </c>
      <c r="W469" s="30" t="s">
        <v>420</v>
      </c>
      <c r="X469" s="28" t="s">
        <v>9928</v>
      </c>
      <c r="Y469" s="28" t="s">
        <v>9929</v>
      </c>
      <c r="Z469" s="40">
        <v>44</v>
      </c>
      <c r="AA469" s="30" t="s">
        <v>9930</v>
      </c>
      <c r="AB469" s="30" t="s">
        <v>151</v>
      </c>
      <c r="AC469" s="30" t="s">
        <v>151</v>
      </c>
      <c r="AD469" s="39">
        <v>2019</v>
      </c>
      <c r="AE469" s="30" t="s">
        <v>151</v>
      </c>
      <c r="AF469" s="35">
        <v>45533</v>
      </c>
      <c r="AG469" s="30" t="s">
        <v>151</v>
      </c>
      <c r="AH469" s="30" t="s">
        <v>151</v>
      </c>
      <c r="AI469" s="38" t="s">
        <v>151</v>
      </c>
      <c r="AJ469" s="32" t="s">
        <v>151</v>
      </c>
      <c r="AK469" s="38" t="s">
        <v>151</v>
      </c>
      <c r="AL469" s="38" t="s">
        <v>151</v>
      </c>
      <c r="AM469" s="38" t="s">
        <v>151</v>
      </c>
      <c r="AN469" s="38" t="s">
        <v>151</v>
      </c>
      <c r="AO469" s="38" t="s">
        <v>151</v>
      </c>
      <c r="AP469" s="38" t="s">
        <v>151</v>
      </c>
      <c r="AQ469" s="38" t="s">
        <v>151</v>
      </c>
      <c r="AR469" s="29" t="s">
        <v>151</v>
      </c>
      <c r="AS469" s="30" t="s">
        <v>9931</v>
      </c>
      <c r="AT469" s="30" t="s">
        <v>9932</v>
      </c>
      <c r="AU469" s="31">
        <v>18</v>
      </c>
      <c r="AV469" s="30" t="s">
        <v>151</v>
      </c>
      <c r="AW469" s="30" t="s">
        <v>151</v>
      </c>
      <c r="AX469" s="30" t="s">
        <v>151</v>
      </c>
      <c r="AY469" s="30" t="s">
        <v>9933</v>
      </c>
      <c r="AZ469" s="30" t="s">
        <v>151</v>
      </c>
      <c r="BA469" s="30" t="s">
        <v>151</v>
      </c>
      <c r="BB469" s="30" t="s">
        <v>151</v>
      </c>
      <c r="BC469" s="30" t="s">
        <v>9934</v>
      </c>
      <c r="BD469" s="30" t="s">
        <v>9935</v>
      </c>
      <c r="BE469" s="30" t="s">
        <v>9936</v>
      </c>
      <c r="BF469" s="30" t="s">
        <v>789</v>
      </c>
      <c r="BG469" s="30" t="s">
        <v>9937</v>
      </c>
      <c r="BH469" s="30" t="s">
        <v>151</v>
      </c>
      <c r="BI469" s="30" t="s">
        <v>764</v>
      </c>
      <c r="BJ469" s="30" t="s">
        <v>9938</v>
      </c>
      <c r="BK469" s="30" t="s">
        <v>9939</v>
      </c>
      <c r="BL469" s="30" t="s">
        <v>767</v>
      </c>
      <c r="BM469" s="30" t="s">
        <v>184</v>
      </c>
      <c r="BN469" s="29" t="s">
        <v>5006</v>
      </c>
      <c r="BO469" s="30" t="s">
        <v>186</v>
      </c>
      <c r="BP469" s="29" t="s">
        <v>151</v>
      </c>
      <c r="BQ469" s="29" t="s">
        <v>151</v>
      </c>
      <c r="BR469" s="30" t="s">
        <v>9940</v>
      </c>
      <c r="BS469" s="30" t="s">
        <v>187</v>
      </c>
      <c r="BT469" s="30" t="s">
        <v>188</v>
      </c>
      <c r="BU469" s="35">
        <v>43991</v>
      </c>
      <c r="BV469" s="37">
        <v>3.4</v>
      </c>
      <c r="BW469" s="30" t="s">
        <v>192</v>
      </c>
      <c r="BX469" s="37">
        <v>10.9</v>
      </c>
      <c r="BY469" s="30" t="s">
        <v>192</v>
      </c>
      <c r="BZ469" s="30" t="s">
        <v>293</v>
      </c>
      <c r="CA469" s="30" t="s">
        <v>293</v>
      </c>
      <c r="CB469" s="30" t="s">
        <v>151</v>
      </c>
      <c r="CC469" s="30" t="s">
        <v>165</v>
      </c>
      <c r="CD469" s="30" t="s">
        <v>151</v>
      </c>
      <c r="CE469" s="30" t="s">
        <v>191</v>
      </c>
      <c r="CF469" s="35">
        <v>45261</v>
      </c>
      <c r="CG469" s="37">
        <v>11.5</v>
      </c>
      <c r="CH469" s="30" t="s">
        <v>192</v>
      </c>
      <c r="CI469" s="37">
        <v>35.5</v>
      </c>
      <c r="CJ469" s="30" t="s">
        <v>193</v>
      </c>
      <c r="CK469" s="29" t="s">
        <v>151</v>
      </c>
      <c r="CL469" s="30" t="s">
        <v>231</v>
      </c>
      <c r="CM469" s="30" t="s">
        <v>232</v>
      </c>
      <c r="CN469" s="30" t="s">
        <v>151</v>
      </c>
      <c r="CO469" s="30" t="s">
        <v>165</v>
      </c>
      <c r="CP469" s="35">
        <v>45261</v>
      </c>
      <c r="CQ469" s="37" t="s">
        <v>151</v>
      </c>
      <c r="CR469" s="30" t="s">
        <v>151</v>
      </c>
      <c r="CS469" s="30" t="s">
        <v>191</v>
      </c>
      <c r="CT469" s="29">
        <v>91</v>
      </c>
      <c r="CU469" s="30" t="s">
        <v>196</v>
      </c>
      <c r="CV469" s="32">
        <v>84</v>
      </c>
      <c r="CW469" s="32">
        <v>16</v>
      </c>
      <c r="CX469" s="30" t="s">
        <v>294</v>
      </c>
      <c r="CY469" s="32">
        <v>1</v>
      </c>
      <c r="CZ469" s="32">
        <v>83</v>
      </c>
      <c r="DA469" s="37">
        <v>35.5</v>
      </c>
      <c r="DB469" s="35">
        <v>45261</v>
      </c>
      <c r="DC469" s="30" t="s">
        <v>231</v>
      </c>
      <c r="DD469" s="29" t="s">
        <v>151</v>
      </c>
      <c r="DE469" s="32">
        <v>0.57</v>
      </c>
      <c r="DF469" s="34">
        <v>94</v>
      </c>
      <c r="DG469" s="32">
        <v>0</v>
      </c>
      <c r="DH469" s="32">
        <v>0</v>
      </c>
      <c r="DI469" s="32">
        <v>-0.42</v>
      </c>
      <c r="DJ469" s="34">
        <v>7</v>
      </c>
      <c r="DK469" s="32" t="s">
        <v>151</v>
      </c>
      <c r="DL469" s="34" t="s">
        <v>151</v>
      </c>
      <c r="DM469" s="32">
        <v>-0.42</v>
      </c>
      <c r="DN469" s="34">
        <v>7</v>
      </c>
      <c r="DO469" s="36">
        <v>4.74</v>
      </c>
      <c r="DP469" s="34">
        <v>82</v>
      </c>
      <c r="DQ469" s="36">
        <v>0</v>
      </c>
      <c r="DR469" s="32">
        <v>0</v>
      </c>
      <c r="DS469" s="36">
        <v>6.11</v>
      </c>
      <c r="DT469" s="34">
        <v>85</v>
      </c>
      <c r="DU469" s="36" t="s">
        <v>151</v>
      </c>
      <c r="DV469" s="34" t="s">
        <v>151</v>
      </c>
      <c r="DW469" s="36">
        <v>6.11</v>
      </c>
      <c r="DX469" s="34">
        <v>84</v>
      </c>
      <c r="DY469" s="31" t="s">
        <v>151</v>
      </c>
      <c r="DZ469" s="35" t="s">
        <v>151</v>
      </c>
      <c r="EA469" s="35" t="s">
        <v>151</v>
      </c>
      <c r="EB469" s="34">
        <v>562</v>
      </c>
      <c r="EC469" s="33">
        <v>-56</v>
      </c>
      <c r="ED469" s="32">
        <v>-9.06</v>
      </c>
      <c r="EE469" s="34">
        <v>116</v>
      </c>
      <c r="EF469" s="33">
        <v>0</v>
      </c>
      <c r="EG469" s="32">
        <v>0</v>
      </c>
      <c r="EH469" s="29" t="s">
        <v>198</v>
      </c>
      <c r="EI469" s="30" t="s">
        <v>151</v>
      </c>
      <c r="EJ469" s="30" t="s">
        <v>151</v>
      </c>
      <c r="EK469" s="31" t="s">
        <v>151</v>
      </c>
      <c r="EL469" s="31" t="s">
        <v>151</v>
      </c>
      <c r="EM469" s="31" t="s">
        <v>151</v>
      </c>
      <c r="EN469" s="31" t="s">
        <v>151</v>
      </c>
      <c r="EO469" s="31" t="s">
        <v>151</v>
      </c>
      <c r="EP469" s="30" t="s">
        <v>151</v>
      </c>
      <c r="EQ469" s="29" t="s">
        <v>151</v>
      </c>
      <c r="ER469" s="29" t="s">
        <v>151</v>
      </c>
      <c r="ES469" s="4">
        <f>HYPERLINK("https://my.pitchbook.com?c=439158-07","View Company Online")</f>
      </c>
    </row>
    <row r="470">
      <c r="A470" s="17" t="s">
        <v>9941</v>
      </c>
      <c r="B470" s="17" t="s">
        <v>9942</v>
      </c>
      <c r="C470" s="18" t="s">
        <v>151</v>
      </c>
      <c r="D470" s="17" t="s">
        <v>151</v>
      </c>
      <c r="E470" s="17" t="s">
        <v>151</v>
      </c>
      <c r="F470" s="17" t="s">
        <v>9943</v>
      </c>
      <c r="G470" s="17" t="s">
        <v>151</v>
      </c>
      <c r="H470" s="17" t="s">
        <v>151</v>
      </c>
      <c r="I470" s="17" t="s">
        <v>151</v>
      </c>
      <c r="J470" s="17" t="s">
        <v>9941</v>
      </c>
      <c r="K470" s="17" t="s">
        <v>9944</v>
      </c>
      <c r="L470" s="17" t="s">
        <v>616</v>
      </c>
      <c r="M470" s="17" t="s">
        <v>834</v>
      </c>
      <c r="N470" s="17" t="s">
        <v>1246</v>
      </c>
      <c r="O470" s="17" t="s">
        <v>4080</v>
      </c>
      <c r="P470" s="17" t="s">
        <v>9945</v>
      </c>
      <c r="Q470" s="17" t="s">
        <v>9946</v>
      </c>
      <c r="R470" s="17" t="s">
        <v>151</v>
      </c>
      <c r="S470" s="17" t="s">
        <v>162</v>
      </c>
      <c r="T470" s="24">
        <v>10.79</v>
      </c>
      <c r="U470" s="17" t="s">
        <v>163</v>
      </c>
      <c r="V470" s="17" t="s">
        <v>164</v>
      </c>
      <c r="W470" s="17" t="s">
        <v>165</v>
      </c>
      <c r="X470" s="15" t="s">
        <v>9947</v>
      </c>
      <c r="Y470" s="15" t="s">
        <v>9948</v>
      </c>
      <c r="Z470" s="27">
        <v>46</v>
      </c>
      <c r="AA470" s="17" t="s">
        <v>9949</v>
      </c>
      <c r="AB470" s="17" t="s">
        <v>151</v>
      </c>
      <c r="AC470" s="17" t="s">
        <v>151</v>
      </c>
      <c r="AD470" s="26">
        <v>2020</v>
      </c>
      <c r="AE470" s="17" t="s">
        <v>151</v>
      </c>
      <c r="AF470" s="22">
        <v>45611</v>
      </c>
      <c r="AG470" s="17" t="s">
        <v>151</v>
      </c>
      <c r="AH470" s="17" t="s">
        <v>151</v>
      </c>
      <c r="AI470" s="25" t="s">
        <v>151</v>
      </c>
      <c r="AJ470" s="19" t="s">
        <v>151</v>
      </c>
      <c r="AK470" s="25" t="s">
        <v>151</v>
      </c>
      <c r="AL470" s="25" t="s">
        <v>151</v>
      </c>
      <c r="AM470" s="25" t="s">
        <v>151</v>
      </c>
      <c r="AN470" s="25" t="s">
        <v>151</v>
      </c>
      <c r="AO470" s="25" t="s">
        <v>151</v>
      </c>
      <c r="AP470" s="25" t="s">
        <v>151</v>
      </c>
      <c r="AQ470" s="25" t="s">
        <v>151</v>
      </c>
      <c r="AR470" s="16" t="s">
        <v>151</v>
      </c>
      <c r="AS470" s="17" t="s">
        <v>9950</v>
      </c>
      <c r="AT470" s="17" t="s">
        <v>9951</v>
      </c>
      <c r="AU470" s="18">
        <v>11</v>
      </c>
      <c r="AV470" s="17" t="s">
        <v>151</v>
      </c>
      <c r="AW470" s="17" t="s">
        <v>151</v>
      </c>
      <c r="AX470" s="17" t="s">
        <v>151</v>
      </c>
      <c r="AY470" s="17" t="s">
        <v>9952</v>
      </c>
      <c r="AZ470" s="17" t="s">
        <v>151</v>
      </c>
      <c r="BA470" s="17" t="s">
        <v>151</v>
      </c>
      <c r="BB470" s="17" t="s">
        <v>151</v>
      </c>
      <c r="BC470" s="17" t="s">
        <v>9953</v>
      </c>
      <c r="BD470" s="17" t="s">
        <v>9954</v>
      </c>
      <c r="BE470" s="17" t="s">
        <v>9955</v>
      </c>
      <c r="BF470" s="17" t="s">
        <v>430</v>
      </c>
      <c r="BG470" s="17" t="s">
        <v>9956</v>
      </c>
      <c r="BH470" s="17" t="s">
        <v>9957</v>
      </c>
      <c r="BI470" s="17" t="s">
        <v>9958</v>
      </c>
      <c r="BJ470" s="17" t="s">
        <v>9959</v>
      </c>
      <c r="BK470" s="17" t="s">
        <v>6424</v>
      </c>
      <c r="BL470" s="17" t="s">
        <v>9960</v>
      </c>
      <c r="BM470" s="17" t="s">
        <v>823</v>
      </c>
      <c r="BN470" s="16" t="s">
        <v>9961</v>
      </c>
      <c r="BO470" s="17" t="s">
        <v>186</v>
      </c>
      <c r="BP470" s="16" t="s">
        <v>151</v>
      </c>
      <c r="BQ470" s="16" t="s">
        <v>151</v>
      </c>
      <c r="BR470" s="17" t="s">
        <v>151</v>
      </c>
      <c r="BS470" s="17" t="s">
        <v>187</v>
      </c>
      <c r="BT470" s="17" t="s">
        <v>188</v>
      </c>
      <c r="BU470" s="22">
        <v>44609</v>
      </c>
      <c r="BV470" s="24">
        <v>5.79</v>
      </c>
      <c r="BW470" s="17" t="s">
        <v>192</v>
      </c>
      <c r="BX470" s="24">
        <v>13.5</v>
      </c>
      <c r="BY470" s="17" t="s">
        <v>192</v>
      </c>
      <c r="BZ470" s="17" t="s">
        <v>293</v>
      </c>
      <c r="CA470" s="17" t="s">
        <v>293</v>
      </c>
      <c r="CB470" s="17" t="s">
        <v>151</v>
      </c>
      <c r="CC470" s="17" t="s">
        <v>165</v>
      </c>
      <c r="CD470" s="17" t="s">
        <v>151</v>
      </c>
      <c r="CE470" s="17" t="s">
        <v>191</v>
      </c>
      <c r="CF470" s="22">
        <v>44873</v>
      </c>
      <c r="CG470" s="24">
        <v>5</v>
      </c>
      <c r="CH470" s="17" t="s">
        <v>192</v>
      </c>
      <c r="CI470" s="24">
        <v>65</v>
      </c>
      <c r="CJ470" s="17" t="s">
        <v>193</v>
      </c>
      <c r="CK470" s="16">
        <v>4.44</v>
      </c>
      <c r="CL470" s="17" t="s">
        <v>231</v>
      </c>
      <c r="CM470" s="17" t="s">
        <v>232</v>
      </c>
      <c r="CN470" s="17" t="s">
        <v>151</v>
      </c>
      <c r="CO470" s="17" t="s">
        <v>165</v>
      </c>
      <c r="CP470" s="22">
        <v>44873</v>
      </c>
      <c r="CQ470" s="24" t="s">
        <v>151</v>
      </c>
      <c r="CR470" s="17" t="s">
        <v>151</v>
      </c>
      <c r="CS470" s="17" t="s">
        <v>191</v>
      </c>
      <c r="CT470" s="16">
        <v>95</v>
      </c>
      <c r="CU470" s="17" t="s">
        <v>196</v>
      </c>
      <c r="CV470" s="19">
        <v>87</v>
      </c>
      <c r="CW470" s="19">
        <v>13</v>
      </c>
      <c r="CX470" s="17" t="s">
        <v>294</v>
      </c>
      <c r="CY470" s="19">
        <v>4</v>
      </c>
      <c r="CZ470" s="19">
        <v>83</v>
      </c>
      <c r="DA470" s="24">
        <v>65</v>
      </c>
      <c r="DB470" s="22">
        <v>44873</v>
      </c>
      <c r="DC470" s="17" t="s">
        <v>231</v>
      </c>
      <c r="DD470" s="16">
        <v>4.44</v>
      </c>
      <c r="DE470" s="19">
        <v>0.44</v>
      </c>
      <c r="DF470" s="21">
        <v>93</v>
      </c>
      <c r="DG470" s="19">
        <v>0</v>
      </c>
      <c r="DH470" s="19">
        <v>0</v>
      </c>
      <c r="DI470" s="19">
        <v>0.44</v>
      </c>
      <c r="DJ470" s="21">
        <v>95</v>
      </c>
      <c r="DK470" s="19" t="s">
        <v>151</v>
      </c>
      <c r="DL470" s="21" t="s">
        <v>151</v>
      </c>
      <c r="DM470" s="19">
        <v>0.44</v>
      </c>
      <c r="DN470" s="21">
        <v>95</v>
      </c>
      <c r="DO470" s="23">
        <v>7.58</v>
      </c>
      <c r="DP470" s="21">
        <v>87</v>
      </c>
      <c r="DQ470" s="23">
        <v>0</v>
      </c>
      <c r="DR470" s="19">
        <v>0</v>
      </c>
      <c r="DS470" s="23">
        <v>7.58</v>
      </c>
      <c r="DT470" s="21">
        <v>87</v>
      </c>
      <c r="DU470" s="23" t="s">
        <v>151</v>
      </c>
      <c r="DV470" s="21" t="s">
        <v>151</v>
      </c>
      <c r="DW470" s="23">
        <v>7.58</v>
      </c>
      <c r="DX470" s="21">
        <v>87</v>
      </c>
      <c r="DY470" s="18" t="s">
        <v>151</v>
      </c>
      <c r="DZ470" s="22" t="s">
        <v>151</v>
      </c>
      <c r="EA470" s="22" t="s">
        <v>151</v>
      </c>
      <c r="EB470" s="21">
        <v>1055</v>
      </c>
      <c r="EC470" s="20">
        <v>-178</v>
      </c>
      <c r="ED470" s="19">
        <v>-14.44</v>
      </c>
      <c r="EE470" s="21">
        <v>144</v>
      </c>
      <c r="EF470" s="20">
        <v>0</v>
      </c>
      <c r="EG470" s="19">
        <v>0</v>
      </c>
      <c r="EH470" s="16" t="s">
        <v>198</v>
      </c>
      <c r="EI470" s="17" t="s">
        <v>151</v>
      </c>
      <c r="EJ470" s="17" t="s">
        <v>151</v>
      </c>
      <c r="EK470" s="18" t="s">
        <v>151</v>
      </c>
      <c r="EL470" s="18" t="s">
        <v>151</v>
      </c>
      <c r="EM470" s="18" t="s">
        <v>151</v>
      </c>
      <c r="EN470" s="18" t="s">
        <v>151</v>
      </c>
      <c r="EO470" s="18" t="s">
        <v>151</v>
      </c>
      <c r="EP470" s="17" t="s">
        <v>151</v>
      </c>
      <c r="EQ470" s="16" t="s">
        <v>151</v>
      </c>
      <c r="ER470" s="16" t="s">
        <v>151</v>
      </c>
      <c r="ES470" s="3">
        <f>HYPERLINK("https://my.pitchbook.com?c=443202-04","View Company Online")</f>
      </c>
    </row>
    <row r="471">
      <c r="A471" s="30" t="s">
        <v>9962</v>
      </c>
      <c r="B471" s="30" t="s">
        <v>9963</v>
      </c>
      <c r="C471" s="31" t="s">
        <v>151</v>
      </c>
      <c r="D471" s="30" t="s">
        <v>151</v>
      </c>
      <c r="E471" s="30" t="s">
        <v>151</v>
      </c>
      <c r="F471" s="30" t="s">
        <v>9964</v>
      </c>
      <c r="G471" s="30" t="s">
        <v>151</v>
      </c>
      <c r="H471" s="30" t="s">
        <v>151</v>
      </c>
      <c r="I471" s="30" t="s">
        <v>151</v>
      </c>
      <c r="J471" s="30" t="s">
        <v>9962</v>
      </c>
      <c r="K471" s="30" t="s">
        <v>9965</v>
      </c>
      <c r="L471" s="30" t="s">
        <v>205</v>
      </c>
      <c r="M471" s="30" t="s">
        <v>206</v>
      </c>
      <c r="N471" s="30" t="s">
        <v>1130</v>
      </c>
      <c r="O471" s="30" t="s">
        <v>9966</v>
      </c>
      <c r="P471" s="30" t="s">
        <v>1132</v>
      </c>
      <c r="Q471" s="30" t="s">
        <v>9967</v>
      </c>
      <c r="R471" s="30" t="s">
        <v>151</v>
      </c>
      <c r="S471" s="30" t="s">
        <v>162</v>
      </c>
      <c r="T471" s="37">
        <v>5</v>
      </c>
      <c r="U471" s="30" t="s">
        <v>163</v>
      </c>
      <c r="V471" s="30" t="s">
        <v>164</v>
      </c>
      <c r="W471" s="30" t="s">
        <v>165</v>
      </c>
      <c r="X471" s="28" t="s">
        <v>9968</v>
      </c>
      <c r="Y471" s="28" t="s">
        <v>9969</v>
      </c>
      <c r="Z471" s="40">
        <v>14</v>
      </c>
      <c r="AA471" s="30" t="s">
        <v>9970</v>
      </c>
      <c r="AB471" s="30" t="s">
        <v>151</v>
      </c>
      <c r="AC471" s="30" t="s">
        <v>151</v>
      </c>
      <c r="AD471" s="39">
        <v>2020</v>
      </c>
      <c r="AE471" s="30" t="s">
        <v>151</v>
      </c>
      <c r="AF471" s="35">
        <v>45505</v>
      </c>
      <c r="AG471" s="30" t="s">
        <v>151</v>
      </c>
      <c r="AH471" s="30" t="s">
        <v>151</v>
      </c>
      <c r="AI471" s="38" t="s">
        <v>151</v>
      </c>
      <c r="AJ471" s="32" t="s">
        <v>151</v>
      </c>
      <c r="AK471" s="38" t="s">
        <v>151</v>
      </c>
      <c r="AL471" s="38" t="s">
        <v>151</v>
      </c>
      <c r="AM471" s="38" t="s">
        <v>151</v>
      </c>
      <c r="AN471" s="38" t="s">
        <v>151</v>
      </c>
      <c r="AO471" s="38" t="s">
        <v>151</v>
      </c>
      <c r="AP471" s="38" t="s">
        <v>151</v>
      </c>
      <c r="AQ471" s="38" t="s">
        <v>151</v>
      </c>
      <c r="AR471" s="29" t="s">
        <v>151</v>
      </c>
      <c r="AS471" s="30" t="s">
        <v>9971</v>
      </c>
      <c r="AT471" s="30" t="s">
        <v>9972</v>
      </c>
      <c r="AU471" s="31">
        <v>3</v>
      </c>
      <c r="AV471" s="30" t="s">
        <v>151</v>
      </c>
      <c r="AW471" s="30" t="s">
        <v>151</v>
      </c>
      <c r="AX471" s="30" t="s">
        <v>151</v>
      </c>
      <c r="AY471" s="30" t="s">
        <v>9973</v>
      </c>
      <c r="AZ471" s="30" t="s">
        <v>151</v>
      </c>
      <c r="BA471" s="30" t="s">
        <v>151</v>
      </c>
      <c r="BB471" s="30" t="s">
        <v>151</v>
      </c>
      <c r="BC471" s="30" t="s">
        <v>151</v>
      </c>
      <c r="BD471" s="30" t="s">
        <v>9974</v>
      </c>
      <c r="BE471" s="30" t="s">
        <v>9975</v>
      </c>
      <c r="BF471" s="30" t="s">
        <v>9976</v>
      </c>
      <c r="BG471" s="30" t="s">
        <v>9977</v>
      </c>
      <c r="BH471" s="30" t="s">
        <v>9978</v>
      </c>
      <c r="BI471" s="30" t="s">
        <v>9979</v>
      </c>
      <c r="BJ471" s="30" t="s">
        <v>9980</v>
      </c>
      <c r="BK471" s="30" t="s">
        <v>151</v>
      </c>
      <c r="BL471" s="30" t="s">
        <v>9981</v>
      </c>
      <c r="BM471" s="30" t="s">
        <v>525</v>
      </c>
      <c r="BN471" s="29" t="s">
        <v>9982</v>
      </c>
      <c r="BO471" s="30" t="s">
        <v>186</v>
      </c>
      <c r="BP471" s="29" t="s">
        <v>151</v>
      </c>
      <c r="BQ471" s="29" t="s">
        <v>151</v>
      </c>
      <c r="BR471" s="30" t="s">
        <v>9983</v>
      </c>
      <c r="BS471" s="30" t="s">
        <v>187</v>
      </c>
      <c r="BT471" s="30" t="s">
        <v>188</v>
      </c>
      <c r="BU471" s="35">
        <v>44658</v>
      </c>
      <c r="BV471" s="37">
        <v>5</v>
      </c>
      <c r="BW471" s="30" t="s">
        <v>192</v>
      </c>
      <c r="BX471" s="37" t="s">
        <v>151</v>
      </c>
      <c r="BY471" s="30" t="s">
        <v>151</v>
      </c>
      <c r="BZ471" s="30" t="s">
        <v>231</v>
      </c>
      <c r="CA471" s="30" t="s">
        <v>151</v>
      </c>
      <c r="CB471" s="30" t="s">
        <v>151</v>
      </c>
      <c r="CC471" s="30" t="s">
        <v>165</v>
      </c>
      <c r="CD471" s="30" t="s">
        <v>355</v>
      </c>
      <c r="CE471" s="30" t="s">
        <v>191</v>
      </c>
      <c r="CF471" s="35">
        <v>44658</v>
      </c>
      <c r="CG471" s="37">
        <v>5</v>
      </c>
      <c r="CH471" s="30" t="s">
        <v>192</v>
      </c>
      <c r="CI471" s="37" t="s">
        <v>151</v>
      </c>
      <c r="CJ471" s="30" t="s">
        <v>151</v>
      </c>
      <c r="CK471" s="29" t="s">
        <v>151</v>
      </c>
      <c r="CL471" s="30" t="s">
        <v>231</v>
      </c>
      <c r="CM471" s="30" t="s">
        <v>151</v>
      </c>
      <c r="CN471" s="30" t="s">
        <v>151</v>
      </c>
      <c r="CO471" s="30" t="s">
        <v>165</v>
      </c>
      <c r="CP471" s="35">
        <v>44658</v>
      </c>
      <c r="CQ471" s="37" t="s">
        <v>151</v>
      </c>
      <c r="CR471" s="30" t="s">
        <v>355</v>
      </c>
      <c r="CS471" s="30" t="s">
        <v>191</v>
      </c>
      <c r="CT471" s="29" t="s">
        <v>151</v>
      </c>
      <c r="CU471" s="30" t="s">
        <v>151</v>
      </c>
      <c r="CV471" s="32" t="s">
        <v>151</v>
      </c>
      <c r="CW471" s="32" t="s">
        <v>151</v>
      </c>
      <c r="CX471" s="30" t="s">
        <v>151</v>
      </c>
      <c r="CY471" s="32" t="s">
        <v>151</v>
      </c>
      <c r="CZ471" s="32" t="s">
        <v>151</v>
      </c>
      <c r="DA471" s="37" t="s">
        <v>151</v>
      </c>
      <c r="DB471" s="35" t="s">
        <v>151</v>
      </c>
      <c r="DC471" s="30" t="s">
        <v>151</v>
      </c>
      <c r="DD471" s="29" t="s">
        <v>151</v>
      </c>
      <c r="DE471" s="32">
        <v>0</v>
      </c>
      <c r="DF471" s="34">
        <v>11</v>
      </c>
      <c r="DG471" s="32">
        <v>0</v>
      </c>
      <c r="DH471" s="32">
        <v>0</v>
      </c>
      <c r="DI471" s="32" t="s">
        <v>151</v>
      </c>
      <c r="DJ471" s="34" t="s">
        <v>151</v>
      </c>
      <c r="DK471" s="32" t="s">
        <v>151</v>
      </c>
      <c r="DL471" s="34" t="s">
        <v>151</v>
      </c>
      <c r="DM471" s="32" t="s">
        <v>151</v>
      </c>
      <c r="DN471" s="34" t="s">
        <v>151</v>
      </c>
      <c r="DO471" s="36">
        <v>1.08</v>
      </c>
      <c r="DP471" s="34">
        <v>52</v>
      </c>
      <c r="DQ471" s="36">
        <v>0</v>
      </c>
      <c r="DR471" s="32">
        <v>0</v>
      </c>
      <c r="DS471" s="36" t="s">
        <v>151</v>
      </c>
      <c r="DT471" s="34" t="s">
        <v>151</v>
      </c>
      <c r="DU471" s="36" t="s">
        <v>151</v>
      </c>
      <c r="DV471" s="34" t="s">
        <v>151</v>
      </c>
      <c r="DW471" s="36" t="s">
        <v>151</v>
      </c>
      <c r="DX471" s="34" t="s">
        <v>151</v>
      </c>
      <c r="DY471" s="31" t="s">
        <v>151</v>
      </c>
      <c r="DZ471" s="35" t="s">
        <v>151</v>
      </c>
      <c r="EA471" s="35" t="s">
        <v>151</v>
      </c>
      <c r="EB471" s="34">
        <v>130</v>
      </c>
      <c r="EC471" s="33">
        <v>-11</v>
      </c>
      <c r="ED471" s="32">
        <v>-7.8</v>
      </c>
      <c r="EE471" s="34" t="s">
        <v>151</v>
      </c>
      <c r="EF471" s="33" t="s">
        <v>151</v>
      </c>
      <c r="EG471" s="32" t="s">
        <v>151</v>
      </c>
      <c r="EH471" s="29" t="s">
        <v>198</v>
      </c>
      <c r="EI471" s="30" t="s">
        <v>151</v>
      </c>
      <c r="EJ471" s="30" t="s">
        <v>151</v>
      </c>
      <c r="EK471" s="31" t="s">
        <v>151</v>
      </c>
      <c r="EL471" s="31" t="s">
        <v>151</v>
      </c>
      <c r="EM471" s="31" t="s">
        <v>151</v>
      </c>
      <c r="EN471" s="31" t="s">
        <v>151</v>
      </c>
      <c r="EO471" s="31" t="s">
        <v>151</v>
      </c>
      <c r="EP471" s="30" t="s">
        <v>151</v>
      </c>
      <c r="EQ471" s="29" t="s">
        <v>151</v>
      </c>
      <c r="ER471" s="29" t="s">
        <v>151</v>
      </c>
      <c r="ES471" s="4">
        <f>HYPERLINK("https://my.pitchbook.com?c=491392-72","View Company Online")</f>
      </c>
    </row>
    <row r="472">
      <c r="A472" s="17" t="s">
        <v>9984</v>
      </c>
      <c r="B472" s="17" t="s">
        <v>9985</v>
      </c>
      <c r="C472" s="18" t="s">
        <v>151</v>
      </c>
      <c r="D472" s="17" t="s">
        <v>151</v>
      </c>
      <c r="E472" s="17" t="s">
        <v>151</v>
      </c>
      <c r="F472" s="17" t="s">
        <v>9986</v>
      </c>
      <c r="G472" s="17" t="s">
        <v>151</v>
      </c>
      <c r="H472" s="17" t="s">
        <v>151</v>
      </c>
      <c r="I472" s="17" t="s">
        <v>151</v>
      </c>
      <c r="J472" s="17" t="s">
        <v>9984</v>
      </c>
      <c r="K472" s="17" t="s">
        <v>9987</v>
      </c>
      <c r="L472" s="17" t="s">
        <v>155</v>
      </c>
      <c r="M472" s="17" t="s">
        <v>2320</v>
      </c>
      <c r="N472" s="17" t="s">
        <v>6367</v>
      </c>
      <c r="O472" s="17" t="s">
        <v>9988</v>
      </c>
      <c r="P472" s="17" t="s">
        <v>9989</v>
      </c>
      <c r="Q472" s="17" t="s">
        <v>9990</v>
      </c>
      <c r="R472" s="17" t="s">
        <v>151</v>
      </c>
      <c r="S472" s="17" t="s">
        <v>162</v>
      </c>
      <c r="T472" s="24">
        <v>1</v>
      </c>
      <c r="U472" s="17" t="s">
        <v>1870</v>
      </c>
      <c r="V472" s="17" t="s">
        <v>164</v>
      </c>
      <c r="W472" s="17" t="s">
        <v>165</v>
      </c>
      <c r="X472" s="15" t="s">
        <v>9991</v>
      </c>
      <c r="Y472" s="15" t="s">
        <v>9992</v>
      </c>
      <c r="Z472" s="27">
        <v>8</v>
      </c>
      <c r="AA472" s="17" t="s">
        <v>9993</v>
      </c>
      <c r="AB472" s="17" t="s">
        <v>151</v>
      </c>
      <c r="AC472" s="17" t="s">
        <v>151</v>
      </c>
      <c r="AD472" s="26">
        <v>2021</v>
      </c>
      <c r="AE472" s="17" t="s">
        <v>151</v>
      </c>
      <c r="AF472" s="22">
        <v>45595</v>
      </c>
      <c r="AG472" s="17" t="s">
        <v>151</v>
      </c>
      <c r="AH472" s="17" t="s">
        <v>151</v>
      </c>
      <c r="AI472" s="25" t="s">
        <v>151</v>
      </c>
      <c r="AJ472" s="19" t="s">
        <v>151</v>
      </c>
      <c r="AK472" s="25" t="s">
        <v>151</v>
      </c>
      <c r="AL472" s="25" t="s">
        <v>151</v>
      </c>
      <c r="AM472" s="25" t="s">
        <v>151</v>
      </c>
      <c r="AN472" s="25" t="s">
        <v>151</v>
      </c>
      <c r="AO472" s="25" t="s">
        <v>151</v>
      </c>
      <c r="AP472" s="25" t="s">
        <v>151</v>
      </c>
      <c r="AQ472" s="25" t="s">
        <v>151</v>
      </c>
      <c r="AR472" s="16" t="s">
        <v>151</v>
      </c>
      <c r="AS472" s="17" t="s">
        <v>9994</v>
      </c>
      <c r="AT472" s="17" t="s">
        <v>9995</v>
      </c>
      <c r="AU472" s="18">
        <v>6</v>
      </c>
      <c r="AV472" s="17" t="s">
        <v>151</v>
      </c>
      <c r="AW472" s="17" t="s">
        <v>151</v>
      </c>
      <c r="AX472" s="17" t="s">
        <v>151</v>
      </c>
      <c r="AY472" s="17" t="s">
        <v>9996</v>
      </c>
      <c r="AZ472" s="17" t="s">
        <v>151</v>
      </c>
      <c r="BA472" s="17" t="s">
        <v>151</v>
      </c>
      <c r="BB472" s="17" t="s">
        <v>151</v>
      </c>
      <c r="BC472" s="17" t="s">
        <v>151</v>
      </c>
      <c r="BD472" s="17" t="s">
        <v>9997</v>
      </c>
      <c r="BE472" s="17" t="s">
        <v>9998</v>
      </c>
      <c r="BF472" s="17" t="s">
        <v>403</v>
      </c>
      <c r="BG472" s="17" t="s">
        <v>9999</v>
      </c>
      <c r="BH472" s="17" t="s">
        <v>10000</v>
      </c>
      <c r="BI472" s="17" t="s">
        <v>10001</v>
      </c>
      <c r="BJ472" s="17" t="s">
        <v>10002</v>
      </c>
      <c r="BK472" s="17" t="s">
        <v>10003</v>
      </c>
      <c r="BL472" s="17" t="s">
        <v>10004</v>
      </c>
      <c r="BM472" s="17" t="s">
        <v>184</v>
      </c>
      <c r="BN472" s="16" t="s">
        <v>10005</v>
      </c>
      <c r="BO472" s="17" t="s">
        <v>186</v>
      </c>
      <c r="BP472" s="16" t="s">
        <v>10000</v>
      </c>
      <c r="BQ472" s="16" t="s">
        <v>151</v>
      </c>
      <c r="BR472" s="17" t="s">
        <v>10006</v>
      </c>
      <c r="BS472" s="17" t="s">
        <v>187</v>
      </c>
      <c r="BT472" s="17" t="s">
        <v>188</v>
      </c>
      <c r="BU472" s="22">
        <v>44562</v>
      </c>
      <c r="BV472" s="24" t="s">
        <v>151</v>
      </c>
      <c r="BW472" s="17" t="s">
        <v>151</v>
      </c>
      <c r="BX472" s="24" t="s">
        <v>151</v>
      </c>
      <c r="BY472" s="17" t="s">
        <v>151</v>
      </c>
      <c r="BZ472" s="17" t="s">
        <v>189</v>
      </c>
      <c r="CA472" s="17" t="s">
        <v>151</v>
      </c>
      <c r="CB472" s="17" t="s">
        <v>151</v>
      </c>
      <c r="CC472" s="17" t="s">
        <v>190</v>
      </c>
      <c r="CD472" s="17" t="s">
        <v>151</v>
      </c>
      <c r="CE472" s="17" t="s">
        <v>191</v>
      </c>
      <c r="CF472" s="22">
        <v>44859</v>
      </c>
      <c r="CG472" s="24">
        <v>1</v>
      </c>
      <c r="CH472" s="17" t="s">
        <v>192</v>
      </c>
      <c r="CI472" s="24">
        <v>6</v>
      </c>
      <c r="CJ472" s="17" t="s">
        <v>192</v>
      </c>
      <c r="CK472" s="16" t="s">
        <v>151</v>
      </c>
      <c r="CL472" s="17" t="s">
        <v>293</v>
      </c>
      <c r="CM472" s="17" t="s">
        <v>293</v>
      </c>
      <c r="CN472" s="17" t="s">
        <v>151</v>
      </c>
      <c r="CO472" s="17" t="s">
        <v>165</v>
      </c>
      <c r="CP472" s="22">
        <v>44859</v>
      </c>
      <c r="CQ472" s="24" t="s">
        <v>151</v>
      </c>
      <c r="CR472" s="17" t="s">
        <v>151</v>
      </c>
      <c r="CS472" s="17" t="s">
        <v>191</v>
      </c>
      <c r="CT472" s="16" t="s">
        <v>151</v>
      </c>
      <c r="CU472" s="17" t="s">
        <v>151</v>
      </c>
      <c r="CV472" s="19" t="s">
        <v>151</v>
      </c>
      <c r="CW472" s="19" t="s">
        <v>151</v>
      </c>
      <c r="CX472" s="17" t="s">
        <v>151</v>
      </c>
      <c r="CY472" s="19" t="s">
        <v>151</v>
      </c>
      <c r="CZ472" s="19" t="s">
        <v>151</v>
      </c>
      <c r="DA472" s="24">
        <v>6</v>
      </c>
      <c r="DB472" s="22">
        <v>44859</v>
      </c>
      <c r="DC472" s="17" t="s">
        <v>293</v>
      </c>
      <c r="DD472" s="16" t="s">
        <v>151</v>
      </c>
      <c r="DE472" s="19">
        <v>-1.66</v>
      </c>
      <c r="DF472" s="21">
        <v>3</v>
      </c>
      <c r="DG472" s="19">
        <v>0</v>
      </c>
      <c r="DH472" s="19">
        <v>0</v>
      </c>
      <c r="DI472" s="19">
        <v>-1.66</v>
      </c>
      <c r="DJ472" s="21">
        <v>3</v>
      </c>
      <c r="DK472" s="19" t="s">
        <v>151</v>
      </c>
      <c r="DL472" s="21" t="s">
        <v>151</v>
      </c>
      <c r="DM472" s="19">
        <v>-1.66</v>
      </c>
      <c r="DN472" s="21">
        <v>2</v>
      </c>
      <c r="DO472" s="23">
        <v>11.26</v>
      </c>
      <c r="DP472" s="21">
        <v>91</v>
      </c>
      <c r="DQ472" s="23">
        <v>0</v>
      </c>
      <c r="DR472" s="19">
        <v>0</v>
      </c>
      <c r="DS472" s="23">
        <v>11.26</v>
      </c>
      <c r="DT472" s="21">
        <v>91</v>
      </c>
      <c r="DU472" s="23" t="s">
        <v>151</v>
      </c>
      <c r="DV472" s="21" t="s">
        <v>151</v>
      </c>
      <c r="DW472" s="23">
        <v>11.26</v>
      </c>
      <c r="DX472" s="21">
        <v>91</v>
      </c>
      <c r="DY472" s="18" t="s">
        <v>151</v>
      </c>
      <c r="DZ472" s="22" t="s">
        <v>151</v>
      </c>
      <c r="EA472" s="22" t="s">
        <v>151</v>
      </c>
      <c r="EB472" s="21" t="s">
        <v>151</v>
      </c>
      <c r="EC472" s="20" t="s">
        <v>151</v>
      </c>
      <c r="ED472" s="19" t="s">
        <v>151</v>
      </c>
      <c r="EE472" s="21">
        <v>214</v>
      </c>
      <c r="EF472" s="20">
        <v>0</v>
      </c>
      <c r="EG472" s="19">
        <v>0</v>
      </c>
      <c r="EH472" s="16" t="s">
        <v>198</v>
      </c>
      <c r="EI472" s="17" t="s">
        <v>151</v>
      </c>
      <c r="EJ472" s="17" t="s">
        <v>151</v>
      </c>
      <c r="EK472" s="18" t="s">
        <v>151</v>
      </c>
      <c r="EL472" s="18" t="s">
        <v>151</v>
      </c>
      <c r="EM472" s="18" t="s">
        <v>151</v>
      </c>
      <c r="EN472" s="18" t="s">
        <v>151</v>
      </c>
      <c r="EO472" s="18" t="s">
        <v>151</v>
      </c>
      <c r="EP472" s="17" t="s">
        <v>151</v>
      </c>
      <c r="EQ472" s="16" t="s">
        <v>151</v>
      </c>
      <c r="ER472" s="16" t="s">
        <v>151</v>
      </c>
      <c r="ES472" s="3">
        <f>HYPERLINK("https://my.pitchbook.com?c=496453-96","View Company Online")</f>
      </c>
    </row>
    <row r="473">
      <c r="A473" s="30" t="s">
        <v>10007</v>
      </c>
      <c r="B473" s="30" t="s">
        <v>10008</v>
      </c>
      <c r="C473" s="31" t="s">
        <v>151</v>
      </c>
      <c r="D473" s="30" t="s">
        <v>151</v>
      </c>
      <c r="E473" s="30" t="s">
        <v>151</v>
      </c>
      <c r="F473" s="30" t="s">
        <v>10009</v>
      </c>
      <c r="G473" s="30" t="s">
        <v>151</v>
      </c>
      <c r="H473" s="30" t="s">
        <v>151</v>
      </c>
      <c r="I473" s="30" t="s">
        <v>10010</v>
      </c>
      <c r="J473" s="30" t="s">
        <v>10007</v>
      </c>
      <c r="K473" s="30" t="s">
        <v>10011</v>
      </c>
      <c r="L473" s="30" t="s">
        <v>616</v>
      </c>
      <c r="M473" s="30" t="s">
        <v>834</v>
      </c>
      <c r="N473" s="30" t="s">
        <v>835</v>
      </c>
      <c r="O473" s="30" t="s">
        <v>1992</v>
      </c>
      <c r="P473" s="30" t="s">
        <v>10012</v>
      </c>
      <c r="Q473" s="30" t="s">
        <v>10013</v>
      </c>
      <c r="R473" s="30" t="s">
        <v>780</v>
      </c>
      <c r="S473" s="30" t="s">
        <v>162</v>
      </c>
      <c r="T473" s="37">
        <v>4.06</v>
      </c>
      <c r="U473" s="30" t="s">
        <v>163</v>
      </c>
      <c r="V473" s="30" t="s">
        <v>164</v>
      </c>
      <c r="W473" s="30" t="s">
        <v>165</v>
      </c>
      <c r="X473" s="28" t="s">
        <v>10014</v>
      </c>
      <c r="Y473" s="28" t="s">
        <v>10015</v>
      </c>
      <c r="Z473" s="40">
        <v>20</v>
      </c>
      <c r="AA473" s="30" t="s">
        <v>10016</v>
      </c>
      <c r="AB473" s="30" t="s">
        <v>151</v>
      </c>
      <c r="AC473" s="30" t="s">
        <v>151</v>
      </c>
      <c r="AD473" s="39">
        <v>2017</v>
      </c>
      <c r="AE473" s="30" t="s">
        <v>151</v>
      </c>
      <c r="AF473" s="35">
        <v>45580</v>
      </c>
      <c r="AG473" s="30" t="s">
        <v>151</v>
      </c>
      <c r="AH473" s="30" t="s">
        <v>151</v>
      </c>
      <c r="AI473" s="38" t="s">
        <v>151</v>
      </c>
      <c r="AJ473" s="32" t="s">
        <v>151</v>
      </c>
      <c r="AK473" s="38" t="s">
        <v>151</v>
      </c>
      <c r="AL473" s="38" t="s">
        <v>151</v>
      </c>
      <c r="AM473" s="38" t="s">
        <v>151</v>
      </c>
      <c r="AN473" s="38" t="s">
        <v>151</v>
      </c>
      <c r="AO473" s="38" t="s">
        <v>151</v>
      </c>
      <c r="AP473" s="38" t="s">
        <v>151</v>
      </c>
      <c r="AQ473" s="38" t="s">
        <v>151</v>
      </c>
      <c r="AR473" s="29" t="s">
        <v>151</v>
      </c>
      <c r="AS473" s="30" t="s">
        <v>10017</v>
      </c>
      <c r="AT473" s="30" t="s">
        <v>10018</v>
      </c>
      <c r="AU473" s="31">
        <v>5</v>
      </c>
      <c r="AV473" s="30" t="s">
        <v>151</v>
      </c>
      <c r="AW473" s="30" t="s">
        <v>151</v>
      </c>
      <c r="AX473" s="30" t="s">
        <v>151</v>
      </c>
      <c r="AY473" s="30" t="s">
        <v>10019</v>
      </c>
      <c r="AZ473" s="30" t="s">
        <v>151</v>
      </c>
      <c r="BA473" s="30" t="s">
        <v>151</v>
      </c>
      <c r="BB473" s="30" t="s">
        <v>10020</v>
      </c>
      <c r="BC473" s="30" t="s">
        <v>10021</v>
      </c>
      <c r="BD473" s="30" t="s">
        <v>10022</v>
      </c>
      <c r="BE473" s="30" t="s">
        <v>10023</v>
      </c>
      <c r="BF473" s="30" t="s">
        <v>282</v>
      </c>
      <c r="BG473" s="30" t="s">
        <v>10024</v>
      </c>
      <c r="BH473" s="30" t="s">
        <v>10025</v>
      </c>
      <c r="BI473" s="30" t="s">
        <v>1040</v>
      </c>
      <c r="BJ473" s="30" t="s">
        <v>10026</v>
      </c>
      <c r="BK473" s="30" t="s">
        <v>10027</v>
      </c>
      <c r="BL473" s="30" t="s">
        <v>1042</v>
      </c>
      <c r="BM473" s="30" t="s">
        <v>1043</v>
      </c>
      <c r="BN473" s="29" t="s">
        <v>3783</v>
      </c>
      <c r="BO473" s="30" t="s">
        <v>186</v>
      </c>
      <c r="BP473" s="29" t="s">
        <v>151</v>
      </c>
      <c r="BQ473" s="29" t="s">
        <v>151</v>
      </c>
      <c r="BR473" s="30" t="s">
        <v>10028</v>
      </c>
      <c r="BS473" s="30" t="s">
        <v>187</v>
      </c>
      <c r="BT473" s="30" t="s">
        <v>188</v>
      </c>
      <c r="BU473" s="35">
        <v>44070</v>
      </c>
      <c r="BV473" s="37">
        <v>0.3</v>
      </c>
      <c r="BW473" s="30" t="s">
        <v>192</v>
      </c>
      <c r="BX473" s="37">
        <v>3.1</v>
      </c>
      <c r="BY473" s="30" t="s">
        <v>192</v>
      </c>
      <c r="BZ473" s="30" t="s">
        <v>189</v>
      </c>
      <c r="CA473" s="30" t="s">
        <v>151</v>
      </c>
      <c r="CB473" s="30" t="s">
        <v>151</v>
      </c>
      <c r="CC473" s="30" t="s">
        <v>190</v>
      </c>
      <c r="CD473" s="30" t="s">
        <v>151</v>
      </c>
      <c r="CE473" s="30" t="s">
        <v>191</v>
      </c>
      <c r="CF473" s="35" t="s">
        <v>151</v>
      </c>
      <c r="CG473" s="37">
        <v>3.5</v>
      </c>
      <c r="CH473" s="30" t="s">
        <v>192</v>
      </c>
      <c r="CI473" s="37">
        <v>23.5</v>
      </c>
      <c r="CJ473" s="30" t="s">
        <v>193</v>
      </c>
      <c r="CK473" s="29">
        <v>2</v>
      </c>
      <c r="CL473" s="30" t="s">
        <v>293</v>
      </c>
      <c r="CM473" s="30" t="s">
        <v>293</v>
      </c>
      <c r="CN473" s="30" t="s">
        <v>151</v>
      </c>
      <c r="CO473" s="30" t="s">
        <v>165</v>
      </c>
      <c r="CP473" s="35" t="s">
        <v>151</v>
      </c>
      <c r="CQ473" s="37" t="s">
        <v>151</v>
      </c>
      <c r="CR473" s="30" t="s">
        <v>151</v>
      </c>
      <c r="CS473" s="30" t="s">
        <v>191</v>
      </c>
      <c r="CT473" s="29">
        <v>73</v>
      </c>
      <c r="CU473" s="30" t="s">
        <v>196</v>
      </c>
      <c r="CV473" s="32">
        <v>67</v>
      </c>
      <c r="CW473" s="32">
        <v>33</v>
      </c>
      <c r="CX473" s="30" t="s">
        <v>294</v>
      </c>
      <c r="CY473" s="32">
        <v>2</v>
      </c>
      <c r="CZ473" s="32">
        <v>65</v>
      </c>
      <c r="DA473" s="37">
        <v>23.5</v>
      </c>
      <c r="DB473" s="35" t="s">
        <v>151</v>
      </c>
      <c r="DC473" s="30" t="s">
        <v>293</v>
      </c>
      <c r="DD473" s="29">
        <v>2</v>
      </c>
      <c r="DE473" s="32">
        <v>-0.46</v>
      </c>
      <c r="DF473" s="34">
        <v>7</v>
      </c>
      <c r="DG473" s="32">
        <v>0</v>
      </c>
      <c r="DH473" s="32">
        <v>0</v>
      </c>
      <c r="DI473" s="32">
        <v>-0.46</v>
      </c>
      <c r="DJ473" s="34">
        <v>7</v>
      </c>
      <c r="DK473" s="32">
        <v>0</v>
      </c>
      <c r="DL473" s="34">
        <v>11</v>
      </c>
      <c r="DM473" s="32">
        <v>-0.91</v>
      </c>
      <c r="DN473" s="34">
        <v>4</v>
      </c>
      <c r="DO473" s="36">
        <v>3.85</v>
      </c>
      <c r="DP473" s="34">
        <v>79</v>
      </c>
      <c r="DQ473" s="36">
        <v>0</v>
      </c>
      <c r="DR473" s="32">
        <v>0</v>
      </c>
      <c r="DS473" s="36">
        <v>3.85</v>
      </c>
      <c r="DT473" s="34">
        <v>79</v>
      </c>
      <c r="DU473" s="36">
        <v>1.5</v>
      </c>
      <c r="DV473" s="34">
        <v>65</v>
      </c>
      <c r="DW473" s="36">
        <v>6.21</v>
      </c>
      <c r="DX473" s="34">
        <v>84</v>
      </c>
      <c r="DY473" s="31" t="s">
        <v>151</v>
      </c>
      <c r="DZ473" s="35" t="s">
        <v>151</v>
      </c>
      <c r="EA473" s="35" t="s">
        <v>151</v>
      </c>
      <c r="EB473" s="34">
        <v>307</v>
      </c>
      <c r="EC473" s="33">
        <v>9</v>
      </c>
      <c r="ED473" s="32">
        <v>3.02</v>
      </c>
      <c r="EE473" s="34">
        <v>118</v>
      </c>
      <c r="EF473" s="33">
        <v>0</v>
      </c>
      <c r="EG473" s="32">
        <v>0</v>
      </c>
      <c r="EH473" s="29" t="s">
        <v>198</v>
      </c>
      <c r="EI473" s="30" t="s">
        <v>151</v>
      </c>
      <c r="EJ473" s="30" t="s">
        <v>151</v>
      </c>
      <c r="EK473" s="31" t="s">
        <v>151</v>
      </c>
      <c r="EL473" s="31" t="s">
        <v>151</v>
      </c>
      <c r="EM473" s="31" t="s">
        <v>151</v>
      </c>
      <c r="EN473" s="31" t="s">
        <v>151</v>
      </c>
      <c r="EO473" s="31" t="s">
        <v>151</v>
      </c>
      <c r="EP473" s="30" t="s">
        <v>151</v>
      </c>
      <c r="EQ473" s="29" t="s">
        <v>151</v>
      </c>
      <c r="ER473" s="29" t="s">
        <v>151</v>
      </c>
      <c r="ES473" s="4">
        <f>HYPERLINK("https://my.pitchbook.com?c=455129-20","View Company Online")</f>
      </c>
    </row>
    <row r="474">
      <c r="A474" s="17" t="s">
        <v>10029</v>
      </c>
      <c r="B474" s="17" t="s">
        <v>10030</v>
      </c>
      <c r="C474" s="18" t="s">
        <v>151</v>
      </c>
      <c r="D474" s="17" t="s">
        <v>151</v>
      </c>
      <c r="E474" s="17" t="s">
        <v>151</v>
      </c>
      <c r="F474" s="17" t="s">
        <v>10031</v>
      </c>
      <c r="G474" s="17" t="s">
        <v>151</v>
      </c>
      <c r="H474" s="17" t="s">
        <v>151</v>
      </c>
      <c r="I474" s="17" t="s">
        <v>151</v>
      </c>
      <c r="J474" s="17" t="s">
        <v>10029</v>
      </c>
      <c r="K474" s="17" t="s">
        <v>10032</v>
      </c>
      <c r="L474" s="17" t="s">
        <v>205</v>
      </c>
      <c r="M474" s="17" t="s">
        <v>206</v>
      </c>
      <c r="N474" s="17" t="s">
        <v>269</v>
      </c>
      <c r="O474" s="17" t="s">
        <v>10033</v>
      </c>
      <c r="P474" s="17" t="s">
        <v>6258</v>
      </c>
      <c r="Q474" s="17" t="s">
        <v>10034</v>
      </c>
      <c r="R474" s="17" t="s">
        <v>151</v>
      </c>
      <c r="S474" s="17" t="s">
        <v>162</v>
      </c>
      <c r="T474" s="24">
        <v>7.7</v>
      </c>
      <c r="U474" s="17" t="s">
        <v>163</v>
      </c>
      <c r="V474" s="17" t="s">
        <v>164</v>
      </c>
      <c r="W474" s="17" t="s">
        <v>165</v>
      </c>
      <c r="X474" s="15" t="s">
        <v>10035</v>
      </c>
      <c r="Y474" s="15" t="s">
        <v>10036</v>
      </c>
      <c r="Z474" s="27">
        <v>21</v>
      </c>
      <c r="AA474" s="17" t="s">
        <v>10037</v>
      </c>
      <c r="AB474" s="17" t="s">
        <v>151</v>
      </c>
      <c r="AC474" s="17" t="s">
        <v>151</v>
      </c>
      <c r="AD474" s="26">
        <v>2019</v>
      </c>
      <c r="AE474" s="17" t="s">
        <v>151</v>
      </c>
      <c r="AF474" s="22">
        <v>45419</v>
      </c>
      <c r="AG474" s="17" t="s">
        <v>151</v>
      </c>
      <c r="AH474" s="17" t="s">
        <v>151</v>
      </c>
      <c r="AI474" s="25" t="s">
        <v>151</v>
      </c>
      <c r="AJ474" s="19" t="s">
        <v>151</v>
      </c>
      <c r="AK474" s="25" t="s">
        <v>151</v>
      </c>
      <c r="AL474" s="25" t="s">
        <v>151</v>
      </c>
      <c r="AM474" s="25" t="s">
        <v>151</v>
      </c>
      <c r="AN474" s="25" t="s">
        <v>151</v>
      </c>
      <c r="AO474" s="25" t="s">
        <v>151</v>
      </c>
      <c r="AP474" s="25" t="s">
        <v>151</v>
      </c>
      <c r="AQ474" s="25" t="s">
        <v>151</v>
      </c>
      <c r="AR474" s="16" t="s">
        <v>151</v>
      </c>
      <c r="AS474" s="17" t="s">
        <v>10038</v>
      </c>
      <c r="AT474" s="17" t="s">
        <v>10039</v>
      </c>
      <c r="AU474" s="18">
        <v>12</v>
      </c>
      <c r="AV474" s="17" t="s">
        <v>151</v>
      </c>
      <c r="AW474" s="17" t="s">
        <v>151</v>
      </c>
      <c r="AX474" s="17" t="s">
        <v>151</v>
      </c>
      <c r="AY474" s="17" t="s">
        <v>10040</v>
      </c>
      <c r="AZ474" s="17" t="s">
        <v>151</v>
      </c>
      <c r="BA474" s="17" t="s">
        <v>151</v>
      </c>
      <c r="BB474" s="17" t="s">
        <v>151</v>
      </c>
      <c r="BC474" s="17" t="s">
        <v>1115</v>
      </c>
      <c r="BD474" s="17" t="s">
        <v>10041</v>
      </c>
      <c r="BE474" s="17" t="s">
        <v>10042</v>
      </c>
      <c r="BF474" s="17" t="s">
        <v>493</v>
      </c>
      <c r="BG474" s="17" t="s">
        <v>10043</v>
      </c>
      <c r="BH474" s="17" t="s">
        <v>10044</v>
      </c>
      <c r="BI474" s="17" t="s">
        <v>906</v>
      </c>
      <c r="BJ474" s="17" t="s">
        <v>10045</v>
      </c>
      <c r="BK474" s="17" t="s">
        <v>10046</v>
      </c>
      <c r="BL474" s="17" t="s">
        <v>259</v>
      </c>
      <c r="BM474" s="17" t="s">
        <v>259</v>
      </c>
      <c r="BN474" s="16" t="s">
        <v>10047</v>
      </c>
      <c r="BO474" s="17" t="s">
        <v>186</v>
      </c>
      <c r="BP474" s="16" t="s">
        <v>10044</v>
      </c>
      <c r="BQ474" s="16" t="s">
        <v>151</v>
      </c>
      <c r="BR474" s="17" t="s">
        <v>10048</v>
      </c>
      <c r="BS474" s="17" t="s">
        <v>187</v>
      </c>
      <c r="BT474" s="17" t="s">
        <v>188</v>
      </c>
      <c r="BU474" s="22">
        <v>44231</v>
      </c>
      <c r="BV474" s="24">
        <v>1.5</v>
      </c>
      <c r="BW474" s="17" t="s">
        <v>192</v>
      </c>
      <c r="BX474" s="24">
        <v>6</v>
      </c>
      <c r="BY474" s="17" t="s">
        <v>192</v>
      </c>
      <c r="BZ474" s="17" t="s">
        <v>293</v>
      </c>
      <c r="CA474" s="17" t="s">
        <v>293</v>
      </c>
      <c r="CB474" s="17" t="s">
        <v>151</v>
      </c>
      <c r="CC474" s="17" t="s">
        <v>165</v>
      </c>
      <c r="CD474" s="17" t="s">
        <v>151</v>
      </c>
      <c r="CE474" s="17" t="s">
        <v>191</v>
      </c>
      <c r="CF474" s="22">
        <v>45114</v>
      </c>
      <c r="CG474" s="24">
        <v>6.2</v>
      </c>
      <c r="CH474" s="17" t="s">
        <v>192</v>
      </c>
      <c r="CI474" s="24">
        <v>26.2</v>
      </c>
      <c r="CJ474" s="17" t="s">
        <v>192</v>
      </c>
      <c r="CK474" s="16">
        <v>3.33</v>
      </c>
      <c r="CL474" s="17" t="s">
        <v>293</v>
      </c>
      <c r="CM474" s="17" t="s">
        <v>293</v>
      </c>
      <c r="CN474" s="17" t="s">
        <v>151</v>
      </c>
      <c r="CO474" s="17" t="s">
        <v>165</v>
      </c>
      <c r="CP474" s="22">
        <v>45114</v>
      </c>
      <c r="CQ474" s="24" t="s">
        <v>151</v>
      </c>
      <c r="CR474" s="17" t="s">
        <v>151</v>
      </c>
      <c r="CS474" s="17" t="s">
        <v>191</v>
      </c>
      <c r="CT474" s="16">
        <v>76</v>
      </c>
      <c r="CU474" s="17" t="s">
        <v>196</v>
      </c>
      <c r="CV474" s="19">
        <v>70</v>
      </c>
      <c r="CW474" s="19">
        <v>30</v>
      </c>
      <c r="CX474" s="17" t="s">
        <v>294</v>
      </c>
      <c r="CY474" s="19">
        <v>1</v>
      </c>
      <c r="CZ474" s="19">
        <v>69</v>
      </c>
      <c r="DA474" s="24">
        <v>26.2</v>
      </c>
      <c r="DB474" s="22">
        <v>45114</v>
      </c>
      <c r="DC474" s="17" t="s">
        <v>293</v>
      </c>
      <c r="DD474" s="16">
        <v>3.33</v>
      </c>
      <c r="DE474" s="19">
        <v>1.28</v>
      </c>
      <c r="DF474" s="21">
        <v>97</v>
      </c>
      <c r="DG474" s="19">
        <v>0</v>
      </c>
      <c r="DH474" s="19">
        <v>0</v>
      </c>
      <c r="DI474" s="19" t="s">
        <v>151</v>
      </c>
      <c r="DJ474" s="21" t="s">
        <v>151</v>
      </c>
      <c r="DK474" s="19" t="s">
        <v>151</v>
      </c>
      <c r="DL474" s="21" t="s">
        <v>151</v>
      </c>
      <c r="DM474" s="19" t="s">
        <v>151</v>
      </c>
      <c r="DN474" s="21" t="s">
        <v>151</v>
      </c>
      <c r="DO474" s="23">
        <v>1.62</v>
      </c>
      <c r="DP474" s="21">
        <v>61</v>
      </c>
      <c r="DQ474" s="23">
        <v>0</v>
      </c>
      <c r="DR474" s="19">
        <v>0</v>
      </c>
      <c r="DS474" s="23" t="s">
        <v>151</v>
      </c>
      <c r="DT474" s="21" t="s">
        <v>151</v>
      </c>
      <c r="DU474" s="23" t="s">
        <v>151</v>
      </c>
      <c r="DV474" s="21" t="s">
        <v>151</v>
      </c>
      <c r="DW474" s="23" t="s">
        <v>151</v>
      </c>
      <c r="DX474" s="21" t="s">
        <v>151</v>
      </c>
      <c r="DY474" s="18" t="s">
        <v>151</v>
      </c>
      <c r="DZ474" s="22" t="s">
        <v>151</v>
      </c>
      <c r="EA474" s="22" t="s">
        <v>151</v>
      </c>
      <c r="EB474" s="21">
        <v>1176</v>
      </c>
      <c r="EC474" s="20">
        <v>87</v>
      </c>
      <c r="ED474" s="19">
        <v>7.99</v>
      </c>
      <c r="EE474" s="21" t="s">
        <v>151</v>
      </c>
      <c r="EF474" s="20" t="s">
        <v>151</v>
      </c>
      <c r="EG474" s="19" t="s">
        <v>151</v>
      </c>
      <c r="EH474" s="16" t="s">
        <v>198</v>
      </c>
      <c r="EI474" s="17" t="s">
        <v>151</v>
      </c>
      <c r="EJ474" s="17" t="s">
        <v>151</v>
      </c>
      <c r="EK474" s="18" t="s">
        <v>151</v>
      </c>
      <c r="EL474" s="18" t="s">
        <v>151</v>
      </c>
      <c r="EM474" s="18" t="s">
        <v>151</v>
      </c>
      <c r="EN474" s="18" t="s">
        <v>151</v>
      </c>
      <c r="EO474" s="18" t="s">
        <v>151</v>
      </c>
      <c r="EP474" s="17" t="s">
        <v>151</v>
      </c>
      <c r="EQ474" s="16" t="s">
        <v>151</v>
      </c>
      <c r="ER474" s="16" t="s">
        <v>151</v>
      </c>
      <c r="ES474" s="3">
        <f>HYPERLINK("https://my.pitchbook.com?c=443075-14","View Company Online")</f>
      </c>
    </row>
    <row r="475">
      <c r="A475" s="30" t="s">
        <v>10049</v>
      </c>
      <c r="B475" s="30" t="s">
        <v>10050</v>
      </c>
      <c r="C475" s="31" t="s">
        <v>151</v>
      </c>
      <c r="D475" s="30" t="s">
        <v>151</v>
      </c>
      <c r="E475" s="30" t="s">
        <v>10051</v>
      </c>
      <c r="F475" s="30" t="s">
        <v>10052</v>
      </c>
      <c r="G475" s="30" t="s">
        <v>151</v>
      </c>
      <c r="H475" s="30" t="s">
        <v>151</v>
      </c>
      <c r="I475" s="30" t="s">
        <v>10053</v>
      </c>
      <c r="J475" s="30" t="s">
        <v>10049</v>
      </c>
      <c r="K475" s="30" t="s">
        <v>10054</v>
      </c>
      <c r="L475" s="30" t="s">
        <v>205</v>
      </c>
      <c r="M475" s="30" t="s">
        <v>206</v>
      </c>
      <c r="N475" s="30" t="s">
        <v>998</v>
      </c>
      <c r="O475" s="30" t="s">
        <v>1768</v>
      </c>
      <c r="P475" s="30" t="s">
        <v>304</v>
      </c>
      <c r="Q475" s="30" t="s">
        <v>10055</v>
      </c>
      <c r="R475" s="30" t="s">
        <v>780</v>
      </c>
      <c r="S475" s="30" t="s">
        <v>162</v>
      </c>
      <c r="T475" s="37">
        <v>7.51</v>
      </c>
      <c r="U475" s="30" t="s">
        <v>163</v>
      </c>
      <c r="V475" s="30" t="s">
        <v>164</v>
      </c>
      <c r="W475" s="30" t="s">
        <v>165</v>
      </c>
      <c r="X475" s="28" t="s">
        <v>10056</v>
      </c>
      <c r="Y475" s="28" t="s">
        <v>10057</v>
      </c>
      <c r="Z475" s="40">
        <v>10</v>
      </c>
      <c r="AA475" s="30" t="s">
        <v>10058</v>
      </c>
      <c r="AB475" s="30" t="s">
        <v>151</v>
      </c>
      <c r="AC475" s="30" t="s">
        <v>151</v>
      </c>
      <c r="AD475" s="39">
        <v>2023</v>
      </c>
      <c r="AE475" s="30" t="s">
        <v>151</v>
      </c>
      <c r="AF475" s="35">
        <v>45567</v>
      </c>
      <c r="AG475" s="30" t="s">
        <v>151</v>
      </c>
      <c r="AH475" s="30" t="s">
        <v>4171</v>
      </c>
      <c r="AI475" s="38" t="s">
        <v>151</v>
      </c>
      <c r="AJ475" s="32" t="s">
        <v>151</v>
      </c>
      <c r="AK475" s="38" t="s">
        <v>151</v>
      </c>
      <c r="AL475" s="38" t="s">
        <v>151</v>
      </c>
      <c r="AM475" s="38" t="s">
        <v>151</v>
      </c>
      <c r="AN475" s="38" t="s">
        <v>151</v>
      </c>
      <c r="AO475" s="38" t="s">
        <v>151</v>
      </c>
      <c r="AP475" s="38" t="s">
        <v>151</v>
      </c>
      <c r="AQ475" s="38" t="s">
        <v>151</v>
      </c>
      <c r="AR475" s="29" t="s">
        <v>151</v>
      </c>
      <c r="AS475" s="30" t="s">
        <v>10059</v>
      </c>
      <c r="AT475" s="30" t="s">
        <v>10060</v>
      </c>
      <c r="AU475" s="31">
        <v>11</v>
      </c>
      <c r="AV475" s="30" t="s">
        <v>151</v>
      </c>
      <c r="AW475" s="30" t="s">
        <v>151</v>
      </c>
      <c r="AX475" s="30" t="s">
        <v>151</v>
      </c>
      <c r="AY475" s="30" t="s">
        <v>10061</v>
      </c>
      <c r="AZ475" s="30" t="s">
        <v>151</v>
      </c>
      <c r="BA475" s="30" t="s">
        <v>151</v>
      </c>
      <c r="BB475" s="30" t="s">
        <v>151</v>
      </c>
      <c r="BC475" s="30" t="s">
        <v>2424</v>
      </c>
      <c r="BD475" s="30" t="s">
        <v>10062</v>
      </c>
      <c r="BE475" s="30" t="s">
        <v>10063</v>
      </c>
      <c r="BF475" s="30" t="s">
        <v>221</v>
      </c>
      <c r="BG475" s="30" t="s">
        <v>10064</v>
      </c>
      <c r="BH475" s="30" t="s">
        <v>151</v>
      </c>
      <c r="BI475" s="30" t="s">
        <v>433</v>
      </c>
      <c r="BJ475" s="30" t="s">
        <v>10065</v>
      </c>
      <c r="BK475" s="30" t="s">
        <v>151</v>
      </c>
      <c r="BL475" s="30" t="s">
        <v>436</v>
      </c>
      <c r="BM475" s="30" t="s">
        <v>184</v>
      </c>
      <c r="BN475" s="29" t="s">
        <v>437</v>
      </c>
      <c r="BO475" s="30" t="s">
        <v>186</v>
      </c>
      <c r="BP475" s="29" t="s">
        <v>151</v>
      </c>
      <c r="BQ475" s="29" t="s">
        <v>151</v>
      </c>
      <c r="BR475" s="30" t="s">
        <v>10066</v>
      </c>
      <c r="BS475" s="30" t="s">
        <v>187</v>
      </c>
      <c r="BT475" s="30" t="s">
        <v>188</v>
      </c>
      <c r="BU475" s="35">
        <v>45236</v>
      </c>
      <c r="BV475" s="37">
        <v>0.01</v>
      </c>
      <c r="BW475" s="30" t="s">
        <v>192</v>
      </c>
      <c r="BX475" s="37">
        <v>35</v>
      </c>
      <c r="BY475" s="30" t="s">
        <v>193</v>
      </c>
      <c r="BZ475" s="30" t="s">
        <v>293</v>
      </c>
      <c r="CA475" s="30" t="s">
        <v>293</v>
      </c>
      <c r="CB475" s="30" t="s">
        <v>151</v>
      </c>
      <c r="CC475" s="30" t="s">
        <v>165</v>
      </c>
      <c r="CD475" s="30" t="s">
        <v>151</v>
      </c>
      <c r="CE475" s="30" t="s">
        <v>191</v>
      </c>
      <c r="CF475" s="35">
        <v>45337</v>
      </c>
      <c r="CG475" s="37">
        <v>7.5</v>
      </c>
      <c r="CH475" s="30" t="s">
        <v>192</v>
      </c>
      <c r="CI475" s="37" t="s">
        <v>151</v>
      </c>
      <c r="CJ475" s="30" t="s">
        <v>151</v>
      </c>
      <c r="CK475" s="29" t="s">
        <v>151</v>
      </c>
      <c r="CL475" s="30" t="s">
        <v>293</v>
      </c>
      <c r="CM475" s="30" t="s">
        <v>293</v>
      </c>
      <c r="CN475" s="30" t="s">
        <v>151</v>
      </c>
      <c r="CO475" s="30" t="s">
        <v>165</v>
      </c>
      <c r="CP475" s="35">
        <v>45337</v>
      </c>
      <c r="CQ475" s="37" t="s">
        <v>151</v>
      </c>
      <c r="CR475" s="30" t="s">
        <v>151</v>
      </c>
      <c r="CS475" s="30" t="s">
        <v>191</v>
      </c>
      <c r="CT475" s="29">
        <v>78</v>
      </c>
      <c r="CU475" s="30" t="s">
        <v>196</v>
      </c>
      <c r="CV475" s="32">
        <v>72</v>
      </c>
      <c r="CW475" s="32">
        <v>28</v>
      </c>
      <c r="CX475" s="30" t="s">
        <v>294</v>
      </c>
      <c r="CY475" s="32">
        <v>1</v>
      </c>
      <c r="CZ475" s="32">
        <v>71</v>
      </c>
      <c r="DA475" s="37">
        <v>35</v>
      </c>
      <c r="DB475" s="35">
        <v>45236</v>
      </c>
      <c r="DC475" s="30" t="s">
        <v>293</v>
      </c>
      <c r="DD475" s="29" t="s">
        <v>151</v>
      </c>
      <c r="DE475" s="32">
        <v>0.88</v>
      </c>
      <c r="DF475" s="34">
        <v>96</v>
      </c>
      <c r="DG475" s="32">
        <v>0</v>
      </c>
      <c r="DH475" s="32">
        <v>0</v>
      </c>
      <c r="DI475" s="32">
        <v>0.37</v>
      </c>
      <c r="DJ475" s="34">
        <v>94</v>
      </c>
      <c r="DK475" s="32" t="s">
        <v>151</v>
      </c>
      <c r="DL475" s="34" t="s">
        <v>151</v>
      </c>
      <c r="DM475" s="32">
        <v>0.37</v>
      </c>
      <c r="DN475" s="34">
        <v>94</v>
      </c>
      <c r="DO475" s="36">
        <v>5.36</v>
      </c>
      <c r="DP475" s="34">
        <v>83</v>
      </c>
      <c r="DQ475" s="36">
        <v>0</v>
      </c>
      <c r="DR475" s="32">
        <v>0</v>
      </c>
      <c r="DS475" s="36">
        <v>9.95</v>
      </c>
      <c r="DT475" s="34">
        <v>90</v>
      </c>
      <c r="DU475" s="36" t="s">
        <v>151</v>
      </c>
      <c r="DV475" s="34" t="s">
        <v>151</v>
      </c>
      <c r="DW475" s="36">
        <v>9.95</v>
      </c>
      <c r="DX475" s="34">
        <v>90</v>
      </c>
      <c r="DY475" s="31" t="s">
        <v>151</v>
      </c>
      <c r="DZ475" s="35" t="s">
        <v>151</v>
      </c>
      <c r="EA475" s="35" t="s">
        <v>151</v>
      </c>
      <c r="EB475" s="34">
        <v>11919</v>
      </c>
      <c r="EC475" s="33">
        <v>207</v>
      </c>
      <c r="ED475" s="32">
        <v>1.77</v>
      </c>
      <c r="EE475" s="34">
        <v>189</v>
      </c>
      <c r="EF475" s="33">
        <v>-2</v>
      </c>
      <c r="EG475" s="32">
        <v>-1.05</v>
      </c>
      <c r="EH475" s="29" t="s">
        <v>198</v>
      </c>
      <c r="EI475" s="30" t="s">
        <v>151</v>
      </c>
      <c r="EJ475" s="30" t="s">
        <v>151</v>
      </c>
      <c r="EK475" s="31" t="s">
        <v>151</v>
      </c>
      <c r="EL475" s="31" t="s">
        <v>151</v>
      </c>
      <c r="EM475" s="31" t="s">
        <v>151</v>
      </c>
      <c r="EN475" s="31" t="s">
        <v>151</v>
      </c>
      <c r="EO475" s="31" t="s">
        <v>151</v>
      </c>
      <c r="EP475" s="30" t="s">
        <v>151</v>
      </c>
      <c r="EQ475" s="29" t="s">
        <v>151</v>
      </c>
      <c r="ER475" s="29" t="s">
        <v>151</v>
      </c>
      <c r="ES475" s="4">
        <f>HYPERLINK("https://my.pitchbook.com?c=537804-82","View Company Online")</f>
      </c>
    </row>
    <row r="476">
      <c r="A476" s="17" t="s">
        <v>10067</v>
      </c>
      <c r="B476" s="17" t="s">
        <v>10068</v>
      </c>
      <c r="C476" s="18" t="s">
        <v>151</v>
      </c>
      <c r="D476" s="17" t="s">
        <v>151</v>
      </c>
      <c r="E476" s="17" t="s">
        <v>151</v>
      </c>
      <c r="F476" s="17" t="s">
        <v>10069</v>
      </c>
      <c r="G476" s="17" t="s">
        <v>151</v>
      </c>
      <c r="H476" s="17" t="s">
        <v>151</v>
      </c>
      <c r="I476" s="17" t="s">
        <v>151</v>
      </c>
      <c r="J476" s="17" t="s">
        <v>10067</v>
      </c>
      <c r="K476" s="17" t="s">
        <v>10070</v>
      </c>
      <c r="L476" s="17" t="s">
        <v>205</v>
      </c>
      <c r="M476" s="17" t="s">
        <v>206</v>
      </c>
      <c r="N476" s="17" t="s">
        <v>1268</v>
      </c>
      <c r="O476" s="17" t="s">
        <v>2129</v>
      </c>
      <c r="P476" s="17" t="s">
        <v>1205</v>
      </c>
      <c r="Q476" s="17" t="s">
        <v>10071</v>
      </c>
      <c r="R476" s="17" t="s">
        <v>151</v>
      </c>
      <c r="S476" s="17" t="s">
        <v>162</v>
      </c>
      <c r="T476" s="24">
        <v>3.55</v>
      </c>
      <c r="U476" s="17" t="s">
        <v>163</v>
      </c>
      <c r="V476" s="17" t="s">
        <v>164</v>
      </c>
      <c r="W476" s="17" t="s">
        <v>165</v>
      </c>
      <c r="X476" s="15" t="s">
        <v>10072</v>
      </c>
      <c r="Y476" s="15" t="s">
        <v>10073</v>
      </c>
      <c r="Z476" s="27">
        <v>10</v>
      </c>
      <c r="AA476" s="17" t="s">
        <v>10074</v>
      </c>
      <c r="AB476" s="17" t="s">
        <v>151</v>
      </c>
      <c r="AC476" s="17" t="s">
        <v>151</v>
      </c>
      <c r="AD476" s="26">
        <v>2020</v>
      </c>
      <c r="AE476" s="17" t="s">
        <v>151</v>
      </c>
      <c r="AF476" s="22">
        <v>45610</v>
      </c>
      <c r="AG476" s="17" t="s">
        <v>151</v>
      </c>
      <c r="AH476" s="17" t="s">
        <v>151</v>
      </c>
      <c r="AI476" s="25" t="s">
        <v>151</v>
      </c>
      <c r="AJ476" s="19" t="s">
        <v>151</v>
      </c>
      <c r="AK476" s="25" t="s">
        <v>151</v>
      </c>
      <c r="AL476" s="25" t="s">
        <v>151</v>
      </c>
      <c r="AM476" s="25" t="s">
        <v>151</v>
      </c>
      <c r="AN476" s="25" t="s">
        <v>151</v>
      </c>
      <c r="AO476" s="25" t="s">
        <v>151</v>
      </c>
      <c r="AP476" s="25" t="s">
        <v>151</v>
      </c>
      <c r="AQ476" s="25" t="s">
        <v>151</v>
      </c>
      <c r="AR476" s="16" t="s">
        <v>151</v>
      </c>
      <c r="AS476" s="17" t="s">
        <v>10075</v>
      </c>
      <c r="AT476" s="17" t="s">
        <v>10076</v>
      </c>
      <c r="AU476" s="18">
        <v>12</v>
      </c>
      <c r="AV476" s="17" t="s">
        <v>151</v>
      </c>
      <c r="AW476" s="17" t="s">
        <v>151</v>
      </c>
      <c r="AX476" s="17" t="s">
        <v>151</v>
      </c>
      <c r="AY476" s="17" t="s">
        <v>10077</v>
      </c>
      <c r="AZ476" s="17" t="s">
        <v>151</v>
      </c>
      <c r="BA476" s="17" t="s">
        <v>151</v>
      </c>
      <c r="BB476" s="17" t="s">
        <v>151</v>
      </c>
      <c r="BC476" s="17" t="s">
        <v>10078</v>
      </c>
      <c r="BD476" s="17" t="s">
        <v>10079</v>
      </c>
      <c r="BE476" s="17" t="s">
        <v>10080</v>
      </c>
      <c r="BF476" s="17" t="s">
        <v>403</v>
      </c>
      <c r="BG476" s="17" t="s">
        <v>10081</v>
      </c>
      <c r="BH476" s="17" t="s">
        <v>10082</v>
      </c>
      <c r="BI476" s="17" t="s">
        <v>906</v>
      </c>
      <c r="BJ476" s="17" t="s">
        <v>151</v>
      </c>
      <c r="BK476" s="17" t="s">
        <v>151</v>
      </c>
      <c r="BL476" s="17" t="s">
        <v>259</v>
      </c>
      <c r="BM476" s="17" t="s">
        <v>259</v>
      </c>
      <c r="BN476" s="16" t="s">
        <v>151</v>
      </c>
      <c r="BO476" s="17" t="s">
        <v>186</v>
      </c>
      <c r="BP476" s="16" t="s">
        <v>10082</v>
      </c>
      <c r="BQ476" s="16" t="s">
        <v>151</v>
      </c>
      <c r="BR476" s="17" t="s">
        <v>10083</v>
      </c>
      <c r="BS476" s="17" t="s">
        <v>187</v>
      </c>
      <c r="BT476" s="17" t="s">
        <v>188</v>
      </c>
      <c r="BU476" s="22">
        <v>44348</v>
      </c>
      <c r="BV476" s="24">
        <v>0.5</v>
      </c>
      <c r="BW476" s="17" t="s">
        <v>192</v>
      </c>
      <c r="BX476" s="24">
        <v>3</v>
      </c>
      <c r="BY476" s="17" t="s">
        <v>192</v>
      </c>
      <c r="BZ476" s="17" t="s">
        <v>293</v>
      </c>
      <c r="CA476" s="17" t="s">
        <v>293</v>
      </c>
      <c r="CB476" s="17" t="s">
        <v>151</v>
      </c>
      <c r="CC476" s="17" t="s">
        <v>165</v>
      </c>
      <c r="CD476" s="17" t="s">
        <v>151</v>
      </c>
      <c r="CE476" s="17" t="s">
        <v>191</v>
      </c>
      <c r="CF476" s="22">
        <v>44978</v>
      </c>
      <c r="CG476" s="24">
        <v>0.65</v>
      </c>
      <c r="CH476" s="17" t="s">
        <v>192</v>
      </c>
      <c r="CI476" s="24" t="s">
        <v>151</v>
      </c>
      <c r="CJ476" s="17" t="s">
        <v>151</v>
      </c>
      <c r="CK476" s="16" t="s">
        <v>151</v>
      </c>
      <c r="CL476" s="17" t="s">
        <v>231</v>
      </c>
      <c r="CM476" s="17" t="s">
        <v>151</v>
      </c>
      <c r="CN476" s="17" t="s">
        <v>151</v>
      </c>
      <c r="CO476" s="17" t="s">
        <v>165</v>
      </c>
      <c r="CP476" s="22">
        <v>44978</v>
      </c>
      <c r="CQ476" s="24" t="s">
        <v>151</v>
      </c>
      <c r="CR476" s="17" t="s">
        <v>151</v>
      </c>
      <c r="CS476" s="17" t="s">
        <v>191</v>
      </c>
      <c r="CT476" s="16">
        <v>65</v>
      </c>
      <c r="CU476" s="17" t="s">
        <v>196</v>
      </c>
      <c r="CV476" s="19">
        <v>61</v>
      </c>
      <c r="CW476" s="19">
        <v>39</v>
      </c>
      <c r="CX476" s="17" t="s">
        <v>294</v>
      </c>
      <c r="CY476" s="19">
        <v>1</v>
      </c>
      <c r="CZ476" s="19">
        <v>60</v>
      </c>
      <c r="DA476" s="24">
        <v>10</v>
      </c>
      <c r="DB476" s="22">
        <v>44768</v>
      </c>
      <c r="DC476" s="17" t="s">
        <v>293</v>
      </c>
      <c r="DD476" s="16">
        <v>2.53</v>
      </c>
      <c r="DE476" s="19">
        <v>0</v>
      </c>
      <c r="DF476" s="21">
        <v>11</v>
      </c>
      <c r="DG476" s="19">
        <v>0</v>
      </c>
      <c r="DH476" s="19">
        <v>0</v>
      </c>
      <c r="DI476" s="19">
        <v>0</v>
      </c>
      <c r="DJ476" s="21">
        <v>10</v>
      </c>
      <c r="DK476" s="19" t="s">
        <v>151</v>
      </c>
      <c r="DL476" s="21" t="s">
        <v>151</v>
      </c>
      <c r="DM476" s="19">
        <v>0</v>
      </c>
      <c r="DN476" s="21">
        <v>10</v>
      </c>
      <c r="DO476" s="23">
        <v>4.21</v>
      </c>
      <c r="DP476" s="21">
        <v>80</v>
      </c>
      <c r="DQ476" s="23">
        <v>0</v>
      </c>
      <c r="DR476" s="19">
        <v>0</v>
      </c>
      <c r="DS476" s="23">
        <v>4.21</v>
      </c>
      <c r="DT476" s="21">
        <v>80</v>
      </c>
      <c r="DU476" s="23" t="s">
        <v>151</v>
      </c>
      <c r="DV476" s="21" t="s">
        <v>151</v>
      </c>
      <c r="DW476" s="23">
        <v>4.21</v>
      </c>
      <c r="DX476" s="21">
        <v>79</v>
      </c>
      <c r="DY476" s="18" t="s">
        <v>151</v>
      </c>
      <c r="DZ476" s="22" t="s">
        <v>151</v>
      </c>
      <c r="EA476" s="22" t="s">
        <v>151</v>
      </c>
      <c r="EB476" s="21">
        <v>15</v>
      </c>
      <c r="EC476" s="20">
        <v>-76</v>
      </c>
      <c r="ED476" s="19">
        <v>-83.52</v>
      </c>
      <c r="EE476" s="21">
        <v>80</v>
      </c>
      <c r="EF476" s="20">
        <v>0</v>
      </c>
      <c r="EG476" s="19">
        <v>0</v>
      </c>
      <c r="EH476" s="16" t="s">
        <v>198</v>
      </c>
      <c r="EI476" s="17" t="s">
        <v>151</v>
      </c>
      <c r="EJ476" s="17" t="s">
        <v>151</v>
      </c>
      <c r="EK476" s="18" t="s">
        <v>151</v>
      </c>
      <c r="EL476" s="18" t="s">
        <v>151</v>
      </c>
      <c r="EM476" s="18" t="s">
        <v>151</v>
      </c>
      <c r="EN476" s="18" t="s">
        <v>151</v>
      </c>
      <c r="EO476" s="18" t="s">
        <v>151</v>
      </c>
      <c r="EP476" s="17" t="s">
        <v>151</v>
      </c>
      <c r="EQ476" s="16" t="s">
        <v>151</v>
      </c>
      <c r="ER476" s="16" t="s">
        <v>151</v>
      </c>
      <c r="ES476" s="3">
        <f>HYPERLINK("https://my.pitchbook.com?c=467901-46","View Company Online")</f>
      </c>
    </row>
    <row r="477">
      <c r="A477" s="30" t="s">
        <v>10084</v>
      </c>
      <c r="B477" s="30" t="s">
        <v>10085</v>
      </c>
      <c r="C477" s="31" t="s">
        <v>151</v>
      </c>
      <c r="D477" s="30" t="s">
        <v>151</v>
      </c>
      <c r="E477" s="30" t="s">
        <v>151</v>
      </c>
      <c r="F477" s="30" t="s">
        <v>10086</v>
      </c>
      <c r="G477" s="30" t="s">
        <v>151</v>
      </c>
      <c r="H477" s="30" t="s">
        <v>151</v>
      </c>
      <c r="I477" s="30" t="s">
        <v>151</v>
      </c>
      <c r="J477" s="30" t="s">
        <v>10084</v>
      </c>
      <c r="K477" s="30" t="s">
        <v>10087</v>
      </c>
      <c r="L477" s="30" t="s">
        <v>205</v>
      </c>
      <c r="M477" s="30" t="s">
        <v>206</v>
      </c>
      <c r="N477" s="30" t="s">
        <v>1082</v>
      </c>
      <c r="O477" s="30" t="s">
        <v>10088</v>
      </c>
      <c r="P477" s="30" t="s">
        <v>10089</v>
      </c>
      <c r="Q477" s="30" t="s">
        <v>10090</v>
      </c>
      <c r="R477" s="30" t="s">
        <v>151</v>
      </c>
      <c r="S477" s="30" t="s">
        <v>162</v>
      </c>
      <c r="T477" s="37">
        <v>2.49</v>
      </c>
      <c r="U477" s="30" t="s">
        <v>163</v>
      </c>
      <c r="V477" s="30" t="s">
        <v>164</v>
      </c>
      <c r="W477" s="30" t="s">
        <v>165</v>
      </c>
      <c r="X477" s="28" t="s">
        <v>10091</v>
      </c>
      <c r="Y477" s="28" t="s">
        <v>10092</v>
      </c>
      <c r="Z477" s="40">
        <v>12</v>
      </c>
      <c r="AA477" s="30" t="s">
        <v>10093</v>
      </c>
      <c r="AB477" s="30" t="s">
        <v>151</v>
      </c>
      <c r="AC477" s="30" t="s">
        <v>151</v>
      </c>
      <c r="AD477" s="39">
        <v>2019</v>
      </c>
      <c r="AE477" s="30" t="s">
        <v>151</v>
      </c>
      <c r="AF477" s="35">
        <v>45595</v>
      </c>
      <c r="AG477" s="30" t="s">
        <v>151</v>
      </c>
      <c r="AH477" s="30" t="s">
        <v>151</v>
      </c>
      <c r="AI477" s="38" t="s">
        <v>151</v>
      </c>
      <c r="AJ477" s="32" t="s">
        <v>151</v>
      </c>
      <c r="AK477" s="38" t="s">
        <v>151</v>
      </c>
      <c r="AL477" s="38" t="s">
        <v>151</v>
      </c>
      <c r="AM477" s="38" t="s">
        <v>151</v>
      </c>
      <c r="AN477" s="38" t="s">
        <v>151</v>
      </c>
      <c r="AO477" s="38" t="s">
        <v>151</v>
      </c>
      <c r="AP477" s="38" t="s">
        <v>151</v>
      </c>
      <c r="AQ477" s="38" t="s">
        <v>151</v>
      </c>
      <c r="AR477" s="29" t="s">
        <v>151</v>
      </c>
      <c r="AS477" s="30" t="s">
        <v>10094</v>
      </c>
      <c r="AT477" s="30" t="s">
        <v>10095</v>
      </c>
      <c r="AU477" s="31">
        <v>12</v>
      </c>
      <c r="AV477" s="30" t="s">
        <v>151</v>
      </c>
      <c r="AW477" s="30" t="s">
        <v>151</v>
      </c>
      <c r="AX477" s="30" t="s">
        <v>151</v>
      </c>
      <c r="AY477" s="30" t="s">
        <v>10096</v>
      </c>
      <c r="AZ477" s="30" t="s">
        <v>151</v>
      </c>
      <c r="BA477" s="30" t="s">
        <v>151</v>
      </c>
      <c r="BB477" s="30" t="s">
        <v>151</v>
      </c>
      <c r="BC477" s="30" t="s">
        <v>151</v>
      </c>
      <c r="BD477" s="30" t="s">
        <v>10097</v>
      </c>
      <c r="BE477" s="30" t="s">
        <v>10098</v>
      </c>
      <c r="BF477" s="30" t="s">
        <v>403</v>
      </c>
      <c r="BG477" s="30" t="s">
        <v>10099</v>
      </c>
      <c r="BH477" s="30" t="s">
        <v>151</v>
      </c>
      <c r="BI477" s="30" t="s">
        <v>906</v>
      </c>
      <c r="BJ477" s="30" t="s">
        <v>10100</v>
      </c>
      <c r="BK477" s="30" t="s">
        <v>2957</v>
      </c>
      <c r="BL477" s="30" t="s">
        <v>259</v>
      </c>
      <c r="BM477" s="30" t="s">
        <v>259</v>
      </c>
      <c r="BN477" s="29" t="s">
        <v>9247</v>
      </c>
      <c r="BO477" s="30" t="s">
        <v>186</v>
      </c>
      <c r="BP477" s="29" t="s">
        <v>151</v>
      </c>
      <c r="BQ477" s="29" t="s">
        <v>151</v>
      </c>
      <c r="BR477" s="30" t="s">
        <v>10101</v>
      </c>
      <c r="BS477" s="30" t="s">
        <v>187</v>
      </c>
      <c r="BT477" s="30" t="s">
        <v>188</v>
      </c>
      <c r="BU477" s="35">
        <v>43661</v>
      </c>
      <c r="BV477" s="37">
        <v>0.02</v>
      </c>
      <c r="BW477" s="30" t="s">
        <v>192</v>
      </c>
      <c r="BX477" s="37">
        <v>0.33</v>
      </c>
      <c r="BY477" s="30" t="s">
        <v>192</v>
      </c>
      <c r="BZ477" s="30" t="s">
        <v>189</v>
      </c>
      <c r="CA477" s="30" t="s">
        <v>151</v>
      </c>
      <c r="CB477" s="30" t="s">
        <v>151</v>
      </c>
      <c r="CC477" s="30" t="s">
        <v>190</v>
      </c>
      <c r="CD477" s="30" t="s">
        <v>151</v>
      </c>
      <c r="CE477" s="30" t="s">
        <v>191</v>
      </c>
      <c r="CF477" s="35">
        <v>45470</v>
      </c>
      <c r="CG477" s="37">
        <v>0.15</v>
      </c>
      <c r="CH477" s="30" t="s">
        <v>192</v>
      </c>
      <c r="CI477" s="37" t="s">
        <v>151</v>
      </c>
      <c r="CJ477" s="30" t="s">
        <v>151</v>
      </c>
      <c r="CK477" s="29" t="s">
        <v>151</v>
      </c>
      <c r="CL477" s="30" t="s">
        <v>189</v>
      </c>
      <c r="CM477" s="30" t="s">
        <v>151</v>
      </c>
      <c r="CN477" s="30" t="s">
        <v>151</v>
      </c>
      <c r="CO477" s="30" t="s">
        <v>190</v>
      </c>
      <c r="CP477" s="35">
        <v>45470</v>
      </c>
      <c r="CQ477" s="37" t="s">
        <v>151</v>
      </c>
      <c r="CR477" s="30" t="s">
        <v>151</v>
      </c>
      <c r="CS477" s="30" t="s">
        <v>191</v>
      </c>
      <c r="CT477" s="29" t="s">
        <v>151</v>
      </c>
      <c r="CU477" s="30" t="s">
        <v>151</v>
      </c>
      <c r="CV477" s="32" t="s">
        <v>151</v>
      </c>
      <c r="CW477" s="32" t="s">
        <v>151</v>
      </c>
      <c r="CX477" s="30" t="s">
        <v>151</v>
      </c>
      <c r="CY477" s="32" t="s">
        <v>151</v>
      </c>
      <c r="CZ477" s="32" t="s">
        <v>151</v>
      </c>
      <c r="DA477" s="37">
        <v>7.3</v>
      </c>
      <c r="DB477" s="35">
        <v>44662</v>
      </c>
      <c r="DC477" s="30" t="s">
        <v>293</v>
      </c>
      <c r="DD477" s="29" t="s">
        <v>151</v>
      </c>
      <c r="DE477" s="32">
        <v>-1.31</v>
      </c>
      <c r="DF477" s="34">
        <v>3</v>
      </c>
      <c r="DG477" s="32">
        <v>0</v>
      </c>
      <c r="DH477" s="32">
        <v>0</v>
      </c>
      <c r="DI477" s="32">
        <v>-1.31</v>
      </c>
      <c r="DJ477" s="34">
        <v>3</v>
      </c>
      <c r="DK477" s="32" t="s">
        <v>151</v>
      </c>
      <c r="DL477" s="34" t="s">
        <v>151</v>
      </c>
      <c r="DM477" s="32">
        <v>-1.31</v>
      </c>
      <c r="DN477" s="34">
        <v>3</v>
      </c>
      <c r="DO477" s="36">
        <v>8.53</v>
      </c>
      <c r="DP477" s="34">
        <v>89</v>
      </c>
      <c r="DQ477" s="36">
        <v>0</v>
      </c>
      <c r="DR477" s="32">
        <v>0</v>
      </c>
      <c r="DS477" s="36">
        <v>8.53</v>
      </c>
      <c r="DT477" s="34">
        <v>88</v>
      </c>
      <c r="DU477" s="36" t="s">
        <v>151</v>
      </c>
      <c r="DV477" s="34" t="s">
        <v>151</v>
      </c>
      <c r="DW477" s="36">
        <v>8.53</v>
      </c>
      <c r="DX477" s="34">
        <v>88</v>
      </c>
      <c r="DY477" s="31" t="s">
        <v>151</v>
      </c>
      <c r="DZ477" s="35" t="s">
        <v>151</v>
      </c>
      <c r="EA477" s="35" t="s">
        <v>151</v>
      </c>
      <c r="EB477" s="34" t="s">
        <v>151</v>
      </c>
      <c r="EC477" s="33" t="s">
        <v>151</v>
      </c>
      <c r="ED477" s="32" t="s">
        <v>151</v>
      </c>
      <c r="EE477" s="34">
        <v>162</v>
      </c>
      <c r="EF477" s="33">
        <v>-1</v>
      </c>
      <c r="EG477" s="32">
        <v>-0.61</v>
      </c>
      <c r="EH477" s="29" t="s">
        <v>198</v>
      </c>
      <c r="EI477" s="30" t="s">
        <v>151</v>
      </c>
      <c r="EJ477" s="30" t="s">
        <v>151</v>
      </c>
      <c r="EK477" s="31" t="s">
        <v>151</v>
      </c>
      <c r="EL477" s="31" t="s">
        <v>151</v>
      </c>
      <c r="EM477" s="31" t="s">
        <v>151</v>
      </c>
      <c r="EN477" s="31" t="s">
        <v>151</v>
      </c>
      <c r="EO477" s="31" t="s">
        <v>151</v>
      </c>
      <c r="EP477" s="30" t="s">
        <v>151</v>
      </c>
      <c r="EQ477" s="29" t="s">
        <v>151</v>
      </c>
      <c r="ER477" s="29" t="s">
        <v>151</v>
      </c>
      <c r="ES477" s="4">
        <f>HYPERLINK("https://my.pitchbook.com?c=398919-97","View Company Online")</f>
      </c>
    </row>
    <row r="478">
      <c r="A478" s="17" t="s">
        <v>10102</v>
      </c>
      <c r="B478" s="17" t="s">
        <v>10103</v>
      </c>
      <c r="C478" s="18" t="s">
        <v>151</v>
      </c>
      <c r="D478" s="17" t="s">
        <v>151</v>
      </c>
      <c r="E478" s="17" t="s">
        <v>151</v>
      </c>
      <c r="F478" s="17" t="s">
        <v>10104</v>
      </c>
      <c r="G478" s="17" t="s">
        <v>151</v>
      </c>
      <c r="H478" s="17" t="s">
        <v>151</v>
      </c>
      <c r="I478" s="17" t="s">
        <v>151</v>
      </c>
      <c r="J478" s="17" t="s">
        <v>10102</v>
      </c>
      <c r="K478" s="17" t="s">
        <v>10105</v>
      </c>
      <c r="L478" s="17" t="s">
        <v>1792</v>
      </c>
      <c r="M478" s="17" t="s">
        <v>5329</v>
      </c>
      <c r="N478" s="17" t="s">
        <v>10106</v>
      </c>
      <c r="O478" s="17" t="s">
        <v>10107</v>
      </c>
      <c r="P478" s="17" t="s">
        <v>10108</v>
      </c>
      <c r="Q478" s="17" t="s">
        <v>10109</v>
      </c>
      <c r="R478" s="17" t="s">
        <v>151</v>
      </c>
      <c r="S478" s="17" t="s">
        <v>162</v>
      </c>
      <c r="T478" s="24">
        <v>0.01</v>
      </c>
      <c r="U478" s="17" t="s">
        <v>163</v>
      </c>
      <c r="V478" s="17" t="s">
        <v>164</v>
      </c>
      <c r="W478" s="17" t="s">
        <v>165</v>
      </c>
      <c r="X478" s="15" t="s">
        <v>10110</v>
      </c>
      <c r="Y478" s="15" t="s">
        <v>10111</v>
      </c>
      <c r="Z478" s="27">
        <v>9</v>
      </c>
      <c r="AA478" s="17" t="s">
        <v>10112</v>
      </c>
      <c r="AB478" s="17" t="s">
        <v>151</v>
      </c>
      <c r="AC478" s="17" t="s">
        <v>151</v>
      </c>
      <c r="AD478" s="26">
        <v>2018</v>
      </c>
      <c r="AE478" s="17" t="s">
        <v>151</v>
      </c>
      <c r="AF478" s="22">
        <v>45492</v>
      </c>
      <c r="AG478" s="17" t="s">
        <v>151</v>
      </c>
      <c r="AH478" s="17" t="s">
        <v>151</v>
      </c>
      <c r="AI478" s="25" t="s">
        <v>151</v>
      </c>
      <c r="AJ478" s="19" t="s">
        <v>151</v>
      </c>
      <c r="AK478" s="25" t="s">
        <v>151</v>
      </c>
      <c r="AL478" s="25" t="s">
        <v>151</v>
      </c>
      <c r="AM478" s="25" t="s">
        <v>151</v>
      </c>
      <c r="AN478" s="25" t="s">
        <v>151</v>
      </c>
      <c r="AO478" s="25" t="s">
        <v>151</v>
      </c>
      <c r="AP478" s="25" t="s">
        <v>151</v>
      </c>
      <c r="AQ478" s="25" t="s">
        <v>151</v>
      </c>
      <c r="AR478" s="16" t="s">
        <v>151</v>
      </c>
      <c r="AS478" s="17" t="s">
        <v>10113</v>
      </c>
      <c r="AT478" s="17" t="s">
        <v>10114</v>
      </c>
      <c r="AU478" s="18">
        <v>7</v>
      </c>
      <c r="AV478" s="17" t="s">
        <v>151</v>
      </c>
      <c r="AW478" s="17" t="s">
        <v>151</v>
      </c>
      <c r="AX478" s="17" t="s">
        <v>151</v>
      </c>
      <c r="AY478" s="17" t="s">
        <v>10115</v>
      </c>
      <c r="AZ478" s="17" t="s">
        <v>151</v>
      </c>
      <c r="BA478" s="17" t="s">
        <v>151</v>
      </c>
      <c r="BB478" s="17" t="s">
        <v>151</v>
      </c>
      <c r="BC478" s="17" t="s">
        <v>151</v>
      </c>
      <c r="BD478" s="17" t="s">
        <v>10116</v>
      </c>
      <c r="BE478" s="17" t="s">
        <v>10117</v>
      </c>
      <c r="BF478" s="17" t="s">
        <v>221</v>
      </c>
      <c r="BG478" s="17" t="s">
        <v>10118</v>
      </c>
      <c r="BH478" s="17" t="s">
        <v>10119</v>
      </c>
      <c r="BI478" s="17" t="s">
        <v>764</v>
      </c>
      <c r="BJ478" s="17" t="s">
        <v>10120</v>
      </c>
      <c r="BK478" s="17" t="s">
        <v>151</v>
      </c>
      <c r="BL478" s="17" t="s">
        <v>767</v>
      </c>
      <c r="BM478" s="17" t="s">
        <v>184</v>
      </c>
      <c r="BN478" s="16" t="s">
        <v>794</v>
      </c>
      <c r="BO478" s="17" t="s">
        <v>186</v>
      </c>
      <c r="BP478" s="16" t="s">
        <v>10119</v>
      </c>
      <c r="BQ478" s="16" t="s">
        <v>151</v>
      </c>
      <c r="BR478" s="17" t="s">
        <v>10121</v>
      </c>
      <c r="BS478" s="17" t="s">
        <v>187</v>
      </c>
      <c r="BT478" s="17" t="s">
        <v>188</v>
      </c>
      <c r="BU478" s="22">
        <v>44652</v>
      </c>
      <c r="BV478" s="24">
        <v>0.01</v>
      </c>
      <c r="BW478" s="17" t="s">
        <v>192</v>
      </c>
      <c r="BX478" s="24" t="s">
        <v>151</v>
      </c>
      <c r="BY478" s="17" t="s">
        <v>151</v>
      </c>
      <c r="BZ478" s="17" t="s">
        <v>293</v>
      </c>
      <c r="CA478" s="17" t="s">
        <v>293</v>
      </c>
      <c r="CB478" s="17" t="s">
        <v>151</v>
      </c>
      <c r="CC478" s="17" t="s">
        <v>165</v>
      </c>
      <c r="CD478" s="17" t="s">
        <v>151</v>
      </c>
      <c r="CE478" s="17" t="s">
        <v>191</v>
      </c>
      <c r="CF478" s="22">
        <v>44652</v>
      </c>
      <c r="CG478" s="24">
        <v>0.01</v>
      </c>
      <c r="CH478" s="17" t="s">
        <v>192</v>
      </c>
      <c r="CI478" s="24" t="s">
        <v>151</v>
      </c>
      <c r="CJ478" s="17" t="s">
        <v>151</v>
      </c>
      <c r="CK478" s="16" t="s">
        <v>151</v>
      </c>
      <c r="CL478" s="17" t="s">
        <v>293</v>
      </c>
      <c r="CM478" s="17" t="s">
        <v>293</v>
      </c>
      <c r="CN478" s="17" t="s">
        <v>151</v>
      </c>
      <c r="CO478" s="17" t="s">
        <v>165</v>
      </c>
      <c r="CP478" s="22">
        <v>44652</v>
      </c>
      <c r="CQ478" s="24" t="s">
        <v>151</v>
      </c>
      <c r="CR478" s="17" t="s">
        <v>151</v>
      </c>
      <c r="CS478" s="17" t="s">
        <v>191</v>
      </c>
      <c r="CT478" s="16" t="s">
        <v>151</v>
      </c>
      <c r="CU478" s="17" t="s">
        <v>151</v>
      </c>
      <c r="CV478" s="19" t="s">
        <v>151</v>
      </c>
      <c r="CW478" s="19" t="s">
        <v>151</v>
      </c>
      <c r="CX478" s="17" t="s">
        <v>151</v>
      </c>
      <c r="CY478" s="19" t="s">
        <v>151</v>
      </c>
      <c r="CZ478" s="19" t="s">
        <v>151</v>
      </c>
      <c r="DA478" s="24" t="s">
        <v>151</v>
      </c>
      <c r="DB478" s="22" t="s">
        <v>151</v>
      </c>
      <c r="DC478" s="17" t="s">
        <v>151</v>
      </c>
      <c r="DD478" s="16" t="s">
        <v>151</v>
      </c>
      <c r="DE478" s="19">
        <v>1.56</v>
      </c>
      <c r="DF478" s="21">
        <v>97</v>
      </c>
      <c r="DG478" s="19">
        <v>0</v>
      </c>
      <c r="DH478" s="19">
        <v>0</v>
      </c>
      <c r="DI478" s="19" t="s">
        <v>151</v>
      </c>
      <c r="DJ478" s="21" t="s">
        <v>151</v>
      </c>
      <c r="DK478" s="19" t="s">
        <v>151</v>
      </c>
      <c r="DL478" s="21" t="s">
        <v>151</v>
      </c>
      <c r="DM478" s="19" t="s">
        <v>151</v>
      </c>
      <c r="DN478" s="21" t="s">
        <v>151</v>
      </c>
      <c r="DO478" s="23">
        <v>0.69</v>
      </c>
      <c r="DP478" s="21">
        <v>42</v>
      </c>
      <c r="DQ478" s="23">
        <v>0</v>
      </c>
      <c r="DR478" s="19">
        <v>0</v>
      </c>
      <c r="DS478" s="23" t="s">
        <v>151</v>
      </c>
      <c r="DT478" s="21" t="s">
        <v>151</v>
      </c>
      <c r="DU478" s="23" t="s">
        <v>151</v>
      </c>
      <c r="DV478" s="21" t="s">
        <v>151</v>
      </c>
      <c r="DW478" s="23" t="s">
        <v>151</v>
      </c>
      <c r="DX478" s="21" t="s">
        <v>151</v>
      </c>
      <c r="DY478" s="18" t="s">
        <v>151</v>
      </c>
      <c r="DZ478" s="22" t="s">
        <v>151</v>
      </c>
      <c r="EA478" s="22" t="s">
        <v>151</v>
      </c>
      <c r="EB478" s="21">
        <v>0</v>
      </c>
      <c r="EC478" s="20">
        <v>0</v>
      </c>
      <c r="ED478" s="19">
        <v>0</v>
      </c>
      <c r="EE478" s="21" t="s">
        <v>151</v>
      </c>
      <c r="EF478" s="20" t="s">
        <v>151</v>
      </c>
      <c r="EG478" s="19" t="s">
        <v>151</v>
      </c>
      <c r="EH478" s="16" t="s">
        <v>198</v>
      </c>
      <c r="EI478" s="17" t="s">
        <v>151</v>
      </c>
      <c r="EJ478" s="17" t="s">
        <v>151</v>
      </c>
      <c r="EK478" s="18" t="s">
        <v>151</v>
      </c>
      <c r="EL478" s="18" t="s">
        <v>151</v>
      </c>
      <c r="EM478" s="18" t="s">
        <v>151</v>
      </c>
      <c r="EN478" s="18" t="s">
        <v>151</v>
      </c>
      <c r="EO478" s="18" t="s">
        <v>151</v>
      </c>
      <c r="EP478" s="17" t="s">
        <v>151</v>
      </c>
      <c r="EQ478" s="16" t="s">
        <v>151</v>
      </c>
      <c r="ER478" s="16" t="s">
        <v>151</v>
      </c>
      <c r="ES478" s="3">
        <f>HYPERLINK("https://my.pitchbook.com?c=471661-12","View Company Online")</f>
      </c>
    </row>
    <row r="479">
      <c r="A479" s="30" t="s">
        <v>10122</v>
      </c>
      <c r="B479" s="30" t="s">
        <v>10123</v>
      </c>
      <c r="C479" s="31" t="s">
        <v>151</v>
      </c>
      <c r="D479" s="30" t="s">
        <v>151</v>
      </c>
      <c r="E479" s="30" t="s">
        <v>151</v>
      </c>
      <c r="F479" s="30" t="s">
        <v>10124</v>
      </c>
      <c r="G479" s="30" t="s">
        <v>151</v>
      </c>
      <c r="H479" s="30" t="s">
        <v>151</v>
      </c>
      <c r="I479" s="30" t="s">
        <v>10125</v>
      </c>
      <c r="J479" s="30" t="s">
        <v>10122</v>
      </c>
      <c r="K479" s="30" t="s">
        <v>10126</v>
      </c>
      <c r="L479" s="30" t="s">
        <v>205</v>
      </c>
      <c r="M479" s="30" t="s">
        <v>206</v>
      </c>
      <c r="N479" s="30" t="s">
        <v>917</v>
      </c>
      <c r="O479" s="30" t="s">
        <v>3476</v>
      </c>
      <c r="P479" s="30" t="s">
        <v>151</v>
      </c>
      <c r="Q479" s="30" t="s">
        <v>10127</v>
      </c>
      <c r="R479" s="30" t="s">
        <v>151</v>
      </c>
      <c r="S479" s="30" t="s">
        <v>162</v>
      </c>
      <c r="T479" s="37">
        <v>0.31</v>
      </c>
      <c r="U479" s="30" t="s">
        <v>163</v>
      </c>
      <c r="V479" s="30" t="s">
        <v>164</v>
      </c>
      <c r="W479" s="30" t="s">
        <v>165</v>
      </c>
      <c r="X479" s="28" t="s">
        <v>10128</v>
      </c>
      <c r="Y479" s="28" t="s">
        <v>10129</v>
      </c>
      <c r="Z479" s="40">
        <v>4</v>
      </c>
      <c r="AA479" s="30" t="s">
        <v>10130</v>
      </c>
      <c r="AB479" s="30" t="s">
        <v>151</v>
      </c>
      <c r="AC479" s="30" t="s">
        <v>151</v>
      </c>
      <c r="AD479" s="39">
        <v>2021</v>
      </c>
      <c r="AE479" s="30" t="s">
        <v>151</v>
      </c>
      <c r="AF479" s="35">
        <v>45359</v>
      </c>
      <c r="AG479" s="30" t="s">
        <v>151</v>
      </c>
      <c r="AH479" s="30" t="s">
        <v>151</v>
      </c>
      <c r="AI479" s="38" t="s">
        <v>151</v>
      </c>
      <c r="AJ479" s="32" t="s">
        <v>151</v>
      </c>
      <c r="AK479" s="38" t="s">
        <v>151</v>
      </c>
      <c r="AL479" s="38" t="s">
        <v>151</v>
      </c>
      <c r="AM479" s="38" t="s">
        <v>151</v>
      </c>
      <c r="AN479" s="38" t="s">
        <v>151</v>
      </c>
      <c r="AO479" s="38" t="s">
        <v>151</v>
      </c>
      <c r="AP479" s="38" t="s">
        <v>151</v>
      </c>
      <c r="AQ479" s="38" t="s">
        <v>151</v>
      </c>
      <c r="AR479" s="29" t="s">
        <v>151</v>
      </c>
      <c r="AS479" s="30" t="s">
        <v>10131</v>
      </c>
      <c r="AT479" s="30" t="s">
        <v>10132</v>
      </c>
      <c r="AU479" s="31">
        <v>7</v>
      </c>
      <c r="AV479" s="30" t="s">
        <v>151</v>
      </c>
      <c r="AW479" s="30" t="s">
        <v>151</v>
      </c>
      <c r="AX479" s="30" t="s">
        <v>151</v>
      </c>
      <c r="AY479" s="30" t="s">
        <v>10133</v>
      </c>
      <c r="AZ479" s="30" t="s">
        <v>151</v>
      </c>
      <c r="BA479" s="30" t="s">
        <v>151</v>
      </c>
      <c r="BB479" s="30" t="s">
        <v>151</v>
      </c>
      <c r="BC479" s="30" t="s">
        <v>151</v>
      </c>
      <c r="BD479" s="30" t="s">
        <v>151</v>
      </c>
      <c r="BE479" s="30" t="s">
        <v>151</v>
      </c>
      <c r="BF479" s="30" t="s">
        <v>151</v>
      </c>
      <c r="BG479" s="30" t="s">
        <v>151</v>
      </c>
      <c r="BH479" s="30" t="s">
        <v>151</v>
      </c>
      <c r="BI479" s="30" t="s">
        <v>10134</v>
      </c>
      <c r="BJ479" s="30" t="s">
        <v>10135</v>
      </c>
      <c r="BK479" s="30" t="s">
        <v>10136</v>
      </c>
      <c r="BL479" s="30" t="s">
        <v>8388</v>
      </c>
      <c r="BM479" s="30" t="s">
        <v>10137</v>
      </c>
      <c r="BN479" s="29" t="s">
        <v>10138</v>
      </c>
      <c r="BO479" s="30" t="s">
        <v>186</v>
      </c>
      <c r="BP479" s="29" t="s">
        <v>10139</v>
      </c>
      <c r="BQ479" s="29" t="s">
        <v>151</v>
      </c>
      <c r="BR479" s="30" t="s">
        <v>151</v>
      </c>
      <c r="BS479" s="30" t="s">
        <v>187</v>
      </c>
      <c r="BT479" s="30" t="s">
        <v>188</v>
      </c>
      <c r="BU479" s="35">
        <v>44550</v>
      </c>
      <c r="BV479" s="37">
        <v>0.19</v>
      </c>
      <c r="BW479" s="30" t="s">
        <v>192</v>
      </c>
      <c r="BX479" s="37">
        <v>5.19</v>
      </c>
      <c r="BY479" s="30" t="s">
        <v>192</v>
      </c>
      <c r="BZ479" s="30" t="s">
        <v>231</v>
      </c>
      <c r="CA479" s="30" t="s">
        <v>151</v>
      </c>
      <c r="CB479" s="30" t="s">
        <v>151</v>
      </c>
      <c r="CC479" s="30" t="s">
        <v>165</v>
      </c>
      <c r="CD479" s="30" t="s">
        <v>151</v>
      </c>
      <c r="CE479" s="30" t="s">
        <v>191</v>
      </c>
      <c r="CF479" s="35">
        <v>45097</v>
      </c>
      <c r="CG479" s="37" t="s">
        <v>151</v>
      </c>
      <c r="CH479" s="30" t="s">
        <v>151</v>
      </c>
      <c r="CI479" s="37" t="s">
        <v>151</v>
      </c>
      <c r="CJ479" s="30" t="s">
        <v>151</v>
      </c>
      <c r="CK479" s="29" t="s">
        <v>151</v>
      </c>
      <c r="CL479" s="30" t="s">
        <v>231</v>
      </c>
      <c r="CM479" s="30" t="s">
        <v>151</v>
      </c>
      <c r="CN479" s="30" t="s">
        <v>151</v>
      </c>
      <c r="CO479" s="30" t="s">
        <v>165</v>
      </c>
      <c r="CP479" s="35">
        <v>45097</v>
      </c>
      <c r="CQ479" s="37" t="s">
        <v>151</v>
      </c>
      <c r="CR479" s="30" t="s">
        <v>355</v>
      </c>
      <c r="CS479" s="30" t="s">
        <v>191</v>
      </c>
      <c r="CT479" s="29">
        <v>41</v>
      </c>
      <c r="CU479" s="30" t="s">
        <v>263</v>
      </c>
      <c r="CV479" s="32">
        <v>40</v>
      </c>
      <c r="CW479" s="32">
        <v>60</v>
      </c>
      <c r="CX479" s="30" t="s">
        <v>263</v>
      </c>
      <c r="CY479" s="32">
        <v>1</v>
      </c>
      <c r="CZ479" s="32">
        <v>39</v>
      </c>
      <c r="DA479" s="37">
        <v>5.19</v>
      </c>
      <c r="DB479" s="35">
        <v>44550</v>
      </c>
      <c r="DC479" s="30" t="s">
        <v>231</v>
      </c>
      <c r="DD479" s="29" t="s">
        <v>151</v>
      </c>
      <c r="DE479" s="32">
        <v>0</v>
      </c>
      <c r="DF479" s="34">
        <v>11</v>
      </c>
      <c r="DG479" s="32">
        <v>0</v>
      </c>
      <c r="DH479" s="32">
        <v>0</v>
      </c>
      <c r="DI479" s="32">
        <v>0</v>
      </c>
      <c r="DJ479" s="34">
        <v>10</v>
      </c>
      <c r="DK479" s="32" t="s">
        <v>151</v>
      </c>
      <c r="DL479" s="34" t="s">
        <v>151</v>
      </c>
      <c r="DM479" s="32">
        <v>0</v>
      </c>
      <c r="DN479" s="34">
        <v>10</v>
      </c>
      <c r="DO479" s="36">
        <v>0.71</v>
      </c>
      <c r="DP479" s="34">
        <v>42</v>
      </c>
      <c r="DQ479" s="36">
        <v>0</v>
      </c>
      <c r="DR479" s="32">
        <v>0</v>
      </c>
      <c r="DS479" s="36">
        <v>1.11</v>
      </c>
      <c r="DT479" s="34">
        <v>52</v>
      </c>
      <c r="DU479" s="36" t="s">
        <v>151</v>
      </c>
      <c r="DV479" s="34" t="s">
        <v>151</v>
      </c>
      <c r="DW479" s="36">
        <v>1.11</v>
      </c>
      <c r="DX479" s="34">
        <v>52</v>
      </c>
      <c r="DY479" s="31" t="s">
        <v>151</v>
      </c>
      <c r="DZ479" s="35" t="s">
        <v>151</v>
      </c>
      <c r="EA479" s="35" t="s">
        <v>151</v>
      </c>
      <c r="EB479" s="34">
        <v>131</v>
      </c>
      <c r="EC479" s="33">
        <v>5</v>
      </c>
      <c r="ED479" s="32">
        <v>3.97</v>
      </c>
      <c r="EE479" s="34">
        <v>21</v>
      </c>
      <c r="EF479" s="33">
        <v>-6</v>
      </c>
      <c r="EG479" s="32">
        <v>-22.22</v>
      </c>
      <c r="EH479" s="29" t="s">
        <v>198</v>
      </c>
      <c r="EI479" s="30" t="s">
        <v>151</v>
      </c>
      <c r="EJ479" s="30" t="s">
        <v>151</v>
      </c>
      <c r="EK479" s="31" t="s">
        <v>151</v>
      </c>
      <c r="EL479" s="31" t="s">
        <v>151</v>
      </c>
      <c r="EM479" s="31" t="s">
        <v>151</v>
      </c>
      <c r="EN479" s="31" t="s">
        <v>151</v>
      </c>
      <c r="EO479" s="31" t="s">
        <v>151</v>
      </c>
      <c r="EP479" s="30" t="s">
        <v>151</v>
      </c>
      <c r="EQ479" s="29" t="s">
        <v>151</v>
      </c>
      <c r="ER479" s="29" t="s">
        <v>151</v>
      </c>
      <c r="ES479" s="4">
        <f>HYPERLINK("https://my.pitchbook.com?c=489370-24","View Company Online")</f>
      </c>
    </row>
    <row r="480">
      <c r="A480" s="17" t="s">
        <v>10140</v>
      </c>
      <c r="B480" s="17" t="s">
        <v>10141</v>
      </c>
      <c r="C480" s="18" t="s">
        <v>151</v>
      </c>
      <c r="D480" s="17" t="s">
        <v>151</v>
      </c>
      <c r="E480" s="17" t="s">
        <v>151</v>
      </c>
      <c r="F480" s="17" t="s">
        <v>10142</v>
      </c>
      <c r="G480" s="17" t="s">
        <v>151</v>
      </c>
      <c r="H480" s="17" t="s">
        <v>151</v>
      </c>
      <c r="I480" s="17" t="s">
        <v>10143</v>
      </c>
      <c r="J480" s="17" t="s">
        <v>10140</v>
      </c>
      <c r="K480" s="17" t="s">
        <v>10144</v>
      </c>
      <c r="L480" s="17" t="s">
        <v>205</v>
      </c>
      <c r="M480" s="17" t="s">
        <v>206</v>
      </c>
      <c r="N480" s="17" t="s">
        <v>917</v>
      </c>
      <c r="O480" s="17" t="s">
        <v>10145</v>
      </c>
      <c r="P480" s="17" t="s">
        <v>10146</v>
      </c>
      <c r="Q480" s="17" t="s">
        <v>10147</v>
      </c>
      <c r="R480" s="17" t="s">
        <v>151</v>
      </c>
      <c r="S480" s="17" t="s">
        <v>162</v>
      </c>
      <c r="T480" s="24">
        <v>1.72</v>
      </c>
      <c r="U480" s="17" t="s">
        <v>163</v>
      </c>
      <c r="V480" s="17" t="s">
        <v>164</v>
      </c>
      <c r="W480" s="17" t="s">
        <v>165</v>
      </c>
      <c r="X480" s="15" t="s">
        <v>10148</v>
      </c>
      <c r="Y480" s="15" t="s">
        <v>10149</v>
      </c>
      <c r="Z480" s="27">
        <v>11</v>
      </c>
      <c r="AA480" s="17" t="s">
        <v>10150</v>
      </c>
      <c r="AB480" s="17" t="s">
        <v>151</v>
      </c>
      <c r="AC480" s="17" t="s">
        <v>151</v>
      </c>
      <c r="AD480" s="26">
        <v>2016</v>
      </c>
      <c r="AE480" s="17" t="s">
        <v>151</v>
      </c>
      <c r="AF480" s="22">
        <v>45348</v>
      </c>
      <c r="AG480" s="17" t="s">
        <v>151</v>
      </c>
      <c r="AH480" s="17" t="s">
        <v>151</v>
      </c>
      <c r="AI480" s="25" t="s">
        <v>151</v>
      </c>
      <c r="AJ480" s="19" t="s">
        <v>151</v>
      </c>
      <c r="AK480" s="25" t="s">
        <v>151</v>
      </c>
      <c r="AL480" s="25" t="s">
        <v>151</v>
      </c>
      <c r="AM480" s="25" t="s">
        <v>151</v>
      </c>
      <c r="AN480" s="25" t="s">
        <v>151</v>
      </c>
      <c r="AO480" s="25" t="s">
        <v>151</v>
      </c>
      <c r="AP480" s="25" t="s">
        <v>151</v>
      </c>
      <c r="AQ480" s="25" t="s">
        <v>151</v>
      </c>
      <c r="AR480" s="16" t="s">
        <v>151</v>
      </c>
      <c r="AS480" s="17" t="s">
        <v>1924</v>
      </c>
      <c r="AT480" s="17" t="s">
        <v>10151</v>
      </c>
      <c r="AU480" s="18">
        <v>11</v>
      </c>
      <c r="AV480" s="17" t="s">
        <v>151</v>
      </c>
      <c r="AW480" s="17" t="s">
        <v>151</v>
      </c>
      <c r="AX480" s="17" t="s">
        <v>151</v>
      </c>
      <c r="AY480" s="17" t="s">
        <v>10152</v>
      </c>
      <c r="AZ480" s="17" t="s">
        <v>151</v>
      </c>
      <c r="BA480" s="17" t="s">
        <v>151</v>
      </c>
      <c r="BB480" s="17" t="s">
        <v>151</v>
      </c>
      <c r="BC480" s="17" t="s">
        <v>151</v>
      </c>
      <c r="BD480" s="17" t="s">
        <v>10153</v>
      </c>
      <c r="BE480" s="17" t="s">
        <v>10154</v>
      </c>
      <c r="BF480" s="17" t="s">
        <v>221</v>
      </c>
      <c r="BG480" s="17" t="s">
        <v>10155</v>
      </c>
      <c r="BH480" s="17" t="s">
        <v>151</v>
      </c>
      <c r="BI480" s="17" t="s">
        <v>2162</v>
      </c>
      <c r="BJ480" s="17" t="s">
        <v>10156</v>
      </c>
      <c r="BK480" s="17" t="s">
        <v>151</v>
      </c>
      <c r="BL480" s="17" t="s">
        <v>289</v>
      </c>
      <c r="BM480" s="17" t="s">
        <v>2165</v>
      </c>
      <c r="BN480" s="16" t="s">
        <v>2166</v>
      </c>
      <c r="BO480" s="17" t="s">
        <v>186</v>
      </c>
      <c r="BP480" s="16" t="s">
        <v>151</v>
      </c>
      <c r="BQ480" s="16" t="s">
        <v>151</v>
      </c>
      <c r="BR480" s="17" t="s">
        <v>10157</v>
      </c>
      <c r="BS480" s="17" t="s">
        <v>187</v>
      </c>
      <c r="BT480" s="17" t="s">
        <v>188</v>
      </c>
      <c r="BU480" s="22" t="s">
        <v>151</v>
      </c>
      <c r="BV480" s="24" t="s">
        <v>151</v>
      </c>
      <c r="BW480" s="17" t="s">
        <v>151</v>
      </c>
      <c r="BX480" s="24" t="s">
        <v>151</v>
      </c>
      <c r="BY480" s="17" t="s">
        <v>151</v>
      </c>
      <c r="BZ480" s="17" t="s">
        <v>1075</v>
      </c>
      <c r="CA480" s="17" t="s">
        <v>1075</v>
      </c>
      <c r="CB480" s="17" t="s">
        <v>151</v>
      </c>
      <c r="CC480" s="17" t="s">
        <v>585</v>
      </c>
      <c r="CD480" s="17" t="s">
        <v>151</v>
      </c>
      <c r="CE480" s="17" t="s">
        <v>191</v>
      </c>
      <c r="CF480" s="22" t="s">
        <v>151</v>
      </c>
      <c r="CG480" s="24" t="s">
        <v>151</v>
      </c>
      <c r="CH480" s="17" t="s">
        <v>151</v>
      </c>
      <c r="CI480" s="24" t="s">
        <v>151</v>
      </c>
      <c r="CJ480" s="17" t="s">
        <v>151</v>
      </c>
      <c r="CK480" s="16" t="s">
        <v>151</v>
      </c>
      <c r="CL480" s="17" t="s">
        <v>189</v>
      </c>
      <c r="CM480" s="17" t="s">
        <v>151</v>
      </c>
      <c r="CN480" s="17" t="s">
        <v>151</v>
      </c>
      <c r="CO480" s="17" t="s">
        <v>190</v>
      </c>
      <c r="CP480" s="22" t="s">
        <v>151</v>
      </c>
      <c r="CQ480" s="24" t="s">
        <v>151</v>
      </c>
      <c r="CR480" s="17" t="s">
        <v>151</v>
      </c>
      <c r="CS480" s="17" t="s">
        <v>191</v>
      </c>
      <c r="CT480" s="16">
        <v>34</v>
      </c>
      <c r="CU480" s="17" t="s">
        <v>263</v>
      </c>
      <c r="CV480" s="19">
        <v>34</v>
      </c>
      <c r="CW480" s="19">
        <v>66</v>
      </c>
      <c r="CX480" s="17" t="s">
        <v>263</v>
      </c>
      <c r="CY480" s="19">
        <v>1</v>
      </c>
      <c r="CZ480" s="19">
        <v>33</v>
      </c>
      <c r="DA480" s="24">
        <v>2</v>
      </c>
      <c r="DB480" s="22">
        <v>44588</v>
      </c>
      <c r="DC480" s="17" t="s">
        <v>189</v>
      </c>
      <c r="DD480" s="16" t="s">
        <v>151</v>
      </c>
      <c r="DE480" s="19">
        <v>-0.52</v>
      </c>
      <c r="DF480" s="21">
        <v>7</v>
      </c>
      <c r="DG480" s="19">
        <v>0</v>
      </c>
      <c r="DH480" s="19">
        <v>0</v>
      </c>
      <c r="DI480" s="19">
        <v>0</v>
      </c>
      <c r="DJ480" s="21">
        <v>10</v>
      </c>
      <c r="DK480" s="19" t="s">
        <v>151</v>
      </c>
      <c r="DL480" s="21" t="s">
        <v>151</v>
      </c>
      <c r="DM480" s="19">
        <v>0</v>
      </c>
      <c r="DN480" s="21">
        <v>10</v>
      </c>
      <c r="DO480" s="23">
        <v>2.21</v>
      </c>
      <c r="DP480" s="21">
        <v>68</v>
      </c>
      <c r="DQ480" s="23">
        <v>0</v>
      </c>
      <c r="DR480" s="19">
        <v>0</v>
      </c>
      <c r="DS480" s="23">
        <v>3.58</v>
      </c>
      <c r="DT480" s="21">
        <v>77</v>
      </c>
      <c r="DU480" s="23" t="s">
        <v>151</v>
      </c>
      <c r="DV480" s="21" t="s">
        <v>151</v>
      </c>
      <c r="DW480" s="23">
        <v>3.58</v>
      </c>
      <c r="DX480" s="21">
        <v>77</v>
      </c>
      <c r="DY480" s="18" t="s">
        <v>151</v>
      </c>
      <c r="DZ480" s="22" t="s">
        <v>151</v>
      </c>
      <c r="EA480" s="22" t="s">
        <v>151</v>
      </c>
      <c r="EB480" s="21">
        <v>401</v>
      </c>
      <c r="EC480" s="20">
        <v>-87</v>
      </c>
      <c r="ED480" s="19">
        <v>-17.83</v>
      </c>
      <c r="EE480" s="21">
        <v>68</v>
      </c>
      <c r="EF480" s="20">
        <v>0</v>
      </c>
      <c r="EG480" s="19">
        <v>0</v>
      </c>
      <c r="EH480" s="16" t="s">
        <v>198</v>
      </c>
      <c r="EI480" s="17" t="s">
        <v>151</v>
      </c>
      <c r="EJ480" s="17" t="s">
        <v>151</v>
      </c>
      <c r="EK480" s="18" t="s">
        <v>151</v>
      </c>
      <c r="EL480" s="18" t="s">
        <v>151</v>
      </c>
      <c r="EM480" s="18" t="s">
        <v>151</v>
      </c>
      <c r="EN480" s="18" t="s">
        <v>151</v>
      </c>
      <c r="EO480" s="18" t="s">
        <v>151</v>
      </c>
      <c r="EP480" s="17" t="s">
        <v>151</v>
      </c>
      <c r="EQ480" s="16" t="s">
        <v>151</v>
      </c>
      <c r="ER480" s="16" t="s">
        <v>151</v>
      </c>
      <c r="ES480" s="3">
        <f>HYPERLINK("https://my.pitchbook.com?c=483690-34","View Company Online")</f>
      </c>
    </row>
    <row r="481">
      <c r="A481" s="30" t="s">
        <v>10158</v>
      </c>
      <c r="B481" s="30" t="s">
        <v>10159</v>
      </c>
      <c r="C481" s="31" t="s">
        <v>151</v>
      </c>
      <c r="D481" s="30" t="s">
        <v>10160</v>
      </c>
      <c r="E481" s="30" t="s">
        <v>151</v>
      </c>
      <c r="F481" s="30" t="s">
        <v>10161</v>
      </c>
      <c r="G481" s="30" t="s">
        <v>151</v>
      </c>
      <c r="H481" s="30" t="s">
        <v>151</v>
      </c>
      <c r="I481" s="30" t="s">
        <v>10162</v>
      </c>
      <c r="J481" s="30" t="s">
        <v>10158</v>
      </c>
      <c r="K481" s="30" t="s">
        <v>10163</v>
      </c>
      <c r="L481" s="30" t="s">
        <v>205</v>
      </c>
      <c r="M481" s="30" t="s">
        <v>206</v>
      </c>
      <c r="N481" s="30" t="s">
        <v>269</v>
      </c>
      <c r="O481" s="30" t="s">
        <v>10164</v>
      </c>
      <c r="P481" s="30" t="s">
        <v>10165</v>
      </c>
      <c r="Q481" s="30" t="s">
        <v>10166</v>
      </c>
      <c r="R481" s="30" t="s">
        <v>151</v>
      </c>
      <c r="S481" s="30" t="s">
        <v>162</v>
      </c>
      <c r="T481" s="37">
        <v>2.02</v>
      </c>
      <c r="U481" s="30" t="s">
        <v>163</v>
      </c>
      <c r="V481" s="30" t="s">
        <v>164</v>
      </c>
      <c r="W481" s="30" t="s">
        <v>165</v>
      </c>
      <c r="X481" s="28" t="s">
        <v>10167</v>
      </c>
      <c r="Y481" s="28" t="s">
        <v>10168</v>
      </c>
      <c r="Z481" s="40">
        <v>27</v>
      </c>
      <c r="AA481" s="30" t="s">
        <v>10169</v>
      </c>
      <c r="AB481" s="30" t="s">
        <v>151</v>
      </c>
      <c r="AC481" s="30" t="s">
        <v>151</v>
      </c>
      <c r="AD481" s="39">
        <v>2019</v>
      </c>
      <c r="AE481" s="30" t="s">
        <v>151</v>
      </c>
      <c r="AF481" s="35">
        <v>45595</v>
      </c>
      <c r="AG481" s="30" t="s">
        <v>151</v>
      </c>
      <c r="AH481" s="30" t="s">
        <v>151</v>
      </c>
      <c r="AI481" s="38" t="s">
        <v>151</v>
      </c>
      <c r="AJ481" s="32" t="s">
        <v>151</v>
      </c>
      <c r="AK481" s="38" t="s">
        <v>151</v>
      </c>
      <c r="AL481" s="38" t="s">
        <v>151</v>
      </c>
      <c r="AM481" s="38" t="s">
        <v>151</v>
      </c>
      <c r="AN481" s="38" t="s">
        <v>151</v>
      </c>
      <c r="AO481" s="38" t="s">
        <v>151</v>
      </c>
      <c r="AP481" s="38" t="s">
        <v>151</v>
      </c>
      <c r="AQ481" s="38" t="s">
        <v>151</v>
      </c>
      <c r="AR481" s="29" t="s">
        <v>151</v>
      </c>
      <c r="AS481" s="30" t="s">
        <v>10170</v>
      </c>
      <c r="AT481" s="30" t="s">
        <v>10171</v>
      </c>
      <c r="AU481" s="31">
        <v>5</v>
      </c>
      <c r="AV481" s="30" t="s">
        <v>151</v>
      </c>
      <c r="AW481" s="30" t="s">
        <v>151</v>
      </c>
      <c r="AX481" s="30" t="s">
        <v>151</v>
      </c>
      <c r="AY481" s="30" t="s">
        <v>10172</v>
      </c>
      <c r="AZ481" s="30" t="s">
        <v>151</v>
      </c>
      <c r="BA481" s="30" t="s">
        <v>151</v>
      </c>
      <c r="BB481" s="30" t="s">
        <v>151</v>
      </c>
      <c r="BC481" s="30" t="s">
        <v>151</v>
      </c>
      <c r="BD481" s="30" t="s">
        <v>151</v>
      </c>
      <c r="BE481" s="30" t="s">
        <v>151</v>
      </c>
      <c r="BF481" s="30" t="s">
        <v>151</v>
      </c>
      <c r="BG481" s="30" t="s">
        <v>151</v>
      </c>
      <c r="BH481" s="30" t="s">
        <v>151</v>
      </c>
      <c r="BI481" s="30" t="s">
        <v>1808</v>
      </c>
      <c r="BJ481" s="30" t="s">
        <v>10173</v>
      </c>
      <c r="BK481" s="30" t="s">
        <v>151</v>
      </c>
      <c r="BL481" s="30" t="s">
        <v>1811</v>
      </c>
      <c r="BM481" s="30" t="s">
        <v>525</v>
      </c>
      <c r="BN481" s="29" t="s">
        <v>10174</v>
      </c>
      <c r="BO481" s="30" t="s">
        <v>186</v>
      </c>
      <c r="BP481" s="29" t="s">
        <v>10175</v>
      </c>
      <c r="BQ481" s="29" t="s">
        <v>151</v>
      </c>
      <c r="BR481" s="30" t="s">
        <v>10176</v>
      </c>
      <c r="BS481" s="30" t="s">
        <v>187</v>
      </c>
      <c r="BT481" s="30" t="s">
        <v>188</v>
      </c>
      <c r="BU481" s="35">
        <v>43831</v>
      </c>
      <c r="BV481" s="37" t="s">
        <v>151</v>
      </c>
      <c r="BW481" s="30" t="s">
        <v>151</v>
      </c>
      <c r="BX481" s="37" t="s">
        <v>151</v>
      </c>
      <c r="BY481" s="30" t="s">
        <v>151</v>
      </c>
      <c r="BZ481" s="30" t="s">
        <v>189</v>
      </c>
      <c r="CA481" s="30" t="s">
        <v>151</v>
      </c>
      <c r="CB481" s="30" t="s">
        <v>151</v>
      </c>
      <c r="CC481" s="30" t="s">
        <v>190</v>
      </c>
      <c r="CD481" s="30" t="s">
        <v>151</v>
      </c>
      <c r="CE481" s="30" t="s">
        <v>191</v>
      </c>
      <c r="CF481" s="35">
        <v>44852</v>
      </c>
      <c r="CG481" s="37">
        <v>2</v>
      </c>
      <c r="CH481" s="30" t="s">
        <v>192</v>
      </c>
      <c r="CI481" s="37" t="s">
        <v>151</v>
      </c>
      <c r="CJ481" s="30" t="s">
        <v>151</v>
      </c>
      <c r="CK481" s="29" t="s">
        <v>151</v>
      </c>
      <c r="CL481" s="30" t="s">
        <v>293</v>
      </c>
      <c r="CM481" s="30" t="s">
        <v>293</v>
      </c>
      <c r="CN481" s="30" t="s">
        <v>151</v>
      </c>
      <c r="CO481" s="30" t="s">
        <v>165</v>
      </c>
      <c r="CP481" s="35">
        <v>44852</v>
      </c>
      <c r="CQ481" s="37" t="s">
        <v>151</v>
      </c>
      <c r="CR481" s="30" t="s">
        <v>151</v>
      </c>
      <c r="CS481" s="30" t="s">
        <v>191</v>
      </c>
      <c r="CT481" s="29" t="s">
        <v>151</v>
      </c>
      <c r="CU481" s="30" t="s">
        <v>151</v>
      </c>
      <c r="CV481" s="32" t="s">
        <v>151</v>
      </c>
      <c r="CW481" s="32" t="s">
        <v>151</v>
      </c>
      <c r="CX481" s="30" t="s">
        <v>151</v>
      </c>
      <c r="CY481" s="32" t="s">
        <v>151</v>
      </c>
      <c r="CZ481" s="32" t="s">
        <v>151</v>
      </c>
      <c r="DA481" s="37" t="s">
        <v>151</v>
      </c>
      <c r="DB481" s="35" t="s">
        <v>151</v>
      </c>
      <c r="DC481" s="30" t="s">
        <v>151</v>
      </c>
      <c r="DD481" s="29" t="s">
        <v>151</v>
      </c>
      <c r="DE481" s="32">
        <v>-0.17</v>
      </c>
      <c r="DF481" s="34">
        <v>10</v>
      </c>
      <c r="DG481" s="32">
        <v>0</v>
      </c>
      <c r="DH481" s="32">
        <v>0</v>
      </c>
      <c r="DI481" s="32">
        <v>0.1</v>
      </c>
      <c r="DJ481" s="34">
        <v>92</v>
      </c>
      <c r="DK481" s="32" t="s">
        <v>151</v>
      </c>
      <c r="DL481" s="34" t="s">
        <v>151</v>
      </c>
      <c r="DM481" s="32">
        <v>0.1</v>
      </c>
      <c r="DN481" s="34">
        <v>93</v>
      </c>
      <c r="DO481" s="36">
        <v>4.25</v>
      </c>
      <c r="DP481" s="34">
        <v>80</v>
      </c>
      <c r="DQ481" s="36">
        <v>0</v>
      </c>
      <c r="DR481" s="32">
        <v>0</v>
      </c>
      <c r="DS481" s="36">
        <v>6.42</v>
      </c>
      <c r="DT481" s="34">
        <v>85</v>
      </c>
      <c r="DU481" s="36" t="s">
        <v>151</v>
      </c>
      <c r="DV481" s="34" t="s">
        <v>151</v>
      </c>
      <c r="DW481" s="36">
        <v>6.42</v>
      </c>
      <c r="DX481" s="34">
        <v>85</v>
      </c>
      <c r="DY481" s="31" t="s">
        <v>151</v>
      </c>
      <c r="DZ481" s="35" t="s">
        <v>151</v>
      </c>
      <c r="EA481" s="35" t="s">
        <v>151</v>
      </c>
      <c r="EB481" s="34">
        <v>8</v>
      </c>
      <c r="EC481" s="33">
        <v>-40</v>
      </c>
      <c r="ED481" s="32">
        <v>-83.33</v>
      </c>
      <c r="EE481" s="34">
        <v>122</v>
      </c>
      <c r="EF481" s="33">
        <v>0</v>
      </c>
      <c r="EG481" s="32">
        <v>0</v>
      </c>
      <c r="EH481" s="29" t="s">
        <v>198</v>
      </c>
      <c r="EI481" s="30" t="s">
        <v>151</v>
      </c>
      <c r="EJ481" s="30" t="s">
        <v>151</v>
      </c>
      <c r="EK481" s="31" t="s">
        <v>151</v>
      </c>
      <c r="EL481" s="31" t="s">
        <v>151</v>
      </c>
      <c r="EM481" s="31" t="s">
        <v>151</v>
      </c>
      <c r="EN481" s="31" t="s">
        <v>151</v>
      </c>
      <c r="EO481" s="31" t="s">
        <v>151</v>
      </c>
      <c r="EP481" s="30" t="s">
        <v>151</v>
      </c>
      <c r="EQ481" s="29" t="s">
        <v>151</v>
      </c>
      <c r="ER481" s="29" t="s">
        <v>151</v>
      </c>
      <c r="ES481" s="4">
        <f>HYPERLINK("https://my.pitchbook.com?c=491781-43","View Company Online")</f>
      </c>
    </row>
    <row r="482">
      <c r="A482" s="17" t="s">
        <v>10177</v>
      </c>
      <c r="B482" s="17" t="s">
        <v>10178</v>
      </c>
      <c r="C482" s="18" t="s">
        <v>151</v>
      </c>
      <c r="D482" s="17" t="s">
        <v>151</v>
      </c>
      <c r="E482" s="17" t="s">
        <v>151</v>
      </c>
      <c r="F482" s="17" t="s">
        <v>10179</v>
      </c>
      <c r="G482" s="17" t="s">
        <v>151</v>
      </c>
      <c r="H482" s="17" t="s">
        <v>151</v>
      </c>
      <c r="I482" s="17" t="s">
        <v>151</v>
      </c>
      <c r="J482" s="17" t="s">
        <v>10177</v>
      </c>
      <c r="K482" s="17" t="s">
        <v>10180</v>
      </c>
      <c r="L482" s="17" t="s">
        <v>205</v>
      </c>
      <c r="M482" s="17" t="s">
        <v>206</v>
      </c>
      <c r="N482" s="17" t="s">
        <v>1082</v>
      </c>
      <c r="O482" s="17" t="s">
        <v>1607</v>
      </c>
      <c r="P482" s="17" t="s">
        <v>304</v>
      </c>
      <c r="Q482" s="17" t="s">
        <v>10181</v>
      </c>
      <c r="R482" s="17" t="s">
        <v>151</v>
      </c>
      <c r="S482" s="17" t="s">
        <v>162</v>
      </c>
      <c r="T482" s="24">
        <v>0.12</v>
      </c>
      <c r="U482" s="17" t="s">
        <v>163</v>
      </c>
      <c r="V482" s="17" t="s">
        <v>164</v>
      </c>
      <c r="W482" s="17" t="s">
        <v>165</v>
      </c>
      <c r="X482" s="15" t="s">
        <v>10182</v>
      </c>
      <c r="Y482" s="15" t="s">
        <v>10183</v>
      </c>
      <c r="Z482" s="27">
        <v>2</v>
      </c>
      <c r="AA482" s="17" t="s">
        <v>10184</v>
      </c>
      <c r="AB482" s="17" t="s">
        <v>151</v>
      </c>
      <c r="AC482" s="17" t="s">
        <v>151</v>
      </c>
      <c r="AD482" s="26">
        <v>2020</v>
      </c>
      <c r="AE482" s="17" t="s">
        <v>151</v>
      </c>
      <c r="AF482" s="22">
        <v>45483</v>
      </c>
      <c r="AG482" s="17" t="s">
        <v>151</v>
      </c>
      <c r="AH482" s="17" t="s">
        <v>151</v>
      </c>
      <c r="AI482" s="25" t="s">
        <v>151</v>
      </c>
      <c r="AJ482" s="19" t="s">
        <v>151</v>
      </c>
      <c r="AK482" s="25" t="s">
        <v>151</v>
      </c>
      <c r="AL482" s="25" t="s">
        <v>151</v>
      </c>
      <c r="AM482" s="25" t="s">
        <v>151</v>
      </c>
      <c r="AN482" s="25" t="s">
        <v>151</v>
      </c>
      <c r="AO482" s="25" t="s">
        <v>151</v>
      </c>
      <c r="AP482" s="25" t="s">
        <v>151</v>
      </c>
      <c r="AQ482" s="25" t="s">
        <v>151</v>
      </c>
      <c r="AR482" s="16" t="s">
        <v>151</v>
      </c>
      <c r="AS482" s="17" t="s">
        <v>10185</v>
      </c>
      <c r="AT482" s="17" t="s">
        <v>10186</v>
      </c>
      <c r="AU482" s="18">
        <v>2</v>
      </c>
      <c r="AV482" s="17" t="s">
        <v>151</v>
      </c>
      <c r="AW482" s="17" t="s">
        <v>10187</v>
      </c>
      <c r="AX482" s="17" t="s">
        <v>151</v>
      </c>
      <c r="AY482" s="17" t="s">
        <v>10188</v>
      </c>
      <c r="AZ482" s="17" t="s">
        <v>10189</v>
      </c>
      <c r="BA482" s="17" t="s">
        <v>151</v>
      </c>
      <c r="BB482" s="17" t="s">
        <v>151</v>
      </c>
      <c r="BC482" s="17" t="s">
        <v>151</v>
      </c>
      <c r="BD482" s="17" t="s">
        <v>10190</v>
      </c>
      <c r="BE482" s="17" t="s">
        <v>10191</v>
      </c>
      <c r="BF482" s="17" t="s">
        <v>221</v>
      </c>
      <c r="BG482" s="17" t="s">
        <v>10192</v>
      </c>
      <c r="BH482" s="17" t="s">
        <v>151</v>
      </c>
      <c r="BI482" s="17" t="s">
        <v>255</v>
      </c>
      <c r="BJ482" s="17" t="s">
        <v>151</v>
      </c>
      <c r="BK482" s="17" t="s">
        <v>151</v>
      </c>
      <c r="BL482" s="17" t="s">
        <v>258</v>
      </c>
      <c r="BM482" s="17" t="s">
        <v>259</v>
      </c>
      <c r="BN482" s="16" t="s">
        <v>151</v>
      </c>
      <c r="BO482" s="17" t="s">
        <v>186</v>
      </c>
      <c r="BP482" s="16" t="s">
        <v>151</v>
      </c>
      <c r="BQ482" s="16" t="s">
        <v>151</v>
      </c>
      <c r="BR482" s="17" t="s">
        <v>151</v>
      </c>
      <c r="BS482" s="17" t="s">
        <v>187</v>
      </c>
      <c r="BT482" s="17" t="s">
        <v>188</v>
      </c>
      <c r="BU482" s="22">
        <v>43831</v>
      </c>
      <c r="BV482" s="24">
        <v>0.1</v>
      </c>
      <c r="BW482" s="17" t="s">
        <v>192</v>
      </c>
      <c r="BX482" s="24" t="s">
        <v>151</v>
      </c>
      <c r="BY482" s="17" t="s">
        <v>151</v>
      </c>
      <c r="BZ482" s="17" t="s">
        <v>189</v>
      </c>
      <c r="CA482" s="17" t="s">
        <v>151</v>
      </c>
      <c r="CB482" s="17" t="s">
        <v>151</v>
      </c>
      <c r="CC482" s="17" t="s">
        <v>190</v>
      </c>
      <c r="CD482" s="17" t="s">
        <v>151</v>
      </c>
      <c r="CE482" s="17" t="s">
        <v>191</v>
      </c>
      <c r="CF482" s="22">
        <v>44531</v>
      </c>
      <c r="CG482" s="24" t="s">
        <v>151</v>
      </c>
      <c r="CH482" s="17" t="s">
        <v>151</v>
      </c>
      <c r="CI482" s="24" t="s">
        <v>151</v>
      </c>
      <c r="CJ482" s="17" t="s">
        <v>151</v>
      </c>
      <c r="CK482" s="16" t="s">
        <v>151</v>
      </c>
      <c r="CL482" s="17" t="s">
        <v>189</v>
      </c>
      <c r="CM482" s="17" t="s">
        <v>151</v>
      </c>
      <c r="CN482" s="17" t="s">
        <v>151</v>
      </c>
      <c r="CO482" s="17" t="s">
        <v>190</v>
      </c>
      <c r="CP482" s="22">
        <v>44531</v>
      </c>
      <c r="CQ482" s="24" t="s">
        <v>151</v>
      </c>
      <c r="CR482" s="17" t="s">
        <v>151</v>
      </c>
      <c r="CS482" s="17" t="s">
        <v>191</v>
      </c>
      <c r="CT482" s="16" t="s">
        <v>151</v>
      </c>
      <c r="CU482" s="17" t="s">
        <v>151</v>
      </c>
      <c r="CV482" s="19" t="s">
        <v>151</v>
      </c>
      <c r="CW482" s="19" t="s">
        <v>151</v>
      </c>
      <c r="CX482" s="17" t="s">
        <v>151</v>
      </c>
      <c r="CY482" s="19" t="s">
        <v>151</v>
      </c>
      <c r="CZ482" s="19" t="s">
        <v>151</v>
      </c>
      <c r="DA482" s="24">
        <v>2</v>
      </c>
      <c r="DB482" s="22">
        <v>44056</v>
      </c>
      <c r="DC482" s="17" t="s">
        <v>231</v>
      </c>
      <c r="DD482" s="16" t="s">
        <v>151</v>
      </c>
      <c r="DE482" s="19">
        <v>0</v>
      </c>
      <c r="DF482" s="21">
        <v>11</v>
      </c>
      <c r="DG482" s="19">
        <v>0</v>
      </c>
      <c r="DH482" s="19">
        <v>0</v>
      </c>
      <c r="DI482" s="19" t="s">
        <v>151</v>
      </c>
      <c r="DJ482" s="21" t="s">
        <v>151</v>
      </c>
      <c r="DK482" s="19" t="s">
        <v>151</v>
      </c>
      <c r="DL482" s="21" t="s">
        <v>151</v>
      </c>
      <c r="DM482" s="19" t="s">
        <v>151</v>
      </c>
      <c r="DN482" s="21" t="s">
        <v>151</v>
      </c>
      <c r="DO482" s="23">
        <v>0.15</v>
      </c>
      <c r="DP482" s="21">
        <v>9</v>
      </c>
      <c r="DQ482" s="23">
        <v>0</v>
      </c>
      <c r="DR482" s="19">
        <v>0</v>
      </c>
      <c r="DS482" s="23" t="s">
        <v>151</v>
      </c>
      <c r="DT482" s="21" t="s">
        <v>151</v>
      </c>
      <c r="DU482" s="23" t="s">
        <v>151</v>
      </c>
      <c r="DV482" s="21" t="s">
        <v>151</v>
      </c>
      <c r="DW482" s="23" t="s">
        <v>151</v>
      </c>
      <c r="DX482" s="21" t="s">
        <v>151</v>
      </c>
      <c r="DY482" s="18" t="s">
        <v>151</v>
      </c>
      <c r="DZ482" s="22" t="s">
        <v>151</v>
      </c>
      <c r="EA482" s="22" t="s">
        <v>151</v>
      </c>
      <c r="EB482" s="21">
        <v>0</v>
      </c>
      <c r="EC482" s="20">
        <v>0</v>
      </c>
      <c r="ED482" s="19">
        <v>0</v>
      </c>
      <c r="EE482" s="21" t="s">
        <v>151</v>
      </c>
      <c r="EF482" s="20" t="s">
        <v>151</v>
      </c>
      <c r="EG482" s="19" t="s">
        <v>151</v>
      </c>
      <c r="EH482" s="16" t="s">
        <v>198</v>
      </c>
      <c r="EI482" s="17" t="s">
        <v>151</v>
      </c>
      <c r="EJ482" s="17" t="s">
        <v>151</v>
      </c>
      <c r="EK482" s="18" t="s">
        <v>151</v>
      </c>
      <c r="EL482" s="18" t="s">
        <v>151</v>
      </c>
      <c r="EM482" s="18" t="s">
        <v>151</v>
      </c>
      <c r="EN482" s="18" t="s">
        <v>151</v>
      </c>
      <c r="EO482" s="18" t="s">
        <v>151</v>
      </c>
      <c r="EP482" s="17" t="s">
        <v>151</v>
      </c>
      <c r="EQ482" s="16" t="s">
        <v>151</v>
      </c>
      <c r="ER482" s="16" t="s">
        <v>151</v>
      </c>
      <c r="ES482" s="3">
        <f>HYPERLINK("https://my.pitchbook.com?c=502827-67","View Company Online")</f>
      </c>
    </row>
    <row r="483">
      <c r="A483" s="30" t="s">
        <v>10193</v>
      </c>
      <c r="B483" s="30" t="s">
        <v>10194</v>
      </c>
      <c r="C483" s="31" t="s">
        <v>151</v>
      </c>
      <c r="D483" s="30" t="s">
        <v>10195</v>
      </c>
      <c r="E483" s="30" t="s">
        <v>151</v>
      </c>
      <c r="F483" s="30" t="s">
        <v>10196</v>
      </c>
      <c r="G483" s="30" t="s">
        <v>151</v>
      </c>
      <c r="H483" s="30" t="s">
        <v>151</v>
      </c>
      <c r="I483" s="30" t="s">
        <v>10197</v>
      </c>
      <c r="J483" s="30" t="s">
        <v>10193</v>
      </c>
      <c r="K483" s="30" t="s">
        <v>10198</v>
      </c>
      <c r="L483" s="30" t="s">
        <v>205</v>
      </c>
      <c r="M483" s="30" t="s">
        <v>206</v>
      </c>
      <c r="N483" s="30" t="s">
        <v>269</v>
      </c>
      <c r="O483" s="30" t="s">
        <v>10199</v>
      </c>
      <c r="P483" s="30" t="s">
        <v>10200</v>
      </c>
      <c r="Q483" s="30" t="s">
        <v>10201</v>
      </c>
      <c r="R483" s="30" t="s">
        <v>151</v>
      </c>
      <c r="S483" s="30" t="s">
        <v>162</v>
      </c>
      <c r="T483" s="37">
        <v>0.28</v>
      </c>
      <c r="U483" s="30" t="s">
        <v>163</v>
      </c>
      <c r="V483" s="30" t="s">
        <v>164</v>
      </c>
      <c r="W483" s="30" t="s">
        <v>165</v>
      </c>
      <c r="X483" s="28" t="s">
        <v>10202</v>
      </c>
      <c r="Y483" s="28" t="s">
        <v>10203</v>
      </c>
      <c r="Z483" s="40">
        <v>4</v>
      </c>
      <c r="AA483" s="30" t="s">
        <v>10204</v>
      </c>
      <c r="AB483" s="30" t="s">
        <v>151</v>
      </c>
      <c r="AC483" s="30" t="s">
        <v>151</v>
      </c>
      <c r="AD483" s="39">
        <v>2020</v>
      </c>
      <c r="AE483" s="30" t="s">
        <v>151</v>
      </c>
      <c r="AF483" s="35">
        <v>45533</v>
      </c>
      <c r="AG483" s="30" t="s">
        <v>151</v>
      </c>
      <c r="AH483" s="30" t="s">
        <v>151</v>
      </c>
      <c r="AI483" s="38" t="s">
        <v>151</v>
      </c>
      <c r="AJ483" s="32" t="s">
        <v>151</v>
      </c>
      <c r="AK483" s="38" t="s">
        <v>151</v>
      </c>
      <c r="AL483" s="38" t="s">
        <v>151</v>
      </c>
      <c r="AM483" s="38" t="s">
        <v>151</v>
      </c>
      <c r="AN483" s="38" t="s">
        <v>151</v>
      </c>
      <c r="AO483" s="38" t="s">
        <v>151</v>
      </c>
      <c r="AP483" s="38" t="s">
        <v>151</v>
      </c>
      <c r="AQ483" s="38" t="s">
        <v>151</v>
      </c>
      <c r="AR483" s="29" t="s">
        <v>151</v>
      </c>
      <c r="AS483" s="30" t="s">
        <v>10205</v>
      </c>
      <c r="AT483" s="30" t="s">
        <v>10206</v>
      </c>
      <c r="AU483" s="31">
        <v>3</v>
      </c>
      <c r="AV483" s="30" t="s">
        <v>151</v>
      </c>
      <c r="AW483" s="30" t="s">
        <v>151</v>
      </c>
      <c r="AX483" s="30" t="s">
        <v>151</v>
      </c>
      <c r="AY483" s="30" t="s">
        <v>10207</v>
      </c>
      <c r="AZ483" s="30" t="s">
        <v>151</v>
      </c>
      <c r="BA483" s="30" t="s">
        <v>151</v>
      </c>
      <c r="BB483" s="30" t="s">
        <v>10208</v>
      </c>
      <c r="BC483" s="30" t="s">
        <v>10209</v>
      </c>
      <c r="BD483" s="30" t="s">
        <v>10210</v>
      </c>
      <c r="BE483" s="30" t="s">
        <v>10211</v>
      </c>
      <c r="BF483" s="30" t="s">
        <v>221</v>
      </c>
      <c r="BG483" s="30" t="s">
        <v>10212</v>
      </c>
      <c r="BH483" s="30" t="s">
        <v>10213</v>
      </c>
      <c r="BI483" s="30" t="s">
        <v>549</v>
      </c>
      <c r="BJ483" s="30" t="s">
        <v>10214</v>
      </c>
      <c r="BK483" s="30" t="s">
        <v>1574</v>
      </c>
      <c r="BL483" s="30" t="s">
        <v>552</v>
      </c>
      <c r="BM483" s="30" t="s">
        <v>322</v>
      </c>
      <c r="BN483" s="29" t="s">
        <v>10215</v>
      </c>
      <c r="BO483" s="30" t="s">
        <v>186</v>
      </c>
      <c r="BP483" s="29" t="s">
        <v>151</v>
      </c>
      <c r="BQ483" s="29" t="s">
        <v>151</v>
      </c>
      <c r="BR483" s="30" t="s">
        <v>10216</v>
      </c>
      <c r="BS483" s="30" t="s">
        <v>187</v>
      </c>
      <c r="BT483" s="30" t="s">
        <v>188</v>
      </c>
      <c r="BU483" s="35">
        <v>44354</v>
      </c>
      <c r="BV483" s="37">
        <v>0.03</v>
      </c>
      <c r="BW483" s="30" t="s">
        <v>193</v>
      </c>
      <c r="BX483" s="37" t="s">
        <v>151</v>
      </c>
      <c r="BY483" s="30" t="s">
        <v>151</v>
      </c>
      <c r="BZ483" s="30" t="s">
        <v>189</v>
      </c>
      <c r="CA483" s="30" t="s">
        <v>151</v>
      </c>
      <c r="CB483" s="30" t="s">
        <v>151</v>
      </c>
      <c r="CC483" s="30" t="s">
        <v>190</v>
      </c>
      <c r="CD483" s="30" t="s">
        <v>151</v>
      </c>
      <c r="CE483" s="30" t="s">
        <v>191</v>
      </c>
      <c r="CF483" s="35">
        <v>44740</v>
      </c>
      <c r="CG483" s="37">
        <v>0.25</v>
      </c>
      <c r="CH483" s="30" t="s">
        <v>192</v>
      </c>
      <c r="CI483" s="37" t="s">
        <v>151</v>
      </c>
      <c r="CJ483" s="30" t="s">
        <v>151</v>
      </c>
      <c r="CK483" s="29" t="s">
        <v>151</v>
      </c>
      <c r="CL483" s="30" t="s">
        <v>293</v>
      </c>
      <c r="CM483" s="30" t="s">
        <v>293</v>
      </c>
      <c r="CN483" s="30" t="s">
        <v>151</v>
      </c>
      <c r="CO483" s="30" t="s">
        <v>165</v>
      </c>
      <c r="CP483" s="35">
        <v>44740</v>
      </c>
      <c r="CQ483" s="37" t="s">
        <v>151</v>
      </c>
      <c r="CR483" s="30" t="s">
        <v>151</v>
      </c>
      <c r="CS483" s="30" t="s">
        <v>191</v>
      </c>
      <c r="CT483" s="29" t="s">
        <v>151</v>
      </c>
      <c r="CU483" s="30" t="s">
        <v>151</v>
      </c>
      <c r="CV483" s="32" t="s">
        <v>151</v>
      </c>
      <c r="CW483" s="32" t="s">
        <v>151</v>
      </c>
      <c r="CX483" s="30" t="s">
        <v>151</v>
      </c>
      <c r="CY483" s="32" t="s">
        <v>151</v>
      </c>
      <c r="CZ483" s="32" t="s">
        <v>151</v>
      </c>
      <c r="DA483" s="37" t="s">
        <v>151</v>
      </c>
      <c r="DB483" s="35" t="s">
        <v>151</v>
      </c>
      <c r="DC483" s="30" t="s">
        <v>151</v>
      </c>
      <c r="DD483" s="29" t="s">
        <v>151</v>
      </c>
      <c r="DE483" s="32" t="s">
        <v>151</v>
      </c>
      <c r="DF483" s="34" t="s">
        <v>151</v>
      </c>
      <c r="DG483" s="32" t="s">
        <v>151</v>
      </c>
      <c r="DH483" s="32" t="s">
        <v>151</v>
      </c>
      <c r="DI483" s="32" t="s">
        <v>151</v>
      </c>
      <c r="DJ483" s="34" t="s">
        <v>151</v>
      </c>
      <c r="DK483" s="32" t="s">
        <v>151</v>
      </c>
      <c r="DL483" s="34" t="s">
        <v>151</v>
      </c>
      <c r="DM483" s="32" t="s">
        <v>151</v>
      </c>
      <c r="DN483" s="34" t="s">
        <v>151</v>
      </c>
      <c r="DO483" s="36" t="s">
        <v>151</v>
      </c>
      <c r="DP483" s="34" t="s">
        <v>151</v>
      </c>
      <c r="DQ483" s="36" t="s">
        <v>151</v>
      </c>
      <c r="DR483" s="32" t="s">
        <v>151</v>
      </c>
      <c r="DS483" s="36" t="s">
        <v>151</v>
      </c>
      <c r="DT483" s="34" t="s">
        <v>151</v>
      </c>
      <c r="DU483" s="36" t="s">
        <v>151</v>
      </c>
      <c r="DV483" s="34" t="s">
        <v>151</v>
      </c>
      <c r="DW483" s="36" t="s">
        <v>151</v>
      </c>
      <c r="DX483" s="34" t="s">
        <v>151</v>
      </c>
      <c r="DY483" s="31" t="s">
        <v>151</v>
      </c>
      <c r="DZ483" s="35" t="s">
        <v>151</v>
      </c>
      <c r="EA483" s="35" t="s">
        <v>151</v>
      </c>
      <c r="EB483" s="34" t="s">
        <v>151</v>
      </c>
      <c r="EC483" s="33" t="s">
        <v>151</v>
      </c>
      <c r="ED483" s="32" t="s">
        <v>151</v>
      </c>
      <c r="EE483" s="34" t="s">
        <v>151</v>
      </c>
      <c r="EF483" s="33" t="s">
        <v>151</v>
      </c>
      <c r="EG483" s="32" t="s">
        <v>151</v>
      </c>
      <c r="EH483" s="29" t="s">
        <v>198</v>
      </c>
      <c r="EI483" s="30" t="s">
        <v>151</v>
      </c>
      <c r="EJ483" s="30" t="s">
        <v>151</v>
      </c>
      <c r="EK483" s="31" t="s">
        <v>151</v>
      </c>
      <c r="EL483" s="31" t="s">
        <v>151</v>
      </c>
      <c r="EM483" s="31" t="s">
        <v>151</v>
      </c>
      <c r="EN483" s="31" t="s">
        <v>151</v>
      </c>
      <c r="EO483" s="31" t="s">
        <v>151</v>
      </c>
      <c r="EP483" s="30" t="s">
        <v>151</v>
      </c>
      <c r="EQ483" s="29" t="s">
        <v>151</v>
      </c>
      <c r="ER483" s="29" t="s">
        <v>151</v>
      </c>
      <c r="ES483" s="4">
        <f>HYPERLINK("https://my.pitchbook.com?c=469249-48","View Company Online")</f>
      </c>
    </row>
    <row r="484">
      <c r="A484" s="17" t="s">
        <v>10217</v>
      </c>
      <c r="B484" s="17" t="s">
        <v>10218</v>
      </c>
      <c r="C484" s="18" t="s">
        <v>151</v>
      </c>
      <c r="D484" s="17" t="s">
        <v>151</v>
      </c>
      <c r="E484" s="17" t="s">
        <v>151</v>
      </c>
      <c r="F484" s="17" t="s">
        <v>10219</v>
      </c>
      <c r="G484" s="17" t="s">
        <v>151</v>
      </c>
      <c r="H484" s="17" t="s">
        <v>151</v>
      </c>
      <c r="I484" s="17" t="s">
        <v>151</v>
      </c>
      <c r="J484" s="17" t="s">
        <v>10217</v>
      </c>
      <c r="K484" s="17" t="s">
        <v>10220</v>
      </c>
      <c r="L484" s="17" t="s">
        <v>155</v>
      </c>
      <c r="M484" s="17" t="s">
        <v>239</v>
      </c>
      <c r="N484" s="17" t="s">
        <v>670</v>
      </c>
      <c r="O484" s="17" t="s">
        <v>10221</v>
      </c>
      <c r="P484" s="17" t="s">
        <v>151</v>
      </c>
      <c r="Q484" s="17" t="s">
        <v>10222</v>
      </c>
      <c r="R484" s="17" t="s">
        <v>151</v>
      </c>
      <c r="S484" s="17" t="s">
        <v>162</v>
      </c>
      <c r="T484" s="24">
        <v>14.38</v>
      </c>
      <c r="U484" s="17" t="s">
        <v>163</v>
      </c>
      <c r="V484" s="17" t="s">
        <v>164</v>
      </c>
      <c r="W484" s="17" t="s">
        <v>165</v>
      </c>
      <c r="X484" s="15" t="s">
        <v>10223</v>
      </c>
      <c r="Y484" s="15" t="s">
        <v>10224</v>
      </c>
      <c r="Z484" s="27">
        <v>33</v>
      </c>
      <c r="AA484" s="17" t="s">
        <v>10225</v>
      </c>
      <c r="AB484" s="17" t="s">
        <v>151</v>
      </c>
      <c r="AC484" s="17" t="s">
        <v>151</v>
      </c>
      <c r="AD484" s="26">
        <v>2020</v>
      </c>
      <c r="AE484" s="17" t="s">
        <v>151</v>
      </c>
      <c r="AF484" s="22">
        <v>45611</v>
      </c>
      <c r="AG484" s="17" t="s">
        <v>151</v>
      </c>
      <c r="AH484" s="17" t="s">
        <v>10226</v>
      </c>
      <c r="AI484" s="25" t="s">
        <v>151</v>
      </c>
      <c r="AJ484" s="19" t="s">
        <v>151</v>
      </c>
      <c r="AK484" s="25" t="s">
        <v>151</v>
      </c>
      <c r="AL484" s="25" t="s">
        <v>151</v>
      </c>
      <c r="AM484" s="25" t="s">
        <v>151</v>
      </c>
      <c r="AN484" s="25" t="s">
        <v>151</v>
      </c>
      <c r="AO484" s="25" t="s">
        <v>151</v>
      </c>
      <c r="AP484" s="25" t="s">
        <v>151</v>
      </c>
      <c r="AQ484" s="25" t="s">
        <v>151</v>
      </c>
      <c r="AR484" s="16" t="s">
        <v>151</v>
      </c>
      <c r="AS484" s="17" t="s">
        <v>10227</v>
      </c>
      <c r="AT484" s="17" t="s">
        <v>10228</v>
      </c>
      <c r="AU484" s="18">
        <v>11</v>
      </c>
      <c r="AV484" s="17" t="s">
        <v>151</v>
      </c>
      <c r="AW484" s="17" t="s">
        <v>151</v>
      </c>
      <c r="AX484" s="17" t="s">
        <v>151</v>
      </c>
      <c r="AY484" s="17" t="s">
        <v>10229</v>
      </c>
      <c r="AZ484" s="17" t="s">
        <v>151</v>
      </c>
      <c r="BA484" s="17" t="s">
        <v>151</v>
      </c>
      <c r="BB484" s="17" t="s">
        <v>151</v>
      </c>
      <c r="BC484" s="17" t="s">
        <v>10230</v>
      </c>
      <c r="BD484" s="17" t="s">
        <v>10231</v>
      </c>
      <c r="BE484" s="17" t="s">
        <v>10232</v>
      </c>
      <c r="BF484" s="17" t="s">
        <v>221</v>
      </c>
      <c r="BG484" s="17" t="s">
        <v>10233</v>
      </c>
      <c r="BH484" s="17" t="s">
        <v>10234</v>
      </c>
      <c r="BI484" s="17" t="s">
        <v>906</v>
      </c>
      <c r="BJ484" s="17" t="s">
        <v>10235</v>
      </c>
      <c r="BK484" s="17" t="s">
        <v>10236</v>
      </c>
      <c r="BL484" s="17" t="s">
        <v>259</v>
      </c>
      <c r="BM484" s="17" t="s">
        <v>259</v>
      </c>
      <c r="BN484" s="16" t="s">
        <v>4983</v>
      </c>
      <c r="BO484" s="17" t="s">
        <v>186</v>
      </c>
      <c r="BP484" s="16" t="s">
        <v>10237</v>
      </c>
      <c r="BQ484" s="16" t="s">
        <v>151</v>
      </c>
      <c r="BR484" s="17" t="s">
        <v>10238</v>
      </c>
      <c r="BS484" s="17" t="s">
        <v>187</v>
      </c>
      <c r="BT484" s="17" t="s">
        <v>188</v>
      </c>
      <c r="BU484" s="22">
        <v>44754</v>
      </c>
      <c r="BV484" s="24">
        <v>2.67</v>
      </c>
      <c r="BW484" s="17" t="s">
        <v>192</v>
      </c>
      <c r="BX484" s="24">
        <v>10.67</v>
      </c>
      <c r="BY484" s="17" t="s">
        <v>192</v>
      </c>
      <c r="BZ484" s="17" t="s">
        <v>293</v>
      </c>
      <c r="CA484" s="17" t="s">
        <v>293</v>
      </c>
      <c r="CB484" s="17" t="s">
        <v>151</v>
      </c>
      <c r="CC484" s="17" t="s">
        <v>165</v>
      </c>
      <c r="CD484" s="17" t="s">
        <v>151</v>
      </c>
      <c r="CE484" s="17" t="s">
        <v>191</v>
      </c>
      <c r="CF484" s="22">
        <v>45610</v>
      </c>
      <c r="CG484" s="24">
        <v>6.98</v>
      </c>
      <c r="CH484" s="17" t="s">
        <v>192</v>
      </c>
      <c r="CI484" s="24" t="s">
        <v>151</v>
      </c>
      <c r="CJ484" s="17" t="s">
        <v>151</v>
      </c>
      <c r="CK484" s="16" t="s">
        <v>151</v>
      </c>
      <c r="CL484" s="17" t="s">
        <v>231</v>
      </c>
      <c r="CM484" s="17" t="s">
        <v>151</v>
      </c>
      <c r="CN484" s="17" t="s">
        <v>151</v>
      </c>
      <c r="CO484" s="17" t="s">
        <v>165</v>
      </c>
      <c r="CP484" s="22">
        <v>45610</v>
      </c>
      <c r="CQ484" s="24" t="s">
        <v>151</v>
      </c>
      <c r="CR484" s="17" t="s">
        <v>151</v>
      </c>
      <c r="CS484" s="17" t="s">
        <v>191</v>
      </c>
      <c r="CT484" s="16">
        <v>65</v>
      </c>
      <c r="CU484" s="17" t="s">
        <v>196</v>
      </c>
      <c r="CV484" s="19">
        <v>61</v>
      </c>
      <c r="CW484" s="19">
        <v>39</v>
      </c>
      <c r="CX484" s="17" t="s">
        <v>294</v>
      </c>
      <c r="CY484" s="19">
        <v>1</v>
      </c>
      <c r="CZ484" s="19">
        <v>60</v>
      </c>
      <c r="DA484" s="24">
        <v>10.67</v>
      </c>
      <c r="DB484" s="22">
        <v>44754</v>
      </c>
      <c r="DC484" s="17" t="s">
        <v>293</v>
      </c>
      <c r="DD484" s="16" t="s">
        <v>151</v>
      </c>
      <c r="DE484" s="19">
        <v>-0.32</v>
      </c>
      <c r="DF484" s="21">
        <v>8</v>
      </c>
      <c r="DG484" s="19">
        <v>0</v>
      </c>
      <c r="DH484" s="19">
        <v>0</v>
      </c>
      <c r="DI484" s="19">
        <v>-1.04</v>
      </c>
      <c r="DJ484" s="21">
        <v>4</v>
      </c>
      <c r="DK484" s="19" t="s">
        <v>151</v>
      </c>
      <c r="DL484" s="21" t="s">
        <v>151</v>
      </c>
      <c r="DM484" s="19">
        <v>-1.04</v>
      </c>
      <c r="DN484" s="21">
        <v>4</v>
      </c>
      <c r="DO484" s="23">
        <v>5.8</v>
      </c>
      <c r="DP484" s="21">
        <v>84</v>
      </c>
      <c r="DQ484" s="23">
        <v>0</v>
      </c>
      <c r="DR484" s="19">
        <v>0</v>
      </c>
      <c r="DS484" s="23">
        <v>9.05</v>
      </c>
      <c r="DT484" s="21">
        <v>89</v>
      </c>
      <c r="DU484" s="23" t="s">
        <v>151</v>
      </c>
      <c r="DV484" s="21" t="s">
        <v>151</v>
      </c>
      <c r="DW484" s="23">
        <v>9.05</v>
      </c>
      <c r="DX484" s="21">
        <v>89</v>
      </c>
      <c r="DY484" s="18" t="s">
        <v>151</v>
      </c>
      <c r="DZ484" s="22" t="s">
        <v>151</v>
      </c>
      <c r="EA484" s="22" t="s">
        <v>151</v>
      </c>
      <c r="EB484" s="21">
        <v>8719</v>
      </c>
      <c r="EC484" s="20">
        <v>457</v>
      </c>
      <c r="ED484" s="19">
        <v>5.53</v>
      </c>
      <c r="EE484" s="21">
        <v>172</v>
      </c>
      <c r="EF484" s="20">
        <v>0</v>
      </c>
      <c r="EG484" s="19">
        <v>0</v>
      </c>
      <c r="EH484" s="16" t="s">
        <v>198</v>
      </c>
      <c r="EI484" s="17" t="s">
        <v>151</v>
      </c>
      <c r="EJ484" s="17" t="s">
        <v>151</v>
      </c>
      <c r="EK484" s="18" t="s">
        <v>151</v>
      </c>
      <c r="EL484" s="18" t="s">
        <v>151</v>
      </c>
      <c r="EM484" s="18" t="s">
        <v>151</v>
      </c>
      <c r="EN484" s="18" t="s">
        <v>151</v>
      </c>
      <c r="EO484" s="18" t="s">
        <v>151</v>
      </c>
      <c r="EP484" s="17" t="s">
        <v>151</v>
      </c>
      <c r="EQ484" s="16" t="s">
        <v>151</v>
      </c>
      <c r="ER484" s="16" t="s">
        <v>151</v>
      </c>
      <c r="ES484" s="3">
        <f>HYPERLINK("https://my.pitchbook.com?c=482285-35","View Company Online")</f>
      </c>
    </row>
    <row r="485">
      <c r="A485" s="30" t="s">
        <v>10239</v>
      </c>
      <c r="B485" s="30" t="s">
        <v>10240</v>
      </c>
      <c r="C485" s="31" t="s">
        <v>151</v>
      </c>
      <c r="D485" s="30" t="s">
        <v>151</v>
      </c>
      <c r="E485" s="30" t="s">
        <v>10241</v>
      </c>
      <c r="F485" s="30" t="s">
        <v>10242</v>
      </c>
      <c r="G485" s="30" t="s">
        <v>151</v>
      </c>
      <c r="H485" s="30" t="s">
        <v>151</v>
      </c>
      <c r="I485" s="30" t="s">
        <v>151</v>
      </c>
      <c r="J485" s="30" t="s">
        <v>10239</v>
      </c>
      <c r="K485" s="30" t="s">
        <v>10243</v>
      </c>
      <c r="L485" s="30" t="s">
        <v>616</v>
      </c>
      <c r="M485" s="30" t="s">
        <v>834</v>
      </c>
      <c r="N485" s="30" t="s">
        <v>835</v>
      </c>
      <c r="O485" s="30" t="s">
        <v>1992</v>
      </c>
      <c r="P485" s="30" t="s">
        <v>304</v>
      </c>
      <c r="Q485" s="30" t="s">
        <v>10244</v>
      </c>
      <c r="R485" s="30" t="s">
        <v>151</v>
      </c>
      <c r="S485" s="30" t="s">
        <v>162</v>
      </c>
      <c r="T485" s="37">
        <v>3.75</v>
      </c>
      <c r="U485" s="30" t="s">
        <v>163</v>
      </c>
      <c r="V485" s="30" t="s">
        <v>164</v>
      </c>
      <c r="W485" s="30" t="s">
        <v>165</v>
      </c>
      <c r="X485" s="28" t="s">
        <v>10245</v>
      </c>
      <c r="Y485" s="28" t="s">
        <v>10246</v>
      </c>
      <c r="Z485" s="40">
        <v>8</v>
      </c>
      <c r="AA485" s="30" t="s">
        <v>10247</v>
      </c>
      <c r="AB485" s="30" t="s">
        <v>151</v>
      </c>
      <c r="AC485" s="30" t="s">
        <v>151</v>
      </c>
      <c r="AD485" s="39">
        <v>2022</v>
      </c>
      <c r="AE485" s="30" t="s">
        <v>151</v>
      </c>
      <c r="AF485" s="35">
        <v>45338</v>
      </c>
      <c r="AG485" s="30" t="s">
        <v>151</v>
      </c>
      <c r="AH485" s="30" t="s">
        <v>151</v>
      </c>
      <c r="AI485" s="38" t="s">
        <v>151</v>
      </c>
      <c r="AJ485" s="32" t="s">
        <v>151</v>
      </c>
      <c r="AK485" s="38" t="s">
        <v>151</v>
      </c>
      <c r="AL485" s="38" t="s">
        <v>151</v>
      </c>
      <c r="AM485" s="38" t="s">
        <v>151</v>
      </c>
      <c r="AN485" s="38" t="s">
        <v>151</v>
      </c>
      <c r="AO485" s="38" t="s">
        <v>151</v>
      </c>
      <c r="AP485" s="38" t="s">
        <v>151</v>
      </c>
      <c r="AQ485" s="38" t="s">
        <v>151</v>
      </c>
      <c r="AR485" s="29" t="s">
        <v>151</v>
      </c>
      <c r="AS485" s="30" t="s">
        <v>10248</v>
      </c>
      <c r="AT485" s="30" t="s">
        <v>10249</v>
      </c>
      <c r="AU485" s="31">
        <v>4</v>
      </c>
      <c r="AV485" s="30" t="s">
        <v>151</v>
      </c>
      <c r="AW485" s="30" t="s">
        <v>151</v>
      </c>
      <c r="AX485" s="30" t="s">
        <v>151</v>
      </c>
      <c r="AY485" s="30" t="s">
        <v>10250</v>
      </c>
      <c r="AZ485" s="30" t="s">
        <v>151</v>
      </c>
      <c r="BA485" s="30" t="s">
        <v>151</v>
      </c>
      <c r="BB485" s="30" t="s">
        <v>151</v>
      </c>
      <c r="BC485" s="30" t="s">
        <v>1115</v>
      </c>
      <c r="BD485" s="30" t="s">
        <v>10251</v>
      </c>
      <c r="BE485" s="30" t="s">
        <v>10252</v>
      </c>
      <c r="BF485" s="30" t="s">
        <v>403</v>
      </c>
      <c r="BG485" s="30" t="s">
        <v>10253</v>
      </c>
      <c r="BH485" s="30" t="s">
        <v>151</v>
      </c>
      <c r="BI485" s="30" t="s">
        <v>906</v>
      </c>
      <c r="BJ485" s="30" t="s">
        <v>4138</v>
      </c>
      <c r="BK485" s="30" t="s">
        <v>10254</v>
      </c>
      <c r="BL485" s="30" t="s">
        <v>259</v>
      </c>
      <c r="BM485" s="30" t="s">
        <v>259</v>
      </c>
      <c r="BN485" s="29" t="s">
        <v>4140</v>
      </c>
      <c r="BO485" s="30" t="s">
        <v>186</v>
      </c>
      <c r="BP485" s="29" t="s">
        <v>151</v>
      </c>
      <c r="BQ485" s="29" t="s">
        <v>151</v>
      </c>
      <c r="BR485" s="30" t="s">
        <v>10255</v>
      </c>
      <c r="BS485" s="30" t="s">
        <v>187</v>
      </c>
      <c r="BT485" s="30" t="s">
        <v>188</v>
      </c>
      <c r="BU485" s="35">
        <v>44931</v>
      </c>
      <c r="BV485" s="37">
        <v>3.75</v>
      </c>
      <c r="BW485" s="30" t="s">
        <v>193</v>
      </c>
      <c r="BX485" s="37">
        <v>13.75</v>
      </c>
      <c r="BY485" s="30" t="s">
        <v>192</v>
      </c>
      <c r="BZ485" s="30" t="s">
        <v>293</v>
      </c>
      <c r="CA485" s="30" t="s">
        <v>293</v>
      </c>
      <c r="CB485" s="30" t="s">
        <v>151</v>
      </c>
      <c r="CC485" s="30" t="s">
        <v>165</v>
      </c>
      <c r="CD485" s="30" t="s">
        <v>151</v>
      </c>
      <c r="CE485" s="30" t="s">
        <v>191</v>
      </c>
      <c r="CF485" s="35">
        <v>44931</v>
      </c>
      <c r="CG485" s="37">
        <v>3.75</v>
      </c>
      <c r="CH485" s="30" t="s">
        <v>193</v>
      </c>
      <c r="CI485" s="37">
        <v>13.75</v>
      </c>
      <c r="CJ485" s="30" t="s">
        <v>192</v>
      </c>
      <c r="CK485" s="29" t="s">
        <v>151</v>
      </c>
      <c r="CL485" s="30" t="s">
        <v>293</v>
      </c>
      <c r="CM485" s="30" t="s">
        <v>293</v>
      </c>
      <c r="CN485" s="30" t="s">
        <v>151</v>
      </c>
      <c r="CO485" s="30" t="s">
        <v>165</v>
      </c>
      <c r="CP485" s="35">
        <v>44931</v>
      </c>
      <c r="CQ485" s="37" t="s">
        <v>151</v>
      </c>
      <c r="CR485" s="30" t="s">
        <v>151</v>
      </c>
      <c r="CS485" s="30" t="s">
        <v>191</v>
      </c>
      <c r="CT485" s="29" t="s">
        <v>151</v>
      </c>
      <c r="CU485" s="30" t="s">
        <v>151</v>
      </c>
      <c r="CV485" s="32" t="s">
        <v>151</v>
      </c>
      <c r="CW485" s="32" t="s">
        <v>151</v>
      </c>
      <c r="CX485" s="30" t="s">
        <v>151</v>
      </c>
      <c r="CY485" s="32" t="s">
        <v>151</v>
      </c>
      <c r="CZ485" s="32" t="s">
        <v>151</v>
      </c>
      <c r="DA485" s="37">
        <v>13.75</v>
      </c>
      <c r="DB485" s="35">
        <v>44931</v>
      </c>
      <c r="DC485" s="30" t="s">
        <v>293</v>
      </c>
      <c r="DD485" s="29" t="s">
        <v>151</v>
      </c>
      <c r="DE485" s="32">
        <v>3.18</v>
      </c>
      <c r="DF485" s="34">
        <v>99</v>
      </c>
      <c r="DG485" s="32">
        <v>0</v>
      </c>
      <c r="DH485" s="32">
        <v>0</v>
      </c>
      <c r="DI485" s="32">
        <v>0</v>
      </c>
      <c r="DJ485" s="34">
        <v>10</v>
      </c>
      <c r="DK485" s="32" t="s">
        <v>151</v>
      </c>
      <c r="DL485" s="34" t="s">
        <v>151</v>
      </c>
      <c r="DM485" s="32">
        <v>0</v>
      </c>
      <c r="DN485" s="34">
        <v>10</v>
      </c>
      <c r="DO485" s="36">
        <v>2.33</v>
      </c>
      <c r="DP485" s="34">
        <v>70</v>
      </c>
      <c r="DQ485" s="36">
        <v>0</v>
      </c>
      <c r="DR485" s="32">
        <v>0</v>
      </c>
      <c r="DS485" s="36">
        <v>4.05</v>
      </c>
      <c r="DT485" s="34">
        <v>79</v>
      </c>
      <c r="DU485" s="36" t="s">
        <v>151</v>
      </c>
      <c r="DV485" s="34" t="s">
        <v>151</v>
      </c>
      <c r="DW485" s="36">
        <v>4.05</v>
      </c>
      <c r="DX485" s="34">
        <v>79</v>
      </c>
      <c r="DY485" s="31" t="s">
        <v>151</v>
      </c>
      <c r="DZ485" s="35" t="s">
        <v>151</v>
      </c>
      <c r="EA485" s="35" t="s">
        <v>151</v>
      </c>
      <c r="EB485" s="34">
        <v>2321</v>
      </c>
      <c r="EC485" s="33">
        <v>114</v>
      </c>
      <c r="ED485" s="32">
        <v>5.17</v>
      </c>
      <c r="EE485" s="34">
        <v>77</v>
      </c>
      <c r="EF485" s="33">
        <v>1</v>
      </c>
      <c r="EG485" s="32">
        <v>1.32</v>
      </c>
      <c r="EH485" s="29" t="s">
        <v>198</v>
      </c>
      <c r="EI485" s="30" t="s">
        <v>151</v>
      </c>
      <c r="EJ485" s="30" t="s">
        <v>151</v>
      </c>
      <c r="EK485" s="31" t="s">
        <v>151</v>
      </c>
      <c r="EL485" s="31" t="s">
        <v>151</v>
      </c>
      <c r="EM485" s="31" t="s">
        <v>151</v>
      </c>
      <c r="EN485" s="31" t="s">
        <v>151</v>
      </c>
      <c r="EO485" s="31" t="s">
        <v>151</v>
      </c>
      <c r="EP485" s="30" t="s">
        <v>151</v>
      </c>
      <c r="EQ485" s="29" t="s">
        <v>151</v>
      </c>
      <c r="ER485" s="29" t="s">
        <v>151</v>
      </c>
      <c r="ES485" s="4">
        <f>HYPERLINK("https://my.pitchbook.com?c=512282-26","View Company Online")</f>
      </c>
    </row>
    <row r="486">
      <c r="A486" s="17" t="s">
        <v>10256</v>
      </c>
      <c r="B486" s="17" t="s">
        <v>10257</v>
      </c>
      <c r="C486" s="18" t="s">
        <v>151</v>
      </c>
      <c r="D486" s="17" t="s">
        <v>151</v>
      </c>
      <c r="E486" s="17" t="s">
        <v>151</v>
      </c>
      <c r="F486" s="17" t="s">
        <v>10258</v>
      </c>
      <c r="G486" s="17" t="s">
        <v>151</v>
      </c>
      <c r="H486" s="17" t="s">
        <v>151</v>
      </c>
      <c r="I486" s="17" t="s">
        <v>10259</v>
      </c>
      <c r="J486" s="17" t="s">
        <v>10256</v>
      </c>
      <c r="K486" s="17" t="s">
        <v>10260</v>
      </c>
      <c r="L486" s="17" t="s">
        <v>205</v>
      </c>
      <c r="M486" s="17" t="s">
        <v>206</v>
      </c>
      <c r="N486" s="17" t="s">
        <v>1940</v>
      </c>
      <c r="O486" s="17" t="s">
        <v>1941</v>
      </c>
      <c r="P486" s="17" t="s">
        <v>10261</v>
      </c>
      <c r="Q486" s="17" t="s">
        <v>10262</v>
      </c>
      <c r="R486" s="17" t="s">
        <v>151</v>
      </c>
      <c r="S486" s="17" t="s">
        <v>162</v>
      </c>
      <c r="T486" s="24">
        <v>3.5</v>
      </c>
      <c r="U486" s="17" t="s">
        <v>163</v>
      </c>
      <c r="V486" s="17" t="s">
        <v>164</v>
      </c>
      <c r="W486" s="17" t="s">
        <v>165</v>
      </c>
      <c r="X486" s="15" t="s">
        <v>10263</v>
      </c>
      <c r="Y486" s="15" t="s">
        <v>10264</v>
      </c>
      <c r="Z486" s="27">
        <v>7</v>
      </c>
      <c r="AA486" s="17" t="s">
        <v>4311</v>
      </c>
      <c r="AB486" s="17" t="s">
        <v>151</v>
      </c>
      <c r="AC486" s="17" t="s">
        <v>151</v>
      </c>
      <c r="AD486" s="26">
        <v>2024</v>
      </c>
      <c r="AE486" s="17" t="s">
        <v>151</v>
      </c>
      <c r="AF486" s="22">
        <v>45568</v>
      </c>
      <c r="AG486" s="17" t="s">
        <v>151</v>
      </c>
      <c r="AH486" s="17" t="s">
        <v>151</v>
      </c>
      <c r="AI486" s="25" t="s">
        <v>151</v>
      </c>
      <c r="AJ486" s="19" t="s">
        <v>151</v>
      </c>
      <c r="AK486" s="25" t="s">
        <v>151</v>
      </c>
      <c r="AL486" s="25" t="s">
        <v>151</v>
      </c>
      <c r="AM486" s="25" t="s">
        <v>151</v>
      </c>
      <c r="AN486" s="25" t="s">
        <v>151</v>
      </c>
      <c r="AO486" s="25" t="s">
        <v>151</v>
      </c>
      <c r="AP486" s="25" t="s">
        <v>151</v>
      </c>
      <c r="AQ486" s="25" t="s">
        <v>151</v>
      </c>
      <c r="AR486" s="16" t="s">
        <v>151</v>
      </c>
      <c r="AS486" s="17" t="s">
        <v>10265</v>
      </c>
      <c r="AT486" s="17" t="s">
        <v>10266</v>
      </c>
      <c r="AU486" s="18">
        <v>6</v>
      </c>
      <c r="AV486" s="17" t="s">
        <v>151</v>
      </c>
      <c r="AW486" s="17" t="s">
        <v>151</v>
      </c>
      <c r="AX486" s="17" t="s">
        <v>151</v>
      </c>
      <c r="AY486" s="17" t="s">
        <v>10267</v>
      </c>
      <c r="AZ486" s="17" t="s">
        <v>151</v>
      </c>
      <c r="BA486" s="17" t="s">
        <v>151</v>
      </c>
      <c r="BB486" s="17" t="s">
        <v>151</v>
      </c>
      <c r="BC486" s="17" t="s">
        <v>374</v>
      </c>
      <c r="BD486" s="17" t="s">
        <v>10268</v>
      </c>
      <c r="BE486" s="17" t="s">
        <v>10269</v>
      </c>
      <c r="BF486" s="17" t="s">
        <v>403</v>
      </c>
      <c r="BG486" s="17" t="s">
        <v>151</v>
      </c>
      <c r="BH486" s="17" t="s">
        <v>151</v>
      </c>
      <c r="BI486" s="17" t="s">
        <v>707</v>
      </c>
      <c r="BJ486" s="17" t="s">
        <v>10270</v>
      </c>
      <c r="BK486" s="17" t="s">
        <v>1122</v>
      </c>
      <c r="BL486" s="17" t="s">
        <v>709</v>
      </c>
      <c r="BM486" s="17" t="s">
        <v>184</v>
      </c>
      <c r="BN486" s="16" t="s">
        <v>710</v>
      </c>
      <c r="BO486" s="17" t="s">
        <v>186</v>
      </c>
      <c r="BP486" s="16" t="s">
        <v>151</v>
      </c>
      <c r="BQ486" s="16" t="s">
        <v>151</v>
      </c>
      <c r="BR486" s="17" t="s">
        <v>10271</v>
      </c>
      <c r="BS486" s="17" t="s">
        <v>187</v>
      </c>
      <c r="BT486" s="17" t="s">
        <v>188</v>
      </c>
      <c r="BU486" s="22">
        <v>45505</v>
      </c>
      <c r="BV486" s="24">
        <v>3.5</v>
      </c>
      <c r="BW486" s="17" t="s">
        <v>192</v>
      </c>
      <c r="BX486" s="24" t="s">
        <v>151</v>
      </c>
      <c r="BY486" s="17" t="s">
        <v>151</v>
      </c>
      <c r="BZ486" s="17" t="s">
        <v>293</v>
      </c>
      <c r="CA486" s="17" t="s">
        <v>293</v>
      </c>
      <c r="CB486" s="17" t="s">
        <v>151</v>
      </c>
      <c r="CC486" s="17" t="s">
        <v>165</v>
      </c>
      <c r="CD486" s="17" t="s">
        <v>151</v>
      </c>
      <c r="CE486" s="17" t="s">
        <v>191</v>
      </c>
      <c r="CF486" s="22">
        <v>45505</v>
      </c>
      <c r="CG486" s="24">
        <v>3.5</v>
      </c>
      <c r="CH486" s="17" t="s">
        <v>192</v>
      </c>
      <c r="CI486" s="24" t="s">
        <v>151</v>
      </c>
      <c r="CJ486" s="17" t="s">
        <v>151</v>
      </c>
      <c r="CK486" s="16" t="s">
        <v>151</v>
      </c>
      <c r="CL486" s="17" t="s">
        <v>293</v>
      </c>
      <c r="CM486" s="17" t="s">
        <v>293</v>
      </c>
      <c r="CN486" s="17" t="s">
        <v>151</v>
      </c>
      <c r="CO486" s="17" t="s">
        <v>165</v>
      </c>
      <c r="CP486" s="22">
        <v>45505</v>
      </c>
      <c r="CQ486" s="24" t="s">
        <v>151</v>
      </c>
      <c r="CR486" s="17" t="s">
        <v>151</v>
      </c>
      <c r="CS486" s="17" t="s">
        <v>191</v>
      </c>
      <c r="CT486" s="16" t="s">
        <v>151</v>
      </c>
      <c r="CU486" s="17" t="s">
        <v>151</v>
      </c>
      <c r="CV486" s="19" t="s">
        <v>151</v>
      </c>
      <c r="CW486" s="19" t="s">
        <v>151</v>
      </c>
      <c r="CX486" s="17" t="s">
        <v>151</v>
      </c>
      <c r="CY486" s="19" t="s">
        <v>151</v>
      </c>
      <c r="CZ486" s="19" t="s">
        <v>151</v>
      </c>
      <c r="DA486" s="24" t="s">
        <v>151</v>
      </c>
      <c r="DB486" s="22" t="s">
        <v>151</v>
      </c>
      <c r="DC486" s="17" t="s">
        <v>151</v>
      </c>
      <c r="DD486" s="16" t="s">
        <v>151</v>
      </c>
      <c r="DE486" s="19">
        <v>0</v>
      </c>
      <c r="DF486" s="21">
        <v>11</v>
      </c>
      <c r="DG486" s="19">
        <v>0</v>
      </c>
      <c r="DH486" s="19">
        <v>0</v>
      </c>
      <c r="DI486" s="19">
        <v>0</v>
      </c>
      <c r="DJ486" s="21">
        <v>10</v>
      </c>
      <c r="DK486" s="19" t="s">
        <v>151</v>
      </c>
      <c r="DL486" s="21" t="s">
        <v>151</v>
      </c>
      <c r="DM486" s="19">
        <v>0</v>
      </c>
      <c r="DN486" s="21">
        <v>10</v>
      </c>
      <c r="DO486" s="23">
        <v>5.05</v>
      </c>
      <c r="DP486" s="21">
        <v>82</v>
      </c>
      <c r="DQ486" s="23">
        <v>0</v>
      </c>
      <c r="DR486" s="19">
        <v>0</v>
      </c>
      <c r="DS486" s="23">
        <v>5.05</v>
      </c>
      <c r="DT486" s="21">
        <v>82</v>
      </c>
      <c r="DU486" s="23" t="s">
        <v>151</v>
      </c>
      <c r="DV486" s="21" t="s">
        <v>151</v>
      </c>
      <c r="DW486" s="23">
        <v>5.05</v>
      </c>
      <c r="DX486" s="21">
        <v>82</v>
      </c>
      <c r="DY486" s="18" t="s">
        <v>151</v>
      </c>
      <c r="DZ486" s="22" t="s">
        <v>151</v>
      </c>
      <c r="EA486" s="22" t="s">
        <v>151</v>
      </c>
      <c r="EB486" s="21" t="s">
        <v>151</v>
      </c>
      <c r="EC486" s="20" t="s">
        <v>151</v>
      </c>
      <c r="ED486" s="19" t="s">
        <v>151</v>
      </c>
      <c r="EE486" s="21">
        <v>96</v>
      </c>
      <c r="EF486" s="20">
        <v>3</v>
      </c>
      <c r="EG486" s="19">
        <v>3.23</v>
      </c>
      <c r="EH486" s="16" t="s">
        <v>198</v>
      </c>
      <c r="EI486" s="17" t="s">
        <v>151</v>
      </c>
      <c r="EJ486" s="17" t="s">
        <v>151</v>
      </c>
      <c r="EK486" s="18" t="s">
        <v>151</v>
      </c>
      <c r="EL486" s="18" t="s">
        <v>151</v>
      </c>
      <c r="EM486" s="18" t="s">
        <v>151</v>
      </c>
      <c r="EN486" s="18" t="s">
        <v>151</v>
      </c>
      <c r="EO486" s="18" t="s">
        <v>151</v>
      </c>
      <c r="EP486" s="17" t="s">
        <v>151</v>
      </c>
      <c r="EQ486" s="16" t="s">
        <v>151</v>
      </c>
      <c r="ER486" s="16" t="s">
        <v>151</v>
      </c>
      <c r="ES486" s="3">
        <f>HYPERLINK("https://my.pitchbook.com?c=550441-00","View Company Online")</f>
      </c>
    </row>
    <row r="487">
      <c r="A487" s="30" t="s">
        <v>10272</v>
      </c>
      <c r="B487" s="30" t="s">
        <v>10273</v>
      </c>
      <c r="C487" s="31" t="s">
        <v>151</v>
      </c>
      <c r="D487" s="30" t="s">
        <v>151</v>
      </c>
      <c r="E487" s="30" t="s">
        <v>10274</v>
      </c>
      <c r="F487" s="30" t="s">
        <v>10275</v>
      </c>
      <c r="G487" s="30" t="s">
        <v>151</v>
      </c>
      <c r="H487" s="30" t="s">
        <v>151</v>
      </c>
      <c r="I487" s="30" t="s">
        <v>10276</v>
      </c>
      <c r="J487" s="30" t="s">
        <v>10272</v>
      </c>
      <c r="K487" s="30" t="s">
        <v>10277</v>
      </c>
      <c r="L487" s="30" t="s">
        <v>155</v>
      </c>
      <c r="M487" s="30" t="s">
        <v>361</v>
      </c>
      <c r="N487" s="30" t="s">
        <v>3162</v>
      </c>
      <c r="O487" s="30" t="s">
        <v>10278</v>
      </c>
      <c r="P487" s="30" t="s">
        <v>10279</v>
      </c>
      <c r="Q487" s="30" t="s">
        <v>10280</v>
      </c>
      <c r="R487" s="30" t="s">
        <v>151</v>
      </c>
      <c r="S487" s="30" t="s">
        <v>162</v>
      </c>
      <c r="T487" s="37">
        <v>8.76</v>
      </c>
      <c r="U487" s="30" t="s">
        <v>163</v>
      </c>
      <c r="V487" s="30" t="s">
        <v>164</v>
      </c>
      <c r="W487" s="30" t="s">
        <v>165</v>
      </c>
      <c r="X487" s="28" t="s">
        <v>10281</v>
      </c>
      <c r="Y487" s="28" t="s">
        <v>10282</v>
      </c>
      <c r="Z487" s="40">
        <v>29</v>
      </c>
      <c r="AA487" s="30" t="s">
        <v>10283</v>
      </c>
      <c r="AB487" s="30" t="s">
        <v>151</v>
      </c>
      <c r="AC487" s="30" t="s">
        <v>151</v>
      </c>
      <c r="AD487" s="39">
        <v>2018</v>
      </c>
      <c r="AE487" s="30" t="s">
        <v>151</v>
      </c>
      <c r="AF487" s="35">
        <v>45522</v>
      </c>
      <c r="AG487" s="30" t="s">
        <v>151</v>
      </c>
      <c r="AH487" s="30" t="s">
        <v>151</v>
      </c>
      <c r="AI487" s="38">
        <v>0.9</v>
      </c>
      <c r="AJ487" s="32">
        <v>125</v>
      </c>
      <c r="AK487" s="38" t="s">
        <v>151</v>
      </c>
      <c r="AL487" s="38" t="s">
        <v>151</v>
      </c>
      <c r="AM487" s="38" t="s">
        <v>151</v>
      </c>
      <c r="AN487" s="38" t="s">
        <v>151</v>
      </c>
      <c r="AO487" s="38" t="s">
        <v>151</v>
      </c>
      <c r="AP487" s="38" t="s">
        <v>151</v>
      </c>
      <c r="AQ487" s="38" t="s">
        <v>151</v>
      </c>
      <c r="AR487" s="29" t="s">
        <v>456</v>
      </c>
      <c r="AS487" s="30" t="s">
        <v>10284</v>
      </c>
      <c r="AT487" s="30" t="s">
        <v>10285</v>
      </c>
      <c r="AU487" s="31">
        <v>16</v>
      </c>
      <c r="AV487" s="30" t="s">
        <v>151</v>
      </c>
      <c r="AW487" s="30" t="s">
        <v>151</v>
      </c>
      <c r="AX487" s="30" t="s">
        <v>151</v>
      </c>
      <c r="AY487" s="30" t="s">
        <v>10286</v>
      </c>
      <c r="AZ487" s="30" t="s">
        <v>151</v>
      </c>
      <c r="BA487" s="30" t="s">
        <v>151</v>
      </c>
      <c r="BB487" s="30" t="s">
        <v>10287</v>
      </c>
      <c r="BC487" s="30" t="s">
        <v>10288</v>
      </c>
      <c r="BD487" s="30" t="s">
        <v>10289</v>
      </c>
      <c r="BE487" s="30" t="s">
        <v>10290</v>
      </c>
      <c r="BF487" s="30" t="s">
        <v>493</v>
      </c>
      <c r="BG487" s="30" t="s">
        <v>10291</v>
      </c>
      <c r="BH487" s="30" t="s">
        <v>10292</v>
      </c>
      <c r="BI487" s="30" t="s">
        <v>10293</v>
      </c>
      <c r="BJ487" s="30" t="s">
        <v>10294</v>
      </c>
      <c r="BK487" s="30" t="s">
        <v>1597</v>
      </c>
      <c r="BL487" s="30" t="s">
        <v>10295</v>
      </c>
      <c r="BM487" s="30" t="s">
        <v>184</v>
      </c>
      <c r="BN487" s="29" t="s">
        <v>10296</v>
      </c>
      <c r="BO487" s="30" t="s">
        <v>186</v>
      </c>
      <c r="BP487" s="29" t="s">
        <v>10292</v>
      </c>
      <c r="BQ487" s="29" t="s">
        <v>151</v>
      </c>
      <c r="BR487" s="30" t="s">
        <v>10297</v>
      </c>
      <c r="BS487" s="30" t="s">
        <v>187</v>
      </c>
      <c r="BT487" s="30" t="s">
        <v>188</v>
      </c>
      <c r="BU487" s="35">
        <v>43390</v>
      </c>
      <c r="BV487" s="37">
        <v>0.01</v>
      </c>
      <c r="BW487" s="30" t="s">
        <v>192</v>
      </c>
      <c r="BX487" s="37" t="s">
        <v>151</v>
      </c>
      <c r="BY487" s="30" t="s">
        <v>151</v>
      </c>
      <c r="BZ487" s="30" t="s">
        <v>189</v>
      </c>
      <c r="CA487" s="30" t="s">
        <v>151</v>
      </c>
      <c r="CB487" s="30" t="s">
        <v>151</v>
      </c>
      <c r="CC487" s="30" t="s">
        <v>190</v>
      </c>
      <c r="CD487" s="30" t="s">
        <v>151</v>
      </c>
      <c r="CE487" s="30" t="s">
        <v>191</v>
      </c>
      <c r="CF487" s="35">
        <v>45180</v>
      </c>
      <c r="CG487" s="37">
        <v>3.5</v>
      </c>
      <c r="CH487" s="30" t="s">
        <v>192</v>
      </c>
      <c r="CI487" s="37">
        <v>12</v>
      </c>
      <c r="CJ487" s="30" t="s">
        <v>192</v>
      </c>
      <c r="CK487" s="29">
        <v>0.85</v>
      </c>
      <c r="CL487" s="30" t="s">
        <v>293</v>
      </c>
      <c r="CM487" s="30" t="s">
        <v>293</v>
      </c>
      <c r="CN487" s="30" t="s">
        <v>151</v>
      </c>
      <c r="CO487" s="30" t="s">
        <v>165</v>
      </c>
      <c r="CP487" s="35">
        <v>45180</v>
      </c>
      <c r="CQ487" s="37" t="s">
        <v>151</v>
      </c>
      <c r="CR487" s="30" t="s">
        <v>151</v>
      </c>
      <c r="CS487" s="30" t="s">
        <v>191</v>
      </c>
      <c r="CT487" s="29">
        <v>95</v>
      </c>
      <c r="CU487" s="30" t="s">
        <v>196</v>
      </c>
      <c r="CV487" s="32">
        <v>86</v>
      </c>
      <c r="CW487" s="32">
        <v>14</v>
      </c>
      <c r="CX487" s="30" t="s">
        <v>294</v>
      </c>
      <c r="CY487" s="32">
        <v>4</v>
      </c>
      <c r="CZ487" s="32">
        <v>82</v>
      </c>
      <c r="DA487" s="37">
        <v>12</v>
      </c>
      <c r="DB487" s="35">
        <v>45180</v>
      </c>
      <c r="DC487" s="30" t="s">
        <v>293</v>
      </c>
      <c r="DD487" s="29">
        <v>0.85</v>
      </c>
      <c r="DE487" s="32">
        <v>-0.1</v>
      </c>
      <c r="DF487" s="34">
        <v>11</v>
      </c>
      <c r="DG487" s="32">
        <v>0</v>
      </c>
      <c r="DH487" s="32">
        <v>0</v>
      </c>
      <c r="DI487" s="32">
        <v>-0.2</v>
      </c>
      <c r="DJ487" s="34">
        <v>9</v>
      </c>
      <c r="DK487" s="32" t="s">
        <v>151</v>
      </c>
      <c r="DL487" s="34" t="s">
        <v>151</v>
      </c>
      <c r="DM487" s="32">
        <v>-0.2</v>
      </c>
      <c r="DN487" s="34">
        <v>9</v>
      </c>
      <c r="DO487" s="36">
        <v>18.75</v>
      </c>
      <c r="DP487" s="34">
        <v>95</v>
      </c>
      <c r="DQ487" s="36">
        <v>0</v>
      </c>
      <c r="DR487" s="32">
        <v>0</v>
      </c>
      <c r="DS487" s="36">
        <v>35.26</v>
      </c>
      <c r="DT487" s="34">
        <v>97</v>
      </c>
      <c r="DU487" s="36" t="s">
        <v>151</v>
      </c>
      <c r="DV487" s="34" t="s">
        <v>151</v>
      </c>
      <c r="DW487" s="36">
        <v>35.26</v>
      </c>
      <c r="DX487" s="34">
        <v>97</v>
      </c>
      <c r="DY487" s="31" t="s">
        <v>151</v>
      </c>
      <c r="DZ487" s="35" t="s">
        <v>151</v>
      </c>
      <c r="EA487" s="35" t="s">
        <v>151</v>
      </c>
      <c r="EB487" s="34">
        <v>24029</v>
      </c>
      <c r="EC487" s="33">
        <v>784</v>
      </c>
      <c r="ED487" s="32">
        <v>3.37</v>
      </c>
      <c r="EE487" s="34">
        <v>670</v>
      </c>
      <c r="EF487" s="33">
        <v>-2</v>
      </c>
      <c r="EG487" s="32">
        <v>-0.3</v>
      </c>
      <c r="EH487" s="29" t="s">
        <v>198</v>
      </c>
      <c r="EI487" s="30" t="s">
        <v>151</v>
      </c>
      <c r="EJ487" s="30" t="s">
        <v>151</v>
      </c>
      <c r="EK487" s="31" t="s">
        <v>151</v>
      </c>
      <c r="EL487" s="31" t="s">
        <v>151</v>
      </c>
      <c r="EM487" s="31" t="s">
        <v>151</v>
      </c>
      <c r="EN487" s="31" t="s">
        <v>151</v>
      </c>
      <c r="EO487" s="31" t="s">
        <v>151</v>
      </c>
      <c r="EP487" s="30" t="s">
        <v>151</v>
      </c>
      <c r="EQ487" s="29" t="s">
        <v>151</v>
      </c>
      <c r="ER487" s="29" t="s">
        <v>151</v>
      </c>
      <c r="ES487" s="4">
        <f>HYPERLINK("https://my.pitchbook.com?c=466593-49","View Company Online")</f>
      </c>
    </row>
    <row r="488">
      <c r="A488" s="17" t="s">
        <v>10298</v>
      </c>
      <c r="B488" s="17" t="s">
        <v>10299</v>
      </c>
      <c r="C488" s="18" t="s">
        <v>151</v>
      </c>
      <c r="D488" s="17" t="s">
        <v>151</v>
      </c>
      <c r="E488" s="17" t="s">
        <v>151</v>
      </c>
      <c r="F488" s="17" t="s">
        <v>10300</v>
      </c>
      <c r="G488" s="17" t="s">
        <v>151</v>
      </c>
      <c r="H488" s="17" t="s">
        <v>151</v>
      </c>
      <c r="I488" s="17" t="s">
        <v>151</v>
      </c>
      <c r="J488" s="17" t="s">
        <v>10298</v>
      </c>
      <c r="K488" s="17" t="s">
        <v>10301</v>
      </c>
      <c r="L488" s="17" t="s">
        <v>1792</v>
      </c>
      <c r="M488" s="17" t="s">
        <v>5329</v>
      </c>
      <c r="N488" s="17" t="s">
        <v>5330</v>
      </c>
      <c r="O488" s="17" t="s">
        <v>5354</v>
      </c>
      <c r="P488" s="17" t="s">
        <v>10302</v>
      </c>
      <c r="Q488" s="17" t="s">
        <v>10303</v>
      </c>
      <c r="R488" s="17" t="s">
        <v>151</v>
      </c>
      <c r="S488" s="17" t="s">
        <v>162</v>
      </c>
      <c r="T488" s="24">
        <v>3</v>
      </c>
      <c r="U488" s="17" t="s">
        <v>163</v>
      </c>
      <c r="V488" s="17" t="s">
        <v>164</v>
      </c>
      <c r="W488" s="17" t="s">
        <v>165</v>
      </c>
      <c r="X488" s="15" t="s">
        <v>10304</v>
      </c>
      <c r="Y488" s="15" t="s">
        <v>10305</v>
      </c>
      <c r="Z488" s="27">
        <v>17</v>
      </c>
      <c r="AA488" s="17" t="s">
        <v>10306</v>
      </c>
      <c r="AB488" s="17" t="s">
        <v>151</v>
      </c>
      <c r="AC488" s="17" t="s">
        <v>151</v>
      </c>
      <c r="AD488" s="26">
        <v>2022</v>
      </c>
      <c r="AE488" s="17" t="s">
        <v>151</v>
      </c>
      <c r="AF488" s="22">
        <v>45559</v>
      </c>
      <c r="AG488" s="17" t="s">
        <v>151</v>
      </c>
      <c r="AH488" s="17" t="s">
        <v>151</v>
      </c>
      <c r="AI488" s="25" t="s">
        <v>151</v>
      </c>
      <c r="AJ488" s="19" t="s">
        <v>151</v>
      </c>
      <c r="AK488" s="25" t="s">
        <v>151</v>
      </c>
      <c r="AL488" s="25" t="s">
        <v>151</v>
      </c>
      <c r="AM488" s="25" t="s">
        <v>151</v>
      </c>
      <c r="AN488" s="25" t="s">
        <v>151</v>
      </c>
      <c r="AO488" s="25" t="s">
        <v>151</v>
      </c>
      <c r="AP488" s="25" t="s">
        <v>151</v>
      </c>
      <c r="AQ488" s="25" t="s">
        <v>151</v>
      </c>
      <c r="AR488" s="16" t="s">
        <v>151</v>
      </c>
      <c r="AS488" s="17" t="s">
        <v>10307</v>
      </c>
      <c r="AT488" s="17" t="s">
        <v>10308</v>
      </c>
      <c r="AU488" s="18">
        <v>3</v>
      </c>
      <c r="AV488" s="17" t="s">
        <v>151</v>
      </c>
      <c r="AW488" s="17" t="s">
        <v>151</v>
      </c>
      <c r="AX488" s="17" t="s">
        <v>151</v>
      </c>
      <c r="AY488" s="17" t="s">
        <v>10309</v>
      </c>
      <c r="AZ488" s="17" t="s">
        <v>151</v>
      </c>
      <c r="BA488" s="17" t="s">
        <v>151</v>
      </c>
      <c r="BB488" s="17" t="s">
        <v>151</v>
      </c>
      <c r="BC488" s="17" t="s">
        <v>151</v>
      </c>
      <c r="BD488" s="17" t="s">
        <v>10310</v>
      </c>
      <c r="BE488" s="17" t="s">
        <v>10311</v>
      </c>
      <c r="BF488" s="17" t="s">
        <v>178</v>
      </c>
      <c r="BG488" s="17" t="s">
        <v>151</v>
      </c>
      <c r="BH488" s="17" t="s">
        <v>10312</v>
      </c>
      <c r="BI488" s="17" t="s">
        <v>10313</v>
      </c>
      <c r="BJ488" s="17" t="s">
        <v>10314</v>
      </c>
      <c r="BK488" s="17" t="s">
        <v>1712</v>
      </c>
      <c r="BL488" s="17" t="s">
        <v>10315</v>
      </c>
      <c r="BM488" s="17" t="s">
        <v>525</v>
      </c>
      <c r="BN488" s="16" t="s">
        <v>10316</v>
      </c>
      <c r="BO488" s="17" t="s">
        <v>186</v>
      </c>
      <c r="BP488" s="16" t="s">
        <v>10312</v>
      </c>
      <c r="BQ488" s="16" t="s">
        <v>151</v>
      </c>
      <c r="BR488" s="17" t="s">
        <v>10317</v>
      </c>
      <c r="BS488" s="17" t="s">
        <v>187</v>
      </c>
      <c r="BT488" s="17" t="s">
        <v>188</v>
      </c>
      <c r="BU488" s="22">
        <v>45118</v>
      </c>
      <c r="BV488" s="24">
        <v>3</v>
      </c>
      <c r="BW488" s="17" t="s">
        <v>192</v>
      </c>
      <c r="BX488" s="24" t="s">
        <v>151</v>
      </c>
      <c r="BY488" s="17" t="s">
        <v>151</v>
      </c>
      <c r="BZ488" s="17" t="s">
        <v>231</v>
      </c>
      <c r="CA488" s="17" t="s">
        <v>326</v>
      </c>
      <c r="CB488" s="17" t="s">
        <v>151</v>
      </c>
      <c r="CC488" s="17" t="s">
        <v>165</v>
      </c>
      <c r="CD488" s="17" t="s">
        <v>151</v>
      </c>
      <c r="CE488" s="17" t="s">
        <v>191</v>
      </c>
      <c r="CF488" s="22">
        <v>45118</v>
      </c>
      <c r="CG488" s="24">
        <v>3</v>
      </c>
      <c r="CH488" s="17" t="s">
        <v>192</v>
      </c>
      <c r="CI488" s="24" t="s">
        <v>151</v>
      </c>
      <c r="CJ488" s="17" t="s">
        <v>151</v>
      </c>
      <c r="CK488" s="16" t="s">
        <v>151</v>
      </c>
      <c r="CL488" s="17" t="s">
        <v>231</v>
      </c>
      <c r="CM488" s="17" t="s">
        <v>326</v>
      </c>
      <c r="CN488" s="17" t="s">
        <v>151</v>
      </c>
      <c r="CO488" s="17" t="s">
        <v>165</v>
      </c>
      <c r="CP488" s="22">
        <v>45118</v>
      </c>
      <c r="CQ488" s="24" t="s">
        <v>151</v>
      </c>
      <c r="CR488" s="17" t="s">
        <v>151</v>
      </c>
      <c r="CS488" s="17" t="s">
        <v>191</v>
      </c>
      <c r="CT488" s="16" t="s">
        <v>151</v>
      </c>
      <c r="CU488" s="17" t="s">
        <v>151</v>
      </c>
      <c r="CV488" s="19" t="s">
        <v>151</v>
      </c>
      <c r="CW488" s="19" t="s">
        <v>151</v>
      </c>
      <c r="CX488" s="17" t="s">
        <v>151</v>
      </c>
      <c r="CY488" s="19" t="s">
        <v>151</v>
      </c>
      <c r="CZ488" s="19" t="s">
        <v>151</v>
      </c>
      <c r="DA488" s="24" t="s">
        <v>151</v>
      </c>
      <c r="DB488" s="22" t="s">
        <v>151</v>
      </c>
      <c r="DC488" s="17" t="s">
        <v>151</v>
      </c>
      <c r="DD488" s="16" t="s">
        <v>151</v>
      </c>
      <c r="DE488" s="19">
        <v>0.42</v>
      </c>
      <c r="DF488" s="21">
        <v>93</v>
      </c>
      <c r="DG488" s="19">
        <v>0</v>
      </c>
      <c r="DH488" s="19">
        <v>0</v>
      </c>
      <c r="DI488" s="19">
        <v>0</v>
      </c>
      <c r="DJ488" s="21">
        <v>10</v>
      </c>
      <c r="DK488" s="19" t="s">
        <v>151</v>
      </c>
      <c r="DL488" s="21" t="s">
        <v>151</v>
      </c>
      <c r="DM488" s="19">
        <v>0</v>
      </c>
      <c r="DN488" s="21">
        <v>10</v>
      </c>
      <c r="DO488" s="23">
        <v>1.27</v>
      </c>
      <c r="DP488" s="21">
        <v>56</v>
      </c>
      <c r="DQ488" s="23">
        <v>0</v>
      </c>
      <c r="DR488" s="19">
        <v>0</v>
      </c>
      <c r="DS488" s="23">
        <v>1.32</v>
      </c>
      <c r="DT488" s="21">
        <v>56</v>
      </c>
      <c r="DU488" s="23" t="s">
        <v>151</v>
      </c>
      <c r="DV488" s="21" t="s">
        <v>151</v>
      </c>
      <c r="DW488" s="23">
        <v>1.32</v>
      </c>
      <c r="DX488" s="21">
        <v>56</v>
      </c>
      <c r="DY488" s="18" t="s">
        <v>151</v>
      </c>
      <c r="DZ488" s="22" t="s">
        <v>151</v>
      </c>
      <c r="EA488" s="22" t="s">
        <v>151</v>
      </c>
      <c r="EB488" s="21">
        <v>255</v>
      </c>
      <c r="EC488" s="20">
        <v>-85</v>
      </c>
      <c r="ED488" s="19">
        <v>-25</v>
      </c>
      <c r="EE488" s="21">
        <v>25</v>
      </c>
      <c r="EF488" s="20">
        <v>1</v>
      </c>
      <c r="EG488" s="19">
        <v>4.17</v>
      </c>
      <c r="EH488" s="16" t="s">
        <v>198</v>
      </c>
      <c r="EI488" s="17" t="s">
        <v>151</v>
      </c>
      <c r="EJ488" s="17" t="s">
        <v>151</v>
      </c>
      <c r="EK488" s="18" t="s">
        <v>151</v>
      </c>
      <c r="EL488" s="18" t="s">
        <v>151</v>
      </c>
      <c r="EM488" s="18" t="s">
        <v>151</v>
      </c>
      <c r="EN488" s="18" t="s">
        <v>151</v>
      </c>
      <c r="EO488" s="18" t="s">
        <v>151</v>
      </c>
      <c r="EP488" s="17" t="s">
        <v>151</v>
      </c>
      <c r="EQ488" s="16" t="s">
        <v>151</v>
      </c>
      <c r="ER488" s="16" t="s">
        <v>151</v>
      </c>
      <c r="ES488" s="3">
        <f>HYPERLINK("https://my.pitchbook.com?c=530771-86","View Company Online")</f>
      </c>
    </row>
    <row r="489">
      <c r="A489" s="30" t="s">
        <v>10318</v>
      </c>
      <c r="B489" s="30" t="s">
        <v>10319</v>
      </c>
      <c r="C489" s="31" t="s">
        <v>151</v>
      </c>
      <c r="D489" s="30" t="s">
        <v>10320</v>
      </c>
      <c r="E489" s="30" t="s">
        <v>151</v>
      </c>
      <c r="F489" s="30" t="s">
        <v>10321</v>
      </c>
      <c r="G489" s="30" t="s">
        <v>151</v>
      </c>
      <c r="H489" s="30" t="s">
        <v>151</v>
      </c>
      <c r="I489" s="30" t="s">
        <v>151</v>
      </c>
      <c r="J489" s="30" t="s">
        <v>10318</v>
      </c>
      <c r="K489" s="30" t="s">
        <v>10322</v>
      </c>
      <c r="L489" s="30" t="s">
        <v>155</v>
      </c>
      <c r="M489" s="30" t="s">
        <v>361</v>
      </c>
      <c r="N489" s="30" t="s">
        <v>3162</v>
      </c>
      <c r="O489" s="30" t="s">
        <v>8993</v>
      </c>
      <c r="P489" s="30" t="s">
        <v>10323</v>
      </c>
      <c r="Q489" s="30" t="s">
        <v>10324</v>
      </c>
      <c r="R489" s="30" t="s">
        <v>151</v>
      </c>
      <c r="S489" s="30" t="s">
        <v>162</v>
      </c>
      <c r="T489" s="37">
        <v>1</v>
      </c>
      <c r="U489" s="30" t="s">
        <v>163</v>
      </c>
      <c r="V489" s="30" t="s">
        <v>164</v>
      </c>
      <c r="W489" s="30" t="s">
        <v>165</v>
      </c>
      <c r="X489" s="28" t="s">
        <v>10325</v>
      </c>
      <c r="Y489" s="28" t="s">
        <v>10326</v>
      </c>
      <c r="Z489" s="40">
        <v>2</v>
      </c>
      <c r="AA489" s="30" t="s">
        <v>10327</v>
      </c>
      <c r="AB489" s="30" t="s">
        <v>151</v>
      </c>
      <c r="AC489" s="30" t="s">
        <v>151</v>
      </c>
      <c r="AD489" s="39">
        <v>2019</v>
      </c>
      <c r="AE489" s="30" t="s">
        <v>151</v>
      </c>
      <c r="AF489" s="35">
        <v>45616</v>
      </c>
      <c r="AG489" s="30" t="s">
        <v>151</v>
      </c>
      <c r="AH489" s="30" t="s">
        <v>151</v>
      </c>
      <c r="AI489" s="38">
        <v>0.05</v>
      </c>
      <c r="AJ489" s="32" t="s">
        <v>151</v>
      </c>
      <c r="AK489" s="38" t="s">
        <v>151</v>
      </c>
      <c r="AL489" s="38" t="s">
        <v>151</v>
      </c>
      <c r="AM489" s="38" t="s">
        <v>151</v>
      </c>
      <c r="AN489" s="38" t="s">
        <v>151</v>
      </c>
      <c r="AO489" s="38" t="s">
        <v>151</v>
      </c>
      <c r="AP489" s="38" t="s">
        <v>151</v>
      </c>
      <c r="AQ489" s="38" t="s">
        <v>151</v>
      </c>
      <c r="AR489" s="29" t="s">
        <v>3435</v>
      </c>
      <c r="AS489" s="30" t="s">
        <v>10328</v>
      </c>
      <c r="AT489" s="30" t="s">
        <v>10329</v>
      </c>
      <c r="AU489" s="31">
        <v>4</v>
      </c>
      <c r="AV489" s="30" t="s">
        <v>151</v>
      </c>
      <c r="AW489" s="30" t="s">
        <v>151</v>
      </c>
      <c r="AX489" s="30" t="s">
        <v>151</v>
      </c>
      <c r="AY489" s="30" t="s">
        <v>10330</v>
      </c>
      <c r="AZ489" s="30" t="s">
        <v>151</v>
      </c>
      <c r="BA489" s="30" t="s">
        <v>151</v>
      </c>
      <c r="BB489" s="30" t="s">
        <v>151</v>
      </c>
      <c r="BC489" s="30" t="s">
        <v>151</v>
      </c>
      <c r="BD489" s="30" t="s">
        <v>151</v>
      </c>
      <c r="BE489" s="30" t="s">
        <v>151</v>
      </c>
      <c r="BF489" s="30" t="s">
        <v>151</v>
      </c>
      <c r="BG489" s="30" t="s">
        <v>151</v>
      </c>
      <c r="BH489" s="30" t="s">
        <v>151</v>
      </c>
      <c r="BI489" s="30" t="s">
        <v>2430</v>
      </c>
      <c r="BJ489" s="30" t="s">
        <v>10331</v>
      </c>
      <c r="BK489" s="30" t="s">
        <v>10332</v>
      </c>
      <c r="BL489" s="30" t="s">
        <v>2432</v>
      </c>
      <c r="BM489" s="30" t="s">
        <v>322</v>
      </c>
      <c r="BN489" s="29" t="s">
        <v>10333</v>
      </c>
      <c r="BO489" s="30" t="s">
        <v>186</v>
      </c>
      <c r="BP489" s="29" t="s">
        <v>10334</v>
      </c>
      <c r="BQ489" s="29" t="s">
        <v>151</v>
      </c>
      <c r="BR489" s="30" t="s">
        <v>151</v>
      </c>
      <c r="BS489" s="30" t="s">
        <v>187</v>
      </c>
      <c r="BT489" s="30" t="s">
        <v>188</v>
      </c>
      <c r="BU489" s="35">
        <v>43831</v>
      </c>
      <c r="BV489" s="37" t="s">
        <v>151</v>
      </c>
      <c r="BW489" s="30" t="s">
        <v>151</v>
      </c>
      <c r="BX489" s="37" t="s">
        <v>151</v>
      </c>
      <c r="BY489" s="30" t="s">
        <v>151</v>
      </c>
      <c r="BZ489" s="30" t="s">
        <v>189</v>
      </c>
      <c r="CA489" s="30" t="s">
        <v>151</v>
      </c>
      <c r="CB489" s="30" t="s">
        <v>151</v>
      </c>
      <c r="CC489" s="30" t="s">
        <v>190</v>
      </c>
      <c r="CD489" s="30" t="s">
        <v>151</v>
      </c>
      <c r="CE489" s="30" t="s">
        <v>191</v>
      </c>
      <c r="CF489" s="35">
        <v>44203</v>
      </c>
      <c r="CG489" s="37">
        <v>1</v>
      </c>
      <c r="CH489" s="30" t="s">
        <v>192</v>
      </c>
      <c r="CI489" s="37" t="s">
        <v>151</v>
      </c>
      <c r="CJ489" s="30" t="s">
        <v>151</v>
      </c>
      <c r="CK489" s="29" t="s">
        <v>151</v>
      </c>
      <c r="CL489" s="30" t="s">
        <v>293</v>
      </c>
      <c r="CM489" s="30" t="s">
        <v>293</v>
      </c>
      <c r="CN489" s="30" t="s">
        <v>151</v>
      </c>
      <c r="CO489" s="30" t="s">
        <v>165</v>
      </c>
      <c r="CP489" s="35">
        <v>44203</v>
      </c>
      <c r="CQ489" s="37" t="s">
        <v>151</v>
      </c>
      <c r="CR489" s="30" t="s">
        <v>151</v>
      </c>
      <c r="CS489" s="30" t="s">
        <v>191</v>
      </c>
      <c r="CT489" s="29" t="s">
        <v>151</v>
      </c>
      <c r="CU489" s="30" t="s">
        <v>151</v>
      </c>
      <c r="CV489" s="32" t="s">
        <v>151</v>
      </c>
      <c r="CW489" s="32" t="s">
        <v>151</v>
      </c>
      <c r="CX489" s="30" t="s">
        <v>151</v>
      </c>
      <c r="CY489" s="32" t="s">
        <v>151</v>
      </c>
      <c r="CZ489" s="32" t="s">
        <v>151</v>
      </c>
      <c r="DA489" s="37" t="s">
        <v>151</v>
      </c>
      <c r="DB489" s="35" t="s">
        <v>151</v>
      </c>
      <c r="DC489" s="30" t="s">
        <v>151</v>
      </c>
      <c r="DD489" s="29" t="s">
        <v>151</v>
      </c>
      <c r="DE489" s="32">
        <v>0</v>
      </c>
      <c r="DF489" s="34">
        <v>11</v>
      </c>
      <c r="DG489" s="32">
        <v>0</v>
      </c>
      <c r="DH489" s="32">
        <v>0</v>
      </c>
      <c r="DI489" s="32" t="s">
        <v>151</v>
      </c>
      <c r="DJ489" s="34" t="s">
        <v>151</v>
      </c>
      <c r="DK489" s="32" t="s">
        <v>151</v>
      </c>
      <c r="DL489" s="34" t="s">
        <v>151</v>
      </c>
      <c r="DM489" s="32" t="s">
        <v>151</v>
      </c>
      <c r="DN489" s="34" t="s">
        <v>151</v>
      </c>
      <c r="DO489" s="36">
        <v>0.15</v>
      </c>
      <c r="DP489" s="34">
        <v>9</v>
      </c>
      <c r="DQ489" s="36">
        <v>0</v>
      </c>
      <c r="DR489" s="32">
        <v>0</v>
      </c>
      <c r="DS489" s="36" t="s">
        <v>151</v>
      </c>
      <c r="DT489" s="34" t="s">
        <v>151</v>
      </c>
      <c r="DU489" s="36" t="s">
        <v>151</v>
      </c>
      <c r="DV489" s="34" t="s">
        <v>151</v>
      </c>
      <c r="DW489" s="36" t="s">
        <v>151</v>
      </c>
      <c r="DX489" s="34" t="s">
        <v>151</v>
      </c>
      <c r="DY489" s="31" t="s">
        <v>151</v>
      </c>
      <c r="DZ489" s="35" t="s">
        <v>151</v>
      </c>
      <c r="EA489" s="35" t="s">
        <v>151</v>
      </c>
      <c r="EB489" s="34">
        <v>0</v>
      </c>
      <c r="EC489" s="33">
        <v>0</v>
      </c>
      <c r="ED489" s="32">
        <v>0</v>
      </c>
      <c r="EE489" s="34" t="s">
        <v>151</v>
      </c>
      <c r="EF489" s="33" t="s">
        <v>151</v>
      </c>
      <c r="EG489" s="32" t="s">
        <v>151</v>
      </c>
      <c r="EH489" s="29" t="s">
        <v>198</v>
      </c>
      <c r="EI489" s="30" t="s">
        <v>151</v>
      </c>
      <c r="EJ489" s="30" t="s">
        <v>151</v>
      </c>
      <c r="EK489" s="31" t="s">
        <v>151</v>
      </c>
      <c r="EL489" s="31" t="s">
        <v>151</v>
      </c>
      <c r="EM489" s="31" t="s">
        <v>151</v>
      </c>
      <c r="EN489" s="31" t="s">
        <v>151</v>
      </c>
      <c r="EO489" s="31" t="s">
        <v>151</v>
      </c>
      <c r="EP489" s="30" t="s">
        <v>151</v>
      </c>
      <c r="EQ489" s="29" t="s">
        <v>151</v>
      </c>
      <c r="ER489" s="29" t="s">
        <v>151</v>
      </c>
      <c r="ES489" s="4">
        <f>HYPERLINK("https://my.pitchbook.com?c=435014-02","View Company Online")</f>
      </c>
    </row>
    <row r="490">
      <c r="A490" s="17" t="s">
        <v>10335</v>
      </c>
      <c r="B490" s="17" t="s">
        <v>10336</v>
      </c>
      <c r="C490" s="18" t="s">
        <v>151</v>
      </c>
      <c r="D490" s="17" t="s">
        <v>151</v>
      </c>
      <c r="E490" s="17" t="s">
        <v>10337</v>
      </c>
      <c r="F490" s="17" t="s">
        <v>10338</v>
      </c>
      <c r="G490" s="17" t="s">
        <v>151</v>
      </c>
      <c r="H490" s="17" t="s">
        <v>151</v>
      </c>
      <c r="I490" s="17" t="s">
        <v>151</v>
      </c>
      <c r="J490" s="17" t="s">
        <v>10335</v>
      </c>
      <c r="K490" s="17" t="s">
        <v>10339</v>
      </c>
      <c r="L490" s="17" t="s">
        <v>155</v>
      </c>
      <c r="M490" s="17" t="s">
        <v>361</v>
      </c>
      <c r="N490" s="17" t="s">
        <v>362</v>
      </c>
      <c r="O490" s="17" t="s">
        <v>363</v>
      </c>
      <c r="P490" s="17" t="s">
        <v>2174</v>
      </c>
      <c r="Q490" s="17" t="s">
        <v>10340</v>
      </c>
      <c r="R490" s="17" t="s">
        <v>151</v>
      </c>
      <c r="S490" s="17" t="s">
        <v>162</v>
      </c>
      <c r="T490" s="24">
        <v>2.95</v>
      </c>
      <c r="U490" s="17" t="s">
        <v>163</v>
      </c>
      <c r="V490" s="17" t="s">
        <v>164</v>
      </c>
      <c r="W490" s="17" t="s">
        <v>165</v>
      </c>
      <c r="X490" s="15" t="s">
        <v>10341</v>
      </c>
      <c r="Y490" s="15" t="s">
        <v>10342</v>
      </c>
      <c r="Z490" s="27">
        <v>50</v>
      </c>
      <c r="AA490" s="17" t="s">
        <v>10343</v>
      </c>
      <c r="AB490" s="17" t="s">
        <v>151</v>
      </c>
      <c r="AC490" s="17" t="s">
        <v>151</v>
      </c>
      <c r="AD490" s="26">
        <v>2021</v>
      </c>
      <c r="AE490" s="17" t="s">
        <v>151</v>
      </c>
      <c r="AF490" s="22">
        <v>45385</v>
      </c>
      <c r="AG490" s="17" t="s">
        <v>151</v>
      </c>
      <c r="AH490" s="17" t="s">
        <v>151</v>
      </c>
      <c r="AI490" s="25" t="s">
        <v>151</v>
      </c>
      <c r="AJ490" s="19" t="s">
        <v>151</v>
      </c>
      <c r="AK490" s="25" t="s">
        <v>151</v>
      </c>
      <c r="AL490" s="25" t="s">
        <v>151</v>
      </c>
      <c r="AM490" s="25" t="s">
        <v>151</v>
      </c>
      <c r="AN490" s="25" t="s">
        <v>151</v>
      </c>
      <c r="AO490" s="25" t="s">
        <v>151</v>
      </c>
      <c r="AP490" s="25" t="s">
        <v>151</v>
      </c>
      <c r="AQ490" s="25" t="s">
        <v>151</v>
      </c>
      <c r="AR490" s="16" t="s">
        <v>151</v>
      </c>
      <c r="AS490" s="17" t="s">
        <v>10344</v>
      </c>
      <c r="AT490" s="17" t="s">
        <v>10345</v>
      </c>
      <c r="AU490" s="18">
        <v>1</v>
      </c>
      <c r="AV490" s="17" t="s">
        <v>151</v>
      </c>
      <c r="AW490" s="17" t="s">
        <v>151</v>
      </c>
      <c r="AX490" s="17" t="s">
        <v>151</v>
      </c>
      <c r="AY490" s="17" t="s">
        <v>10346</v>
      </c>
      <c r="AZ490" s="17" t="s">
        <v>151</v>
      </c>
      <c r="BA490" s="17" t="s">
        <v>151</v>
      </c>
      <c r="BB490" s="17" t="s">
        <v>151</v>
      </c>
      <c r="BC490" s="17" t="s">
        <v>151</v>
      </c>
      <c r="BD490" s="17" t="s">
        <v>10347</v>
      </c>
      <c r="BE490" s="17" t="s">
        <v>10348</v>
      </c>
      <c r="BF490" s="17" t="s">
        <v>546</v>
      </c>
      <c r="BG490" s="17" t="s">
        <v>10349</v>
      </c>
      <c r="BH490" s="17" t="s">
        <v>10350</v>
      </c>
      <c r="BI490" s="17" t="s">
        <v>1040</v>
      </c>
      <c r="BJ490" s="17" t="s">
        <v>10351</v>
      </c>
      <c r="BK490" s="17" t="s">
        <v>10352</v>
      </c>
      <c r="BL490" s="17" t="s">
        <v>1042</v>
      </c>
      <c r="BM490" s="17" t="s">
        <v>1043</v>
      </c>
      <c r="BN490" s="16" t="s">
        <v>10353</v>
      </c>
      <c r="BO490" s="17" t="s">
        <v>186</v>
      </c>
      <c r="BP490" s="16" t="s">
        <v>10350</v>
      </c>
      <c r="BQ490" s="16" t="s">
        <v>151</v>
      </c>
      <c r="BR490" s="17" t="s">
        <v>151</v>
      </c>
      <c r="BS490" s="17" t="s">
        <v>187</v>
      </c>
      <c r="BT490" s="17" t="s">
        <v>188</v>
      </c>
      <c r="BU490" s="22">
        <v>45369</v>
      </c>
      <c r="BV490" s="24">
        <v>2.95</v>
      </c>
      <c r="BW490" s="17" t="s">
        <v>192</v>
      </c>
      <c r="BX490" s="24">
        <v>18.95</v>
      </c>
      <c r="BY490" s="17" t="s">
        <v>192</v>
      </c>
      <c r="BZ490" s="17" t="s">
        <v>293</v>
      </c>
      <c r="CA490" s="17" t="s">
        <v>293</v>
      </c>
      <c r="CB490" s="17" t="s">
        <v>151</v>
      </c>
      <c r="CC490" s="17" t="s">
        <v>165</v>
      </c>
      <c r="CD490" s="17" t="s">
        <v>151</v>
      </c>
      <c r="CE490" s="17" t="s">
        <v>191</v>
      </c>
      <c r="CF490" s="22">
        <v>45369</v>
      </c>
      <c r="CG490" s="24">
        <v>2.95</v>
      </c>
      <c r="CH490" s="17" t="s">
        <v>192</v>
      </c>
      <c r="CI490" s="24">
        <v>18.95</v>
      </c>
      <c r="CJ490" s="17" t="s">
        <v>192</v>
      </c>
      <c r="CK490" s="16" t="s">
        <v>151</v>
      </c>
      <c r="CL490" s="17" t="s">
        <v>293</v>
      </c>
      <c r="CM490" s="17" t="s">
        <v>293</v>
      </c>
      <c r="CN490" s="17" t="s">
        <v>151</v>
      </c>
      <c r="CO490" s="17" t="s">
        <v>165</v>
      </c>
      <c r="CP490" s="22">
        <v>45369</v>
      </c>
      <c r="CQ490" s="24" t="s">
        <v>151</v>
      </c>
      <c r="CR490" s="17" t="s">
        <v>151</v>
      </c>
      <c r="CS490" s="17" t="s">
        <v>191</v>
      </c>
      <c r="CT490" s="16" t="s">
        <v>151</v>
      </c>
      <c r="CU490" s="17" t="s">
        <v>151</v>
      </c>
      <c r="CV490" s="19" t="s">
        <v>151</v>
      </c>
      <c r="CW490" s="19" t="s">
        <v>151</v>
      </c>
      <c r="CX490" s="17" t="s">
        <v>151</v>
      </c>
      <c r="CY490" s="19" t="s">
        <v>151</v>
      </c>
      <c r="CZ490" s="19" t="s">
        <v>151</v>
      </c>
      <c r="DA490" s="24">
        <v>18.95</v>
      </c>
      <c r="DB490" s="22">
        <v>45369</v>
      </c>
      <c r="DC490" s="17" t="s">
        <v>293</v>
      </c>
      <c r="DD490" s="16" t="s">
        <v>151</v>
      </c>
      <c r="DE490" s="19">
        <v>0</v>
      </c>
      <c r="DF490" s="21">
        <v>11</v>
      </c>
      <c r="DG490" s="19">
        <v>0</v>
      </c>
      <c r="DH490" s="19">
        <v>0</v>
      </c>
      <c r="DI490" s="19">
        <v>0</v>
      </c>
      <c r="DJ490" s="21">
        <v>10</v>
      </c>
      <c r="DK490" s="19">
        <v>0</v>
      </c>
      <c r="DL490" s="21">
        <v>11</v>
      </c>
      <c r="DM490" s="19" t="s">
        <v>151</v>
      </c>
      <c r="DN490" s="21" t="s">
        <v>151</v>
      </c>
      <c r="DO490" s="23">
        <v>4.53</v>
      </c>
      <c r="DP490" s="21">
        <v>81</v>
      </c>
      <c r="DQ490" s="23">
        <v>0</v>
      </c>
      <c r="DR490" s="19">
        <v>0</v>
      </c>
      <c r="DS490" s="23">
        <v>4.53</v>
      </c>
      <c r="DT490" s="21">
        <v>81</v>
      </c>
      <c r="DU490" s="23">
        <v>4.53</v>
      </c>
      <c r="DV490" s="21">
        <v>81</v>
      </c>
      <c r="DW490" s="23" t="s">
        <v>151</v>
      </c>
      <c r="DX490" s="21" t="s">
        <v>151</v>
      </c>
      <c r="DY490" s="18" t="s">
        <v>151</v>
      </c>
      <c r="DZ490" s="22" t="s">
        <v>151</v>
      </c>
      <c r="EA490" s="22" t="s">
        <v>151</v>
      </c>
      <c r="EB490" s="21">
        <v>925</v>
      </c>
      <c r="EC490" s="20">
        <v>25</v>
      </c>
      <c r="ED490" s="19">
        <v>2.78</v>
      </c>
      <c r="EE490" s="21" t="s">
        <v>151</v>
      </c>
      <c r="EF490" s="20" t="s">
        <v>151</v>
      </c>
      <c r="EG490" s="19" t="s">
        <v>151</v>
      </c>
      <c r="EH490" s="16" t="s">
        <v>198</v>
      </c>
      <c r="EI490" s="17" t="s">
        <v>151</v>
      </c>
      <c r="EJ490" s="17" t="s">
        <v>151</v>
      </c>
      <c r="EK490" s="18" t="s">
        <v>151</v>
      </c>
      <c r="EL490" s="18" t="s">
        <v>151</v>
      </c>
      <c r="EM490" s="18" t="s">
        <v>151</v>
      </c>
      <c r="EN490" s="18" t="s">
        <v>151</v>
      </c>
      <c r="EO490" s="18" t="s">
        <v>151</v>
      </c>
      <c r="EP490" s="17" t="s">
        <v>151</v>
      </c>
      <c r="EQ490" s="16" t="s">
        <v>151</v>
      </c>
      <c r="ER490" s="16" t="s">
        <v>151</v>
      </c>
      <c r="ES490" s="3">
        <f>HYPERLINK("https://my.pitchbook.com?c=465914-17","View Company Online")</f>
      </c>
    </row>
    <row r="491">
      <c r="A491" s="30" t="s">
        <v>10354</v>
      </c>
      <c r="B491" s="30" t="s">
        <v>10355</v>
      </c>
      <c r="C491" s="31" t="s">
        <v>151</v>
      </c>
      <c r="D491" s="30" t="s">
        <v>151</v>
      </c>
      <c r="E491" s="30" t="s">
        <v>151</v>
      </c>
      <c r="F491" s="30" t="s">
        <v>10356</v>
      </c>
      <c r="G491" s="30" t="s">
        <v>151</v>
      </c>
      <c r="H491" s="30" t="s">
        <v>151</v>
      </c>
      <c r="I491" s="30" t="s">
        <v>151</v>
      </c>
      <c r="J491" s="30" t="s">
        <v>10354</v>
      </c>
      <c r="K491" s="30" t="s">
        <v>10357</v>
      </c>
      <c r="L491" s="30" t="s">
        <v>1178</v>
      </c>
      <c r="M491" s="30" t="s">
        <v>1179</v>
      </c>
      <c r="N491" s="30" t="s">
        <v>1179</v>
      </c>
      <c r="O491" s="30" t="s">
        <v>1180</v>
      </c>
      <c r="P491" s="30" t="s">
        <v>209</v>
      </c>
      <c r="Q491" s="30" t="s">
        <v>10358</v>
      </c>
      <c r="R491" s="30" t="s">
        <v>211</v>
      </c>
      <c r="S491" s="30" t="s">
        <v>162</v>
      </c>
      <c r="T491" s="37">
        <v>0.45</v>
      </c>
      <c r="U491" s="30" t="s">
        <v>163</v>
      </c>
      <c r="V491" s="30" t="s">
        <v>164</v>
      </c>
      <c r="W491" s="30" t="s">
        <v>165</v>
      </c>
      <c r="X491" s="28" t="s">
        <v>10359</v>
      </c>
      <c r="Y491" s="28" t="s">
        <v>10360</v>
      </c>
      <c r="Z491" s="40">
        <v>3</v>
      </c>
      <c r="AA491" s="30" t="s">
        <v>10361</v>
      </c>
      <c r="AB491" s="30" t="s">
        <v>151</v>
      </c>
      <c r="AC491" s="30" t="s">
        <v>151</v>
      </c>
      <c r="AD491" s="39">
        <v>2020</v>
      </c>
      <c r="AE491" s="30" t="s">
        <v>151</v>
      </c>
      <c r="AF491" s="35">
        <v>45501</v>
      </c>
      <c r="AG491" s="30" t="s">
        <v>151</v>
      </c>
      <c r="AH491" s="30" t="s">
        <v>151</v>
      </c>
      <c r="AI491" s="38" t="s">
        <v>151</v>
      </c>
      <c r="AJ491" s="32" t="s">
        <v>151</v>
      </c>
      <c r="AK491" s="38" t="s">
        <v>151</v>
      </c>
      <c r="AL491" s="38" t="s">
        <v>151</v>
      </c>
      <c r="AM491" s="38" t="s">
        <v>151</v>
      </c>
      <c r="AN491" s="38" t="s">
        <v>151</v>
      </c>
      <c r="AO491" s="38" t="s">
        <v>151</v>
      </c>
      <c r="AP491" s="38" t="s">
        <v>151</v>
      </c>
      <c r="AQ491" s="38" t="s">
        <v>151</v>
      </c>
      <c r="AR491" s="29" t="s">
        <v>151</v>
      </c>
      <c r="AS491" s="30" t="s">
        <v>10362</v>
      </c>
      <c r="AT491" s="30" t="s">
        <v>10363</v>
      </c>
      <c r="AU491" s="31">
        <v>4</v>
      </c>
      <c r="AV491" s="30" t="s">
        <v>151</v>
      </c>
      <c r="AW491" s="30" t="s">
        <v>151</v>
      </c>
      <c r="AX491" s="30" t="s">
        <v>151</v>
      </c>
      <c r="AY491" s="30" t="s">
        <v>10364</v>
      </c>
      <c r="AZ491" s="30" t="s">
        <v>151</v>
      </c>
      <c r="BA491" s="30" t="s">
        <v>151</v>
      </c>
      <c r="BB491" s="30" t="s">
        <v>151</v>
      </c>
      <c r="BC491" s="30" t="s">
        <v>151</v>
      </c>
      <c r="BD491" s="30" t="s">
        <v>10365</v>
      </c>
      <c r="BE491" s="30" t="s">
        <v>10366</v>
      </c>
      <c r="BF491" s="30" t="s">
        <v>221</v>
      </c>
      <c r="BG491" s="30" t="s">
        <v>10367</v>
      </c>
      <c r="BH491" s="30" t="s">
        <v>10368</v>
      </c>
      <c r="BI491" s="30" t="s">
        <v>906</v>
      </c>
      <c r="BJ491" s="30" t="s">
        <v>10369</v>
      </c>
      <c r="BK491" s="30" t="s">
        <v>2957</v>
      </c>
      <c r="BL491" s="30" t="s">
        <v>259</v>
      </c>
      <c r="BM491" s="30" t="s">
        <v>259</v>
      </c>
      <c r="BN491" s="29" t="s">
        <v>10370</v>
      </c>
      <c r="BO491" s="30" t="s">
        <v>186</v>
      </c>
      <c r="BP491" s="29" t="s">
        <v>10368</v>
      </c>
      <c r="BQ491" s="29" t="s">
        <v>151</v>
      </c>
      <c r="BR491" s="30" t="s">
        <v>151</v>
      </c>
      <c r="BS491" s="30" t="s">
        <v>187</v>
      </c>
      <c r="BT491" s="30" t="s">
        <v>188</v>
      </c>
      <c r="BU491" s="35" t="s">
        <v>151</v>
      </c>
      <c r="BV491" s="37" t="s">
        <v>151</v>
      </c>
      <c r="BW491" s="30" t="s">
        <v>151</v>
      </c>
      <c r="BX491" s="37" t="s">
        <v>151</v>
      </c>
      <c r="BY491" s="30" t="s">
        <v>151</v>
      </c>
      <c r="BZ491" s="30" t="s">
        <v>189</v>
      </c>
      <c r="CA491" s="30" t="s">
        <v>151</v>
      </c>
      <c r="CB491" s="30" t="s">
        <v>151</v>
      </c>
      <c r="CC491" s="30" t="s">
        <v>190</v>
      </c>
      <c r="CD491" s="30" t="s">
        <v>151</v>
      </c>
      <c r="CE491" s="30" t="s">
        <v>191</v>
      </c>
      <c r="CF491" s="35">
        <v>44593</v>
      </c>
      <c r="CG491" s="37">
        <v>0.45</v>
      </c>
      <c r="CH491" s="30" t="s">
        <v>192</v>
      </c>
      <c r="CI491" s="37" t="s">
        <v>151</v>
      </c>
      <c r="CJ491" s="30" t="s">
        <v>151</v>
      </c>
      <c r="CK491" s="29" t="s">
        <v>151</v>
      </c>
      <c r="CL491" s="30" t="s">
        <v>293</v>
      </c>
      <c r="CM491" s="30" t="s">
        <v>293</v>
      </c>
      <c r="CN491" s="30" t="s">
        <v>151</v>
      </c>
      <c r="CO491" s="30" t="s">
        <v>165</v>
      </c>
      <c r="CP491" s="35">
        <v>44593</v>
      </c>
      <c r="CQ491" s="37" t="s">
        <v>151</v>
      </c>
      <c r="CR491" s="30" t="s">
        <v>151</v>
      </c>
      <c r="CS491" s="30" t="s">
        <v>191</v>
      </c>
      <c r="CT491" s="29" t="s">
        <v>151</v>
      </c>
      <c r="CU491" s="30" t="s">
        <v>151</v>
      </c>
      <c r="CV491" s="32" t="s">
        <v>151</v>
      </c>
      <c r="CW491" s="32" t="s">
        <v>151</v>
      </c>
      <c r="CX491" s="30" t="s">
        <v>151</v>
      </c>
      <c r="CY491" s="32" t="s">
        <v>151</v>
      </c>
      <c r="CZ491" s="32" t="s">
        <v>151</v>
      </c>
      <c r="DA491" s="37" t="s">
        <v>151</v>
      </c>
      <c r="DB491" s="35" t="s">
        <v>151</v>
      </c>
      <c r="DC491" s="30" t="s">
        <v>151</v>
      </c>
      <c r="DD491" s="29" t="s">
        <v>151</v>
      </c>
      <c r="DE491" s="32">
        <v>0</v>
      </c>
      <c r="DF491" s="34">
        <v>11</v>
      </c>
      <c r="DG491" s="32">
        <v>0</v>
      </c>
      <c r="DH491" s="32">
        <v>0</v>
      </c>
      <c r="DI491" s="32">
        <v>0</v>
      </c>
      <c r="DJ491" s="34">
        <v>10</v>
      </c>
      <c r="DK491" s="32">
        <v>0</v>
      </c>
      <c r="DL491" s="34">
        <v>11</v>
      </c>
      <c r="DM491" s="32">
        <v>0</v>
      </c>
      <c r="DN491" s="34">
        <v>10</v>
      </c>
      <c r="DO491" s="36">
        <v>1.26</v>
      </c>
      <c r="DP491" s="34">
        <v>55</v>
      </c>
      <c r="DQ491" s="36">
        <v>0</v>
      </c>
      <c r="DR491" s="32">
        <v>0</v>
      </c>
      <c r="DS491" s="36">
        <v>2.29</v>
      </c>
      <c r="DT491" s="34">
        <v>69</v>
      </c>
      <c r="DU491" s="36">
        <v>0.27</v>
      </c>
      <c r="DV491" s="34">
        <v>29</v>
      </c>
      <c r="DW491" s="36">
        <v>4.32</v>
      </c>
      <c r="DX491" s="34">
        <v>80</v>
      </c>
      <c r="DY491" s="31" t="s">
        <v>151</v>
      </c>
      <c r="DZ491" s="35" t="s">
        <v>151</v>
      </c>
      <c r="EA491" s="35" t="s">
        <v>151</v>
      </c>
      <c r="EB491" s="34">
        <v>0</v>
      </c>
      <c r="EC491" s="33">
        <v>0</v>
      </c>
      <c r="ED491" s="32">
        <v>0</v>
      </c>
      <c r="EE491" s="34">
        <v>82</v>
      </c>
      <c r="EF491" s="33">
        <v>1</v>
      </c>
      <c r="EG491" s="32">
        <v>1.23</v>
      </c>
      <c r="EH491" s="29" t="s">
        <v>198</v>
      </c>
      <c r="EI491" s="30" t="s">
        <v>151</v>
      </c>
      <c r="EJ491" s="30" t="s">
        <v>151</v>
      </c>
      <c r="EK491" s="31" t="s">
        <v>151</v>
      </c>
      <c r="EL491" s="31" t="s">
        <v>151</v>
      </c>
      <c r="EM491" s="31" t="s">
        <v>151</v>
      </c>
      <c r="EN491" s="31" t="s">
        <v>151</v>
      </c>
      <c r="EO491" s="31" t="s">
        <v>151</v>
      </c>
      <c r="EP491" s="30" t="s">
        <v>151</v>
      </c>
      <c r="EQ491" s="29" t="s">
        <v>151</v>
      </c>
      <c r="ER491" s="29" t="s">
        <v>151</v>
      </c>
      <c r="ES491" s="4">
        <f>HYPERLINK("https://my.pitchbook.com?c=484193-89","View Company Online")</f>
      </c>
    </row>
    <row r="492">
      <c r="A492" s="17" t="s">
        <v>10371</v>
      </c>
      <c r="B492" s="17" t="s">
        <v>10372</v>
      </c>
      <c r="C492" s="18" t="s">
        <v>151</v>
      </c>
      <c r="D492" s="17" t="s">
        <v>151</v>
      </c>
      <c r="E492" s="17" t="s">
        <v>151</v>
      </c>
      <c r="F492" s="17" t="s">
        <v>10373</v>
      </c>
      <c r="G492" s="17" t="s">
        <v>151</v>
      </c>
      <c r="H492" s="17" t="s">
        <v>151</v>
      </c>
      <c r="I492" s="17" t="s">
        <v>151</v>
      </c>
      <c r="J492" s="17" t="s">
        <v>10371</v>
      </c>
      <c r="K492" s="17" t="s">
        <v>10374</v>
      </c>
      <c r="L492" s="17" t="s">
        <v>205</v>
      </c>
      <c r="M492" s="17" t="s">
        <v>206</v>
      </c>
      <c r="N492" s="17" t="s">
        <v>207</v>
      </c>
      <c r="O492" s="17" t="s">
        <v>2707</v>
      </c>
      <c r="P492" s="17" t="s">
        <v>10375</v>
      </c>
      <c r="Q492" s="17" t="s">
        <v>10376</v>
      </c>
      <c r="R492" s="17" t="s">
        <v>780</v>
      </c>
      <c r="S492" s="17" t="s">
        <v>162</v>
      </c>
      <c r="T492" s="24">
        <v>9</v>
      </c>
      <c r="U492" s="17" t="s">
        <v>163</v>
      </c>
      <c r="V492" s="17" t="s">
        <v>164</v>
      </c>
      <c r="W492" s="17" t="s">
        <v>165</v>
      </c>
      <c r="X492" s="15" t="s">
        <v>10377</v>
      </c>
      <c r="Y492" s="15" t="s">
        <v>10378</v>
      </c>
      <c r="Z492" s="27">
        <v>26</v>
      </c>
      <c r="AA492" s="17" t="s">
        <v>10379</v>
      </c>
      <c r="AB492" s="17" t="s">
        <v>151</v>
      </c>
      <c r="AC492" s="17" t="s">
        <v>151</v>
      </c>
      <c r="AD492" s="26">
        <v>2020</v>
      </c>
      <c r="AE492" s="17" t="s">
        <v>151</v>
      </c>
      <c r="AF492" s="22">
        <v>45302</v>
      </c>
      <c r="AG492" s="17" t="s">
        <v>151</v>
      </c>
      <c r="AH492" s="17" t="s">
        <v>151</v>
      </c>
      <c r="AI492" s="25" t="s">
        <v>151</v>
      </c>
      <c r="AJ492" s="19" t="s">
        <v>151</v>
      </c>
      <c r="AK492" s="25" t="s">
        <v>151</v>
      </c>
      <c r="AL492" s="25" t="s">
        <v>151</v>
      </c>
      <c r="AM492" s="25" t="s">
        <v>151</v>
      </c>
      <c r="AN492" s="25" t="s">
        <v>151</v>
      </c>
      <c r="AO492" s="25" t="s">
        <v>151</v>
      </c>
      <c r="AP492" s="25" t="s">
        <v>151</v>
      </c>
      <c r="AQ492" s="25" t="s">
        <v>151</v>
      </c>
      <c r="AR492" s="16" t="s">
        <v>151</v>
      </c>
      <c r="AS492" s="17" t="s">
        <v>10380</v>
      </c>
      <c r="AT492" s="17" t="s">
        <v>10381</v>
      </c>
      <c r="AU492" s="18">
        <v>7</v>
      </c>
      <c r="AV492" s="17" t="s">
        <v>151</v>
      </c>
      <c r="AW492" s="17" t="s">
        <v>151</v>
      </c>
      <c r="AX492" s="17" t="s">
        <v>151</v>
      </c>
      <c r="AY492" s="17" t="s">
        <v>10382</v>
      </c>
      <c r="AZ492" s="17" t="s">
        <v>151</v>
      </c>
      <c r="BA492" s="17" t="s">
        <v>151</v>
      </c>
      <c r="BB492" s="17" t="s">
        <v>151</v>
      </c>
      <c r="BC492" s="17" t="s">
        <v>2424</v>
      </c>
      <c r="BD492" s="17" t="s">
        <v>10383</v>
      </c>
      <c r="BE492" s="17" t="s">
        <v>10384</v>
      </c>
      <c r="BF492" s="17" t="s">
        <v>10385</v>
      </c>
      <c r="BG492" s="17" t="s">
        <v>10386</v>
      </c>
      <c r="BH492" s="17" t="s">
        <v>151</v>
      </c>
      <c r="BI492" s="17" t="s">
        <v>906</v>
      </c>
      <c r="BJ492" s="17" t="s">
        <v>10387</v>
      </c>
      <c r="BK492" s="17" t="s">
        <v>10388</v>
      </c>
      <c r="BL492" s="17" t="s">
        <v>259</v>
      </c>
      <c r="BM492" s="17" t="s">
        <v>259</v>
      </c>
      <c r="BN492" s="16" t="s">
        <v>4419</v>
      </c>
      <c r="BO492" s="17" t="s">
        <v>186</v>
      </c>
      <c r="BP492" s="16" t="s">
        <v>151</v>
      </c>
      <c r="BQ492" s="16" t="s">
        <v>151</v>
      </c>
      <c r="BR492" s="17" t="s">
        <v>10389</v>
      </c>
      <c r="BS492" s="17" t="s">
        <v>187</v>
      </c>
      <c r="BT492" s="17" t="s">
        <v>188</v>
      </c>
      <c r="BU492" s="22">
        <v>44636</v>
      </c>
      <c r="BV492" s="24">
        <v>2</v>
      </c>
      <c r="BW492" s="17" t="s">
        <v>192</v>
      </c>
      <c r="BX492" s="24">
        <v>9</v>
      </c>
      <c r="BY492" s="17" t="s">
        <v>192</v>
      </c>
      <c r="BZ492" s="17" t="s">
        <v>293</v>
      </c>
      <c r="CA492" s="17" t="s">
        <v>293</v>
      </c>
      <c r="CB492" s="17" t="s">
        <v>151</v>
      </c>
      <c r="CC492" s="17" t="s">
        <v>165</v>
      </c>
      <c r="CD492" s="17" t="s">
        <v>151</v>
      </c>
      <c r="CE492" s="17" t="s">
        <v>191</v>
      </c>
      <c r="CF492" s="22">
        <v>44755</v>
      </c>
      <c r="CG492" s="24">
        <v>7</v>
      </c>
      <c r="CH492" s="17" t="s">
        <v>192</v>
      </c>
      <c r="CI492" s="24">
        <v>35</v>
      </c>
      <c r="CJ492" s="17" t="s">
        <v>192</v>
      </c>
      <c r="CK492" s="16">
        <v>3.11</v>
      </c>
      <c r="CL492" s="17" t="s">
        <v>293</v>
      </c>
      <c r="CM492" s="17" t="s">
        <v>293</v>
      </c>
      <c r="CN492" s="17" t="s">
        <v>151</v>
      </c>
      <c r="CO492" s="17" t="s">
        <v>165</v>
      </c>
      <c r="CP492" s="22">
        <v>44755</v>
      </c>
      <c r="CQ492" s="24" t="s">
        <v>151</v>
      </c>
      <c r="CR492" s="17" t="s">
        <v>151</v>
      </c>
      <c r="CS492" s="17" t="s">
        <v>191</v>
      </c>
      <c r="CT492" s="16">
        <v>95</v>
      </c>
      <c r="CU492" s="17" t="s">
        <v>196</v>
      </c>
      <c r="CV492" s="19">
        <v>88</v>
      </c>
      <c r="CW492" s="19">
        <v>12</v>
      </c>
      <c r="CX492" s="17" t="s">
        <v>294</v>
      </c>
      <c r="CY492" s="19">
        <v>1</v>
      </c>
      <c r="CZ492" s="19">
        <v>87</v>
      </c>
      <c r="DA492" s="24">
        <v>35</v>
      </c>
      <c r="DB492" s="22">
        <v>44755</v>
      </c>
      <c r="DC492" s="17" t="s">
        <v>293</v>
      </c>
      <c r="DD492" s="16">
        <v>3.11</v>
      </c>
      <c r="DE492" s="19">
        <v>-0.03</v>
      </c>
      <c r="DF492" s="21">
        <v>11</v>
      </c>
      <c r="DG492" s="19">
        <v>0</v>
      </c>
      <c r="DH492" s="19">
        <v>0</v>
      </c>
      <c r="DI492" s="19">
        <v>-0.56</v>
      </c>
      <c r="DJ492" s="21">
        <v>6</v>
      </c>
      <c r="DK492" s="19" t="s">
        <v>151</v>
      </c>
      <c r="DL492" s="21" t="s">
        <v>151</v>
      </c>
      <c r="DM492" s="19">
        <v>-0.56</v>
      </c>
      <c r="DN492" s="21">
        <v>6</v>
      </c>
      <c r="DO492" s="23">
        <v>11.97</v>
      </c>
      <c r="DP492" s="21">
        <v>92</v>
      </c>
      <c r="DQ492" s="23">
        <v>0</v>
      </c>
      <c r="DR492" s="19">
        <v>0</v>
      </c>
      <c r="DS492" s="23">
        <v>21.95</v>
      </c>
      <c r="DT492" s="21">
        <v>95</v>
      </c>
      <c r="DU492" s="23" t="s">
        <v>151</v>
      </c>
      <c r="DV492" s="21" t="s">
        <v>151</v>
      </c>
      <c r="DW492" s="23">
        <v>21.95</v>
      </c>
      <c r="DX492" s="21">
        <v>95</v>
      </c>
      <c r="DY492" s="18" t="s">
        <v>151</v>
      </c>
      <c r="DZ492" s="22" t="s">
        <v>151</v>
      </c>
      <c r="EA492" s="22" t="s">
        <v>151</v>
      </c>
      <c r="EB492" s="21">
        <v>3691</v>
      </c>
      <c r="EC492" s="20">
        <v>39</v>
      </c>
      <c r="ED492" s="19">
        <v>1.07</v>
      </c>
      <c r="EE492" s="21">
        <v>417</v>
      </c>
      <c r="EF492" s="20">
        <v>-1</v>
      </c>
      <c r="EG492" s="19">
        <v>-0.24</v>
      </c>
      <c r="EH492" s="16" t="s">
        <v>198</v>
      </c>
      <c r="EI492" s="17" t="s">
        <v>151</v>
      </c>
      <c r="EJ492" s="17" t="s">
        <v>151</v>
      </c>
      <c r="EK492" s="18" t="s">
        <v>151</v>
      </c>
      <c r="EL492" s="18" t="s">
        <v>151</v>
      </c>
      <c r="EM492" s="18" t="s">
        <v>151</v>
      </c>
      <c r="EN492" s="18" t="s">
        <v>151</v>
      </c>
      <c r="EO492" s="18" t="s">
        <v>151</v>
      </c>
      <c r="EP492" s="17" t="s">
        <v>151</v>
      </c>
      <c r="EQ492" s="16" t="s">
        <v>151</v>
      </c>
      <c r="ER492" s="16" t="s">
        <v>151</v>
      </c>
      <c r="ES492" s="3">
        <f>HYPERLINK("https://my.pitchbook.com?c=462382-12","View Company Online")</f>
      </c>
    </row>
    <row r="493">
      <c r="A493" s="30" t="s">
        <v>10390</v>
      </c>
      <c r="B493" s="30" t="s">
        <v>10391</v>
      </c>
      <c r="C493" s="31" t="s">
        <v>151</v>
      </c>
      <c r="D493" s="30" t="s">
        <v>10392</v>
      </c>
      <c r="E493" s="30" t="s">
        <v>10393</v>
      </c>
      <c r="F493" s="30" t="s">
        <v>10394</v>
      </c>
      <c r="G493" s="30" t="s">
        <v>151</v>
      </c>
      <c r="H493" s="30" t="s">
        <v>151</v>
      </c>
      <c r="I493" s="30" t="s">
        <v>151</v>
      </c>
      <c r="J493" s="30" t="s">
        <v>10390</v>
      </c>
      <c r="K493" s="30" t="s">
        <v>10395</v>
      </c>
      <c r="L493" s="30" t="s">
        <v>205</v>
      </c>
      <c r="M493" s="30" t="s">
        <v>206</v>
      </c>
      <c r="N493" s="30" t="s">
        <v>269</v>
      </c>
      <c r="O493" s="30" t="s">
        <v>563</v>
      </c>
      <c r="P493" s="30" t="s">
        <v>7308</v>
      </c>
      <c r="Q493" s="30" t="s">
        <v>10396</v>
      </c>
      <c r="R493" s="30" t="s">
        <v>151</v>
      </c>
      <c r="S493" s="30" t="s">
        <v>162</v>
      </c>
      <c r="T493" s="37">
        <v>30.8</v>
      </c>
      <c r="U493" s="30" t="s">
        <v>163</v>
      </c>
      <c r="V493" s="30" t="s">
        <v>164</v>
      </c>
      <c r="W493" s="30" t="s">
        <v>165</v>
      </c>
      <c r="X493" s="28" t="s">
        <v>10397</v>
      </c>
      <c r="Y493" s="28" t="s">
        <v>10398</v>
      </c>
      <c r="Z493" s="40">
        <v>93</v>
      </c>
      <c r="AA493" s="30" t="s">
        <v>10399</v>
      </c>
      <c r="AB493" s="30" t="s">
        <v>151</v>
      </c>
      <c r="AC493" s="30" t="s">
        <v>151</v>
      </c>
      <c r="AD493" s="39">
        <v>2020</v>
      </c>
      <c r="AE493" s="30" t="s">
        <v>151</v>
      </c>
      <c r="AF493" s="35">
        <v>45615</v>
      </c>
      <c r="AG493" s="30" t="s">
        <v>151</v>
      </c>
      <c r="AH493" s="30" t="s">
        <v>151</v>
      </c>
      <c r="AI493" s="38" t="s">
        <v>151</v>
      </c>
      <c r="AJ493" s="32" t="s">
        <v>151</v>
      </c>
      <c r="AK493" s="38" t="s">
        <v>151</v>
      </c>
      <c r="AL493" s="38" t="s">
        <v>151</v>
      </c>
      <c r="AM493" s="38" t="s">
        <v>151</v>
      </c>
      <c r="AN493" s="38" t="s">
        <v>151</v>
      </c>
      <c r="AO493" s="38" t="s">
        <v>151</v>
      </c>
      <c r="AP493" s="38" t="s">
        <v>151</v>
      </c>
      <c r="AQ493" s="38" t="s">
        <v>151</v>
      </c>
      <c r="AR493" s="29" t="s">
        <v>151</v>
      </c>
      <c r="AS493" s="30" t="s">
        <v>10400</v>
      </c>
      <c r="AT493" s="30" t="s">
        <v>10401</v>
      </c>
      <c r="AU493" s="31">
        <v>31</v>
      </c>
      <c r="AV493" s="30" t="s">
        <v>151</v>
      </c>
      <c r="AW493" s="30" t="s">
        <v>151</v>
      </c>
      <c r="AX493" s="30" t="s">
        <v>151</v>
      </c>
      <c r="AY493" s="30" t="s">
        <v>10402</v>
      </c>
      <c r="AZ493" s="30" t="s">
        <v>151</v>
      </c>
      <c r="BA493" s="30" t="s">
        <v>151</v>
      </c>
      <c r="BB493" s="30" t="s">
        <v>151</v>
      </c>
      <c r="BC493" s="30" t="s">
        <v>490</v>
      </c>
      <c r="BD493" s="30" t="s">
        <v>10403</v>
      </c>
      <c r="BE493" s="30" t="s">
        <v>10404</v>
      </c>
      <c r="BF493" s="30" t="s">
        <v>493</v>
      </c>
      <c r="BG493" s="30" t="s">
        <v>10405</v>
      </c>
      <c r="BH493" s="30" t="s">
        <v>151</v>
      </c>
      <c r="BI493" s="30" t="s">
        <v>906</v>
      </c>
      <c r="BJ493" s="30" t="s">
        <v>10406</v>
      </c>
      <c r="BK493" s="30" t="s">
        <v>10407</v>
      </c>
      <c r="BL493" s="30" t="s">
        <v>259</v>
      </c>
      <c r="BM493" s="30" t="s">
        <v>259</v>
      </c>
      <c r="BN493" s="29" t="s">
        <v>10408</v>
      </c>
      <c r="BO493" s="30" t="s">
        <v>186</v>
      </c>
      <c r="BP493" s="29" t="s">
        <v>151</v>
      </c>
      <c r="BQ493" s="29" t="s">
        <v>151</v>
      </c>
      <c r="BR493" s="30" t="s">
        <v>151</v>
      </c>
      <c r="BS493" s="30" t="s">
        <v>187</v>
      </c>
      <c r="BT493" s="30" t="s">
        <v>188</v>
      </c>
      <c r="BU493" s="35">
        <v>43831</v>
      </c>
      <c r="BV493" s="37" t="s">
        <v>151</v>
      </c>
      <c r="BW493" s="30" t="s">
        <v>151</v>
      </c>
      <c r="BX493" s="37" t="s">
        <v>151</v>
      </c>
      <c r="BY493" s="30" t="s">
        <v>151</v>
      </c>
      <c r="BZ493" s="30" t="s">
        <v>189</v>
      </c>
      <c r="CA493" s="30" t="s">
        <v>151</v>
      </c>
      <c r="CB493" s="30" t="s">
        <v>151</v>
      </c>
      <c r="CC493" s="30" t="s">
        <v>190</v>
      </c>
      <c r="CD493" s="30" t="s">
        <v>151</v>
      </c>
      <c r="CE493" s="30" t="s">
        <v>191</v>
      </c>
      <c r="CF493" s="35">
        <v>45161</v>
      </c>
      <c r="CG493" s="37">
        <v>22.6</v>
      </c>
      <c r="CH493" s="30" t="s">
        <v>192</v>
      </c>
      <c r="CI493" s="37">
        <v>75</v>
      </c>
      <c r="CJ493" s="30" t="s">
        <v>192</v>
      </c>
      <c r="CK493" s="29">
        <v>1.83</v>
      </c>
      <c r="CL493" s="30" t="s">
        <v>231</v>
      </c>
      <c r="CM493" s="30" t="s">
        <v>232</v>
      </c>
      <c r="CN493" s="30" t="s">
        <v>151</v>
      </c>
      <c r="CO493" s="30" t="s">
        <v>165</v>
      </c>
      <c r="CP493" s="35">
        <v>45161</v>
      </c>
      <c r="CQ493" s="37">
        <v>3</v>
      </c>
      <c r="CR493" s="30" t="s">
        <v>10409</v>
      </c>
      <c r="CS493" s="30" t="s">
        <v>191</v>
      </c>
      <c r="CT493" s="29">
        <v>97</v>
      </c>
      <c r="CU493" s="30" t="s">
        <v>196</v>
      </c>
      <c r="CV493" s="32">
        <v>93</v>
      </c>
      <c r="CW493" s="32">
        <v>7</v>
      </c>
      <c r="CX493" s="30" t="s">
        <v>294</v>
      </c>
      <c r="CY493" s="32">
        <v>1</v>
      </c>
      <c r="CZ493" s="32">
        <v>92</v>
      </c>
      <c r="DA493" s="37">
        <v>75</v>
      </c>
      <c r="DB493" s="35">
        <v>45161</v>
      </c>
      <c r="DC493" s="30" t="s">
        <v>231</v>
      </c>
      <c r="DD493" s="29">
        <v>1.83</v>
      </c>
      <c r="DE493" s="32">
        <v>1.17</v>
      </c>
      <c r="DF493" s="34">
        <v>97</v>
      </c>
      <c r="DG493" s="32">
        <v>0</v>
      </c>
      <c r="DH493" s="32">
        <v>0</v>
      </c>
      <c r="DI493" s="32">
        <v>2.66</v>
      </c>
      <c r="DJ493" s="34">
        <v>99</v>
      </c>
      <c r="DK493" s="32">
        <v>4.12</v>
      </c>
      <c r="DL493" s="34">
        <v>97</v>
      </c>
      <c r="DM493" s="32">
        <v>1.2</v>
      </c>
      <c r="DN493" s="34">
        <v>97</v>
      </c>
      <c r="DO493" s="36">
        <v>9.51</v>
      </c>
      <c r="DP493" s="34">
        <v>90</v>
      </c>
      <c r="DQ493" s="36">
        <v>0</v>
      </c>
      <c r="DR493" s="32">
        <v>0</v>
      </c>
      <c r="DS493" s="36">
        <v>11.86</v>
      </c>
      <c r="DT493" s="34">
        <v>91</v>
      </c>
      <c r="DU493" s="36">
        <v>7.46</v>
      </c>
      <c r="DV493" s="34">
        <v>85</v>
      </c>
      <c r="DW493" s="36">
        <v>16.26</v>
      </c>
      <c r="DX493" s="34">
        <v>94</v>
      </c>
      <c r="DY493" s="31" t="s">
        <v>151</v>
      </c>
      <c r="DZ493" s="35" t="s">
        <v>151</v>
      </c>
      <c r="EA493" s="35" t="s">
        <v>151</v>
      </c>
      <c r="EB493" s="34">
        <v>1507</v>
      </c>
      <c r="EC493" s="33">
        <v>84</v>
      </c>
      <c r="ED493" s="32">
        <v>5.9</v>
      </c>
      <c r="EE493" s="34">
        <v>309</v>
      </c>
      <c r="EF493" s="33">
        <v>2</v>
      </c>
      <c r="EG493" s="32">
        <v>0.65</v>
      </c>
      <c r="EH493" s="29" t="s">
        <v>198</v>
      </c>
      <c r="EI493" s="30" t="s">
        <v>151</v>
      </c>
      <c r="EJ493" s="30" t="s">
        <v>151</v>
      </c>
      <c r="EK493" s="31" t="s">
        <v>151</v>
      </c>
      <c r="EL493" s="31" t="s">
        <v>151</v>
      </c>
      <c r="EM493" s="31" t="s">
        <v>151</v>
      </c>
      <c r="EN493" s="31" t="s">
        <v>151</v>
      </c>
      <c r="EO493" s="31" t="s">
        <v>151</v>
      </c>
      <c r="EP493" s="30" t="s">
        <v>151</v>
      </c>
      <c r="EQ493" s="29" t="s">
        <v>151</v>
      </c>
      <c r="ER493" s="29" t="s">
        <v>151</v>
      </c>
      <c r="ES493" s="4">
        <f>HYPERLINK("https://my.pitchbook.com?c=433218-07","View Company Online")</f>
      </c>
    </row>
    <row r="494">
      <c r="A494" s="17" t="s">
        <v>10410</v>
      </c>
      <c r="B494" s="17" t="s">
        <v>10411</v>
      </c>
      <c r="C494" s="18" t="s">
        <v>151</v>
      </c>
      <c r="D494" s="17" t="s">
        <v>10412</v>
      </c>
      <c r="E494" s="17" t="s">
        <v>151</v>
      </c>
      <c r="F494" s="17" t="s">
        <v>10413</v>
      </c>
      <c r="G494" s="17" t="s">
        <v>151</v>
      </c>
      <c r="H494" s="17" t="s">
        <v>151</v>
      </c>
      <c r="I494" s="17" t="s">
        <v>151</v>
      </c>
      <c r="J494" s="17" t="s">
        <v>10410</v>
      </c>
      <c r="K494" s="17" t="s">
        <v>10414</v>
      </c>
      <c r="L494" s="17" t="s">
        <v>205</v>
      </c>
      <c r="M494" s="17" t="s">
        <v>206</v>
      </c>
      <c r="N494" s="17" t="s">
        <v>269</v>
      </c>
      <c r="O494" s="17" t="s">
        <v>563</v>
      </c>
      <c r="P494" s="17" t="s">
        <v>10415</v>
      </c>
      <c r="Q494" s="17" t="s">
        <v>10416</v>
      </c>
      <c r="R494" s="17" t="s">
        <v>151</v>
      </c>
      <c r="S494" s="17" t="s">
        <v>162</v>
      </c>
      <c r="T494" s="24">
        <v>2.84</v>
      </c>
      <c r="U494" s="17" t="s">
        <v>163</v>
      </c>
      <c r="V494" s="17" t="s">
        <v>164</v>
      </c>
      <c r="W494" s="17" t="s">
        <v>165</v>
      </c>
      <c r="X494" s="15" t="s">
        <v>10417</v>
      </c>
      <c r="Y494" s="15" t="s">
        <v>10418</v>
      </c>
      <c r="Z494" s="27">
        <v>3</v>
      </c>
      <c r="AA494" s="17" t="s">
        <v>10419</v>
      </c>
      <c r="AB494" s="17" t="s">
        <v>151</v>
      </c>
      <c r="AC494" s="17" t="s">
        <v>151</v>
      </c>
      <c r="AD494" s="26">
        <v>2018</v>
      </c>
      <c r="AE494" s="17" t="s">
        <v>151</v>
      </c>
      <c r="AF494" s="22">
        <v>45568</v>
      </c>
      <c r="AG494" s="17" t="s">
        <v>151</v>
      </c>
      <c r="AH494" s="17" t="s">
        <v>151</v>
      </c>
      <c r="AI494" s="25" t="s">
        <v>151</v>
      </c>
      <c r="AJ494" s="19" t="s">
        <v>151</v>
      </c>
      <c r="AK494" s="25" t="s">
        <v>151</v>
      </c>
      <c r="AL494" s="25" t="s">
        <v>151</v>
      </c>
      <c r="AM494" s="25" t="s">
        <v>151</v>
      </c>
      <c r="AN494" s="25" t="s">
        <v>151</v>
      </c>
      <c r="AO494" s="25" t="s">
        <v>151</v>
      </c>
      <c r="AP494" s="25" t="s">
        <v>151</v>
      </c>
      <c r="AQ494" s="25" t="s">
        <v>151</v>
      </c>
      <c r="AR494" s="16" t="s">
        <v>151</v>
      </c>
      <c r="AS494" s="17" t="s">
        <v>10420</v>
      </c>
      <c r="AT494" s="17" t="s">
        <v>10421</v>
      </c>
      <c r="AU494" s="18">
        <v>6</v>
      </c>
      <c r="AV494" s="17" t="s">
        <v>151</v>
      </c>
      <c r="AW494" s="17" t="s">
        <v>151</v>
      </c>
      <c r="AX494" s="17" t="s">
        <v>151</v>
      </c>
      <c r="AY494" s="17" t="s">
        <v>10422</v>
      </c>
      <c r="AZ494" s="17" t="s">
        <v>151</v>
      </c>
      <c r="BA494" s="17" t="s">
        <v>151</v>
      </c>
      <c r="BB494" s="17" t="s">
        <v>151</v>
      </c>
      <c r="BC494" s="17" t="s">
        <v>10423</v>
      </c>
      <c r="BD494" s="17" t="s">
        <v>10424</v>
      </c>
      <c r="BE494" s="17" t="s">
        <v>10425</v>
      </c>
      <c r="BF494" s="17" t="s">
        <v>493</v>
      </c>
      <c r="BG494" s="17" t="s">
        <v>10426</v>
      </c>
      <c r="BH494" s="17" t="s">
        <v>10427</v>
      </c>
      <c r="BI494" s="17" t="s">
        <v>764</v>
      </c>
      <c r="BJ494" s="17" t="s">
        <v>10428</v>
      </c>
      <c r="BK494" s="17" t="s">
        <v>10429</v>
      </c>
      <c r="BL494" s="17" t="s">
        <v>767</v>
      </c>
      <c r="BM494" s="17" t="s">
        <v>184</v>
      </c>
      <c r="BN494" s="16" t="s">
        <v>5006</v>
      </c>
      <c r="BO494" s="17" t="s">
        <v>186</v>
      </c>
      <c r="BP494" s="16" t="s">
        <v>10430</v>
      </c>
      <c r="BQ494" s="16" t="s">
        <v>151</v>
      </c>
      <c r="BR494" s="17" t="s">
        <v>10431</v>
      </c>
      <c r="BS494" s="17" t="s">
        <v>187</v>
      </c>
      <c r="BT494" s="17" t="s">
        <v>188</v>
      </c>
      <c r="BU494" s="22">
        <v>43847</v>
      </c>
      <c r="BV494" s="24" t="s">
        <v>151</v>
      </c>
      <c r="BW494" s="17" t="s">
        <v>151</v>
      </c>
      <c r="BX494" s="24" t="s">
        <v>151</v>
      </c>
      <c r="BY494" s="17" t="s">
        <v>151</v>
      </c>
      <c r="BZ494" s="17" t="s">
        <v>189</v>
      </c>
      <c r="CA494" s="17" t="s">
        <v>151</v>
      </c>
      <c r="CB494" s="17" t="s">
        <v>151</v>
      </c>
      <c r="CC494" s="17" t="s">
        <v>190</v>
      </c>
      <c r="CD494" s="17" t="s">
        <v>151</v>
      </c>
      <c r="CE494" s="17" t="s">
        <v>191</v>
      </c>
      <c r="CF494" s="22">
        <v>45041</v>
      </c>
      <c r="CG494" s="24">
        <v>1</v>
      </c>
      <c r="CH494" s="17" t="s">
        <v>192</v>
      </c>
      <c r="CI494" s="24" t="s">
        <v>151</v>
      </c>
      <c r="CJ494" s="17" t="s">
        <v>151</v>
      </c>
      <c r="CK494" s="16" t="s">
        <v>151</v>
      </c>
      <c r="CL494" s="17" t="s">
        <v>293</v>
      </c>
      <c r="CM494" s="17" t="s">
        <v>293</v>
      </c>
      <c r="CN494" s="17" t="s">
        <v>151</v>
      </c>
      <c r="CO494" s="17" t="s">
        <v>165</v>
      </c>
      <c r="CP494" s="22">
        <v>45041</v>
      </c>
      <c r="CQ494" s="24" t="s">
        <v>151</v>
      </c>
      <c r="CR494" s="17" t="s">
        <v>151</v>
      </c>
      <c r="CS494" s="17" t="s">
        <v>191</v>
      </c>
      <c r="CT494" s="16">
        <v>80</v>
      </c>
      <c r="CU494" s="17" t="s">
        <v>196</v>
      </c>
      <c r="CV494" s="19">
        <v>74</v>
      </c>
      <c r="CW494" s="19">
        <v>26</v>
      </c>
      <c r="CX494" s="17" t="s">
        <v>294</v>
      </c>
      <c r="CY494" s="19">
        <v>1</v>
      </c>
      <c r="CZ494" s="19">
        <v>73</v>
      </c>
      <c r="DA494" s="24" t="s">
        <v>151</v>
      </c>
      <c r="DB494" s="22" t="s">
        <v>151</v>
      </c>
      <c r="DC494" s="17" t="s">
        <v>151</v>
      </c>
      <c r="DD494" s="16" t="s">
        <v>151</v>
      </c>
      <c r="DE494" s="19">
        <v>0</v>
      </c>
      <c r="DF494" s="21">
        <v>11</v>
      </c>
      <c r="DG494" s="19">
        <v>0</v>
      </c>
      <c r="DH494" s="19">
        <v>0</v>
      </c>
      <c r="DI494" s="19">
        <v>0</v>
      </c>
      <c r="DJ494" s="21">
        <v>10</v>
      </c>
      <c r="DK494" s="19" t="s">
        <v>151</v>
      </c>
      <c r="DL494" s="21" t="s">
        <v>151</v>
      </c>
      <c r="DM494" s="19">
        <v>0</v>
      </c>
      <c r="DN494" s="21">
        <v>10</v>
      </c>
      <c r="DO494" s="23">
        <v>0.19</v>
      </c>
      <c r="DP494" s="21">
        <v>13</v>
      </c>
      <c r="DQ494" s="23">
        <v>0</v>
      </c>
      <c r="DR494" s="19">
        <v>0</v>
      </c>
      <c r="DS494" s="23">
        <v>0.16</v>
      </c>
      <c r="DT494" s="21">
        <v>10</v>
      </c>
      <c r="DU494" s="23" t="s">
        <v>151</v>
      </c>
      <c r="DV494" s="21" t="s">
        <v>151</v>
      </c>
      <c r="DW494" s="23">
        <v>0.16</v>
      </c>
      <c r="DX494" s="21">
        <v>10</v>
      </c>
      <c r="DY494" s="18" t="s">
        <v>151</v>
      </c>
      <c r="DZ494" s="22" t="s">
        <v>151</v>
      </c>
      <c r="EA494" s="22" t="s">
        <v>151</v>
      </c>
      <c r="EB494" s="21">
        <v>0</v>
      </c>
      <c r="EC494" s="20">
        <v>0</v>
      </c>
      <c r="ED494" s="19">
        <v>0</v>
      </c>
      <c r="EE494" s="21">
        <v>3</v>
      </c>
      <c r="EF494" s="20">
        <v>0</v>
      </c>
      <c r="EG494" s="19">
        <v>0</v>
      </c>
      <c r="EH494" s="16" t="s">
        <v>198</v>
      </c>
      <c r="EI494" s="17" t="s">
        <v>151</v>
      </c>
      <c r="EJ494" s="17" t="s">
        <v>151</v>
      </c>
      <c r="EK494" s="18" t="s">
        <v>151</v>
      </c>
      <c r="EL494" s="18" t="s">
        <v>151</v>
      </c>
      <c r="EM494" s="18" t="s">
        <v>151</v>
      </c>
      <c r="EN494" s="18" t="s">
        <v>151</v>
      </c>
      <c r="EO494" s="18" t="s">
        <v>151</v>
      </c>
      <c r="EP494" s="17" t="s">
        <v>151</v>
      </c>
      <c r="EQ494" s="16" t="s">
        <v>151</v>
      </c>
      <c r="ER494" s="16" t="s">
        <v>151</v>
      </c>
      <c r="ES494" s="3">
        <f>HYPERLINK("https://my.pitchbook.com?c=434741-86","View Company Online")</f>
      </c>
    </row>
    <row r="495">
      <c r="A495" s="30" t="s">
        <v>10432</v>
      </c>
      <c r="B495" s="30" t="s">
        <v>10433</v>
      </c>
      <c r="C495" s="31" t="s">
        <v>151</v>
      </c>
      <c r="D495" s="30" t="s">
        <v>151</v>
      </c>
      <c r="E495" s="30" t="s">
        <v>151</v>
      </c>
      <c r="F495" s="30" t="s">
        <v>10434</v>
      </c>
      <c r="G495" s="30" t="s">
        <v>151</v>
      </c>
      <c r="H495" s="30" t="s">
        <v>151</v>
      </c>
      <c r="I495" s="30" t="s">
        <v>151</v>
      </c>
      <c r="J495" s="30" t="s">
        <v>10432</v>
      </c>
      <c r="K495" s="30" t="s">
        <v>10435</v>
      </c>
      <c r="L495" s="30" t="s">
        <v>205</v>
      </c>
      <c r="M495" s="30" t="s">
        <v>206</v>
      </c>
      <c r="N495" s="30" t="s">
        <v>1268</v>
      </c>
      <c r="O495" s="30" t="s">
        <v>10436</v>
      </c>
      <c r="P495" s="30" t="s">
        <v>2279</v>
      </c>
      <c r="Q495" s="30" t="s">
        <v>10437</v>
      </c>
      <c r="R495" s="30" t="s">
        <v>151</v>
      </c>
      <c r="S495" s="30" t="s">
        <v>162</v>
      </c>
      <c r="T495" s="37">
        <v>5.8</v>
      </c>
      <c r="U495" s="30" t="s">
        <v>163</v>
      </c>
      <c r="V495" s="30" t="s">
        <v>164</v>
      </c>
      <c r="W495" s="30" t="s">
        <v>165</v>
      </c>
      <c r="X495" s="28" t="s">
        <v>10438</v>
      </c>
      <c r="Y495" s="28" t="s">
        <v>10439</v>
      </c>
      <c r="Z495" s="40">
        <v>5</v>
      </c>
      <c r="AA495" s="30" t="s">
        <v>6538</v>
      </c>
      <c r="AB495" s="30" t="s">
        <v>151</v>
      </c>
      <c r="AC495" s="30" t="s">
        <v>151</v>
      </c>
      <c r="AD495" s="39">
        <v>2017</v>
      </c>
      <c r="AE495" s="30" t="s">
        <v>151</v>
      </c>
      <c r="AF495" s="35">
        <v>45398</v>
      </c>
      <c r="AG495" s="30" t="s">
        <v>151</v>
      </c>
      <c r="AH495" s="30" t="s">
        <v>151</v>
      </c>
      <c r="AI495" s="38" t="s">
        <v>151</v>
      </c>
      <c r="AJ495" s="32" t="s">
        <v>151</v>
      </c>
      <c r="AK495" s="38" t="s">
        <v>151</v>
      </c>
      <c r="AL495" s="38" t="s">
        <v>151</v>
      </c>
      <c r="AM495" s="38" t="s">
        <v>151</v>
      </c>
      <c r="AN495" s="38" t="s">
        <v>151</v>
      </c>
      <c r="AO495" s="38" t="s">
        <v>151</v>
      </c>
      <c r="AP495" s="38" t="s">
        <v>151</v>
      </c>
      <c r="AQ495" s="38" t="s">
        <v>151</v>
      </c>
      <c r="AR495" s="29" t="s">
        <v>151</v>
      </c>
      <c r="AS495" s="30" t="s">
        <v>10440</v>
      </c>
      <c r="AT495" s="30" t="s">
        <v>10441</v>
      </c>
      <c r="AU495" s="31">
        <v>2</v>
      </c>
      <c r="AV495" s="30" t="s">
        <v>151</v>
      </c>
      <c r="AW495" s="30" t="s">
        <v>151</v>
      </c>
      <c r="AX495" s="30" t="s">
        <v>151</v>
      </c>
      <c r="AY495" s="30" t="s">
        <v>10442</v>
      </c>
      <c r="AZ495" s="30" t="s">
        <v>151</v>
      </c>
      <c r="BA495" s="30" t="s">
        <v>151</v>
      </c>
      <c r="BB495" s="30" t="s">
        <v>151</v>
      </c>
      <c r="BC495" s="30" t="s">
        <v>151</v>
      </c>
      <c r="BD495" s="30" t="s">
        <v>10443</v>
      </c>
      <c r="BE495" s="30" t="s">
        <v>10444</v>
      </c>
      <c r="BF495" s="30" t="s">
        <v>10445</v>
      </c>
      <c r="BG495" s="30" t="s">
        <v>10446</v>
      </c>
      <c r="BH495" s="30" t="s">
        <v>151</v>
      </c>
      <c r="BI495" s="30" t="s">
        <v>10447</v>
      </c>
      <c r="BJ495" s="30" t="s">
        <v>10448</v>
      </c>
      <c r="BK495" s="30" t="s">
        <v>2887</v>
      </c>
      <c r="BL495" s="30" t="s">
        <v>10449</v>
      </c>
      <c r="BM495" s="30" t="s">
        <v>2814</v>
      </c>
      <c r="BN495" s="29" t="s">
        <v>10450</v>
      </c>
      <c r="BO495" s="30" t="s">
        <v>186</v>
      </c>
      <c r="BP495" s="29" t="s">
        <v>151</v>
      </c>
      <c r="BQ495" s="29" t="s">
        <v>151</v>
      </c>
      <c r="BR495" s="30" t="s">
        <v>151</v>
      </c>
      <c r="BS495" s="30" t="s">
        <v>187</v>
      </c>
      <c r="BT495" s="30" t="s">
        <v>188</v>
      </c>
      <c r="BU495" s="35">
        <v>44810</v>
      </c>
      <c r="BV495" s="37">
        <v>2.4</v>
      </c>
      <c r="BW495" s="30" t="s">
        <v>192</v>
      </c>
      <c r="BX495" s="37" t="s">
        <v>151</v>
      </c>
      <c r="BY495" s="30" t="s">
        <v>151</v>
      </c>
      <c r="BZ495" s="30" t="s">
        <v>293</v>
      </c>
      <c r="CA495" s="30" t="s">
        <v>293</v>
      </c>
      <c r="CB495" s="30" t="s">
        <v>151</v>
      </c>
      <c r="CC495" s="30" t="s">
        <v>165</v>
      </c>
      <c r="CD495" s="30" t="s">
        <v>151</v>
      </c>
      <c r="CE495" s="30" t="s">
        <v>191</v>
      </c>
      <c r="CF495" s="35">
        <v>45274</v>
      </c>
      <c r="CG495" s="37">
        <v>3.4</v>
      </c>
      <c r="CH495" s="30" t="s">
        <v>192</v>
      </c>
      <c r="CI495" s="37" t="s">
        <v>151</v>
      </c>
      <c r="CJ495" s="30" t="s">
        <v>151</v>
      </c>
      <c r="CK495" s="29" t="s">
        <v>151</v>
      </c>
      <c r="CL495" s="30" t="s">
        <v>293</v>
      </c>
      <c r="CM495" s="30" t="s">
        <v>293</v>
      </c>
      <c r="CN495" s="30" t="s">
        <v>151</v>
      </c>
      <c r="CO495" s="30" t="s">
        <v>165</v>
      </c>
      <c r="CP495" s="35">
        <v>45274</v>
      </c>
      <c r="CQ495" s="37" t="s">
        <v>151</v>
      </c>
      <c r="CR495" s="30" t="s">
        <v>151</v>
      </c>
      <c r="CS495" s="30" t="s">
        <v>191</v>
      </c>
      <c r="CT495" s="29">
        <v>69</v>
      </c>
      <c r="CU495" s="30" t="s">
        <v>196</v>
      </c>
      <c r="CV495" s="32">
        <v>64</v>
      </c>
      <c r="CW495" s="32">
        <v>36</v>
      </c>
      <c r="CX495" s="30" t="s">
        <v>294</v>
      </c>
      <c r="CY495" s="32">
        <v>1</v>
      </c>
      <c r="CZ495" s="32">
        <v>63</v>
      </c>
      <c r="DA495" s="37" t="s">
        <v>151</v>
      </c>
      <c r="DB495" s="35" t="s">
        <v>151</v>
      </c>
      <c r="DC495" s="30" t="s">
        <v>151</v>
      </c>
      <c r="DD495" s="29" t="s">
        <v>151</v>
      </c>
      <c r="DE495" s="32">
        <v>0</v>
      </c>
      <c r="DF495" s="34">
        <v>11</v>
      </c>
      <c r="DG495" s="32">
        <v>0</v>
      </c>
      <c r="DH495" s="32">
        <v>0</v>
      </c>
      <c r="DI495" s="32">
        <v>0</v>
      </c>
      <c r="DJ495" s="34">
        <v>10</v>
      </c>
      <c r="DK495" s="32" t="s">
        <v>151</v>
      </c>
      <c r="DL495" s="34" t="s">
        <v>151</v>
      </c>
      <c r="DM495" s="32">
        <v>0</v>
      </c>
      <c r="DN495" s="34">
        <v>10</v>
      </c>
      <c r="DO495" s="36">
        <v>0.37</v>
      </c>
      <c r="DP495" s="34">
        <v>25</v>
      </c>
      <c r="DQ495" s="36">
        <v>0</v>
      </c>
      <c r="DR495" s="32">
        <v>0</v>
      </c>
      <c r="DS495" s="36">
        <v>0.37</v>
      </c>
      <c r="DT495" s="34">
        <v>25</v>
      </c>
      <c r="DU495" s="36" t="s">
        <v>151</v>
      </c>
      <c r="DV495" s="34" t="s">
        <v>151</v>
      </c>
      <c r="DW495" s="36">
        <v>0.37</v>
      </c>
      <c r="DX495" s="34">
        <v>25</v>
      </c>
      <c r="DY495" s="31" t="s">
        <v>151</v>
      </c>
      <c r="DZ495" s="35" t="s">
        <v>151</v>
      </c>
      <c r="EA495" s="35" t="s">
        <v>151</v>
      </c>
      <c r="EB495" s="34">
        <v>0</v>
      </c>
      <c r="EC495" s="33">
        <v>0</v>
      </c>
      <c r="ED495" s="32">
        <v>0</v>
      </c>
      <c r="EE495" s="34">
        <v>7</v>
      </c>
      <c r="EF495" s="33">
        <v>0</v>
      </c>
      <c r="EG495" s="32">
        <v>0</v>
      </c>
      <c r="EH495" s="29" t="s">
        <v>198</v>
      </c>
      <c r="EI495" s="30" t="s">
        <v>151</v>
      </c>
      <c r="EJ495" s="30" t="s">
        <v>151</v>
      </c>
      <c r="EK495" s="31" t="s">
        <v>151</v>
      </c>
      <c r="EL495" s="31" t="s">
        <v>151</v>
      </c>
      <c r="EM495" s="31" t="s">
        <v>151</v>
      </c>
      <c r="EN495" s="31" t="s">
        <v>151</v>
      </c>
      <c r="EO495" s="31" t="s">
        <v>151</v>
      </c>
      <c r="EP495" s="30" t="s">
        <v>151</v>
      </c>
      <c r="EQ495" s="29" t="s">
        <v>151</v>
      </c>
      <c r="ER495" s="29" t="s">
        <v>151</v>
      </c>
      <c r="ES495" s="4">
        <f>HYPERLINK("https://my.pitchbook.com?c=494669-08","View Company Online")</f>
      </c>
    </row>
    <row r="496">
      <c r="A496" s="17" t="s">
        <v>10451</v>
      </c>
      <c r="B496" s="17" t="s">
        <v>10452</v>
      </c>
      <c r="C496" s="18" t="s">
        <v>151</v>
      </c>
      <c r="D496" s="17" t="s">
        <v>151</v>
      </c>
      <c r="E496" s="17" t="s">
        <v>10453</v>
      </c>
      <c r="F496" s="17" t="s">
        <v>10454</v>
      </c>
      <c r="G496" s="17" t="s">
        <v>151</v>
      </c>
      <c r="H496" s="17" t="s">
        <v>151</v>
      </c>
      <c r="I496" s="17" t="s">
        <v>10455</v>
      </c>
      <c r="J496" s="17" t="s">
        <v>10451</v>
      </c>
      <c r="K496" s="17" t="s">
        <v>10456</v>
      </c>
      <c r="L496" s="17" t="s">
        <v>205</v>
      </c>
      <c r="M496" s="17" t="s">
        <v>206</v>
      </c>
      <c r="N496" s="17" t="s">
        <v>269</v>
      </c>
      <c r="O496" s="17" t="s">
        <v>10457</v>
      </c>
      <c r="P496" s="17" t="s">
        <v>2944</v>
      </c>
      <c r="Q496" s="17" t="s">
        <v>10458</v>
      </c>
      <c r="R496" s="17" t="s">
        <v>151</v>
      </c>
      <c r="S496" s="17" t="s">
        <v>162</v>
      </c>
      <c r="T496" s="24">
        <v>6.87</v>
      </c>
      <c r="U496" s="17" t="s">
        <v>163</v>
      </c>
      <c r="V496" s="17" t="s">
        <v>164</v>
      </c>
      <c r="W496" s="17" t="s">
        <v>165</v>
      </c>
      <c r="X496" s="15" t="s">
        <v>10459</v>
      </c>
      <c r="Y496" s="15" t="s">
        <v>10460</v>
      </c>
      <c r="Z496" s="27">
        <v>48</v>
      </c>
      <c r="AA496" s="17" t="s">
        <v>10461</v>
      </c>
      <c r="AB496" s="17" t="s">
        <v>151</v>
      </c>
      <c r="AC496" s="17" t="s">
        <v>151</v>
      </c>
      <c r="AD496" s="26">
        <v>2019</v>
      </c>
      <c r="AE496" s="17" t="s">
        <v>151</v>
      </c>
      <c r="AF496" s="22">
        <v>45400</v>
      </c>
      <c r="AG496" s="17" t="s">
        <v>151</v>
      </c>
      <c r="AH496" s="17" t="s">
        <v>151</v>
      </c>
      <c r="AI496" s="25" t="s">
        <v>151</v>
      </c>
      <c r="AJ496" s="19" t="s">
        <v>151</v>
      </c>
      <c r="AK496" s="25" t="s">
        <v>151</v>
      </c>
      <c r="AL496" s="25" t="s">
        <v>151</v>
      </c>
      <c r="AM496" s="25" t="s">
        <v>151</v>
      </c>
      <c r="AN496" s="25" t="s">
        <v>151</v>
      </c>
      <c r="AO496" s="25" t="s">
        <v>151</v>
      </c>
      <c r="AP496" s="25" t="s">
        <v>151</v>
      </c>
      <c r="AQ496" s="25" t="s">
        <v>151</v>
      </c>
      <c r="AR496" s="16" t="s">
        <v>151</v>
      </c>
      <c r="AS496" s="17" t="s">
        <v>10462</v>
      </c>
      <c r="AT496" s="17" t="s">
        <v>10463</v>
      </c>
      <c r="AU496" s="18">
        <v>6</v>
      </c>
      <c r="AV496" s="17" t="s">
        <v>151</v>
      </c>
      <c r="AW496" s="17" t="s">
        <v>151</v>
      </c>
      <c r="AX496" s="17" t="s">
        <v>151</v>
      </c>
      <c r="AY496" s="17" t="s">
        <v>10464</v>
      </c>
      <c r="AZ496" s="17" t="s">
        <v>151</v>
      </c>
      <c r="BA496" s="17" t="s">
        <v>151</v>
      </c>
      <c r="BB496" s="17" t="s">
        <v>151</v>
      </c>
      <c r="BC496" s="17" t="s">
        <v>151</v>
      </c>
      <c r="BD496" s="17" t="s">
        <v>10465</v>
      </c>
      <c r="BE496" s="17" t="s">
        <v>10466</v>
      </c>
      <c r="BF496" s="17" t="s">
        <v>493</v>
      </c>
      <c r="BG496" s="17" t="s">
        <v>151</v>
      </c>
      <c r="BH496" s="17" t="s">
        <v>10467</v>
      </c>
      <c r="BI496" s="17" t="s">
        <v>10468</v>
      </c>
      <c r="BJ496" s="17" t="s">
        <v>10469</v>
      </c>
      <c r="BK496" s="17" t="s">
        <v>1832</v>
      </c>
      <c r="BL496" s="17" t="s">
        <v>10470</v>
      </c>
      <c r="BM496" s="17" t="s">
        <v>9081</v>
      </c>
      <c r="BN496" s="16" t="s">
        <v>10471</v>
      </c>
      <c r="BO496" s="17" t="s">
        <v>186</v>
      </c>
      <c r="BP496" s="16" t="s">
        <v>10467</v>
      </c>
      <c r="BQ496" s="16" t="s">
        <v>151</v>
      </c>
      <c r="BR496" s="17" t="s">
        <v>10472</v>
      </c>
      <c r="BS496" s="17" t="s">
        <v>187</v>
      </c>
      <c r="BT496" s="17" t="s">
        <v>188</v>
      </c>
      <c r="BU496" s="22">
        <v>45385</v>
      </c>
      <c r="BV496" s="24">
        <v>6.87</v>
      </c>
      <c r="BW496" s="17" t="s">
        <v>192</v>
      </c>
      <c r="BX496" s="24">
        <v>28.5</v>
      </c>
      <c r="BY496" s="17" t="s">
        <v>192</v>
      </c>
      <c r="BZ496" s="17" t="s">
        <v>293</v>
      </c>
      <c r="CA496" s="17" t="s">
        <v>293</v>
      </c>
      <c r="CB496" s="17" t="s">
        <v>151</v>
      </c>
      <c r="CC496" s="17" t="s">
        <v>165</v>
      </c>
      <c r="CD496" s="17" t="s">
        <v>151</v>
      </c>
      <c r="CE496" s="17" t="s">
        <v>191</v>
      </c>
      <c r="CF496" s="22">
        <v>45385</v>
      </c>
      <c r="CG496" s="24">
        <v>6.87</v>
      </c>
      <c r="CH496" s="17" t="s">
        <v>192</v>
      </c>
      <c r="CI496" s="24">
        <v>28.5</v>
      </c>
      <c r="CJ496" s="17" t="s">
        <v>192</v>
      </c>
      <c r="CK496" s="16" t="s">
        <v>151</v>
      </c>
      <c r="CL496" s="17" t="s">
        <v>293</v>
      </c>
      <c r="CM496" s="17" t="s">
        <v>293</v>
      </c>
      <c r="CN496" s="17" t="s">
        <v>151</v>
      </c>
      <c r="CO496" s="17" t="s">
        <v>165</v>
      </c>
      <c r="CP496" s="22">
        <v>45385</v>
      </c>
      <c r="CQ496" s="24" t="s">
        <v>151</v>
      </c>
      <c r="CR496" s="17" t="s">
        <v>151</v>
      </c>
      <c r="CS496" s="17" t="s">
        <v>191</v>
      </c>
      <c r="CT496" s="16" t="s">
        <v>151</v>
      </c>
      <c r="CU496" s="17" t="s">
        <v>151</v>
      </c>
      <c r="CV496" s="19" t="s">
        <v>151</v>
      </c>
      <c r="CW496" s="19" t="s">
        <v>151</v>
      </c>
      <c r="CX496" s="17" t="s">
        <v>151</v>
      </c>
      <c r="CY496" s="19" t="s">
        <v>151</v>
      </c>
      <c r="CZ496" s="19" t="s">
        <v>151</v>
      </c>
      <c r="DA496" s="24">
        <v>28.5</v>
      </c>
      <c r="DB496" s="22">
        <v>45385</v>
      </c>
      <c r="DC496" s="17" t="s">
        <v>293</v>
      </c>
      <c r="DD496" s="16" t="s">
        <v>151</v>
      </c>
      <c r="DE496" s="19">
        <v>1.23</v>
      </c>
      <c r="DF496" s="21">
        <v>97</v>
      </c>
      <c r="DG496" s="19">
        <v>0</v>
      </c>
      <c r="DH496" s="19">
        <v>0</v>
      </c>
      <c r="DI496" s="19">
        <v>1.23</v>
      </c>
      <c r="DJ496" s="21">
        <v>97</v>
      </c>
      <c r="DK496" s="19" t="s">
        <v>151</v>
      </c>
      <c r="DL496" s="21" t="s">
        <v>151</v>
      </c>
      <c r="DM496" s="19">
        <v>1.23</v>
      </c>
      <c r="DN496" s="21">
        <v>97</v>
      </c>
      <c r="DO496" s="23">
        <v>15.37</v>
      </c>
      <c r="DP496" s="21">
        <v>93</v>
      </c>
      <c r="DQ496" s="23">
        <v>0</v>
      </c>
      <c r="DR496" s="19">
        <v>0</v>
      </c>
      <c r="DS496" s="23">
        <v>15.37</v>
      </c>
      <c r="DT496" s="21">
        <v>93</v>
      </c>
      <c r="DU496" s="23" t="s">
        <v>151</v>
      </c>
      <c r="DV496" s="21" t="s">
        <v>151</v>
      </c>
      <c r="DW496" s="23">
        <v>15.37</v>
      </c>
      <c r="DX496" s="21">
        <v>93</v>
      </c>
      <c r="DY496" s="18" t="s">
        <v>151</v>
      </c>
      <c r="DZ496" s="22" t="s">
        <v>151</v>
      </c>
      <c r="EA496" s="22" t="s">
        <v>151</v>
      </c>
      <c r="EB496" s="21">
        <v>14035</v>
      </c>
      <c r="EC496" s="20">
        <v>48</v>
      </c>
      <c r="ED496" s="19">
        <v>0.34</v>
      </c>
      <c r="EE496" s="21">
        <v>292</v>
      </c>
      <c r="EF496" s="20">
        <v>3</v>
      </c>
      <c r="EG496" s="19">
        <v>1.04</v>
      </c>
      <c r="EH496" s="16" t="s">
        <v>198</v>
      </c>
      <c r="EI496" s="17" t="s">
        <v>151</v>
      </c>
      <c r="EJ496" s="17" t="s">
        <v>151</v>
      </c>
      <c r="EK496" s="18" t="s">
        <v>151</v>
      </c>
      <c r="EL496" s="18" t="s">
        <v>151</v>
      </c>
      <c r="EM496" s="18" t="s">
        <v>151</v>
      </c>
      <c r="EN496" s="18" t="s">
        <v>151</v>
      </c>
      <c r="EO496" s="18" t="s">
        <v>151</v>
      </c>
      <c r="EP496" s="17" t="s">
        <v>151</v>
      </c>
      <c r="EQ496" s="16" t="s">
        <v>151</v>
      </c>
      <c r="ER496" s="16" t="s">
        <v>151</v>
      </c>
      <c r="ES496" s="3">
        <f>HYPERLINK("https://my.pitchbook.com?c=472334-68","View Company Online")</f>
      </c>
    </row>
    <row r="497">
      <c r="A497" s="30" t="s">
        <v>10473</v>
      </c>
      <c r="B497" s="30" t="s">
        <v>10474</v>
      </c>
      <c r="C497" s="31" t="s">
        <v>151</v>
      </c>
      <c r="D497" s="30" t="s">
        <v>151</v>
      </c>
      <c r="E497" s="30" t="s">
        <v>151</v>
      </c>
      <c r="F497" s="30" t="s">
        <v>10475</v>
      </c>
      <c r="G497" s="30" t="s">
        <v>151</v>
      </c>
      <c r="H497" s="30" t="s">
        <v>151</v>
      </c>
      <c r="I497" s="30" t="s">
        <v>151</v>
      </c>
      <c r="J497" s="30" t="s">
        <v>10473</v>
      </c>
      <c r="K497" s="30" t="s">
        <v>10476</v>
      </c>
      <c r="L497" s="30" t="s">
        <v>205</v>
      </c>
      <c r="M497" s="30" t="s">
        <v>448</v>
      </c>
      <c r="N497" s="30" t="s">
        <v>449</v>
      </c>
      <c r="O497" s="30" t="s">
        <v>10477</v>
      </c>
      <c r="P497" s="30" t="s">
        <v>10478</v>
      </c>
      <c r="Q497" s="30" t="s">
        <v>10479</v>
      </c>
      <c r="R497" s="30" t="s">
        <v>151</v>
      </c>
      <c r="S497" s="30" t="s">
        <v>162</v>
      </c>
      <c r="T497" s="37">
        <v>8.15</v>
      </c>
      <c r="U497" s="30" t="s">
        <v>163</v>
      </c>
      <c r="V497" s="30" t="s">
        <v>164</v>
      </c>
      <c r="W497" s="30" t="s">
        <v>165</v>
      </c>
      <c r="X497" s="28" t="s">
        <v>10480</v>
      </c>
      <c r="Y497" s="28" t="s">
        <v>10481</v>
      </c>
      <c r="Z497" s="40">
        <v>7</v>
      </c>
      <c r="AA497" s="30" t="s">
        <v>4311</v>
      </c>
      <c r="AB497" s="30" t="s">
        <v>151</v>
      </c>
      <c r="AC497" s="30" t="s">
        <v>151</v>
      </c>
      <c r="AD497" s="39">
        <v>2023</v>
      </c>
      <c r="AE497" s="30" t="s">
        <v>151</v>
      </c>
      <c r="AF497" s="35">
        <v>45597</v>
      </c>
      <c r="AG497" s="30" t="s">
        <v>151</v>
      </c>
      <c r="AH497" s="30" t="s">
        <v>151</v>
      </c>
      <c r="AI497" s="38" t="s">
        <v>151</v>
      </c>
      <c r="AJ497" s="32" t="s">
        <v>151</v>
      </c>
      <c r="AK497" s="38" t="s">
        <v>151</v>
      </c>
      <c r="AL497" s="38" t="s">
        <v>151</v>
      </c>
      <c r="AM497" s="38" t="s">
        <v>151</v>
      </c>
      <c r="AN497" s="38" t="s">
        <v>151</v>
      </c>
      <c r="AO497" s="38" t="s">
        <v>151</v>
      </c>
      <c r="AP497" s="38" t="s">
        <v>151</v>
      </c>
      <c r="AQ497" s="38" t="s">
        <v>151</v>
      </c>
      <c r="AR497" s="29" t="s">
        <v>151</v>
      </c>
      <c r="AS497" s="30" t="s">
        <v>10482</v>
      </c>
      <c r="AT497" s="30" t="s">
        <v>10483</v>
      </c>
      <c r="AU497" s="31">
        <v>4</v>
      </c>
      <c r="AV497" s="30" t="s">
        <v>151</v>
      </c>
      <c r="AW497" s="30" t="s">
        <v>151</v>
      </c>
      <c r="AX497" s="30" t="s">
        <v>151</v>
      </c>
      <c r="AY497" s="30" t="s">
        <v>10484</v>
      </c>
      <c r="AZ497" s="30" t="s">
        <v>151</v>
      </c>
      <c r="BA497" s="30" t="s">
        <v>151</v>
      </c>
      <c r="BB497" s="30" t="s">
        <v>151</v>
      </c>
      <c r="BC497" s="30" t="s">
        <v>151</v>
      </c>
      <c r="BD497" s="30" t="s">
        <v>10485</v>
      </c>
      <c r="BE497" s="30" t="s">
        <v>10486</v>
      </c>
      <c r="BF497" s="30" t="s">
        <v>10487</v>
      </c>
      <c r="BG497" s="30" t="s">
        <v>10488</v>
      </c>
      <c r="BH497" s="30" t="s">
        <v>10489</v>
      </c>
      <c r="BI497" s="30" t="s">
        <v>10490</v>
      </c>
      <c r="BJ497" s="30" t="s">
        <v>10491</v>
      </c>
      <c r="BK497" s="30" t="s">
        <v>10492</v>
      </c>
      <c r="BL497" s="30" t="s">
        <v>10493</v>
      </c>
      <c r="BM497" s="30" t="s">
        <v>184</v>
      </c>
      <c r="BN497" s="29" t="s">
        <v>10494</v>
      </c>
      <c r="BO497" s="30" t="s">
        <v>186</v>
      </c>
      <c r="BP497" s="29" t="s">
        <v>10489</v>
      </c>
      <c r="BQ497" s="29" t="s">
        <v>151</v>
      </c>
      <c r="BR497" s="30" t="s">
        <v>10495</v>
      </c>
      <c r="BS497" s="30" t="s">
        <v>187</v>
      </c>
      <c r="BT497" s="30" t="s">
        <v>188</v>
      </c>
      <c r="BU497" s="35">
        <v>45065</v>
      </c>
      <c r="BV497" s="37">
        <v>4.15</v>
      </c>
      <c r="BW497" s="30" t="s">
        <v>193</v>
      </c>
      <c r="BX497" s="37">
        <v>14.15</v>
      </c>
      <c r="BY497" s="30" t="s">
        <v>192</v>
      </c>
      <c r="BZ497" s="30" t="s">
        <v>293</v>
      </c>
      <c r="CA497" s="30" t="s">
        <v>293</v>
      </c>
      <c r="CB497" s="30" t="s">
        <v>151</v>
      </c>
      <c r="CC497" s="30" t="s">
        <v>165</v>
      </c>
      <c r="CD497" s="30" t="s">
        <v>151</v>
      </c>
      <c r="CE497" s="30" t="s">
        <v>191</v>
      </c>
      <c r="CF497" s="35">
        <v>45594</v>
      </c>
      <c r="CG497" s="37">
        <v>4</v>
      </c>
      <c r="CH497" s="30" t="s">
        <v>192</v>
      </c>
      <c r="CI497" s="37" t="s">
        <v>151</v>
      </c>
      <c r="CJ497" s="30" t="s">
        <v>151</v>
      </c>
      <c r="CK497" s="29" t="s">
        <v>151</v>
      </c>
      <c r="CL497" s="30" t="s">
        <v>293</v>
      </c>
      <c r="CM497" s="30" t="s">
        <v>293</v>
      </c>
      <c r="CN497" s="30" t="s">
        <v>151</v>
      </c>
      <c r="CO497" s="30" t="s">
        <v>165</v>
      </c>
      <c r="CP497" s="35">
        <v>45594</v>
      </c>
      <c r="CQ497" s="37" t="s">
        <v>151</v>
      </c>
      <c r="CR497" s="30" t="s">
        <v>151</v>
      </c>
      <c r="CS497" s="30" t="s">
        <v>191</v>
      </c>
      <c r="CT497" s="29">
        <v>94</v>
      </c>
      <c r="CU497" s="30" t="s">
        <v>196</v>
      </c>
      <c r="CV497" s="32">
        <v>88</v>
      </c>
      <c r="CW497" s="32">
        <v>12</v>
      </c>
      <c r="CX497" s="30" t="s">
        <v>294</v>
      </c>
      <c r="CY497" s="32">
        <v>1</v>
      </c>
      <c r="CZ497" s="32">
        <v>87</v>
      </c>
      <c r="DA497" s="37">
        <v>14.15</v>
      </c>
      <c r="DB497" s="35">
        <v>45065</v>
      </c>
      <c r="DC497" s="30" t="s">
        <v>293</v>
      </c>
      <c r="DD497" s="29" t="s">
        <v>151</v>
      </c>
      <c r="DE497" s="32">
        <v>1.04</v>
      </c>
      <c r="DF497" s="34">
        <v>96</v>
      </c>
      <c r="DG497" s="32">
        <v>0</v>
      </c>
      <c r="DH497" s="32">
        <v>0</v>
      </c>
      <c r="DI497" s="32">
        <v>0</v>
      </c>
      <c r="DJ497" s="34">
        <v>10</v>
      </c>
      <c r="DK497" s="32" t="s">
        <v>151</v>
      </c>
      <c r="DL497" s="34" t="s">
        <v>151</v>
      </c>
      <c r="DM497" s="32">
        <v>0</v>
      </c>
      <c r="DN497" s="34">
        <v>10</v>
      </c>
      <c r="DO497" s="36">
        <v>0.43</v>
      </c>
      <c r="DP497" s="34">
        <v>30</v>
      </c>
      <c r="DQ497" s="36">
        <v>0</v>
      </c>
      <c r="DR497" s="32">
        <v>0</v>
      </c>
      <c r="DS497" s="36">
        <v>0.32</v>
      </c>
      <c r="DT497" s="34">
        <v>22</v>
      </c>
      <c r="DU497" s="36" t="s">
        <v>151</v>
      </c>
      <c r="DV497" s="34" t="s">
        <v>151</v>
      </c>
      <c r="DW497" s="36">
        <v>0.32</v>
      </c>
      <c r="DX497" s="34">
        <v>22</v>
      </c>
      <c r="DY497" s="31" t="s">
        <v>151</v>
      </c>
      <c r="DZ497" s="35" t="s">
        <v>151</v>
      </c>
      <c r="EA497" s="35" t="s">
        <v>151</v>
      </c>
      <c r="EB497" s="34">
        <v>252</v>
      </c>
      <c r="EC497" s="33">
        <v>56</v>
      </c>
      <c r="ED497" s="32">
        <v>28.57</v>
      </c>
      <c r="EE497" s="34">
        <v>6</v>
      </c>
      <c r="EF497" s="33">
        <v>0</v>
      </c>
      <c r="EG497" s="32">
        <v>0</v>
      </c>
      <c r="EH497" s="29" t="s">
        <v>198</v>
      </c>
      <c r="EI497" s="30" t="s">
        <v>151</v>
      </c>
      <c r="EJ497" s="30" t="s">
        <v>151</v>
      </c>
      <c r="EK497" s="31" t="s">
        <v>151</v>
      </c>
      <c r="EL497" s="31" t="s">
        <v>151</v>
      </c>
      <c r="EM497" s="31" t="s">
        <v>151</v>
      </c>
      <c r="EN497" s="31" t="s">
        <v>151</v>
      </c>
      <c r="EO497" s="31" t="s">
        <v>151</v>
      </c>
      <c r="EP497" s="30" t="s">
        <v>151</v>
      </c>
      <c r="EQ497" s="29" t="s">
        <v>151</v>
      </c>
      <c r="ER497" s="29" t="s">
        <v>151</v>
      </c>
      <c r="ES497" s="4">
        <f>HYPERLINK("https://my.pitchbook.com?c=540851-32","View Company Online")</f>
      </c>
    </row>
    <row r="498">
      <c r="A498" s="17" t="s">
        <v>10496</v>
      </c>
      <c r="B498" s="17" t="s">
        <v>10497</v>
      </c>
      <c r="C498" s="18" t="s">
        <v>151</v>
      </c>
      <c r="D498" s="17" t="s">
        <v>151</v>
      </c>
      <c r="E498" s="17" t="s">
        <v>151</v>
      </c>
      <c r="F498" s="17" t="s">
        <v>10498</v>
      </c>
      <c r="G498" s="17" t="s">
        <v>151</v>
      </c>
      <c r="H498" s="17" t="s">
        <v>151</v>
      </c>
      <c r="I498" s="17" t="s">
        <v>151</v>
      </c>
      <c r="J498" s="17" t="s">
        <v>10496</v>
      </c>
      <c r="K498" s="17" t="s">
        <v>10499</v>
      </c>
      <c r="L498" s="17" t="s">
        <v>205</v>
      </c>
      <c r="M498" s="17" t="s">
        <v>206</v>
      </c>
      <c r="N498" s="17" t="s">
        <v>269</v>
      </c>
      <c r="O498" s="17" t="s">
        <v>563</v>
      </c>
      <c r="P498" s="17" t="s">
        <v>10500</v>
      </c>
      <c r="Q498" s="17" t="s">
        <v>10501</v>
      </c>
      <c r="R498" s="17" t="s">
        <v>151</v>
      </c>
      <c r="S498" s="17" t="s">
        <v>162</v>
      </c>
      <c r="T498" s="24">
        <v>2.05</v>
      </c>
      <c r="U498" s="17" t="s">
        <v>163</v>
      </c>
      <c r="V498" s="17" t="s">
        <v>164</v>
      </c>
      <c r="W498" s="17" t="s">
        <v>165</v>
      </c>
      <c r="X498" s="15" t="s">
        <v>10502</v>
      </c>
      <c r="Y498" s="15" t="s">
        <v>10503</v>
      </c>
      <c r="Z498" s="27">
        <v>20</v>
      </c>
      <c r="AA498" s="17" t="s">
        <v>10504</v>
      </c>
      <c r="AB498" s="17" t="s">
        <v>151</v>
      </c>
      <c r="AC498" s="17" t="s">
        <v>151</v>
      </c>
      <c r="AD498" s="26">
        <v>2019</v>
      </c>
      <c r="AE498" s="17" t="s">
        <v>151</v>
      </c>
      <c r="AF498" s="22">
        <v>45510</v>
      </c>
      <c r="AG498" s="17" t="s">
        <v>151</v>
      </c>
      <c r="AH498" s="17" t="s">
        <v>151</v>
      </c>
      <c r="AI498" s="25">
        <v>0.57</v>
      </c>
      <c r="AJ498" s="19">
        <v>130</v>
      </c>
      <c r="AK498" s="25" t="s">
        <v>151</v>
      </c>
      <c r="AL498" s="25" t="s">
        <v>151</v>
      </c>
      <c r="AM498" s="25" t="s">
        <v>151</v>
      </c>
      <c r="AN498" s="25" t="s">
        <v>151</v>
      </c>
      <c r="AO498" s="25" t="s">
        <v>151</v>
      </c>
      <c r="AP498" s="25" t="s">
        <v>151</v>
      </c>
      <c r="AQ498" s="25" t="s">
        <v>151</v>
      </c>
      <c r="AR498" s="16" t="s">
        <v>810</v>
      </c>
      <c r="AS498" s="17" t="s">
        <v>10505</v>
      </c>
      <c r="AT498" s="17" t="s">
        <v>10506</v>
      </c>
      <c r="AU498" s="18">
        <v>4</v>
      </c>
      <c r="AV498" s="17" t="s">
        <v>151</v>
      </c>
      <c r="AW498" s="17" t="s">
        <v>151</v>
      </c>
      <c r="AX498" s="17" t="s">
        <v>151</v>
      </c>
      <c r="AY498" s="17" t="s">
        <v>10507</v>
      </c>
      <c r="AZ498" s="17" t="s">
        <v>151</v>
      </c>
      <c r="BA498" s="17" t="s">
        <v>151</v>
      </c>
      <c r="BB498" s="17" t="s">
        <v>151</v>
      </c>
      <c r="BC498" s="17" t="s">
        <v>151</v>
      </c>
      <c r="BD498" s="17" t="s">
        <v>10508</v>
      </c>
      <c r="BE498" s="17" t="s">
        <v>10509</v>
      </c>
      <c r="BF498" s="17" t="s">
        <v>221</v>
      </c>
      <c r="BG498" s="17" t="s">
        <v>10510</v>
      </c>
      <c r="BH498" s="17" t="s">
        <v>10511</v>
      </c>
      <c r="BI498" s="17" t="s">
        <v>10512</v>
      </c>
      <c r="BJ498" s="17" t="s">
        <v>10513</v>
      </c>
      <c r="BK498" s="17" t="s">
        <v>151</v>
      </c>
      <c r="BL498" s="17" t="s">
        <v>10514</v>
      </c>
      <c r="BM498" s="17" t="s">
        <v>582</v>
      </c>
      <c r="BN498" s="16" t="s">
        <v>10515</v>
      </c>
      <c r="BO498" s="17" t="s">
        <v>186</v>
      </c>
      <c r="BP498" s="16" t="s">
        <v>10511</v>
      </c>
      <c r="BQ498" s="16" t="s">
        <v>151</v>
      </c>
      <c r="BR498" s="17" t="s">
        <v>10516</v>
      </c>
      <c r="BS498" s="17" t="s">
        <v>187</v>
      </c>
      <c r="BT498" s="17" t="s">
        <v>188</v>
      </c>
      <c r="BU498" s="22">
        <v>43724</v>
      </c>
      <c r="BV498" s="24" t="s">
        <v>151</v>
      </c>
      <c r="BW498" s="17" t="s">
        <v>151</v>
      </c>
      <c r="BX498" s="24" t="s">
        <v>151</v>
      </c>
      <c r="BY498" s="17" t="s">
        <v>151</v>
      </c>
      <c r="BZ498" s="17" t="s">
        <v>189</v>
      </c>
      <c r="CA498" s="17" t="s">
        <v>151</v>
      </c>
      <c r="CB498" s="17" t="s">
        <v>151</v>
      </c>
      <c r="CC498" s="17" t="s">
        <v>190</v>
      </c>
      <c r="CD498" s="17" t="s">
        <v>151</v>
      </c>
      <c r="CE498" s="17" t="s">
        <v>191</v>
      </c>
      <c r="CF498" s="22">
        <v>44404</v>
      </c>
      <c r="CG498" s="24">
        <v>2</v>
      </c>
      <c r="CH498" s="17" t="s">
        <v>192</v>
      </c>
      <c r="CI498" s="24">
        <v>7</v>
      </c>
      <c r="CJ498" s="17" t="s">
        <v>192</v>
      </c>
      <c r="CK498" s="16" t="s">
        <v>151</v>
      </c>
      <c r="CL498" s="17" t="s">
        <v>293</v>
      </c>
      <c r="CM498" s="17" t="s">
        <v>293</v>
      </c>
      <c r="CN498" s="17" t="s">
        <v>151</v>
      </c>
      <c r="CO498" s="17" t="s">
        <v>165</v>
      </c>
      <c r="CP498" s="22">
        <v>44404</v>
      </c>
      <c r="CQ498" s="24" t="s">
        <v>151</v>
      </c>
      <c r="CR498" s="17" t="s">
        <v>151</v>
      </c>
      <c r="CS498" s="17" t="s">
        <v>191</v>
      </c>
      <c r="CT498" s="16">
        <v>46</v>
      </c>
      <c r="CU498" s="17" t="s">
        <v>263</v>
      </c>
      <c r="CV498" s="19">
        <v>45</v>
      </c>
      <c r="CW498" s="19">
        <v>55</v>
      </c>
      <c r="CX498" s="17" t="s">
        <v>263</v>
      </c>
      <c r="CY498" s="19">
        <v>1</v>
      </c>
      <c r="CZ498" s="19">
        <v>44</v>
      </c>
      <c r="DA498" s="24">
        <v>7</v>
      </c>
      <c r="DB498" s="22">
        <v>44404</v>
      </c>
      <c r="DC498" s="17" t="s">
        <v>293</v>
      </c>
      <c r="DD498" s="16" t="s">
        <v>151</v>
      </c>
      <c r="DE498" s="19">
        <v>1.6</v>
      </c>
      <c r="DF498" s="21">
        <v>98</v>
      </c>
      <c r="DG498" s="19">
        <v>-0.26</v>
      </c>
      <c r="DH498" s="19">
        <v>-13.78</v>
      </c>
      <c r="DI498" s="19">
        <v>3.8</v>
      </c>
      <c r="DJ498" s="21">
        <v>100</v>
      </c>
      <c r="DK498" s="19" t="s">
        <v>151</v>
      </c>
      <c r="DL498" s="21" t="s">
        <v>151</v>
      </c>
      <c r="DM498" s="19">
        <v>3.8</v>
      </c>
      <c r="DN498" s="21">
        <v>100</v>
      </c>
      <c r="DO498" s="23">
        <v>9.95</v>
      </c>
      <c r="DP498" s="21">
        <v>90</v>
      </c>
      <c r="DQ498" s="23">
        <v>0.05</v>
      </c>
      <c r="DR498" s="19">
        <v>0.53</v>
      </c>
      <c r="DS498" s="23">
        <v>18.37</v>
      </c>
      <c r="DT498" s="21">
        <v>94</v>
      </c>
      <c r="DU498" s="23" t="s">
        <v>151</v>
      </c>
      <c r="DV498" s="21" t="s">
        <v>151</v>
      </c>
      <c r="DW498" s="23">
        <v>18.37</v>
      </c>
      <c r="DX498" s="21">
        <v>94</v>
      </c>
      <c r="DY498" s="18" t="s">
        <v>151</v>
      </c>
      <c r="DZ498" s="22" t="s">
        <v>151</v>
      </c>
      <c r="EA498" s="22" t="s">
        <v>151</v>
      </c>
      <c r="EB498" s="21" t="s">
        <v>151</v>
      </c>
      <c r="EC498" s="20" t="s">
        <v>151</v>
      </c>
      <c r="ED498" s="19" t="s">
        <v>151</v>
      </c>
      <c r="EE498" s="21">
        <v>349</v>
      </c>
      <c r="EF498" s="20">
        <v>7</v>
      </c>
      <c r="EG498" s="19">
        <v>2.05</v>
      </c>
      <c r="EH498" s="16" t="s">
        <v>198</v>
      </c>
      <c r="EI498" s="17" t="s">
        <v>151</v>
      </c>
      <c r="EJ498" s="17" t="s">
        <v>151</v>
      </c>
      <c r="EK498" s="18" t="s">
        <v>151</v>
      </c>
      <c r="EL498" s="18" t="s">
        <v>151</v>
      </c>
      <c r="EM498" s="18" t="s">
        <v>151</v>
      </c>
      <c r="EN498" s="18" t="s">
        <v>151</v>
      </c>
      <c r="EO498" s="18" t="s">
        <v>151</v>
      </c>
      <c r="EP498" s="17" t="s">
        <v>151</v>
      </c>
      <c r="EQ498" s="16" t="s">
        <v>151</v>
      </c>
      <c r="ER498" s="16" t="s">
        <v>151</v>
      </c>
      <c r="ES498" s="3">
        <f>HYPERLINK("https://my.pitchbook.com?c=435300-31","View Company Online")</f>
      </c>
    </row>
    <row r="499">
      <c r="A499" s="30" t="s">
        <v>10517</v>
      </c>
      <c r="B499" s="30" t="s">
        <v>10518</v>
      </c>
      <c r="C499" s="31" t="s">
        <v>151</v>
      </c>
      <c r="D499" s="30" t="s">
        <v>10519</v>
      </c>
      <c r="E499" s="30" t="s">
        <v>10520</v>
      </c>
      <c r="F499" s="30" t="s">
        <v>10521</v>
      </c>
      <c r="G499" s="30" t="s">
        <v>151</v>
      </c>
      <c r="H499" s="30" t="s">
        <v>151</v>
      </c>
      <c r="I499" s="30" t="s">
        <v>151</v>
      </c>
      <c r="J499" s="30" t="s">
        <v>10517</v>
      </c>
      <c r="K499" s="30" t="s">
        <v>10522</v>
      </c>
      <c r="L499" s="30" t="s">
        <v>205</v>
      </c>
      <c r="M499" s="30" t="s">
        <v>206</v>
      </c>
      <c r="N499" s="30" t="s">
        <v>917</v>
      </c>
      <c r="O499" s="30" t="s">
        <v>10523</v>
      </c>
      <c r="P499" s="30" t="s">
        <v>1421</v>
      </c>
      <c r="Q499" s="30" t="s">
        <v>10524</v>
      </c>
      <c r="R499" s="30" t="s">
        <v>151</v>
      </c>
      <c r="S499" s="30" t="s">
        <v>162</v>
      </c>
      <c r="T499" s="37">
        <v>4</v>
      </c>
      <c r="U499" s="30" t="s">
        <v>163</v>
      </c>
      <c r="V499" s="30" t="s">
        <v>164</v>
      </c>
      <c r="W499" s="30" t="s">
        <v>165</v>
      </c>
      <c r="X499" s="28" t="s">
        <v>10525</v>
      </c>
      <c r="Y499" s="28" t="s">
        <v>10526</v>
      </c>
      <c r="Z499" s="40">
        <v>13</v>
      </c>
      <c r="AA499" s="30" t="s">
        <v>10527</v>
      </c>
      <c r="AB499" s="30" t="s">
        <v>151</v>
      </c>
      <c r="AC499" s="30" t="s">
        <v>151</v>
      </c>
      <c r="AD499" s="39">
        <v>2018</v>
      </c>
      <c r="AE499" s="30" t="s">
        <v>151</v>
      </c>
      <c r="AF499" s="35">
        <v>45501</v>
      </c>
      <c r="AG499" s="30" t="s">
        <v>151</v>
      </c>
      <c r="AH499" s="30" t="s">
        <v>151</v>
      </c>
      <c r="AI499" s="38" t="s">
        <v>151</v>
      </c>
      <c r="AJ499" s="32" t="s">
        <v>151</v>
      </c>
      <c r="AK499" s="38" t="s">
        <v>151</v>
      </c>
      <c r="AL499" s="38" t="s">
        <v>151</v>
      </c>
      <c r="AM499" s="38" t="s">
        <v>151</v>
      </c>
      <c r="AN499" s="38" t="s">
        <v>151</v>
      </c>
      <c r="AO499" s="38" t="s">
        <v>151</v>
      </c>
      <c r="AP499" s="38" t="s">
        <v>151</v>
      </c>
      <c r="AQ499" s="38" t="s">
        <v>151</v>
      </c>
      <c r="AR499" s="29" t="s">
        <v>151</v>
      </c>
      <c r="AS499" s="30" t="s">
        <v>10528</v>
      </c>
      <c r="AT499" s="30" t="s">
        <v>10529</v>
      </c>
      <c r="AU499" s="31">
        <v>9</v>
      </c>
      <c r="AV499" s="30" t="s">
        <v>151</v>
      </c>
      <c r="AW499" s="30" t="s">
        <v>151</v>
      </c>
      <c r="AX499" s="30" t="s">
        <v>151</v>
      </c>
      <c r="AY499" s="30" t="s">
        <v>10530</v>
      </c>
      <c r="AZ499" s="30" t="s">
        <v>151</v>
      </c>
      <c r="BA499" s="30" t="s">
        <v>151</v>
      </c>
      <c r="BB499" s="30" t="s">
        <v>151</v>
      </c>
      <c r="BC499" s="30" t="s">
        <v>151</v>
      </c>
      <c r="BD499" s="30" t="s">
        <v>10531</v>
      </c>
      <c r="BE499" s="30" t="s">
        <v>10532</v>
      </c>
      <c r="BF499" s="30" t="s">
        <v>221</v>
      </c>
      <c r="BG499" s="30" t="s">
        <v>10533</v>
      </c>
      <c r="BH499" s="30" t="s">
        <v>10534</v>
      </c>
      <c r="BI499" s="30" t="s">
        <v>181</v>
      </c>
      <c r="BJ499" s="30" t="s">
        <v>10535</v>
      </c>
      <c r="BK499" s="30" t="s">
        <v>151</v>
      </c>
      <c r="BL499" s="30" t="s">
        <v>183</v>
      </c>
      <c r="BM499" s="30" t="s">
        <v>184</v>
      </c>
      <c r="BN499" s="29" t="s">
        <v>185</v>
      </c>
      <c r="BO499" s="30" t="s">
        <v>186</v>
      </c>
      <c r="BP499" s="29" t="s">
        <v>10534</v>
      </c>
      <c r="BQ499" s="29" t="s">
        <v>151</v>
      </c>
      <c r="BR499" s="30" t="s">
        <v>151</v>
      </c>
      <c r="BS499" s="30" t="s">
        <v>187</v>
      </c>
      <c r="BT499" s="30" t="s">
        <v>188</v>
      </c>
      <c r="BU499" s="35">
        <v>44543</v>
      </c>
      <c r="BV499" s="37">
        <v>4</v>
      </c>
      <c r="BW499" s="30" t="s">
        <v>192</v>
      </c>
      <c r="BX499" s="37" t="s">
        <v>151</v>
      </c>
      <c r="BY499" s="30" t="s">
        <v>151</v>
      </c>
      <c r="BZ499" s="30" t="s">
        <v>293</v>
      </c>
      <c r="CA499" s="30" t="s">
        <v>293</v>
      </c>
      <c r="CB499" s="30" t="s">
        <v>151</v>
      </c>
      <c r="CC499" s="30" t="s">
        <v>165</v>
      </c>
      <c r="CD499" s="30" t="s">
        <v>151</v>
      </c>
      <c r="CE499" s="30" t="s">
        <v>191</v>
      </c>
      <c r="CF499" s="35">
        <v>44543</v>
      </c>
      <c r="CG499" s="37">
        <v>4</v>
      </c>
      <c r="CH499" s="30" t="s">
        <v>192</v>
      </c>
      <c r="CI499" s="37" t="s">
        <v>151</v>
      </c>
      <c r="CJ499" s="30" t="s">
        <v>151</v>
      </c>
      <c r="CK499" s="29" t="s">
        <v>151</v>
      </c>
      <c r="CL499" s="30" t="s">
        <v>293</v>
      </c>
      <c r="CM499" s="30" t="s">
        <v>293</v>
      </c>
      <c r="CN499" s="30" t="s">
        <v>151</v>
      </c>
      <c r="CO499" s="30" t="s">
        <v>165</v>
      </c>
      <c r="CP499" s="35">
        <v>44543</v>
      </c>
      <c r="CQ499" s="37" t="s">
        <v>151</v>
      </c>
      <c r="CR499" s="30" t="s">
        <v>151</v>
      </c>
      <c r="CS499" s="30" t="s">
        <v>191</v>
      </c>
      <c r="CT499" s="29" t="s">
        <v>151</v>
      </c>
      <c r="CU499" s="30" t="s">
        <v>151</v>
      </c>
      <c r="CV499" s="32" t="s">
        <v>151</v>
      </c>
      <c r="CW499" s="32" t="s">
        <v>151</v>
      </c>
      <c r="CX499" s="30" t="s">
        <v>151</v>
      </c>
      <c r="CY499" s="32" t="s">
        <v>151</v>
      </c>
      <c r="CZ499" s="32" t="s">
        <v>151</v>
      </c>
      <c r="DA499" s="37" t="s">
        <v>151</v>
      </c>
      <c r="DB499" s="35" t="s">
        <v>151</v>
      </c>
      <c r="DC499" s="30" t="s">
        <v>151</v>
      </c>
      <c r="DD499" s="29" t="s">
        <v>151</v>
      </c>
      <c r="DE499" s="32">
        <v>0.12</v>
      </c>
      <c r="DF499" s="34">
        <v>91</v>
      </c>
      <c r="DG499" s="32">
        <v>-0.02</v>
      </c>
      <c r="DH499" s="32">
        <v>-11.6</v>
      </c>
      <c r="DI499" s="32">
        <v>0</v>
      </c>
      <c r="DJ499" s="34">
        <v>10</v>
      </c>
      <c r="DK499" s="32" t="s">
        <v>151</v>
      </c>
      <c r="DL499" s="34" t="s">
        <v>151</v>
      </c>
      <c r="DM499" s="32">
        <v>0</v>
      </c>
      <c r="DN499" s="34">
        <v>10</v>
      </c>
      <c r="DO499" s="36">
        <v>29.63</v>
      </c>
      <c r="DP499" s="34">
        <v>97</v>
      </c>
      <c r="DQ499" s="36">
        <v>0.03</v>
      </c>
      <c r="DR499" s="32">
        <v>0.12</v>
      </c>
      <c r="DS499" s="36">
        <v>4.74</v>
      </c>
      <c r="DT499" s="34">
        <v>81</v>
      </c>
      <c r="DU499" s="36" t="s">
        <v>151</v>
      </c>
      <c r="DV499" s="34" t="s">
        <v>151</v>
      </c>
      <c r="DW499" s="36">
        <v>4.74</v>
      </c>
      <c r="DX499" s="34">
        <v>81</v>
      </c>
      <c r="DY499" s="31" t="s">
        <v>151</v>
      </c>
      <c r="DZ499" s="35" t="s">
        <v>151</v>
      </c>
      <c r="EA499" s="35" t="s">
        <v>151</v>
      </c>
      <c r="EB499" s="34">
        <v>243</v>
      </c>
      <c r="EC499" s="33">
        <v>-4</v>
      </c>
      <c r="ED499" s="32">
        <v>-1.62</v>
      </c>
      <c r="EE499" s="34">
        <v>90</v>
      </c>
      <c r="EF499" s="33">
        <v>0</v>
      </c>
      <c r="EG499" s="32">
        <v>0</v>
      </c>
      <c r="EH499" s="29" t="s">
        <v>198</v>
      </c>
      <c r="EI499" s="30" t="s">
        <v>151</v>
      </c>
      <c r="EJ499" s="30" t="s">
        <v>151</v>
      </c>
      <c r="EK499" s="31" t="s">
        <v>151</v>
      </c>
      <c r="EL499" s="31" t="s">
        <v>151</v>
      </c>
      <c r="EM499" s="31" t="s">
        <v>151</v>
      </c>
      <c r="EN499" s="31" t="s">
        <v>151</v>
      </c>
      <c r="EO499" s="31" t="s">
        <v>151</v>
      </c>
      <c r="EP499" s="30" t="s">
        <v>151</v>
      </c>
      <c r="EQ499" s="29" t="s">
        <v>151</v>
      </c>
      <c r="ER499" s="29" t="s">
        <v>151</v>
      </c>
      <c r="ES499" s="4">
        <f>HYPERLINK("https://my.pitchbook.com?c=434418-94","View Company Online")</f>
      </c>
    </row>
    <row r="500">
      <c r="A500" s="17" t="s">
        <v>10536</v>
      </c>
      <c r="B500" s="17" t="s">
        <v>10537</v>
      </c>
      <c r="C500" s="18" t="s">
        <v>151</v>
      </c>
      <c r="D500" s="17" t="s">
        <v>151</v>
      </c>
      <c r="E500" s="17" t="s">
        <v>10520</v>
      </c>
      <c r="F500" s="17" t="s">
        <v>10538</v>
      </c>
      <c r="G500" s="17" t="s">
        <v>151</v>
      </c>
      <c r="H500" s="17" t="s">
        <v>151</v>
      </c>
      <c r="I500" s="17" t="s">
        <v>151</v>
      </c>
      <c r="J500" s="17" t="s">
        <v>10536</v>
      </c>
      <c r="K500" s="17" t="s">
        <v>10539</v>
      </c>
      <c r="L500" s="17" t="s">
        <v>205</v>
      </c>
      <c r="M500" s="17" t="s">
        <v>206</v>
      </c>
      <c r="N500" s="17" t="s">
        <v>917</v>
      </c>
      <c r="O500" s="17" t="s">
        <v>3476</v>
      </c>
      <c r="P500" s="17" t="s">
        <v>2509</v>
      </c>
      <c r="Q500" s="17" t="s">
        <v>10540</v>
      </c>
      <c r="R500" s="17" t="s">
        <v>151</v>
      </c>
      <c r="S500" s="17" t="s">
        <v>162</v>
      </c>
      <c r="T500" s="24">
        <v>3.8</v>
      </c>
      <c r="U500" s="17" t="s">
        <v>163</v>
      </c>
      <c r="V500" s="17" t="s">
        <v>164</v>
      </c>
      <c r="W500" s="17" t="s">
        <v>165</v>
      </c>
      <c r="X500" s="15" t="s">
        <v>10541</v>
      </c>
      <c r="Y500" s="15" t="s">
        <v>10542</v>
      </c>
      <c r="Z500" s="27">
        <v>4</v>
      </c>
      <c r="AA500" s="17" t="s">
        <v>10543</v>
      </c>
      <c r="AB500" s="17" t="s">
        <v>151</v>
      </c>
      <c r="AC500" s="17" t="s">
        <v>151</v>
      </c>
      <c r="AD500" s="26">
        <v>2019</v>
      </c>
      <c r="AE500" s="17" t="s">
        <v>151</v>
      </c>
      <c r="AF500" s="22">
        <v>45421</v>
      </c>
      <c r="AG500" s="17" t="s">
        <v>151</v>
      </c>
      <c r="AH500" s="17" t="s">
        <v>151</v>
      </c>
      <c r="AI500" s="25" t="s">
        <v>151</v>
      </c>
      <c r="AJ500" s="19" t="s">
        <v>151</v>
      </c>
      <c r="AK500" s="25" t="s">
        <v>151</v>
      </c>
      <c r="AL500" s="25" t="s">
        <v>151</v>
      </c>
      <c r="AM500" s="25" t="s">
        <v>151</v>
      </c>
      <c r="AN500" s="25" t="s">
        <v>151</v>
      </c>
      <c r="AO500" s="25" t="s">
        <v>151</v>
      </c>
      <c r="AP500" s="25" t="s">
        <v>151</v>
      </c>
      <c r="AQ500" s="25" t="s">
        <v>151</v>
      </c>
      <c r="AR500" s="16" t="s">
        <v>151</v>
      </c>
      <c r="AS500" s="17" t="s">
        <v>10544</v>
      </c>
      <c r="AT500" s="17" t="s">
        <v>10545</v>
      </c>
      <c r="AU500" s="18">
        <v>24</v>
      </c>
      <c r="AV500" s="17" t="s">
        <v>151</v>
      </c>
      <c r="AW500" s="17" t="s">
        <v>151</v>
      </c>
      <c r="AX500" s="17" t="s">
        <v>151</v>
      </c>
      <c r="AY500" s="17" t="s">
        <v>10546</v>
      </c>
      <c r="AZ500" s="17" t="s">
        <v>151</v>
      </c>
      <c r="BA500" s="17" t="s">
        <v>151</v>
      </c>
      <c r="BB500" s="17" t="s">
        <v>151</v>
      </c>
      <c r="BC500" s="17" t="s">
        <v>151</v>
      </c>
      <c r="BD500" s="17" t="s">
        <v>10547</v>
      </c>
      <c r="BE500" s="17" t="s">
        <v>10548</v>
      </c>
      <c r="BF500" s="17" t="s">
        <v>931</v>
      </c>
      <c r="BG500" s="17" t="s">
        <v>10549</v>
      </c>
      <c r="BH500" s="17" t="s">
        <v>151</v>
      </c>
      <c r="BI500" s="17" t="s">
        <v>764</v>
      </c>
      <c r="BJ500" s="17" t="s">
        <v>10550</v>
      </c>
      <c r="BK500" s="17" t="s">
        <v>10551</v>
      </c>
      <c r="BL500" s="17" t="s">
        <v>767</v>
      </c>
      <c r="BM500" s="17" t="s">
        <v>184</v>
      </c>
      <c r="BN500" s="16" t="s">
        <v>4531</v>
      </c>
      <c r="BO500" s="17" t="s">
        <v>186</v>
      </c>
      <c r="BP500" s="16" t="s">
        <v>151</v>
      </c>
      <c r="BQ500" s="16" t="s">
        <v>151</v>
      </c>
      <c r="BR500" s="17" t="s">
        <v>10552</v>
      </c>
      <c r="BS500" s="17" t="s">
        <v>187</v>
      </c>
      <c r="BT500" s="17" t="s">
        <v>188</v>
      </c>
      <c r="BU500" s="22">
        <v>43862</v>
      </c>
      <c r="BV500" s="24">
        <v>3.8</v>
      </c>
      <c r="BW500" s="17" t="s">
        <v>193</v>
      </c>
      <c r="BX500" s="24">
        <v>18.8</v>
      </c>
      <c r="BY500" s="17" t="s">
        <v>192</v>
      </c>
      <c r="BZ500" s="17" t="s">
        <v>293</v>
      </c>
      <c r="CA500" s="17" t="s">
        <v>293</v>
      </c>
      <c r="CB500" s="17" t="s">
        <v>151</v>
      </c>
      <c r="CC500" s="17" t="s">
        <v>165</v>
      </c>
      <c r="CD500" s="17" t="s">
        <v>151</v>
      </c>
      <c r="CE500" s="17" t="s">
        <v>191</v>
      </c>
      <c r="CF500" s="22">
        <v>44175</v>
      </c>
      <c r="CG500" s="24" t="s">
        <v>151</v>
      </c>
      <c r="CH500" s="17" t="s">
        <v>151</v>
      </c>
      <c r="CI500" s="24" t="s">
        <v>151</v>
      </c>
      <c r="CJ500" s="17" t="s">
        <v>151</v>
      </c>
      <c r="CK500" s="16" t="s">
        <v>151</v>
      </c>
      <c r="CL500" s="17" t="s">
        <v>293</v>
      </c>
      <c r="CM500" s="17" t="s">
        <v>293</v>
      </c>
      <c r="CN500" s="17" t="s">
        <v>151</v>
      </c>
      <c r="CO500" s="17" t="s">
        <v>165</v>
      </c>
      <c r="CP500" s="22">
        <v>44175</v>
      </c>
      <c r="CQ500" s="24" t="s">
        <v>151</v>
      </c>
      <c r="CR500" s="17" t="s">
        <v>151</v>
      </c>
      <c r="CS500" s="17" t="s">
        <v>191</v>
      </c>
      <c r="CT500" s="16">
        <v>16</v>
      </c>
      <c r="CU500" s="17" t="s">
        <v>263</v>
      </c>
      <c r="CV500" s="19">
        <v>18</v>
      </c>
      <c r="CW500" s="19">
        <v>82</v>
      </c>
      <c r="CX500" s="17" t="s">
        <v>263</v>
      </c>
      <c r="CY500" s="19">
        <v>1</v>
      </c>
      <c r="CZ500" s="19">
        <v>17</v>
      </c>
      <c r="DA500" s="24">
        <v>18.8</v>
      </c>
      <c r="DB500" s="22">
        <v>43862</v>
      </c>
      <c r="DC500" s="17" t="s">
        <v>293</v>
      </c>
      <c r="DD500" s="16" t="s">
        <v>151</v>
      </c>
      <c r="DE500" s="19">
        <v>0</v>
      </c>
      <c r="DF500" s="21">
        <v>11</v>
      </c>
      <c r="DG500" s="19">
        <v>0</v>
      </c>
      <c r="DH500" s="19">
        <v>0</v>
      </c>
      <c r="DI500" s="19">
        <v>0</v>
      </c>
      <c r="DJ500" s="21">
        <v>10</v>
      </c>
      <c r="DK500" s="19" t="s">
        <v>151</v>
      </c>
      <c r="DL500" s="21" t="s">
        <v>151</v>
      </c>
      <c r="DM500" s="19">
        <v>0</v>
      </c>
      <c r="DN500" s="21">
        <v>10</v>
      </c>
      <c r="DO500" s="23">
        <v>1.29</v>
      </c>
      <c r="DP500" s="21">
        <v>56</v>
      </c>
      <c r="DQ500" s="23">
        <v>0</v>
      </c>
      <c r="DR500" s="19">
        <v>0</v>
      </c>
      <c r="DS500" s="23">
        <v>2.26</v>
      </c>
      <c r="DT500" s="21">
        <v>69</v>
      </c>
      <c r="DU500" s="23" t="s">
        <v>151</v>
      </c>
      <c r="DV500" s="21" t="s">
        <v>151</v>
      </c>
      <c r="DW500" s="23">
        <v>2.26</v>
      </c>
      <c r="DX500" s="21">
        <v>68</v>
      </c>
      <c r="DY500" s="18" t="s">
        <v>151</v>
      </c>
      <c r="DZ500" s="22" t="s">
        <v>151</v>
      </c>
      <c r="EA500" s="22" t="s">
        <v>151</v>
      </c>
      <c r="EB500" s="21" t="s">
        <v>151</v>
      </c>
      <c r="EC500" s="20" t="s">
        <v>151</v>
      </c>
      <c r="ED500" s="19" t="s">
        <v>151</v>
      </c>
      <c r="EE500" s="21">
        <v>43</v>
      </c>
      <c r="EF500" s="20">
        <v>0</v>
      </c>
      <c r="EG500" s="19">
        <v>0</v>
      </c>
      <c r="EH500" s="16" t="s">
        <v>198</v>
      </c>
      <c r="EI500" s="17" t="s">
        <v>151</v>
      </c>
      <c r="EJ500" s="17" t="s">
        <v>151</v>
      </c>
      <c r="EK500" s="18" t="s">
        <v>151</v>
      </c>
      <c r="EL500" s="18" t="s">
        <v>151</v>
      </c>
      <c r="EM500" s="18" t="s">
        <v>151</v>
      </c>
      <c r="EN500" s="18" t="s">
        <v>151</v>
      </c>
      <c r="EO500" s="18" t="s">
        <v>151</v>
      </c>
      <c r="EP500" s="17" t="s">
        <v>151</v>
      </c>
      <c r="EQ500" s="16" t="s">
        <v>151</v>
      </c>
      <c r="ER500" s="16" t="s">
        <v>151</v>
      </c>
      <c r="ES500" s="3">
        <f>HYPERLINK("https://my.pitchbook.com?c=433568-62","View Company Online")</f>
      </c>
    </row>
    <row r="501">
      <c r="A501" s="30" t="s">
        <v>10553</v>
      </c>
      <c r="B501" s="30" t="s">
        <v>10554</v>
      </c>
      <c r="C501" s="31" t="s">
        <v>151</v>
      </c>
      <c r="D501" s="30" t="s">
        <v>151</v>
      </c>
      <c r="E501" s="30" t="s">
        <v>10555</v>
      </c>
      <c r="F501" s="30" t="s">
        <v>10556</v>
      </c>
      <c r="G501" s="30" t="s">
        <v>151</v>
      </c>
      <c r="H501" s="30" t="s">
        <v>151</v>
      </c>
      <c r="I501" s="30" t="s">
        <v>10557</v>
      </c>
      <c r="J501" s="30" t="s">
        <v>10553</v>
      </c>
      <c r="K501" s="30" t="s">
        <v>10558</v>
      </c>
      <c r="L501" s="30" t="s">
        <v>205</v>
      </c>
      <c r="M501" s="30" t="s">
        <v>206</v>
      </c>
      <c r="N501" s="30" t="s">
        <v>269</v>
      </c>
      <c r="O501" s="30" t="s">
        <v>563</v>
      </c>
      <c r="P501" s="30" t="s">
        <v>304</v>
      </c>
      <c r="Q501" s="30" t="s">
        <v>10559</v>
      </c>
      <c r="R501" s="30" t="s">
        <v>151</v>
      </c>
      <c r="S501" s="30" t="s">
        <v>162</v>
      </c>
      <c r="T501" s="37">
        <v>5</v>
      </c>
      <c r="U501" s="30" t="s">
        <v>163</v>
      </c>
      <c r="V501" s="30" t="s">
        <v>164</v>
      </c>
      <c r="W501" s="30" t="s">
        <v>165</v>
      </c>
      <c r="X501" s="28" t="s">
        <v>10560</v>
      </c>
      <c r="Y501" s="28" t="s">
        <v>10561</v>
      </c>
      <c r="Z501" s="40">
        <v>8</v>
      </c>
      <c r="AA501" s="30" t="s">
        <v>10562</v>
      </c>
      <c r="AB501" s="30" t="s">
        <v>151</v>
      </c>
      <c r="AC501" s="30" t="s">
        <v>151</v>
      </c>
      <c r="AD501" s="39">
        <v>2022</v>
      </c>
      <c r="AE501" s="30" t="s">
        <v>151</v>
      </c>
      <c r="AF501" s="35">
        <v>45448</v>
      </c>
      <c r="AG501" s="30" t="s">
        <v>151</v>
      </c>
      <c r="AH501" s="30" t="s">
        <v>151</v>
      </c>
      <c r="AI501" s="38" t="s">
        <v>151</v>
      </c>
      <c r="AJ501" s="32" t="s">
        <v>151</v>
      </c>
      <c r="AK501" s="38" t="s">
        <v>151</v>
      </c>
      <c r="AL501" s="38" t="s">
        <v>151</v>
      </c>
      <c r="AM501" s="38" t="s">
        <v>151</v>
      </c>
      <c r="AN501" s="38" t="s">
        <v>151</v>
      </c>
      <c r="AO501" s="38" t="s">
        <v>151</v>
      </c>
      <c r="AP501" s="38" t="s">
        <v>151</v>
      </c>
      <c r="AQ501" s="38" t="s">
        <v>151</v>
      </c>
      <c r="AR501" s="29" t="s">
        <v>151</v>
      </c>
      <c r="AS501" s="30" t="s">
        <v>10563</v>
      </c>
      <c r="AT501" s="30" t="s">
        <v>10564</v>
      </c>
      <c r="AU501" s="31">
        <v>18</v>
      </c>
      <c r="AV501" s="30" t="s">
        <v>151</v>
      </c>
      <c r="AW501" s="30" t="s">
        <v>151</v>
      </c>
      <c r="AX501" s="30" t="s">
        <v>151</v>
      </c>
      <c r="AY501" s="30" t="s">
        <v>10565</v>
      </c>
      <c r="AZ501" s="30" t="s">
        <v>151</v>
      </c>
      <c r="BA501" s="30" t="s">
        <v>151</v>
      </c>
      <c r="BB501" s="30" t="s">
        <v>151</v>
      </c>
      <c r="BC501" s="30" t="s">
        <v>151</v>
      </c>
      <c r="BD501" s="30" t="s">
        <v>10566</v>
      </c>
      <c r="BE501" s="30" t="s">
        <v>10567</v>
      </c>
      <c r="BF501" s="30" t="s">
        <v>3087</v>
      </c>
      <c r="BG501" s="30" t="s">
        <v>10568</v>
      </c>
      <c r="BH501" s="30" t="s">
        <v>151</v>
      </c>
      <c r="BI501" s="30" t="s">
        <v>906</v>
      </c>
      <c r="BJ501" s="30" t="s">
        <v>10569</v>
      </c>
      <c r="BK501" s="30" t="s">
        <v>10570</v>
      </c>
      <c r="BL501" s="30" t="s">
        <v>259</v>
      </c>
      <c r="BM501" s="30" t="s">
        <v>259</v>
      </c>
      <c r="BN501" s="29" t="s">
        <v>4140</v>
      </c>
      <c r="BO501" s="30" t="s">
        <v>186</v>
      </c>
      <c r="BP501" s="29" t="s">
        <v>151</v>
      </c>
      <c r="BQ501" s="29" t="s">
        <v>151</v>
      </c>
      <c r="BR501" s="30" t="s">
        <v>10571</v>
      </c>
      <c r="BS501" s="30" t="s">
        <v>187</v>
      </c>
      <c r="BT501" s="30" t="s">
        <v>188</v>
      </c>
      <c r="BU501" s="35">
        <v>45448</v>
      </c>
      <c r="BV501" s="37">
        <v>5</v>
      </c>
      <c r="BW501" s="30" t="s">
        <v>192</v>
      </c>
      <c r="BX501" s="37" t="s">
        <v>151</v>
      </c>
      <c r="BY501" s="30" t="s">
        <v>151</v>
      </c>
      <c r="BZ501" s="30" t="s">
        <v>293</v>
      </c>
      <c r="CA501" s="30" t="s">
        <v>293</v>
      </c>
      <c r="CB501" s="30" t="s">
        <v>151</v>
      </c>
      <c r="CC501" s="30" t="s">
        <v>165</v>
      </c>
      <c r="CD501" s="30" t="s">
        <v>151</v>
      </c>
      <c r="CE501" s="30" t="s">
        <v>191</v>
      </c>
      <c r="CF501" s="35">
        <v>45448</v>
      </c>
      <c r="CG501" s="37">
        <v>5</v>
      </c>
      <c r="CH501" s="30" t="s">
        <v>192</v>
      </c>
      <c r="CI501" s="37" t="s">
        <v>151</v>
      </c>
      <c r="CJ501" s="30" t="s">
        <v>151</v>
      </c>
      <c r="CK501" s="29" t="s">
        <v>151</v>
      </c>
      <c r="CL501" s="30" t="s">
        <v>293</v>
      </c>
      <c r="CM501" s="30" t="s">
        <v>293</v>
      </c>
      <c r="CN501" s="30" t="s">
        <v>151</v>
      </c>
      <c r="CO501" s="30" t="s">
        <v>165</v>
      </c>
      <c r="CP501" s="35">
        <v>45448</v>
      </c>
      <c r="CQ501" s="37" t="s">
        <v>151</v>
      </c>
      <c r="CR501" s="30" t="s">
        <v>151</v>
      </c>
      <c r="CS501" s="30" t="s">
        <v>191</v>
      </c>
      <c r="CT501" s="29" t="s">
        <v>151</v>
      </c>
      <c r="CU501" s="30" t="s">
        <v>151</v>
      </c>
      <c r="CV501" s="32" t="s">
        <v>151</v>
      </c>
      <c r="CW501" s="32" t="s">
        <v>151</v>
      </c>
      <c r="CX501" s="30" t="s">
        <v>151</v>
      </c>
      <c r="CY501" s="32" t="s">
        <v>151</v>
      </c>
      <c r="CZ501" s="32" t="s">
        <v>151</v>
      </c>
      <c r="DA501" s="37" t="s">
        <v>151</v>
      </c>
      <c r="DB501" s="35" t="s">
        <v>151</v>
      </c>
      <c r="DC501" s="30" t="s">
        <v>151</v>
      </c>
      <c r="DD501" s="29" t="s">
        <v>151</v>
      </c>
      <c r="DE501" s="32">
        <v>1.5</v>
      </c>
      <c r="DF501" s="34">
        <v>97</v>
      </c>
      <c r="DG501" s="32">
        <v>0</v>
      </c>
      <c r="DH501" s="32">
        <v>0</v>
      </c>
      <c r="DI501" s="32">
        <v>1.22</v>
      </c>
      <c r="DJ501" s="34">
        <v>97</v>
      </c>
      <c r="DK501" s="32" t="s">
        <v>151</v>
      </c>
      <c r="DL501" s="34" t="s">
        <v>151</v>
      </c>
      <c r="DM501" s="32">
        <v>1.22</v>
      </c>
      <c r="DN501" s="34">
        <v>97</v>
      </c>
      <c r="DO501" s="36">
        <v>3.2</v>
      </c>
      <c r="DP501" s="34">
        <v>75</v>
      </c>
      <c r="DQ501" s="36">
        <v>0</v>
      </c>
      <c r="DR501" s="32">
        <v>0</v>
      </c>
      <c r="DS501" s="36">
        <v>5.79</v>
      </c>
      <c r="DT501" s="34">
        <v>84</v>
      </c>
      <c r="DU501" s="36" t="s">
        <v>151</v>
      </c>
      <c r="DV501" s="34" t="s">
        <v>151</v>
      </c>
      <c r="DW501" s="36">
        <v>5.79</v>
      </c>
      <c r="DX501" s="34">
        <v>84</v>
      </c>
      <c r="DY501" s="31" t="s">
        <v>151</v>
      </c>
      <c r="DZ501" s="35" t="s">
        <v>151</v>
      </c>
      <c r="EA501" s="35" t="s">
        <v>151</v>
      </c>
      <c r="EB501" s="34">
        <v>1185</v>
      </c>
      <c r="EC501" s="33">
        <v>-33</v>
      </c>
      <c r="ED501" s="32">
        <v>-2.71</v>
      </c>
      <c r="EE501" s="34">
        <v>110</v>
      </c>
      <c r="EF501" s="33">
        <v>6</v>
      </c>
      <c r="EG501" s="32">
        <v>5.77</v>
      </c>
      <c r="EH501" s="29" t="s">
        <v>198</v>
      </c>
      <c r="EI501" s="30" t="s">
        <v>151</v>
      </c>
      <c r="EJ501" s="30" t="s">
        <v>151</v>
      </c>
      <c r="EK501" s="31" t="s">
        <v>151</v>
      </c>
      <c r="EL501" s="31" t="s">
        <v>151</v>
      </c>
      <c r="EM501" s="31" t="s">
        <v>151</v>
      </c>
      <c r="EN501" s="31" t="s">
        <v>151</v>
      </c>
      <c r="EO501" s="31" t="s">
        <v>151</v>
      </c>
      <c r="EP501" s="30" t="s">
        <v>151</v>
      </c>
      <c r="EQ501" s="29" t="s">
        <v>151</v>
      </c>
      <c r="ER501" s="29" t="s">
        <v>151</v>
      </c>
      <c r="ES501" s="4">
        <f>HYPERLINK("https://my.pitchbook.com?c=530657-83","View Company Online")</f>
      </c>
    </row>
    <row r="502">
      <c r="A502" s="17" t="s">
        <v>10572</v>
      </c>
      <c r="B502" s="17" t="s">
        <v>10573</v>
      </c>
      <c r="C502" s="18" t="s">
        <v>151</v>
      </c>
      <c r="D502" s="17" t="s">
        <v>10574</v>
      </c>
      <c r="E502" s="17" t="s">
        <v>151</v>
      </c>
      <c r="F502" s="17" t="s">
        <v>10575</v>
      </c>
      <c r="G502" s="17" t="s">
        <v>151</v>
      </c>
      <c r="H502" s="17" t="s">
        <v>151</v>
      </c>
      <c r="I502" s="17" t="s">
        <v>151</v>
      </c>
      <c r="J502" s="17" t="s">
        <v>10572</v>
      </c>
      <c r="K502" s="17" t="s">
        <v>10576</v>
      </c>
      <c r="L502" s="17" t="s">
        <v>205</v>
      </c>
      <c r="M502" s="17" t="s">
        <v>206</v>
      </c>
      <c r="N502" s="17" t="s">
        <v>269</v>
      </c>
      <c r="O502" s="17" t="s">
        <v>563</v>
      </c>
      <c r="P502" s="17" t="s">
        <v>304</v>
      </c>
      <c r="Q502" s="17" t="s">
        <v>10577</v>
      </c>
      <c r="R502" s="17" t="s">
        <v>151</v>
      </c>
      <c r="S502" s="17" t="s">
        <v>162</v>
      </c>
      <c r="T502" s="24">
        <v>5.18</v>
      </c>
      <c r="U502" s="17" t="s">
        <v>163</v>
      </c>
      <c r="V502" s="17" t="s">
        <v>164</v>
      </c>
      <c r="W502" s="17" t="s">
        <v>165</v>
      </c>
      <c r="X502" s="15" t="s">
        <v>10578</v>
      </c>
      <c r="Y502" s="15" t="s">
        <v>10579</v>
      </c>
      <c r="Z502" s="27">
        <v>8</v>
      </c>
      <c r="AA502" s="17" t="s">
        <v>3458</v>
      </c>
      <c r="AB502" s="17" t="s">
        <v>151</v>
      </c>
      <c r="AC502" s="17" t="s">
        <v>151</v>
      </c>
      <c r="AD502" s="26">
        <v>2020</v>
      </c>
      <c r="AE502" s="17" t="s">
        <v>151</v>
      </c>
      <c r="AF502" s="22">
        <v>45615</v>
      </c>
      <c r="AG502" s="17" t="s">
        <v>151</v>
      </c>
      <c r="AH502" s="17" t="s">
        <v>10580</v>
      </c>
      <c r="AI502" s="25" t="s">
        <v>151</v>
      </c>
      <c r="AJ502" s="19" t="s">
        <v>151</v>
      </c>
      <c r="AK502" s="25" t="s">
        <v>151</v>
      </c>
      <c r="AL502" s="25" t="s">
        <v>151</v>
      </c>
      <c r="AM502" s="25" t="s">
        <v>151</v>
      </c>
      <c r="AN502" s="25" t="s">
        <v>151</v>
      </c>
      <c r="AO502" s="25" t="s">
        <v>151</v>
      </c>
      <c r="AP502" s="25" t="s">
        <v>151</v>
      </c>
      <c r="AQ502" s="25" t="s">
        <v>151</v>
      </c>
      <c r="AR502" s="16" t="s">
        <v>151</v>
      </c>
      <c r="AS502" s="17" t="s">
        <v>10581</v>
      </c>
      <c r="AT502" s="17" t="s">
        <v>10582</v>
      </c>
      <c r="AU502" s="18">
        <v>6</v>
      </c>
      <c r="AV502" s="17" t="s">
        <v>151</v>
      </c>
      <c r="AW502" s="17" t="s">
        <v>151</v>
      </c>
      <c r="AX502" s="17" t="s">
        <v>151</v>
      </c>
      <c r="AY502" s="17" t="s">
        <v>10583</v>
      </c>
      <c r="AZ502" s="17" t="s">
        <v>151</v>
      </c>
      <c r="BA502" s="17" t="s">
        <v>151</v>
      </c>
      <c r="BB502" s="17" t="s">
        <v>151</v>
      </c>
      <c r="BC502" s="17" t="s">
        <v>151</v>
      </c>
      <c r="BD502" s="17" t="s">
        <v>10584</v>
      </c>
      <c r="BE502" s="17" t="s">
        <v>10585</v>
      </c>
      <c r="BF502" s="17" t="s">
        <v>221</v>
      </c>
      <c r="BG502" s="17" t="s">
        <v>10586</v>
      </c>
      <c r="BH502" s="17" t="s">
        <v>10587</v>
      </c>
      <c r="BI502" s="17" t="s">
        <v>2652</v>
      </c>
      <c r="BJ502" s="17" t="s">
        <v>10588</v>
      </c>
      <c r="BK502" s="17" t="s">
        <v>10589</v>
      </c>
      <c r="BL502" s="17" t="s">
        <v>2654</v>
      </c>
      <c r="BM502" s="17" t="s">
        <v>1576</v>
      </c>
      <c r="BN502" s="16" t="s">
        <v>10590</v>
      </c>
      <c r="BO502" s="17" t="s">
        <v>186</v>
      </c>
      <c r="BP502" s="16" t="s">
        <v>10591</v>
      </c>
      <c r="BQ502" s="16" t="s">
        <v>151</v>
      </c>
      <c r="BR502" s="17" t="s">
        <v>151</v>
      </c>
      <c r="BS502" s="17" t="s">
        <v>187</v>
      </c>
      <c r="BT502" s="17" t="s">
        <v>188</v>
      </c>
      <c r="BU502" s="22">
        <v>44317</v>
      </c>
      <c r="BV502" s="24">
        <v>4.34</v>
      </c>
      <c r="BW502" s="17" t="s">
        <v>192</v>
      </c>
      <c r="BX502" s="24">
        <v>13.34</v>
      </c>
      <c r="BY502" s="17" t="s">
        <v>192</v>
      </c>
      <c r="BZ502" s="17" t="s">
        <v>293</v>
      </c>
      <c r="CA502" s="17" t="s">
        <v>293</v>
      </c>
      <c r="CB502" s="17" t="s">
        <v>151</v>
      </c>
      <c r="CC502" s="17" t="s">
        <v>165</v>
      </c>
      <c r="CD502" s="17" t="s">
        <v>151</v>
      </c>
      <c r="CE502" s="17" t="s">
        <v>191</v>
      </c>
      <c r="CF502" s="22">
        <v>45222</v>
      </c>
      <c r="CG502" s="24">
        <v>0.84</v>
      </c>
      <c r="CH502" s="17" t="s">
        <v>192</v>
      </c>
      <c r="CI502" s="24">
        <v>15.39</v>
      </c>
      <c r="CJ502" s="17" t="s">
        <v>192</v>
      </c>
      <c r="CK502" s="16">
        <v>1.09</v>
      </c>
      <c r="CL502" s="17" t="s">
        <v>293</v>
      </c>
      <c r="CM502" s="17" t="s">
        <v>293</v>
      </c>
      <c r="CN502" s="17" t="s">
        <v>151</v>
      </c>
      <c r="CO502" s="17" t="s">
        <v>165</v>
      </c>
      <c r="CP502" s="22">
        <v>45222</v>
      </c>
      <c r="CQ502" s="24" t="s">
        <v>151</v>
      </c>
      <c r="CR502" s="17" t="s">
        <v>151</v>
      </c>
      <c r="CS502" s="17" t="s">
        <v>191</v>
      </c>
      <c r="CT502" s="16">
        <v>86</v>
      </c>
      <c r="CU502" s="17" t="s">
        <v>196</v>
      </c>
      <c r="CV502" s="19">
        <v>78</v>
      </c>
      <c r="CW502" s="19">
        <v>22</v>
      </c>
      <c r="CX502" s="17" t="s">
        <v>294</v>
      </c>
      <c r="CY502" s="19">
        <v>1</v>
      </c>
      <c r="CZ502" s="19">
        <v>77</v>
      </c>
      <c r="DA502" s="24">
        <v>15.39</v>
      </c>
      <c r="DB502" s="22">
        <v>45222</v>
      </c>
      <c r="DC502" s="17" t="s">
        <v>293</v>
      </c>
      <c r="DD502" s="16">
        <v>1.09</v>
      </c>
      <c r="DE502" s="19">
        <v>0</v>
      </c>
      <c r="DF502" s="21">
        <v>11</v>
      </c>
      <c r="DG502" s="19">
        <v>0</v>
      </c>
      <c r="DH502" s="19">
        <v>0</v>
      </c>
      <c r="DI502" s="19">
        <v>0</v>
      </c>
      <c r="DJ502" s="21">
        <v>10</v>
      </c>
      <c r="DK502" s="19" t="s">
        <v>151</v>
      </c>
      <c r="DL502" s="21" t="s">
        <v>151</v>
      </c>
      <c r="DM502" s="19">
        <v>0</v>
      </c>
      <c r="DN502" s="21">
        <v>10</v>
      </c>
      <c r="DO502" s="23">
        <v>0.89</v>
      </c>
      <c r="DP502" s="21">
        <v>47</v>
      </c>
      <c r="DQ502" s="23">
        <v>0</v>
      </c>
      <c r="DR502" s="19">
        <v>0</v>
      </c>
      <c r="DS502" s="23">
        <v>1.16</v>
      </c>
      <c r="DT502" s="21">
        <v>53</v>
      </c>
      <c r="DU502" s="23" t="s">
        <v>151</v>
      </c>
      <c r="DV502" s="21" t="s">
        <v>151</v>
      </c>
      <c r="DW502" s="23">
        <v>1.16</v>
      </c>
      <c r="DX502" s="21">
        <v>53</v>
      </c>
      <c r="DY502" s="18" t="s">
        <v>151</v>
      </c>
      <c r="DZ502" s="22" t="s">
        <v>151</v>
      </c>
      <c r="EA502" s="22" t="s">
        <v>151</v>
      </c>
      <c r="EB502" s="21">
        <v>409</v>
      </c>
      <c r="EC502" s="20">
        <v>8</v>
      </c>
      <c r="ED502" s="19">
        <v>2</v>
      </c>
      <c r="EE502" s="21">
        <v>22</v>
      </c>
      <c r="EF502" s="20">
        <v>0</v>
      </c>
      <c r="EG502" s="19">
        <v>0</v>
      </c>
      <c r="EH502" s="16" t="s">
        <v>198</v>
      </c>
      <c r="EI502" s="17" t="s">
        <v>151</v>
      </c>
      <c r="EJ502" s="17" t="s">
        <v>151</v>
      </c>
      <c r="EK502" s="18" t="s">
        <v>151</v>
      </c>
      <c r="EL502" s="18" t="s">
        <v>151</v>
      </c>
      <c r="EM502" s="18" t="s">
        <v>151</v>
      </c>
      <c r="EN502" s="18" t="s">
        <v>151</v>
      </c>
      <c r="EO502" s="18" t="s">
        <v>151</v>
      </c>
      <c r="EP502" s="17" t="s">
        <v>151</v>
      </c>
      <c r="EQ502" s="16" t="s">
        <v>151</v>
      </c>
      <c r="ER502" s="16" t="s">
        <v>151</v>
      </c>
      <c r="ES502" s="3">
        <f>HYPERLINK("https://my.pitchbook.com?c=463527-55","View Company Online")</f>
      </c>
    </row>
    <row r="503">
      <c r="A503" s="30" t="s">
        <v>10592</v>
      </c>
      <c r="B503" s="30" t="s">
        <v>10593</v>
      </c>
      <c r="C503" s="31" t="s">
        <v>151</v>
      </c>
      <c r="D503" s="30" t="s">
        <v>151</v>
      </c>
      <c r="E503" s="30" t="s">
        <v>10594</v>
      </c>
      <c r="F503" s="30" t="s">
        <v>10595</v>
      </c>
      <c r="G503" s="30" t="s">
        <v>151</v>
      </c>
      <c r="H503" s="30" t="s">
        <v>151</v>
      </c>
      <c r="I503" s="30" t="s">
        <v>151</v>
      </c>
      <c r="J503" s="30" t="s">
        <v>10592</v>
      </c>
      <c r="K503" s="30" t="s">
        <v>10596</v>
      </c>
      <c r="L503" s="30" t="s">
        <v>205</v>
      </c>
      <c r="M503" s="30" t="s">
        <v>206</v>
      </c>
      <c r="N503" s="30" t="s">
        <v>1268</v>
      </c>
      <c r="O503" s="30" t="s">
        <v>2129</v>
      </c>
      <c r="P503" s="30" t="s">
        <v>1181</v>
      </c>
      <c r="Q503" s="30" t="s">
        <v>10597</v>
      </c>
      <c r="R503" s="30" t="s">
        <v>211</v>
      </c>
      <c r="S503" s="30" t="s">
        <v>162</v>
      </c>
      <c r="T503" s="37">
        <v>2.4</v>
      </c>
      <c r="U503" s="30" t="s">
        <v>1727</v>
      </c>
      <c r="V503" s="30" t="s">
        <v>164</v>
      </c>
      <c r="W503" s="30" t="s">
        <v>165</v>
      </c>
      <c r="X503" s="28" t="s">
        <v>10598</v>
      </c>
      <c r="Y503" s="28" t="s">
        <v>151</v>
      </c>
      <c r="Z503" s="40" t="s">
        <v>151</v>
      </c>
      <c r="AA503" s="30" t="s">
        <v>151</v>
      </c>
      <c r="AB503" s="30" t="s">
        <v>151</v>
      </c>
      <c r="AC503" s="30" t="s">
        <v>151</v>
      </c>
      <c r="AD503" s="39">
        <v>2021</v>
      </c>
      <c r="AE503" s="30" t="s">
        <v>151</v>
      </c>
      <c r="AF503" s="35">
        <v>45302</v>
      </c>
      <c r="AG503" s="30" t="s">
        <v>151</v>
      </c>
      <c r="AH503" s="30" t="s">
        <v>151</v>
      </c>
      <c r="AI503" s="38" t="s">
        <v>151</v>
      </c>
      <c r="AJ503" s="32" t="s">
        <v>151</v>
      </c>
      <c r="AK503" s="38" t="s">
        <v>151</v>
      </c>
      <c r="AL503" s="38" t="s">
        <v>151</v>
      </c>
      <c r="AM503" s="38" t="s">
        <v>151</v>
      </c>
      <c r="AN503" s="38" t="s">
        <v>151</v>
      </c>
      <c r="AO503" s="38" t="s">
        <v>151</v>
      </c>
      <c r="AP503" s="38" t="s">
        <v>151</v>
      </c>
      <c r="AQ503" s="38" t="s">
        <v>151</v>
      </c>
      <c r="AR503" s="29" t="s">
        <v>151</v>
      </c>
      <c r="AS503" s="30" t="s">
        <v>10599</v>
      </c>
      <c r="AT503" s="30" t="s">
        <v>10600</v>
      </c>
      <c r="AU503" s="31">
        <v>2</v>
      </c>
      <c r="AV503" s="30" t="s">
        <v>151</v>
      </c>
      <c r="AW503" s="30" t="s">
        <v>151</v>
      </c>
      <c r="AX503" s="30" t="s">
        <v>151</v>
      </c>
      <c r="AY503" s="30" t="s">
        <v>151</v>
      </c>
      <c r="AZ503" s="30" t="s">
        <v>151</v>
      </c>
      <c r="BA503" s="30" t="s">
        <v>151</v>
      </c>
      <c r="BB503" s="30" t="s">
        <v>151</v>
      </c>
      <c r="BC503" s="30" t="s">
        <v>151</v>
      </c>
      <c r="BD503" s="30" t="s">
        <v>10601</v>
      </c>
      <c r="BE503" s="30" t="s">
        <v>10602</v>
      </c>
      <c r="BF503" s="30" t="s">
        <v>10603</v>
      </c>
      <c r="BG503" s="30" t="s">
        <v>10604</v>
      </c>
      <c r="BH503" s="30" t="s">
        <v>151</v>
      </c>
      <c r="BI503" s="30" t="s">
        <v>151</v>
      </c>
      <c r="BJ503" s="30" t="s">
        <v>151</v>
      </c>
      <c r="BK503" s="30" t="s">
        <v>151</v>
      </c>
      <c r="BL503" s="30" t="s">
        <v>151</v>
      </c>
      <c r="BM503" s="30" t="s">
        <v>151</v>
      </c>
      <c r="BN503" s="29" t="s">
        <v>151</v>
      </c>
      <c r="BO503" s="30" t="s">
        <v>186</v>
      </c>
      <c r="BP503" s="29" t="s">
        <v>151</v>
      </c>
      <c r="BQ503" s="29" t="s">
        <v>151</v>
      </c>
      <c r="BR503" s="30" t="s">
        <v>151</v>
      </c>
      <c r="BS503" s="30" t="s">
        <v>187</v>
      </c>
      <c r="BT503" s="30" t="s">
        <v>188</v>
      </c>
      <c r="BU503" s="35">
        <v>44657</v>
      </c>
      <c r="BV503" s="37">
        <v>2.4</v>
      </c>
      <c r="BW503" s="30" t="s">
        <v>192</v>
      </c>
      <c r="BX503" s="37" t="s">
        <v>151</v>
      </c>
      <c r="BY503" s="30" t="s">
        <v>151</v>
      </c>
      <c r="BZ503" s="30" t="s">
        <v>293</v>
      </c>
      <c r="CA503" s="30" t="s">
        <v>293</v>
      </c>
      <c r="CB503" s="30" t="s">
        <v>151</v>
      </c>
      <c r="CC503" s="30" t="s">
        <v>165</v>
      </c>
      <c r="CD503" s="30" t="s">
        <v>151</v>
      </c>
      <c r="CE503" s="30" t="s">
        <v>191</v>
      </c>
      <c r="CF503" s="35">
        <v>44657</v>
      </c>
      <c r="CG503" s="37">
        <v>2.4</v>
      </c>
      <c r="CH503" s="30" t="s">
        <v>192</v>
      </c>
      <c r="CI503" s="37" t="s">
        <v>151</v>
      </c>
      <c r="CJ503" s="30" t="s">
        <v>151</v>
      </c>
      <c r="CK503" s="29" t="s">
        <v>151</v>
      </c>
      <c r="CL503" s="30" t="s">
        <v>293</v>
      </c>
      <c r="CM503" s="30" t="s">
        <v>293</v>
      </c>
      <c r="CN503" s="30" t="s">
        <v>151</v>
      </c>
      <c r="CO503" s="30" t="s">
        <v>165</v>
      </c>
      <c r="CP503" s="35">
        <v>44657</v>
      </c>
      <c r="CQ503" s="37" t="s">
        <v>151</v>
      </c>
      <c r="CR503" s="30" t="s">
        <v>151</v>
      </c>
      <c r="CS503" s="30" t="s">
        <v>191</v>
      </c>
      <c r="CT503" s="29" t="s">
        <v>151</v>
      </c>
      <c r="CU503" s="30" t="s">
        <v>151</v>
      </c>
      <c r="CV503" s="32" t="s">
        <v>151</v>
      </c>
      <c r="CW503" s="32" t="s">
        <v>151</v>
      </c>
      <c r="CX503" s="30" t="s">
        <v>151</v>
      </c>
      <c r="CY503" s="32" t="s">
        <v>151</v>
      </c>
      <c r="CZ503" s="32" t="s">
        <v>151</v>
      </c>
      <c r="DA503" s="37" t="s">
        <v>151</v>
      </c>
      <c r="DB503" s="35" t="s">
        <v>151</v>
      </c>
      <c r="DC503" s="30" t="s">
        <v>151</v>
      </c>
      <c r="DD503" s="29" t="s">
        <v>151</v>
      </c>
      <c r="DE503" s="32">
        <v>0</v>
      </c>
      <c r="DF503" s="34">
        <v>11</v>
      </c>
      <c r="DG503" s="32">
        <v>0</v>
      </c>
      <c r="DH503" s="32">
        <v>0</v>
      </c>
      <c r="DI503" s="32">
        <v>0</v>
      </c>
      <c r="DJ503" s="34">
        <v>10</v>
      </c>
      <c r="DK503" s="32" t="s">
        <v>151</v>
      </c>
      <c r="DL503" s="34" t="s">
        <v>151</v>
      </c>
      <c r="DM503" s="32">
        <v>0</v>
      </c>
      <c r="DN503" s="34">
        <v>10</v>
      </c>
      <c r="DO503" s="36">
        <v>1.11</v>
      </c>
      <c r="DP503" s="34">
        <v>52</v>
      </c>
      <c r="DQ503" s="36">
        <v>0</v>
      </c>
      <c r="DR503" s="32">
        <v>0</v>
      </c>
      <c r="DS503" s="36">
        <v>1.11</v>
      </c>
      <c r="DT503" s="34">
        <v>52</v>
      </c>
      <c r="DU503" s="36" t="s">
        <v>151</v>
      </c>
      <c r="DV503" s="34" t="s">
        <v>151</v>
      </c>
      <c r="DW503" s="36">
        <v>1.11</v>
      </c>
      <c r="DX503" s="34">
        <v>52</v>
      </c>
      <c r="DY503" s="31" t="s">
        <v>151</v>
      </c>
      <c r="DZ503" s="35" t="s">
        <v>151</v>
      </c>
      <c r="EA503" s="35" t="s">
        <v>151</v>
      </c>
      <c r="EB503" s="34">
        <v>0</v>
      </c>
      <c r="EC503" s="33">
        <v>0</v>
      </c>
      <c r="ED503" s="32">
        <v>0</v>
      </c>
      <c r="EE503" s="34">
        <v>21</v>
      </c>
      <c r="EF503" s="33">
        <v>0</v>
      </c>
      <c r="EG503" s="32">
        <v>0</v>
      </c>
      <c r="EH503" s="29" t="s">
        <v>198</v>
      </c>
      <c r="EI503" s="30" t="s">
        <v>151</v>
      </c>
      <c r="EJ503" s="30" t="s">
        <v>151</v>
      </c>
      <c r="EK503" s="31" t="s">
        <v>151</v>
      </c>
      <c r="EL503" s="31" t="s">
        <v>151</v>
      </c>
      <c r="EM503" s="31" t="s">
        <v>151</v>
      </c>
      <c r="EN503" s="31" t="s">
        <v>151</v>
      </c>
      <c r="EO503" s="31" t="s">
        <v>151</v>
      </c>
      <c r="EP503" s="30" t="s">
        <v>151</v>
      </c>
      <c r="EQ503" s="29" t="s">
        <v>151</v>
      </c>
      <c r="ER503" s="29" t="s">
        <v>151</v>
      </c>
      <c r="ES503" s="4">
        <f>HYPERLINK("https://my.pitchbook.com?c=494679-70","View Company Online")</f>
      </c>
    </row>
    <row r="504">
      <c r="A504" s="17" t="s">
        <v>10605</v>
      </c>
      <c r="B504" s="17" t="s">
        <v>10606</v>
      </c>
      <c r="C504" s="18" t="s">
        <v>151</v>
      </c>
      <c r="D504" s="17" t="s">
        <v>10607</v>
      </c>
      <c r="E504" s="17" t="s">
        <v>151</v>
      </c>
      <c r="F504" s="17" t="s">
        <v>10608</v>
      </c>
      <c r="G504" s="17" t="s">
        <v>151</v>
      </c>
      <c r="H504" s="17" t="s">
        <v>151</v>
      </c>
      <c r="I504" s="17" t="s">
        <v>10609</v>
      </c>
      <c r="J504" s="17" t="s">
        <v>10605</v>
      </c>
      <c r="K504" s="17" t="s">
        <v>10610</v>
      </c>
      <c r="L504" s="17" t="s">
        <v>616</v>
      </c>
      <c r="M504" s="17" t="s">
        <v>834</v>
      </c>
      <c r="N504" s="17" t="s">
        <v>3076</v>
      </c>
      <c r="O504" s="17" t="s">
        <v>10611</v>
      </c>
      <c r="P504" s="17" t="s">
        <v>5652</v>
      </c>
      <c r="Q504" s="17" t="s">
        <v>10612</v>
      </c>
      <c r="R504" s="17" t="s">
        <v>151</v>
      </c>
      <c r="S504" s="17" t="s">
        <v>162</v>
      </c>
      <c r="T504" s="24">
        <v>21.02</v>
      </c>
      <c r="U504" s="17" t="s">
        <v>163</v>
      </c>
      <c r="V504" s="17" t="s">
        <v>164</v>
      </c>
      <c r="W504" s="17" t="s">
        <v>165</v>
      </c>
      <c r="X504" s="15" t="s">
        <v>10613</v>
      </c>
      <c r="Y504" s="15" t="s">
        <v>10614</v>
      </c>
      <c r="Z504" s="27">
        <v>297</v>
      </c>
      <c r="AA504" s="17" t="s">
        <v>10615</v>
      </c>
      <c r="AB504" s="17" t="s">
        <v>151</v>
      </c>
      <c r="AC504" s="17" t="s">
        <v>151</v>
      </c>
      <c r="AD504" s="26">
        <v>2018</v>
      </c>
      <c r="AE504" s="17" t="s">
        <v>151</v>
      </c>
      <c r="AF504" s="22">
        <v>45469</v>
      </c>
      <c r="AG504" s="17" t="s">
        <v>151</v>
      </c>
      <c r="AH504" s="17" t="s">
        <v>151</v>
      </c>
      <c r="AI504" s="25">
        <v>35</v>
      </c>
      <c r="AJ504" s="19" t="s">
        <v>151</v>
      </c>
      <c r="AK504" s="25" t="s">
        <v>151</v>
      </c>
      <c r="AL504" s="25" t="s">
        <v>151</v>
      </c>
      <c r="AM504" s="25" t="s">
        <v>151</v>
      </c>
      <c r="AN504" s="25" t="s">
        <v>151</v>
      </c>
      <c r="AO504" s="25" t="s">
        <v>151</v>
      </c>
      <c r="AP504" s="25" t="s">
        <v>151</v>
      </c>
      <c r="AQ504" s="25" t="s">
        <v>151</v>
      </c>
      <c r="AR504" s="16" t="s">
        <v>170</v>
      </c>
      <c r="AS504" s="17" t="s">
        <v>10616</v>
      </c>
      <c r="AT504" s="17" t="s">
        <v>10617</v>
      </c>
      <c r="AU504" s="18">
        <v>13</v>
      </c>
      <c r="AV504" s="17" t="s">
        <v>151</v>
      </c>
      <c r="AW504" s="17" t="s">
        <v>10618</v>
      </c>
      <c r="AX504" s="17" t="s">
        <v>151</v>
      </c>
      <c r="AY504" s="17" t="s">
        <v>10619</v>
      </c>
      <c r="AZ504" s="17" t="s">
        <v>10620</v>
      </c>
      <c r="BA504" s="17" t="s">
        <v>151</v>
      </c>
      <c r="BB504" s="17" t="s">
        <v>151</v>
      </c>
      <c r="BC504" s="17" t="s">
        <v>151</v>
      </c>
      <c r="BD504" s="17" t="s">
        <v>10621</v>
      </c>
      <c r="BE504" s="17" t="s">
        <v>10622</v>
      </c>
      <c r="BF504" s="17" t="s">
        <v>221</v>
      </c>
      <c r="BG504" s="17" t="s">
        <v>10623</v>
      </c>
      <c r="BH504" s="17" t="s">
        <v>10624</v>
      </c>
      <c r="BI504" s="17" t="s">
        <v>1040</v>
      </c>
      <c r="BJ504" s="17" t="s">
        <v>10625</v>
      </c>
      <c r="BK504" s="17" t="s">
        <v>3134</v>
      </c>
      <c r="BL504" s="17" t="s">
        <v>1042</v>
      </c>
      <c r="BM504" s="17" t="s">
        <v>1043</v>
      </c>
      <c r="BN504" s="16" t="s">
        <v>1044</v>
      </c>
      <c r="BO504" s="17" t="s">
        <v>186</v>
      </c>
      <c r="BP504" s="16" t="s">
        <v>10626</v>
      </c>
      <c r="BQ504" s="16" t="s">
        <v>151</v>
      </c>
      <c r="BR504" s="17" t="s">
        <v>10627</v>
      </c>
      <c r="BS504" s="17" t="s">
        <v>187</v>
      </c>
      <c r="BT504" s="17" t="s">
        <v>188</v>
      </c>
      <c r="BU504" s="22">
        <v>44315</v>
      </c>
      <c r="BV504" s="24">
        <v>0.13</v>
      </c>
      <c r="BW504" s="17" t="s">
        <v>192</v>
      </c>
      <c r="BX504" s="24" t="s">
        <v>151</v>
      </c>
      <c r="BY504" s="17" t="s">
        <v>151</v>
      </c>
      <c r="BZ504" s="17" t="s">
        <v>189</v>
      </c>
      <c r="CA504" s="17" t="s">
        <v>151</v>
      </c>
      <c r="CB504" s="17" t="s">
        <v>151</v>
      </c>
      <c r="CC504" s="17" t="s">
        <v>190</v>
      </c>
      <c r="CD504" s="17" t="s">
        <v>151</v>
      </c>
      <c r="CE504" s="17" t="s">
        <v>191</v>
      </c>
      <c r="CF504" s="22">
        <v>44936</v>
      </c>
      <c r="CG504" s="24">
        <v>18</v>
      </c>
      <c r="CH504" s="17" t="s">
        <v>192</v>
      </c>
      <c r="CI504" s="24">
        <v>98</v>
      </c>
      <c r="CJ504" s="17" t="s">
        <v>192</v>
      </c>
      <c r="CK504" s="16">
        <v>4</v>
      </c>
      <c r="CL504" s="17" t="s">
        <v>194</v>
      </c>
      <c r="CM504" s="17" t="s">
        <v>232</v>
      </c>
      <c r="CN504" s="17" t="s">
        <v>151</v>
      </c>
      <c r="CO504" s="17" t="s">
        <v>165</v>
      </c>
      <c r="CP504" s="22">
        <v>44936</v>
      </c>
      <c r="CQ504" s="24" t="s">
        <v>151</v>
      </c>
      <c r="CR504" s="17" t="s">
        <v>151</v>
      </c>
      <c r="CS504" s="17" t="s">
        <v>191</v>
      </c>
      <c r="CT504" s="16">
        <v>95</v>
      </c>
      <c r="CU504" s="17" t="s">
        <v>196</v>
      </c>
      <c r="CV504" s="19">
        <v>88</v>
      </c>
      <c r="CW504" s="19">
        <v>12</v>
      </c>
      <c r="CX504" s="17" t="s">
        <v>294</v>
      </c>
      <c r="CY504" s="19">
        <v>2</v>
      </c>
      <c r="CZ504" s="19">
        <v>86</v>
      </c>
      <c r="DA504" s="24">
        <v>98</v>
      </c>
      <c r="DB504" s="22">
        <v>44936</v>
      </c>
      <c r="DC504" s="17" t="s">
        <v>194</v>
      </c>
      <c r="DD504" s="16">
        <v>4</v>
      </c>
      <c r="DE504" s="19">
        <v>0.75</v>
      </c>
      <c r="DF504" s="21">
        <v>95</v>
      </c>
      <c r="DG504" s="19">
        <v>0</v>
      </c>
      <c r="DH504" s="19">
        <v>0</v>
      </c>
      <c r="DI504" s="19">
        <v>0.44</v>
      </c>
      <c r="DJ504" s="21">
        <v>95</v>
      </c>
      <c r="DK504" s="19" t="s">
        <v>151</v>
      </c>
      <c r="DL504" s="21" t="s">
        <v>151</v>
      </c>
      <c r="DM504" s="19">
        <v>0.44</v>
      </c>
      <c r="DN504" s="21">
        <v>95</v>
      </c>
      <c r="DO504" s="23">
        <v>18.34</v>
      </c>
      <c r="DP504" s="21">
        <v>94</v>
      </c>
      <c r="DQ504" s="23">
        <v>0</v>
      </c>
      <c r="DR504" s="19">
        <v>0</v>
      </c>
      <c r="DS504" s="23">
        <v>13.84</v>
      </c>
      <c r="DT504" s="21">
        <v>93</v>
      </c>
      <c r="DU504" s="23" t="s">
        <v>151</v>
      </c>
      <c r="DV504" s="21" t="s">
        <v>151</v>
      </c>
      <c r="DW504" s="23">
        <v>13.84</v>
      </c>
      <c r="DX504" s="21">
        <v>92</v>
      </c>
      <c r="DY504" s="18" t="s">
        <v>151</v>
      </c>
      <c r="DZ504" s="22" t="s">
        <v>151</v>
      </c>
      <c r="EA504" s="22" t="s">
        <v>151</v>
      </c>
      <c r="EB504" s="21">
        <v>5738</v>
      </c>
      <c r="EC504" s="20">
        <v>486</v>
      </c>
      <c r="ED504" s="19">
        <v>9.25</v>
      </c>
      <c r="EE504" s="21">
        <v>263</v>
      </c>
      <c r="EF504" s="20">
        <v>2</v>
      </c>
      <c r="EG504" s="19">
        <v>0.77</v>
      </c>
      <c r="EH504" s="16" t="s">
        <v>198</v>
      </c>
      <c r="EI504" s="17" t="s">
        <v>151</v>
      </c>
      <c r="EJ504" s="17" t="s">
        <v>151</v>
      </c>
      <c r="EK504" s="18" t="s">
        <v>151</v>
      </c>
      <c r="EL504" s="18" t="s">
        <v>151</v>
      </c>
      <c r="EM504" s="18" t="s">
        <v>151</v>
      </c>
      <c r="EN504" s="18" t="s">
        <v>151</v>
      </c>
      <c r="EO504" s="18" t="s">
        <v>151</v>
      </c>
      <c r="EP504" s="17" t="s">
        <v>151</v>
      </c>
      <c r="EQ504" s="16" t="s">
        <v>151</v>
      </c>
      <c r="ER504" s="16" t="s">
        <v>151</v>
      </c>
      <c r="ES504" s="3">
        <f>HYPERLINK("https://my.pitchbook.com?c=465435-64","View Company Online")</f>
      </c>
    </row>
    <row r="505">
      <c r="A505" s="30" t="s">
        <v>10628</v>
      </c>
      <c r="B505" s="30" t="s">
        <v>10629</v>
      </c>
      <c r="C505" s="31" t="s">
        <v>151</v>
      </c>
      <c r="D505" s="30" t="s">
        <v>10630</v>
      </c>
      <c r="E505" s="30" t="s">
        <v>10631</v>
      </c>
      <c r="F505" s="30" t="s">
        <v>10632</v>
      </c>
      <c r="G505" s="30" t="s">
        <v>151</v>
      </c>
      <c r="H505" s="30" t="s">
        <v>151</v>
      </c>
      <c r="I505" s="30" t="s">
        <v>151</v>
      </c>
      <c r="J505" s="30" t="s">
        <v>10628</v>
      </c>
      <c r="K505" s="30" t="s">
        <v>10633</v>
      </c>
      <c r="L505" s="30" t="s">
        <v>616</v>
      </c>
      <c r="M505" s="30" t="s">
        <v>834</v>
      </c>
      <c r="N505" s="30" t="s">
        <v>835</v>
      </c>
      <c r="O505" s="30" t="s">
        <v>836</v>
      </c>
      <c r="P505" s="30" t="s">
        <v>10634</v>
      </c>
      <c r="Q505" s="30" t="s">
        <v>10635</v>
      </c>
      <c r="R505" s="30" t="s">
        <v>151</v>
      </c>
      <c r="S505" s="30" t="s">
        <v>162</v>
      </c>
      <c r="T505" s="37">
        <v>4.61</v>
      </c>
      <c r="U505" s="30" t="s">
        <v>163</v>
      </c>
      <c r="V505" s="30" t="s">
        <v>164</v>
      </c>
      <c r="W505" s="30" t="s">
        <v>165</v>
      </c>
      <c r="X505" s="28" t="s">
        <v>10636</v>
      </c>
      <c r="Y505" s="28" t="s">
        <v>10637</v>
      </c>
      <c r="Z505" s="40">
        <v>10</v>
      </c>
      <c r="AA505" s="30" t="s">
        <v>6436</v>
      </c>
      <c r="AB505" s="30" t="s">
        <v>151</v>
      </c>
      <c r="AC505" s="30" t="s">
        <v>151</v>
      </c>
      <c r="AD505" s="39">
        <v>2021</v>
      </c>
      <c r="AE505" s="30" t="s">
        <v>151</v>
      </c>
      <c r="AF505" s="35">
        <v>45595</v>
      </c>
      <c r="AG505" s="30" t="s">
        <v>151</v>
      </c>
      <c r="AH505" s="30" t="s">
        <v>151</v>
      </c>
      <c r="AI505" s="38" t="s">
        <v>151</v>
      </c>
      <c r="AJ505" s="32" t="s">
        <v>151</v>
      </c>
      <c r="AK505" s="38" t="s">
        <v>151</v>
      </c>
      <c r="AL505" s="38" t="s">
        <v>151</v>
      </c>
      <c r="AM505" s="38" t="s">
        <v>151</v>
      </c>
      <c r="AN505" s="38" t="s">
        <v>151</v>
      </c>
      <c r="AO505" s="38" t="s">
        <v>151</v>
      </c>
      <c r="AP505" s="38" t="s">
        <v>151</v>
      </c>
      <c r="AQ505" s="38" t="s">
        <v>151</v>
      </c>
      <c r="AR505" s="29" t="s">
        <v>151</v>
      </c>
      <c r="AS505" s="30" t="s">
        <v>10638</v>
      </c>
      <c r="AT505" s="30" t="s">
        <v>10639</v>
      </c>
      <c r="AU505" s="31">
        <v>15</v>
      </c>
      <c r="AV505" s="30" t="s">
        <v>151</v>
      </c>
      <c r="AW505" s="30" t="s">
        <v>151</v>
      </c>
      <c r="AX505" s="30" t="s">
        <v>151</v>
      </c>
      <c r="AY505" s="30" t="s">
        <v>10640</v>
      </c>
      <c r="AZ505" s="30" t="s">
        <v>151</v>
      </c>
      <c r="BA505" s="30" t="s">
        <v>151</v>
      </c>
      <c r="BB505" s="30" t="s">
        <v>151</v>
      </c>
      <c r="BC505" s="30" t="s">
        <v>151</v>
      </c>
      <c r="BD505" s="30" t="s">
        <v>10641</v>
      </c>
      <c r="BE505" s="30" t="s">
        <v>10642</v>
      </c>
      <c r="BF505" s="30" t="s">
        <v>546</v>
      </c>
      <c r="BG505" s="30" t="s">
        <v>10643</v>
      </c>
      <c r="BH505" s="30" t="s">
        <v>10644</v>
      </c>
      <c r="BI505" s="30" t="s">
        <v>2652</v>
      </c>
      <c r="BJ505" s="30" t="s">
        <v>10645</v>
      </c>
      <c r="BK505" s="30" t="s">
        <v>10646</v>
      </c>
      <c r="BL505" s="30" t="s">
        <v>2654</v>
      </c>
      <c r="BM505" s="30" t="s">
        <v>1576</v>
      </c>
      <c r="BN505" s="29" t="s">
        <v>3308</v>
      </c>
      <c r="BO505" s="30" t="s">
        <v>186</v>
      </c>
      <c r="BP505" s="29" t="s">
        <v>10644</v>
      </c>
      <c r="BQ505" s="29" t="s">
        <v>151</v>
      </c>
      <c r="BR505" s="30" t="s">
        <v>10647</v>
      </c>
      <c r="BS505" s="30" t="s">
        <v>187</v>
      </c>
      <c r="BT505" s="30" t="s">
        <v>188</v>
      </c>
      <c r="BU505" s="35" t="s">
        <v>151</v>
      </c>
      <c r="BV505" s="37" t="s">
        <v>151</v>
      </c>
      <c r="BW505" s="30" t="s">
        <v>151</v>
      </c>
      <c r="BX505" s="37" t="s">
        <v>151</v>
      </c>
      <c r="BY505" s="30" t="s">
        <v>151</v>
      </c>
      <c r="BZ505" s="30" t="s">
        <v>189</v>
      </c>
      <c r="CA505" s="30" t="s">
        <v>151</v>
      </c>
      <c r="CB505" s="30" t="s">
        <v>151</v>
      </c>
      <c r="CC505" s="30" t="s">
        <v>190</v>
      </c>
      <c r="CD505" s="30" t="s">
        <v>151</v>
      </c>
      <c r="CE505" s="30" t="s">
        <v>191</v>
      </c>
      <c r="CF505" s="35">
        <v>45391</v>
      </c>
      <c r="CG505" s="37">
        <v>4.46</v>
      </c>
      <c r="CH505" s="30" t="s">
        <v>192</v>
      </c>
      <c r="CI505" s="37">
        <v>10.96</v>
      </c>
      <c r="CJ505" s="30" t="s">
        <v>192</v>
      </c>
      <c r="CK505" s="29" t="s">
        <v>151</v>
      </c>
      <c r="CL505" s="30" t="s">
        <v>293</v>
      </c>
      <c r="CM505" s="30" t="s">
        <v>293</v>
      </c>
      <c r="CN505" s="30" t="s">
        <v>151</v>
      </c>
      <c r="CO505" s="30" t="s">
        <v>165</v>
      </c>
      <c r="CP505" s="35">
        <v>45391</v>
      </c>
      <c r="CQ505" s="37" t="s">
        <v>151</v>
      </c>
      <c r="CR505" s="30" t="s">
        <v>151</v>
      </c>
      <c r="CS505" s="30" t="s">
        <v>191</v>
      </c>
      <c r="CT505" s="29" t="s">
        <v>151</v>
      </c>
      <c r="CU505" s="30" t="s">
        <v>151</v>
      </c>
      <c r="CV505" s="32" t="s">
        <v>151</v>
      </c>
      <c r="CW505" s="32" t="s">
        <v>151</v>
      </c>
      <c r="CX505" s="30" t="s">
        <v>151</v>
      </c>
      <c r="CY505" s="32" t="s">
        <v>151</v>
      </c>
      <c r="CZ505" s="32" t="s">
        <v>151</v>
      </c>
      <c r="DA505" s="37">
        <v>10.96</v>
      </c>
      <c r="DB505" s="35">
        <v>45391</v>
      </c>
      <c r="DC505" s="30" t="s">
        <v>293</v>
      </c>
      <c r="DD505" s="29" t="s">
        <v>151</v>
      </c>
      <c r="DE505" s="32" t="s">
        <v>151</v>
      </c>
      <c r="DF505" s="34" t="s">
        <v>151</v>
      </c>
      <c r="DG505" s="32" t="s">
        <v>151</v>
      </c>
      <c r="DH505" s="32" t="s">
        <v>151</v>
      </c>
      <c r="DI505" s="32" t="s">
        <v>151</v>
      </c>
      <c r="DJ505" s="34" t="s">
        <v>151</v>
      </c>
      <c r="DK505" s="32" t="s">
        <v>151</v>
      </c>
      <c r="DL505" s="34" t="s">
        <v>151</v>
      </c>
      <c r="DM505" s="32" t="s">
        <v>151</v>
      </c>
      <c r="DN505" s="34" t="s">
        <v>151</v>
      </c>
      <c r="DO505" s="36" t="s">
        <v>151</v>
      </c>
      <c r="DP505" s="34" t="s">
        <v>151</v>
      </c>
      <c r="DQ505" s="36" t="s">
        <v>151</v>
      </c>
      <c r="DR505" s="32" t="s">
        <v>151</v>
      </c>
      <c r="DS505" s="36" t="s">
        <v>151</v>
      </c>
      <c r="DT505" s="34" t="s">
        <v>151</v>
      </c>
      <c r="DU505" s="36" t="s">
        <v>151</v>
      </c>
      <c r="DV505" s="34" t="s">
        <v>151</v>
      </c>
      <c r="DW505" s="36" t="s">
        <v>151</v>
      </c>
      <c r="DX505" s="34" t="s">
        <v>151</v>
      </c>
      <c r="DY505" s="31" t="s">
        <v>151</v>
      </c>
      <c r="DZ505" s="35" t="s">
        <v>151</v>
      </c>
      <c r="EA505" s="35" t="s">
        <v>151</v>
      </c>
      <c r="EB505" s="34" t="s">
        <v>151</v>
      </c>
      <c r="EC505" s="33" t="s">
        <v>151</v>
      </c>
      <c r="ED505" s="32" t="s">
        <v>151</v>
      </c>
      <c r="EE505" s="34" t="s">
        <v>151</v>
      </c>
      <c r="EF505" s="33" t="s">
        <v>151</v>
      </c>
      <c r="EG505" s="32" t="s">
        <v>151</v>
      </c>
      <c r="EH505" s="29" t="s">
        <v>198</v>
      </c>
      <c r="EI505" s="30" t="s">
        <v>151</v>
      </c>
      <c r="EJ505" s="30" t="s">
        <v>151</v>
      </c>
      <c r="EK505" s="31" t="s">
        <v>151</v>
      </c>
      <c r="EL505" s="31" t="s">
        <v>151</v>
      </c>
      <c r="EM505" s="31" t="s">
        <v>151</v>
      </c>
      <c r="EN505" s="31" t="s">
        <v>151</v>
      </c>
      <c r="EO505" s="31" t="s">
        <v>151</v>
      </c>
      <c r="EP505" s="30" t="s">
        <v>151</v>
      </c>
      <c r="EQ505" s="29" t="s">
        <v>151</v>
      </c>
      <c r="ER505" s="29" t="s">
        <v>151</v>
      </c>
      <c r="ES505" s="4">
        <f>HYPERLINK("https://my.pitchbook.com?c=495042-04","View Company Online")</f>
      </c>
    </row>
    <row r="506">
      <c r="A506" s="17" t="s">
        <v>10648</v>
      </c>
      <c r="B506" s="17" t="s">
        <v>10649</v>
      </c>
      <c r="C506" s="18" t="s">
        <v>151</v>
      </c>
      <c r="D506" s="17" t="s">
        <v>10650</v>
      </c>
      <c r="E506" s="17" t="s">
        <v>10651</v>
      </c>
      <c r="F506" s="17" t="s">
        <v>10652</v>
      </c>
      <c r="G506" s="17" t="s">
        <v>151</v>
      </c>
      <c r="H506" s="17" t="s">
        <v>151</v>
      </c>
      <c r="I506" s="17" t="s">
        <v>151</v>
      </c>
      <c r="J506" s="17" t="s">
        <v>10648</v>
      </c>
      <c r="K506" s="17" t="s">
        <v>10653</v>
      </c>
      <c r="L506" s="17" t="s">
        <v>205</v>
      </c>
      <c r="M506" s="17" t="s">
        <v>206</v>
      </c>
      <c r="N506" s="17" t="s">
        <v>269</v>
      </c>
      <c r="O506" s="17" t="s">
        <v>10654</v>
      </c>
      <c r="P506" s="17" t="s">
        <v>10655</v>
      </c>
      <c r="Q506" s="17" t="s">
        <v>10656</v>
      </c>
      <c r="R506" s="17" t="s">
        <v>211</v>
      </c>
      <c r="S506" s="17" t="s">
        <v>162</v>
      </c>
      <c r="T506" s="24">
        <v>8.77</v>
      </c>
      <c r="U506" s="17" t="s">
        <v>163</v>
      </c>
      <c r="V506" s="17" t="s">
        <v>164</v>
      </c>
      <c r="W506" s="17" t="s">
        <v>165</v>
      </c>
      <c r="X506" s="15" t="s">
        <v>10657</v>
      </c>
      <c r="Y506" s="15" t="s">
        <v>10658</v>
      </c>
      <c r="Z506" s="27">
        <v>49</v>
      </c>
      <c r="AA506" s="17" t="s">
        <v>10659</v>
      </c>
      <c r="AB506" s="17" t="s">
        <v>151</v>
      </c>
      <c r="AC506" s="17" t="s">
        <v>151</v>
      </c>
      <c r="AD506" s="26">
        <v>2020</v>
      </c>
      <c r="AE506" s="17" t="s">
        <v>151</v>
      </c>
      <c r="AF506" s="22">
        <v>45593</v>
      </c>
      <c r="AG506" s="17" t="s">
        <v>151</v>
      </c>
      <c r="AH506" s="17" t="s">
        <v>151</v>
      </c>
      <c r="AI506" s="25" t="s">
        <v>151</v>
      </c>
      <c r="AJ506" s="19" t="s">
        <v>151</v>
      </c>
      <c r="AK506" s="25" t="s">
        <v>151</v>
      </c>
      <c r="AL506" s="25" t="s">
        <v>151</v>
      </c>
      <c r="AM506" s="25" t="s">
        <v>151</v>
      </c>
      <c r="AN506" s="25" t="s">
        <v>151</v>
      </c>
      <c r="AO506" s="25" t="s">
        <v>151</v>
      </c>
      <c r="AP506" s="25" t="s">
        <v>151</v>
      </c>
      <c r="AQ506" s="25" t="s">
        <v>151</v>
      </c>
      <c r="AR506" s="16" t="s">
        <v>151</v>
      </c>
      <c r="AS506" s="17" t="s">
        <v>10660</v>
      </c>
      <c r="AT506" s="17" t="s">
        <v>10661</v>
      </c>
      <c r="AU506" s="18">
        <v>10</v>
      </c>
      <c r="AV506" s="17" t="s">
        <v>151</v>
      </c>
      <c r="AW506" s="17" t="s">
        <v>151</v>
      </c>
      <c r="AX506" s="17" t="s">
        <v>151</v>
      </c>
      <c r="AY506" s="17" t="s">
        <v>10662</v>
      </c>
      <c r="AZ506" s="17" t="s">
        <v>151</v>
      </c>
      <c r="BA506" s="17" t="s">
        <v>151</v>
      </c>
      <c r="BB506" s="17" t="s">
        <v>151</v>
      </c>
      <c r="BC506" s="17" t="s">
        <v>151</v>
      </c>
      <c r="BD506" s="17" t="s">
        <v>10663</v>
      </c>
      <c r="BE506" s="17" t="s">
        <v>10664</v>
      </c>
      <c r="BF506" s="17" t="s">
        <v>493</v>
      </c>
      <c r="BG506" s="17" t="s">
        <v>151</v>
      </c>
      <c r="BH506" s="17" t="s">
        <v>10665</v>
      </c>
      <c r="BI506" s="17" t="s">
        <v>906</v>
      </c>
      <c r="BJ506" s="17" t="s">
        <v>10666</v>
      </c>
      <c r="BK506" s="17" t="s">
        <v>10667</v>
      </c>
      <c r="BL506" s="17" t="s">
        <v>259</v>
      </c>
      <c r="BM506" s="17" t="s">
        <v>259</v>
      </c>
      <c r="BN506" s="16" t="s">
        <v>1476</v>
      </c>
      <c r="BO506" s="17" t="s">
        <v>186</v>
      </c>
      <c r="BP506" s="16" t="s">
        <v>10668</v>
      </c>
      <c r="BQ506" s="16" t="s">
        <v>151</v>
      </c>
      <c r="BR506" s="17" t="s">
        <v>10669</v>
      </c>
      <c r="BS506" s="17" t="s">
        <v>187</v>
      </c>
      <c r="BT506" s="17" t="s">
        <v>188</v>
      </c>
      <c r="BU506" s="22">
        <v>44488</v>
      </c>
      <c r="BV506" s="24">
        <v>3.77</v>
      </c>
      <c r="BW506" s="17" t="s">
        <v>192</v>
      </c>
      <c r="BX506" s="24">
        <v>23.77</v>
      </c>
      <c r="BY506" s="17" t="s">
        <v>192</v>
      </c>
      <c r="BZ506" s="17" t="s">
        <v>293</v>
      </c>
      <c r="CA506" s="17" t="s">
        <v>293</v>
      </c>
      <c r="CB506" s="17" t="s">
        <v>151</v>
      </c>
      <c r="CC506" s="17" t="s">
        <v>165</v>
      </c>
      <c r="CD506" s="17" t="s">
        <v>151</v>
      </c>
      <c r="CE506" s="17" t="s">
        <v>191</v>
      </c>
      <c r="CF506" s="22">
        <v>45028</v>
      </c>
      <c r="CG506" s="24">
        <v>5</v>
      </c>
      <c r="CH506" s="17" t="s">
        <v>192</v>
      </c>
      <c r="CI506" s="24" t="s">
        <v>151</v>
      </c>
      <c r="CJ506" s="17" t="s">
        <v>151</v>
      </c>
      <c r="CK506" s="16" t="s">
        <v>151</v>
      </c>
      <c r="CL506" s="17" t="s">
        <v>231</v>
      </c>
      <c r="CM506" s="17" t="s">
        <v>151</v>
      </c>
      <c r="CN506" s="17" t="s">
        <v>151</v>
      </c>
      <c r="CO506" s="17" t="s">
        <v>165</v>
      </c>
      <c r="CP506" s="22">
        <v>45028</v>
      </c>
      <c r="CQ506" s="24" t="s">
        <v>151</v>
      </c>
      <c r="CR506" s="17" t="s">
        <v>151</v>
      </c>
      <c r="CS506" s="17" t="s">
        <v>191</v>
      </c>
      <c r="CT506" s="16">
        <v>89</v>
      </c>
      <c r="CU506" s="17" t="s">
        <v>196</v>
      </c>
      <c r="CV506" s="19">
        <v>81</v>
      </c>
      <c r="CW506" s="19">
        <v>19</v>
      </c>
      <c r="CX506" s="17" t="s">
        <v>294</v>
      </c>
      <c r="CY506" s="19">
        <v>1</v>
      </c>
      <c r="CZ506" s="19">
        <v>80</v>
      </c>
      <c r="DA506" s="24">
        <v>23.77</v>
      </c>
      <c r="DB506" s="22">
        <v>44488</v>
      </c>
      <c r="DC506" s="17" t="s">
        <v>293</v>
      </c>
      <c r="DD506" s="16" t="s">
        <v>151</v>
      </c>
      <c r="DE506" s="19">
        <v>0.82</v>
      </c>
      <c r="DF506" s="21">
        <v>95</v>
      </c>
      <c r="DG506" s="19">
        <v>0</v>
      </c>
      <c r="DH506" s="19">
        <v>0</v>
      </c>
      <c r="DI506" s="19">
        <v>1.89</v>
      </c>
      <c r="DJ506" s="21">
        <v>98</v>
      </c>
      <c r="DK506" s="19" t="s">
        <v>151</v>
      </c>
      <c r="DL506" s="21" t="s">
        <v>151</v>
      </c>
      <c r="DM506" s="19">
        <v>1.89</v>
      </c>
      <c r="DN506" s="21">
        <v>98</v>
      </c>
      <c r="DO506" s="23">
        <v>18.41</v>
      </c>
      <c r="DP506" s="21">
        <v>94</v>
      </c>
      <c r="DQ506" s="23">
        <v>0</v>
      </c>
      <c r="DR506" s="19">
        <v>0</v>
      </c>
      <c r="DS506" s="23">
        <v>33.05</v>
      </c>
      <c r="DT506" s="21">
        <v>97</v>
      </c>
      <c r="DU506" s="23" t="s">
        <v>151</v>
      </c>
      <c r="DV506" s="21" t="s">
        <v>151</v>
      </c>
      <c r="DW506" s="23">
        <v>33.05</v>
      </c>
      <c r="DX506" s="21">
        <v>97</v>
      </c>
      <c r="DY506" s="18" t="s">
        <v>151</v>
      </c>
      <c r="DZ506" s="22" t="s">
        <v>151</v>
      </c>
      <c r="EA506" s="22" t="s">
        <v>151</v>
      </c>
      <c r="EB506" s="21">
        <v>11167</v>
      </c>
      <c r="EC506" s="20">
        <v>-423</v>
      </c>
      <c r="ED506" s="19">
        <v>-3.65</v>
      </c>
      <c r="EE506" s="21">
        <v>628</v>
      </c>
      <c r="EF506" s="20">
        <v>5</v>
      </c>
      <c r="EG506" s="19">
        <v>0.8</v>
      </c>
      <c r="EH506" s="16" t="s">
        <v>198</v>
      </c>
      <c r="EI506" s="17" t="s">
        <v>151</v>
      </c>
      <c r="EJ506" s="17" t="s">
        <v>151</v>
      </c>
      <c r="EK506" s="18" t="s">
        <v>151</v>
      </c>
      <c r="EL506" s="18" t="s">
        <v>151</v>
      </c>
      <c r="EM506" s="18" t="s">
        <v>151</v>
      </c>
      <c r="EN506" s="18" t="s">
        <v>151</v>
      </c>
      <c r="EO506" s="18" t="s">
        <v>151</v>
      </c>
      <c r="EP506" s="17" t="s">
        <v>151</v>
      </c>
      <c r="EQ506" s="16" t="s">
        <v>151</v>
      </c>
      <c r="ER506" s="16" t="s">
        <v>151</v>
      </c>
      <c r="ES506" s="3">
        <f>HYPERLINK("https://my.pitchbook.com?c=490856-59","View Company Online")</f>
      </c>
    </row>
    <row r="507">
      <c r="A507" s="30" t="s">
        <v>10670</v>
      </c>
      <c r="B507" s="30" t="s">
        <v>10671</v>
      </c>
      <c r="C507" s="31" t="s">
        <v>151</v>
      </c>
      <c r="D507" s="30" t="s">
        <v>151</v>
      </c>
      <c r="E507" s="30" t="s">
        <v>151</v>
      </c>
      <c r="F507" s="30" t="s">
        <v>151</v>
      </c>
      <c r="G507" s="30" t="s">
        <v>151</v>
      </c>
      <c r="H507" s="30" t="s">
        <v>151</v>
      </c>
      <c r="I507" s="30" t="s">
        <v>151</v>
      </c>
      <c r="J507" s="30" t="s">
        <v>10670</v>
      </c>
      <c r="K507" s="30" t="s">
        <v>10672</v>
      </c>
      <c r="L507" s="30" t="s">
        <v>205</v>
      </c>
      <c r="M507" s="30" t="s">
        <v>206</v>
      </c>
      <c r="N507" s="30" t="s">
        <v>269</v>
      </c>
      <c r="O507" s="30" t="s">
        <v>1651</v>
      </c>
      <c r="P507" s="30" t="s">
        <v>151</v>
      </c>
      <c r="Q507" s="30" t="s">
        <v>10673</v>
      </c>
      <c r="R507" s="30" t="s">
        <v>151</v>
      </c>
      <c r="S507" s="30" t="s">
        <v>162</v>
      </c>
      <c r="T507" s="37">
        <v>0.06</v>
      </c>
      <c r="U507" s="30" t="s">
        <v>1727</v>
      </c>
      <c r="V507" s="30" t="s">
        <v>164</v>
      </c>
      <c r="W507" s="30" t="s">
        <v>165</v>
      </c>
      <c r="X507" s="28" t="s">
        <v>10674</v>
      </c>
      <c r="Y507" s="28" t="s">
        <v>10675</v>
      </c>
      <c r="Z507" s="40" t="s">
        <v>151</v>
      </c>
      <c r="AA507" s="30" t="s">
        <v>151</v>
      </c>
      <c r="AB507" s="30" t="s">
        <v>151</v>
      </c>
      <c r="AC507" s="30" t="s">
        <v>151</v>
      </c>
      <c r="AD507" s="39">
        <v>2023</v>
      </c>
      <c r="AE507" s="30" t="s">
        <v>151</v>
      </c>
      <c r="AF507" s="35">
        <v>45583</v>
      </c>
      <c r="AG507" s="30" t="s">
        <v>151</v>
      </c>
      <c r="AH507" s="30" t="s">
        <v>151</v>
      </c>
      <c r="AI507" s="38" t="s">
        <v>151</v>
      </c>
      <c r="AJ507" s="32" t="s">
        <v>151</v>
      </c>
      <c r="AK507" s="38" t="s">
        <v>151</v>
      </c>
      <c r="AL507" s="38" t="s">
        <v>151</v>
      </c>
      <c r="AM507" s="38" t="s">
        <v>151</v>
      </c>
      <c r="AN507" s="38" t="s">
        <v>151</v>
      </c>
      <c r="AO507" s="38" t="s">
        <v>151</v>
      </c>
      <c r="AP507" s="38" t="s">
        <v>151</v>
      </c>
      <c r="AQ507" s="38" t="s">
        <v>151</v>
      </c>
      <c r="AR507" s="29" t="s">
        <v>151</v>
      </c>
      <c r="AS507" s="30" t="s">
        <v>10676</v>
      </c>
      <c r="AT507" s="30" t="s">
        <v>10677</v>
      </c>
      <c r="AU507" s="31">
        <v>3</v>
      </c>
      <c r="AV507" s="30" t="s">
        <v>151</v>
      </c>
      <c r="AW507" s="30" t="s">
        <v>151</v>
      </c>
      <c r="AX507" s="30" t="s">
        <v>151</v>
      </c>
      <c r="AY507" s="30" t="s">
        <v>10678</v>
      </c>
      <c r="AZ507" s="30" t="s">
        <v>151</v>
      </c>
      <c r="BA507" s="30" t="s">
        <v>151</v>
      </c>
      <c r="BB507" s="30" t="s">
        <v>151</v>
      </c>
      <c r="BC507" s="30" t="s">
        <v>151</v>
      </c>
      <c r="BD507" s="30" t="s">
        <v>10679</v>
      </c>
      <c r="BE507" s="30" t="s">
        <v>10680</v>
      </c>
      <c r="BF507" s="30" t="s">
        <v>178</v>
      </c>
      <c r="BG507" s="30" t="s">
        <v>10681</v>
      </c>
      <c r="BH507" s="30" t="s">
        <v>10682</v>
      </c>
      <c r="BI507" s="30" t="s">
        <v>764</v>
      </c>
      <c r="BJ507" s="30" t="s">
        <v>10683</v>
      </c>
      <c r="BK507" s="30" t="s">
        <v>151</v>
      </c>
      <c r="BL507" s="30" t="s">
        <v>767</v>
      </c>
      <c r="BM507" s="30" t="s">
        <v>184</v>
      </c>
      <c r="BN507" s="29" t="s">
        <v>7178</v>
      </c>
      <c r="BO507" s="30" t="s">
        <v>186</v>
      </c>
      <c r="BP507" s="29" t="s">
        <v>10682</v>
      </c>
      <c r="BQ507" s="29" t="s">
        <v>151</v>
      </c>
      <c r="BR507" s="30" t="s">
        <v>151</v>
      </c>
      <c r="BS507" s="30" t="s">
        <v>187</v>
      </c>
      <c r="BT507" s="30" t="s">
        <v>188</v>
      </c>
      <c r="BU507" s="35">
        <v>45195</v>
      </c>
      <c r="BV507" s="37">
        <v>0.06</v>
      </c>
      <c r="BW507" s="30" t="s">
        <v>192</v>
      </c>
      <c r="BX507" s="37" t="s">
        <v>151</v>
      </c>
      <c r="BY507" s="30" t="s">
        <v>151</v>
      </c>
      <c r="BZ507" s="30" t="s">
        <v>293</v>
      </c>
      <c r="CA507" s="30" t="s">
        <v>293</v>
      </c>
      <c r="CB507" s="30" t="s">
        <v>151</v>
      </c>
      <c r="CC507" s="30" t="s">
        <v>165</v>
      </c>
      <c r="CD507" s="30" t="s">
        <v>151</v>
      </c>
      <c r="CE507" s="30" t="s">
        <v>191</v>
      </c>
      <c r="CF507" s="35">
        <v>45244</v>
      </c>
      <c r="CG507" s="37" t="s">
        <v>151</v>
      </c>
      <c r="CH507" s="30" t="s">
        <v>151</v>
      </c>
      <c r="CI507" s="37" t="s">
        <v>151</v>
      </c>
      <c r="CJ507" s="30" t="s">
        <v>151</v>
      </c>
      <c r="CK507" s="29" t="s">
        <v>151</v>
      </c>
      <c r="CL507" s="30" t="s">
        <v>189</v>
      </c>
      <c r="CM507" s="30" t="s">
        <v>151</v>
      </c>
      <c r="CN507" s="30" t="s">
        <v>151</v>
      </c>
      <c r="CO507" s="30" t="s">
        <v>190</v>
      </c>
      <c r="CP507" s="35">
        <v>45244</v>
      </c>
      <c r="CQ507" s="37" t="s">
        <v>151</v>
      </c>
      <c r="CR507" s="30" t="s">
        <v>151</v>
      </c>
      <c r="CS507" s="30" t="s">
        <v>191</v>
      </c>
      <c r="CT507" s="29" t="s">
        <v>151</v>
      </c>
      <c r="CU507" s="30" t="s">
        <v>151</v>
      </c>
      <c r="CV507" s="32" t="s">
        <v>151</v>
      </c>
      <c r="CW507" s="32" t="s">
        <v>151</v>
      </c>
      <c r="CX507" s="30" t="s">
        <v>151</v>
      </c>
      <c r="CY507" s="32" t="s">
        <v>151</v>
      </c>
      <c r="CZ507" s="32" t="s">
        <v>151</v>
      </c>
      <c r="DA507" s="37" t="s">
        <v>151</v>
      </c>
      <c r="DB507" s="35" t="s">
        <v>151</v>
      </c>
      <c r="DC507" s="30" t="s">
        <v>151</v>
      </c>
      <c r="DD507" s="29" t="s">
        <v>151</v>
      </c>
      <c r="DE507" s="32">
        <v>0</v>
      </c>
      <c r="DF507" s="34">
        <v>11</v>
      </c>
      <c r="DG507" s="32">
        <v>0</v>
      </c>
      <c r="DH507" s="32">
        <v>0</v>
      </c>
      <c r="DI507" s="32">
        <v>0</v>
      </c>
      <c r="DJ507" s="34">
        <v>10</v>
      </c>
      <c r="DK507" s="32" t="s">
        <v>151</v>
      </c>
      <c r="DL507" s="34" t="s">
        <v>151</v>
      </c>
      <c r="DM507" s="32">
        <v>0</v>
      </c>
      <c r="DN507" s="34">
        <v>10</v>
      </c>
      <c r="DO507" s="36">
        <v>0.16</v>
      </c>
      <c r="DP507" s="34">
        <v>9</v>
      </c>
      <c r="DQ507" s="36">
        <v>0</v>
      </c>
      <c r="DR507" s="32">
        <v>0</v>
      </c>
      <c r="DS507" s="36">
        <v>0.16</v>
      </c>
      <c r="DT507" s="34">
        <v>10</v>
      </c>
      <c r="DU507" s="36" t="s">
        <v>151</v>
      </c>
      <c r="DV507" s="34" t="s">
        <v>151</v>
      </c>
      <c r="DW507" s="36">
        <v>0.16</v>
      </c>
      <c r="DX507" s="34">
        <v>10</v>
      </c>
      <c r="DY507" s="31" t="s">
        <v>151</v>
      </c>
      <c r="DZ507" s="35" t="s">
        <v>151</v>
      </c>
      <c r="EA507" s="35" t="s">
        <v>151</v>
      </c>
      <c r="EB507" s="34">
        <v>0</v>
      </c>
      <c r="EC507" s="33">
        <v>0</v>
      </c>
      <c r="ED507" s="32">
        <v>0</v>
      </c>
      <c r="EE507" s="34">
        <v>3</v>
      </c>
      <c r="EF507" s="33">
        <v>0</v>
      </c>
      <c r="EG507" s="32">
        <v>0</v>
      </c>
      <c r="EH507" s="29" t="s">
        <v>198</v>
      </c>
      <c r="EI507" s="30" t="s">
        <v>151</v>
      </c>
      <c r="EJ507" s="30" t="s">
        <v>151</v>
      </c>
      <c r="EK507" s="31" t="s">
        <v>151</v>
      </c>
      <c r="EL507" s="31" t="s">
        <v>151</v>
      </c>
      <c r="EM507" s="31" t="s">
        <v>151</v>
      </c>
      <c r="EN507" s="31" t="s">
        <v>151</v>
      </c>
      <c r="EO507" s="31" t="s">
        <v>151</v>
      </c>
      <c r="EP507" s="30" t="s">
        <v>151</v>
      </c>
      <c r="EQ507" s="29" t="s">
        <v>151</v>
      </c>
      <c r="ER507" s="29" t="s">
        <v>151</v>
      </c>
      <c r="ES507" s="4">
        <f>HYPERLINK("https://my.pitchbook.com?c=531318-70","View Company Online")</f>
      </c>
    </row>
    <row r="508">
      <c r="A508" s="17" t="s">
        <v>10684</v>
      </c>
      <c r="B508" s="17" t="s">
        <v>10685</v>
      </c>
      <c r="C508" s="18" t="s">
        <v>151</v>
      </c>
      <c r="D508" s="17" t="s">
        <v>151</v>
      </c>
      <c r="E508" s="17" t="s">
        <v>151</v>
      </c>
      <c r="F508" s="17" t="s">
        <v>10686</v>
      </c>
      <c r="G508" s="17" t="s">
        <v>151</v>
      </c>
      <c r="H508" s="17" t="s">
        <v>151</v>
      </c>
      <c r="I508" s="17" t="s">
        <v>151</v>
      </c>
      <c r="J508" s="17" t="s">
        <v>10684</v>
      </c>
      <c r="K508" s="17" t="s">
        <v>10687</v>
      </c>
      <c r="L508" s="17" t="s">
        <v>205</v>
      </c>
      <c r="M508" s="17" t="s">
        <v>206</v>
      </c>
      <c r="N508" s="17" t="s">
        <v>1940</v>
      </c>
      <c r="O508" s="17" t="s">
        <v>5396</v>
      </c>
      <c r="P508" s="17" t="s">
        <v>2174</v>
      </c>
      <c r="Q508" s="17" t="s">
        <v>10688</v>
      </c>
      <c r="R508" s="17" t="s">
        <v>151</v>
      </c>
      <c r="S508" s="17" t="s">
        <v>162</v>
      </c>
      <c r="T508" s="24">
        <v>0.78</v>
      </c>
      <c r="U508" s="17" t="s">
        <v>163</v>
      </c>
      <c r="V508" s="17" t="s">
        <v>164</v>
      </c>
      <c r="W508" s="17" t="s">
        <v>165</v>
      </c>
      <c r="X508" s="15" t="s">
        <v>10689</v>
      </c>
      <c r="Y508" s="15" t="s">
        <v>10690</v>
      </c>
      <c r="Z508" s="27">
        <v>9</v>
      </c>
      <c r="AA508" s="17" t="s">
        <v>10691</v>
      </c>
      <c r="AB508" s="17" t="s">
        <v>151</v>
      </c>
      <c r="AC508" s="17" t="s">
        <v>151</v>
      </c>
      <c r="AD508" s="26">
        <v>2021</v>
      </c>
      <c r="AE508" s="17" t="s">
        <v>151</v>
      </c>
      <c r="AF508" s="22">
        <v>45596</v>
      </c>
      <c r="AG508" s="17" t="s">
        <v>151</v>
      </c>
      <c r="AH508" s="17" t="s">
        <v>151</v>
      </c>
      <c r="AI508" s="25" t="s">
        <v>151</v>
      </c>
      <c r="AJ508" s="19" t="s">
        <v>151</v>
      </c>
      <c r="AK508" s="25" t="s">
        <v>151</v>
      </c>
      <c r="AL508" s="25" t="s">
        <v>151</v>
      </c>
      <c r="AM508" s="25" t="s">
        <v>151</v>
      </c>
      <c r="AN508" s="25" t="s">
        <v>151</v>
      </c>
      <c r="AO508" s="25" t="s">
        <v>151</v>
      </c>
      <c r="AP508" s="25" t="s">
        <v>151</v>
      </c>
      <c r="AQ508" s="25" t="s">
        <v>151</v>
      </c>
      <c r="AR508" s="16" t="s">
        <v>151</v>
      </c>
      <c r="AS508" s="17" t="s">
        <v>10692</v>
      </c>
      <c r="AT508" s="17" t="s">
        <v>10693</v>
      </c>
      <c r="AU508" s="18">
        <v>4</v>
      </c>
      <c r="AV508" s="17" t="s">
        <v>151</v>
      </c>
      <c r="AW508" s="17" t="s">
        <v>151</v>
      </c>
      <c r="AX508" s="17" t="s">
        <v>151</v>
      </c>
      <c r="AY508" s="17" t="s">
        <v>10694</v>
      </c>
      <c r="AZ508" s="17" t="s">
        <v>151</v>
      </c>
      <c r="BA508" s="17" t="s">
        <v>151</v>
      </c>
      <c r="BB508" s="17" t="s">
        <v>151</v>
      </c>
      <c r="BC508" s="17" t="s">
        <v>151</v>
      </c>
      <c r="BD508" s="17" t="s">
        <v>10695</v>
      </c>
      <c r="BE508" s="17" t="s">
        <v>10696</v>
      </c>
      <c r="BF508" s="17" t="s">
        <v>221</v>
      </c>
      <c r="BG508" s="17" t="s">
        <v>10697</v>
      </c>
      <c r="BH508" s="17" t="s">
        <v>10698</v>
      </c>
      <c r="BI508" s="17" t="s">
        <v>6102</v>
      </c>
      <c r="BJ508" s="17" t="s">
        <v>10699</v>
      </c>
      <c r="BK508" s="17" t="s">
        <v>10700</v>
      </c>
      <c r="BL508" s="17" t="s">
        <v>6104</v>
      </c>
      <c r="BM508" s="17" t="s">
        <v>184</v>
      </c>
      <c r="BN508" s="16" t="s">
        <v>9024</v>
      </c>
      <c r="BO508" s="17" t="s">
        <v>186</v>
      </c>
      <c r="BP508" s="16" t="s">
        <v>10698</v>
      </c>
      <c r="BQ508" s="16" t="s">
        <v>151</v>
      </c>
      <c r="BR508" s="17" t="s">
        <v>10701</v>
      </c>
      <c r="BS508" s="17" t="s">
        <v>187</v>
      </c>
      <c r="BT508" s="17" t="s">
        <v>188</v>
      </c>
      <c r="BU508" s="22">
        <v>44804</v>
      </c>
      <c r="BV508" s="24">
        <v>0.78</v>
      </c>
      <c r="BW508" s="17" t="s">
        <v>192</v>
      </c>
      <c r="BX508" s="24" t="s">
        <v>151</v>
      </c>
      <c r="BY508" s="17" t="s">
        <v>151</v>
      </c>
      <c r="BZ508" s="17" t="s">
        <v>293</v>
      </c>
      <c r="CA508" s="17" t="s">
        <v>293</v>
      </c>
      <c r="CB508" s="17" t="s">
        <v>151</v>
      </c>
      <c r="CC508" s="17" t="s">
        <v>165</v>
      </c>
      <c r="CD508" s="17" t="s">
        <v>151</v>
      </c>
      <c r="CE508" s="17" t="s">
        <v>191</v>
      </c>
      <c r="CF508" s="22">
        <v>45064</v>
      </c>
      <c r="CG508" s="24" t="s">
        <v>151</v>
      </c>
      <c r="CH508" s="17" t="s">
        <v>151</v>
      </c>
      <c r="CI508" s="24" t="s">
        <v>151</v>
      </c>
      <c r="CJ508" s="17" t="s">
        <v>151</v>
      </c>
      <c r="CK508" s="16" t="s">
        <v>151</v>
      </c>
      <c r="CL508" s="17" t="s">
        <v>189</v>
      </c>
      <c r="CM508" s="17" t="s">
        <v>151</v>
      </c>
      <c r="CN508" s="17" t="s">
        <v>151</v>
      </c>
      <c r="CO508" s="17" t="s">
        <v>190</v>
      </c>
      <c r="CP508" s="22">
        <v>45064</v>
      </c>
      <c r="CQ508" s="24" t="s">
        <v>151</v>
      </c>
      <c r="CR508" s="17" t="s">
        <v>151</v>
      </c>
      <c r="CS508" s="17" t="s">
        <v>191</v>
      </c>
      <c r="CT508" s="16" t="s">
        <v>151</v>
      </c>
      <c r="CU508" s="17" t="s">
        <v>151</v>
      </c>
      <c r="CV508" s="19" t="s">
        <v>151</v>
      </c>
      <c r="CW508" s="19" t="s">
        <v>151</v>
      </c>
      <c r="CX508" s="17" t="s">
        <v>151</v>
      </c>
      <c r="CY508" s="19" t="s">
        <v>151</v>
      </c>
      <c r="CZ508" s="19" t="s">
        <v>151</v>
      </c>
      <c r="DA508" s="24" t="s">
        <v>151</v>
      </c>
      <c r="DB508" s="22" t="s">
        <v>151</v>
      </c>
      <c r="DC508" s="17" t="s">
        <v>151</v>
      </c>
      <c r="DD508" s="16" t="s">
        <v>151</v>
      </c>
      <c r="DE508" s="19">
        <v>1.67</v>
      </c>
      <c r="DF508" s="21">
        <v>98</v>
      </c>
      <c r="DG508" s="19">
        <v>0</v>
      </c>
      <c r="DH508" s="19">
        <v>0</v>
      </c>
      <c r="DI508" s="19">
        <v>0</v>
      </c>
      <c r="DJ508" s="21">
        <v>10</v>
      </c>
      <c r="DK508" s="19" t="s">
        <v>151</v>
      </c>
      <c r="DL508" s="21" t="s">
        <v>151</v>
      </c>
      <c r="DM508" s="19">
        <v>0</v>
      </c>
      <c r="DN508" s="21">
        <v>10</v>
      </c>
      <c r="DO508" s="23">
        <v>0.93</v>
      </c>
      <c r="DP508" s="21">
        <v>48</v>
      </c>
      <c r="DQ508" s="23">
        <v>0</v>
      </c>
      <c r="DR508" s="19">
        <v>0</v>
      </c>
      <c r="DS508" s="23">
        <v>1.16</v>
      </c>
      <c r="DT508" s="21">
        <v>53</v>
      </c>
      <c r="DU508" s="23" t="s">
        <v>151</v>
      </c>
      <c r="DV508" s="21" t="s">
        <v>151</v>
      </c>
      <c r="DW508" s="23">
        <v>1.16</v>
      </c>
      <c r="DX508" s="21">
        <v>53</v>
      </c>
      <c r="DY508" s="18" t="s">
        <v>151</v>
      </c>
      <c r="DZ508" s="22" t="s">
        <v>151</v>
      </c>
      <c r="EA508" s="22" t="s">
        <v>151</v>
      </c>
      <c r="EB508" s="21">
        <v>0</v>
      </c>
      <c r="EC508" s="20">
        <v>0</v>
      </c>
      <c r="ED508" s="19">
        <v>0</v>
      </c>
      <c r="EE508" s="21">
        <v>22</v>
      </c>
      <c r="EF508" s="20">
        <v>0</v>
      </c>
      <c r="EG508" s="19">
        <v>0</v>
      </c>
      <c r="EH508" s="16" t="s">
        <v>198</v>
      </c>
      <c r="EI508" s="17" t="s">
        <v>151</v>
      </c>
      <c r="EJ508" s="17" t="s">
        <v>151</v>
      </c>
      <c r="EK508" s="18" t="s">
        <v>151</v>
      </c>
      <c r="EL508" s="18" t="s">
        <v>151</v>
      </c>
      <c r="EM508" s="18" t="s">
        <v>151</v>
      </c>
      <c r="EN508" s="18" t="s">
        <v>151</v>
      </c>
      <c r="EO508" s="18" t="s">
        <v>151</v>
      </c>
      <c r="EP508" s="17" t="s">
        <v>151</v>
      </c>
      <c r="EQ508" s="16" t="s">
        <v>151</v>
      </c>
      <c r="ER508" s="16" t="s">
        <v>151</v>
      </c>
      <c r="ES508" s="3">
        <f>HYPERLINK("https://my.pitchbook.com?c=510227-11","View Company Online")</f>
      </c>
    </row>
    <row r="509">
      <c r="A509" s="30" t="s">
        <v>10702</v>
      </c>
      <c r="B509" s="30" t="s">
        <v>10703</v>
      </c>
      <c r="C509" s="31" t="s">
        <v>151</v>
      </c>
      <c r="D509" s="30" t="s">
        <v>151</v>
      </c>
      <c r="E509" s="30" t="s">
        <v>10704</v>
      </c>
      <c r="F509" s="30" t="s">
        <v>10705</v>
      </c>
      <c r="G509" s="30" t="s">
        <v>151</v>
      </c>
      <c r="H509" s="30" t="s">
        <v>151</v>
      </c>
      <c r="I509" s="30" t="s">
        <v>151</v>
      </c>
      <c r="J509" s="30" t="s">
        <v>10702</v>
      </c>
      <c r="K509" s="30" t="s">
        <v>10706</v>
      </c>
      <c r="L509" s="30" t="s">
        <v>155</v>
      </c>
      <c r="M509" s="30" t="s">
        <v>361</v>
      </c>
      <c r="N509" s="30" t="s">
        <v>362</v>
      </c>
      <c r="O509" s="30" t="s">
        <v>363</v>
      </c>
      <c r="P509" s="30" t="s">
        <v>2174</v>
      </c>
      <c r="Q509" s="30" t="s">
        <v>10707</v>
      </c>
      <c r="R509" s="30" t="s">
        <v>151</v>
      </c>
      <c r="S509" s="30" t="s">
        <v>162</v>
      </c>
      <c r="T509" s="37">
        <v>50</v>
      </c>
      <c r="U509" s="30" t="s">
        <v>163</v>
      </c>
      <c r="V509" s="30" t="s">
        <v>164</v>
      </c>
      <c r="W509" s="30" t="s">
        <v>165</v>
      </c>
      <c r="X509" s="28" t="s">
        <v>10708</v>
      </c>
      <c r="Y509" s="28" t="s">
        <v>10709</v>
      </c>
      <c r="Z509" s="40">
        <v>120</v>
      </c>
      <c r="AA509" s="30" t="s">
        <v>10710</v>
      </c>
      <c r="AB509" s="30" t="s">
        <v>151</v>
      </c>
      <c r="AC509" s="30" t="s">
        <v>151</v>
      </c>
      <c r="AD509" s="39">
        <v>2022</v>
      </c>
      <c r="AE509" s="30" t="s">
        <v>151</v>
      </c>
      <c r="AF509" s="35">
        <v>45604</v>
      </c>
      <c r="AG509" s="30" t="s">
        <v>151</v>
      </c>
      <c r="AH509" s="30" t="s">
        <v>151</v>
      </c>
      <c r="AI509" s="38" t="s">
        <v>151</v>
      </c>
      <c r="AJ509" s="32" t="s">
        <v>151</v>
      </c>
      <c r="AK509" s="38" t="s">
        <v>151</v>
      </c>
      <c r="AL509" s="38" t="s">
        <v>151</v>
      </c>
      <c r="AM509" s="38" t="s">
        <v>151</v>
      </c>
      <c r="AN509" s="38" t="s">
        <v>151</v>
      </c>
      <c r="AO509" s="38" t="s">
        <v>151</v>
      </c>
      <c r="AP509" s="38" t="s">
        <v>151</v>
      </c>
      <c r="AQ509" s="38" t="s">
        <v>151</v>
      </c>
      <c r="AR509" s="29" t="s">
        <v>151</v>
      </c>
      <c r="AS509" s="30" t="s">
        <v>10711</v>
      </c>
      <c r="AT509" s="30" t="s">
        <v>10712</v>
      </c>
      <c r="AU509" s="31">
        <v>13</v>
      </c>
      <c r="AV509" s="30" t="s">
        <v>151</v>
      </c>
      <c r="AW509" s="30" t="s">
        <v>151</v>
      </c>
      <c r="AX509" s="30" t="s">
        <v>151</v>
      </c>
      <c r="AY509" s="30" t="s">
        <v>10713</v>
      </c>
      <c r="AZ509" s="30" t="s">
        <v>151</v>
      </c>
      <c r="BA509" s="30" t="s">
        <v>151</v>
      </c>
      <c r="BB509" s="30" t="s">
        <v>9001</v>
      </c>
      <c r="BC509" s="30" t="s">
        <v>2424</v>
      </c>
      <c r="BD509" s="30" t="s">
        <v>10714</v>
      </c>
      <c r="BE509" s="30" t="s">
        <v>10715</v>
      </c>
      <c r="BF509" s="30" t="s">
        <v>221</v>
      </c>
      <c r="BG509" s="30" t="s">
        <v>10716</v>
      </c>
      <c r="BH509" s="30" t="s">
        <v>10717</v>
      </c>
      <c r="BI509" s="30" t="s">
        <v>764</v>
      </c>
      <c r="BJ509" s="30" t="s">
        <v>10718</v>
      </c>
      <c r="BK509" s="30" t="s">
        <v>151</v>
      </c>
      <c r="BL509" s="30" t="s">
        <v>767</v>
      </c>
      <c r="BM509" s="30" t="s">
        <v>184</v>
      </c>
      <c r="BN509" s="29" t="s">
        <v>10719</v>
      </c>
      <c r="BO509" s="30" t="s">
        <v>186</v>
      </c>
      <c r="BP509" s="29" t="s">
        <v>10717</v>
      </c>
      <c r="BQ509" s="29" t="s">
        <v>151</v>
      </c>
      <c r="BR509" s="30" t="s">
        <v>10720</v>
      </c>
      <c r="BS509" s="30" t="s">
        <v>187</v>
      </c>
      <c r="BT509" s="30" t="s">
        <v>188</v>
      </c>
      <c r="BU509" s="35">
        <v>44943</v>
      </c>
      <c r="BV509" s="37">
        <v>10</v>
      </c>
      <c r="BW509" s="30" t="s">
        <v>192</v>
      </c>
      <c r="BX509" s="37">
        <v>27</v>
      </c>
      <c r="BY509" s="30" t="s">
        <v>192</v>
      </c>
      <c r="BZ509" s="30" t="s">
        <v>231</v>
      </c>
      <c r="CA509" s="30" t="s">
        <v>232</v>
      </c>
      <c r="CB509" s="30" t="s">
        <v>151</v>
      </c>
      <c r="CC509" s="30" t="s">
        <v>165</v>
      </c>
      <c r="CD509" s="30" t="s">
        <v>151</v>
      </c>
      <c r="CE509" s="30" t="s">
        <v>191</v>
      </c>
      <c r="CF509" s="35">
        <v>45338</v>
      </c>
      <c r="CG509" s="37">
        <v>40</v>
      </c>
      <c r="CH509" s="30" t="s">
        <v>193</v>
      </c>
      <c r="CI509" s="37">
        <v>140</v>
      </c>
      <c r="CJ509" s="30" t="s">
        <v>193</v>
      </c>
      <c r="CK509" s="29">
        <v>3.7</v>
      </c>
      <c r="CL509" s="30" t="s">
        <v>231</v>
      </c>
      <c r="CM509" s="30" t="s">
        <v>326</v>
      </c>
      <c r="CN509" s="30" t="s">
        <v>151</v>
      </c>
      <c r="CO509" s="30" t="s">
        <v>165</v>
      </c>
      <c r="CP509" s="35">
        <v>45338</v>
      </c>
      <c r="CQ509" s="37" t="s">
        <v>151</v>
      </c>
      <c r="CR509" s="30" t="s">
        <v>151</v>
      </c>
      <c r="CS509" s="30" t="s">
        <v>191</v>
      </c>
      <c r="CT509" s="29">
        <v>71</v>
      </c>
      <c r="CU509" s="30" t="s">
        <v>196</v>
      </c>
      <c r="CV509" s="32">
        <v>79</v>
      </c>
      <c r="CW509" s="32">
        <v>21</v>
      </c>
      <c r="CX509" s="30" t="s">
        <v>294</v>
      </c>
      <c r="CY509" s="32">
        <v>24</v>
      </c>
      <c r="CZ509" s="32">
        <v>55</v>
      </c>
      <c r="DA509" s="37">
        <v>140</v>
      </c>
      <c r="DB509" s="35">
        <v>45338</v>
      </c>
      <c r="DC509" s="30" t="s">
        <v>231</v>
      </c>
      <c r="DD509" s="29">
        <v>3.7</v>
      </c>
      <c r="DE509" s="32">
        <v>0.99</v>
      </c>
      <c r="DF509" s="34">
        <v>96</v>
      </c>
      <c r="DG509" s="32">
        <v>0</v>
      </c>
      <c r="DH509" s="32">
        <v>0</v>
      </c>
      <c r="DI509" s="32" t="s">
        <v>151</v>
      </c>
      <c r="DJ509" s="34" t="s">
        <v>151</v>
      </c>
      <c r="DK509" s="32" t="s">
        <v>151</v>
      </c>
      <c r="DL509" s="34" t="s">
        <v>151</v>
      </c>
      <c r="DM509" s="32" t="s">
        <v>151</v>
      </c>
      <c r="DN509" s="34" t="s">
        <v>151</v>
      </c>
      <c r="DO509" s="36">
        <v>9.23</v>
      </c>
      <c r="DP509" s="34">
        <v>89</v>
      </c>
      <c r="DQ509" s="36">
        <v>0</v>
      </c>
      <c r="DR509" s="32">
        <v>0</v>
      </c>
      <c r="DS509" s="36" t="s">
        <v>151</v>
      </c>
      <c r="DT509" s="34" t="s">
        <v>151</v>
      </c>
      <c r="DU509" s="36" t="s">
        <v>151</v>
      </c>
      <c r="DV509" s="34" t="s">
        <v>151</v>
      </c>
      <c r="DW509" s="36" t="s">
        <v>151</v>
      </c>
      <c r="DX509" s="34" t="s">
        <v>151</v>
      </c>
      <c r="DY509" s="31" t="s">
        <v>151</v>
      </c>
      <c r="DZ509" s="35" t="s">
        <v>151</v>
      </c>
      <c r="EA509" s="35" t="s">
        <v>151</v>
      </c>
      <c r="EB509" s="34">
        <v>4413</v>
      </c>
      <c r="EC509" s="33">
        <v>-135</v>
      </c>
      <c r="ED509" s="32">
        <v>-2.97</v>
      </c>
      <c r="EE509" s="34" t="s">
        <v>151</v>
      </c>
      <c r="EF509" s="33" t="s">
        <v>151</v>
      </c>
      <c r="EG509" s="32" t="s">
        <v>151</v>
      </c>
      <c r="EH509" s="29" t="s">
        <v>198</v>
      </c>
      <c r="EI509" s="30" t="s">
        <v>151</v>
      </c>
      <c r="EJ509" s="30" t="s">
        <v>151</v>
      </c>
      <c r="EK509" s="31" t="s">
        <v>151</v>
      </c>
      <c r="EL509" s="31" t="s">
        <v>151</v>
      </c>
      <c r="EM509" s="31" t="s">
        <v>151</v>
      </c>
      <c r="EN509" s="31" t="s">
        <v>151</v>
      </c>
      <c r="EO509" s="31" t="s">
        <v>151</v>
      </c>
      <c r="EP509" s="30" t="s">
        <v>151</v>
      </c>
      <c r="EQ509" s="29" t="s">
        <v>151</v>
      </c>
      <c r="ER509" s="29" t="s">
        <v>151</v>
      </c>
      <c r="ES509" s="4">
        <f>HYPERLINK("https://my.pitchbook.com?c=519333-22","View Company Online")</f>
      </c>
    </row>
    <row r="510">
      <c r="A510" s="17" t="s">
        <v>10721</v>
      </c>
      <c r="B510" s="17" t="s">
        <v>10722</v>
      </c>
      <c r="C510" s="18" t="s">
        <v>151</v>
      </c>
      <c r="D510" s="17" t="s">
        <v>151</v>
      </c>
      <c r="E510" s="17" t="s">
        <v>10704</v>
      </c>
      <c r="F510" s="17" t="s">
        <v>10723</v>
      </c>
      <c r="G510" s="17" t="s">
        <v>151</v>
      </c>
      <c r="H510" s="17" t="s">
        <v>151</v>
      </c>
      <c r="I510" s="17" t="s">
        <v>10724</v>
      </c>
      <c r="J510" s="17" t="s">
        <v>10721</v>
      </c>
      <c r="K510" s="17" t="s">
        <v>10725</v>
      </c>
      <c r="L510" s="17" t="s">
        <v>205</v>
      </c>
      <c r="M510" s="17" t="s">
        <v>206</v>
      </c>
      <c r="N510" s="17" t="s">
        <v>269</v>
      </c>
      <c r="O510" s="17" t="s">
        <v>10726</v>
      </c>
      <c r="P510" s="17" t="s">
        <v>10727</v>
      </c>
      <c r="Q510" s="17" t="s">
        <v>10728</v>
      </c>
      <c r="R510" s="17" t="s">
        <v>151</v>
      </c>
      <c r="S510" s="17" t="s">
        <v>162</v>
      </c>
      <c r="T510" s="24">
        <v>10.05</v>
      </c>
      <c r="U510" s="17" t="s">
        <v>163</v>
      </c>
      <c r="V510" s="17" t="s">
        <v>164</v>
      </c>
      <c r="W510" s="17" t="s">
        <v>165</v>
      </c>
      <c r="X510" s="15" t="s">
        <v>10729</v>
      </c>
      <c r="Y510" s="15" t="s">
        <v>10730</v>
      </c>
      <c r="Z510" s="27">
        <v>29</v>
      </c>
      <c r="AA510" s="17" t="s">
        <v>10731</v>
      </c>
      <c r="AB510" s="17" t="s">
        <v>151</v>
      </c>
      <c r="AC510" s="17" t="s">
        <v>151</v>
      </c>
      <c r="AD510" s="26">
        <v>2021</v>
      </c>
      <c r="AE510" s="17" t="s">
        <v>151</v>
      </c>
      <c r="AF510" s="22">
        <v>45539</v>
      </c>
      <c r="AG510" s="17" t="s">
        <v>151</v>
      </c>
      <c r="AH510" s="17" t="s">
        <v>151</v>
      </c>
      <c r="AI510" s="25" t="s">
        <v>151</v>
      </c>
      <c r="AJ510" s="19" t="s">
        <v>151</v>
      </c>
      <c r="AK510" s="25" t="s">
        <v>151</v>
      </c>
      <c r="AL510" s="25" t="s">
        <v>151</v>
      </c>
      <c r="AM510" s="25" t="s">
        <v>151</v>
      </c>
      <c r="AN510" s="25" t="s">
        <v>151</v>
      </c>
      <c r="AO510" s="25" t="s">
        <v>151</v>
      </c>
      <c r="AP510" s="25" t="s">
        <v>151</v>
      </c>
      <c r="AQ510" s="25" t="s">
        <v>151</v>
      </c>
      <c r="AR510" s="16" t="s">
        <v>151</v>
      </c>
      <c r="AS510" s="17" t="s">
        <v>10732</v>
      </c>
      <c r="AT510" s="17" t="s">
        <v>10733</v>
      </c>
      <c r="AU510" s="18">
        <v>27</v>
      </c>
      <c r="AV510" s="17" t="s">
        <v>151</v>
      </c>
      <c r="AW510" s="17" t="s">
        <v>10734</v>
      </c>
      <c r="AX510" s="17" t="s">
        <v>151</v>
      </c>
      <c r="AY510" s="17" t="s">
        <v>10735</v>
      </c>
      <c r="AZ510" s="17" t="s">
        <v>10736</v>
      </c>
      <c r="BA510" s="17" t="s">
        <v>151</v>
      </c>
      <c r="BB510" s="17" t="s">
        <v>151</v>
      </c>
      <c r="BC510" s="17" t="s">
        <v>10737</v>
      </c>
      <c r="BD510" s="17" t="s">
        <v>10738</v>
      </c>
      <c r="BE510" s="17" t="s">
        <v>10739</v>
      </c>
      <c r="BF510" s="17" t="s">
        <v>221</v>
      </c>
      <c r="BG510" s="17" t="s">
        <v>10740</v>
      </c>
      <c r="BH510" s="17" t="s">
        <v>151</v>
      </c>
      <c r="BI510" s="17" t="s">
        <v>10741</v>
      </c>
      <c r="BJ510" s="17" t="s">
        <v>10742</v>
      </c>
      <c r="BK510" s="17" t="s">
        <v>10743</v>
      </c>
      <c r="BL510" s="17" t="s">
        <v>2888</v>
      </c>
      <c r="BM510" s="17" t="s">
        <v>1388</v>
      </c>
      <c r="BN510" s="16" t="s">
        <v>10744</v>
      </c>
      <c r="BO510" s="17" t="s">
        <v>186</v>
      </c>
      <c r="BP510" s="16" t="s">
        <v>151</v>
      </c>
      <c r="BQ510" s="16" t="s">
        <v>151</v>
      </c>
      <c r="BR510" s="17" t="s">
        <v>10745</v>
      </c>
      <c r="BS510" s="17" t="s">
        <v>187</v>
      </c>
      <c r="BT510" s="17" t="s">
        <v>188</v>
      </c>
      <c r="BU510" s="22">
        <v>44409</v>
      </c>
      <c r="BV510" s="24">
        <v>1.1</v>
      </c>
      <c r="BW510" s="17" t="s">
        <v>192</v>
      </c>
      <c r="BX510" s="24">
        <v>11.1</v>
      </c>
      <c r="BY510" s="17" t="s">
        <v>192</v>
      </c>
      <c r="BZ510" s="17" t="s">
        <v>293</v>
      </c>
      <c r="CA510" s="17" t="s">
        <v>293</v>
      </c>
      <c r="CB510" s="17" t="s">
        <v>151</v>
      </c>
      <c r="CC510" s="17" t="s">
        <v>165</v>
      </c>
      <c r="CD510" s="17" t="s">
        <v>151</v>
      </c>
      <c r="CE510" s="17" t="s">
        <v>191</v>
      </c>
      <c r="CF510" s="22" t="s">
        <v>151</v>
      </c>
      <c r="CG510" s="24" t="s">
        <v>151</v>
      </c>
      <c r="CH510" s="17" t="s">
        <v>151</v>
      </c>
      <c r="CI510" s="24" t="s">
        <v>151</v>
      </c>
      <c r="CJ510" s="17" t="s">
        <v>151</v>
      </c>
      <c r="CK510" s="16">
        <v>3.19</v>
      </c>
      <c r="CL510" s="17" t="s">
        <v>911</v>
      </c>
      <c r="CM510" s="17" t="s">
        <v>151</v>
      </c>
      <c r="CN510" s="17" t="s">
        <v>151</v>
      </c>
      <c r="CO510" s="17" t="s">
        <v>165</v>
      </c>
      <c r="CP510" s="22" t="s">
        <v>151</v>
      </c>
      <c r="CQ510" s="24" t="s">
        <v>151</v>
      </c>
      <c r="CR510" s="17" t="s">
        <v>151</v>
      </c>
      <c r="CS510" s="17" t="s">
        <v>191</v>
      </c>
      <c r="CT510" s="16">
        <v>84</v>
      </c>
      <c r="CU510" s="17" t="s">
        <v>196</v>
      </c>
      <c r="CV510" s="19">
        <v>76</v>
      </c>
      <c r="CW510" s="19">
        <v>24</v>
      </c>
      <c r="CX510" s="17" t="s">
        <v>294</v>
      </c>
      <c r="CY510" s="19">
        <v>1</v>
      </c>
      <c r="CZ510" s="19">
        <v>75</v>
      </c>
      <c r="DA510" s="24">
        <v>77</v>
      </c>
      <c r="DB510" s="22">
        <v>44593</v>
      </c>
      <c r="DC510" s="17" t="s">
        <v>293</v>
      </c>
      <c r="DD510" s="16">
        <v>3.19</v>
      </c>
      <c r="DE510" s="19">
        <v>-0.51</v>
      </c>
      <c r="DF510" s="21">
        <v>7</v>
      </c>
      <c r="DG510" s="19">
        <v>0</v>
      </c>
      <c r="DH510" s="19">
        <v>0</v>
      </c>
      <c r="DI510" s="19">
        <v>-1.02</v>
      </c>
      <c r="DJ510" s="21">
        <v>4</v>
      </c>
      <c r="DK510" s="19" t="s">
        <v>151</v>
      </c>
      <c r="DL510" s="21" t="s">
        <v>151</v>
      </c>
      <c r="DM510" s="19">
        <v>-1.02</v>
      </c>
      <c r="DN510" s="21">
        <v>4</v>
      </c>
      <c r="DO510" s="23">
        <v>5.12</v>
      </c>
      <c r="DP510" s="21">
        <v>83</v>
      </c>
      <c r="DQ510" s="23">
        <v>0</v>
      </c>
      <c r="DR510" s="19">
        <v>0</v>
      </c>
      <c r="DS510" s="23">
        <v>8</v>
      </c>
      <c r="DT510" s="21">
        <v>88</v>
      </c>
      <c r="DU510" s="23" t="s">
        <v>151</v>
      </c>
      <c r="DV510" s="21" t="s">
        <v>151</v>
      </c>
      <c r="DW510" s="23">
        <v>8</v>
      </c>
      <c r="DX510" s="21">
        <v>87</v>
      </c>
      <c r="DY510" s="18" t="s">
        <v>151</v>
      </c>
      <c r="DZ510" s="22" t="s">
        <v>151</v>
      </c>
      <c r="EA510" s="22" t="s">
        <v>151</v>
      </c>
      <c r="EB510" s="21">
        <v>1135</v>
      </c>
      <c r="EC510" s="20">
        <v>8</v>
      </c>
      <c r="ED510" s="19">
        <v>0.71</v>
      </c>
      <c r="EE510" s="21">
        <v>152</v>
      </c>
      <c r="EF510" s="20">
        <v>0</v>
      </c>
      <c r="EG510" s="19">
        <v>0</v>
      </c>
      <c r="EH510" s="16" t="s">
        <v>198</v>
      </c>
      <c r="EI510" s="17" t="s">
        <v>151</v>
      </c>
      <c r="EJ510" s="17" t="s">
        <v>151</v>
      </c>
      <c r="EK510" s="18" t="s">
        <v>151</v>
      </c>
      <c r="EL510" s="18" t="s">
        <v>151</v>
      </c>
      <c r="EM510" s="18" t="s">
        <v>151</v>
      </c>
      <c r="EN510" s="18" t="s">
        <v>151</v>
      </c>
      <c r="EO510" s="18" t="s">
        <v>151</v>
      </c>
      <c r="EP510" s="17" t="s">
        <v>151</v>
      </c>
      <c r="EQ510" s="16" t="s">
        <v>151</v>
      </c>
      <c r="ER510" s="16" t="s">
        <v>151</v>
      </c>
      <c r="ES510" s="3">
        <f>HYPERLINK("https://my.pitchbook.com?c=483725-44","View Company Online")</f>
      </c>
    </row>
    <row r="511">
      <c r="A511" s="30" t="s">
        <v>10746</v>
      </c>
      <c r="B511" s="30" t="s">
        <v>10747</v>
      </c>
      <c r="C511" s="31" t="s">
        <v>151</v>
      </c>
      <c r="D511" s="30" t="s">
        <v>151</v>
      </c>
      <c r="E511" s="30" t="s">
        <v>151</v>
      </c>
      <c r="F511" s="30" t="s">
        <v>10748</v>
      </c>
      <c r="G511" s="30" t="s">
        <v>151</v>
      </c>
      <c r="H511" s="30" t="s">
        <v>151</v>
      </c>
      <c r="I511" s="30" t="s">
        <v>10749</v>
      </c>
      <c r="J511" s="30" t="s">
        <v>10746</v>
      </c>
      <c r="K511" s="30" t="s">
        <v>10750</v>
      </c>
      <c r="L511" s="30" t="s">
        <v>205</v>
      </c>
      <c r="M511" s="30" t="s">
        <v>206</v>
      </c>
      <c r="N511" s="30" t="s">
        <v>269</v>
      </c>
      <c r="O511" s="30" t="s">
        <v>3558</v>
      </c>
      <c r="P511" s="30" t="s">
        <v>10751</v>
      </c>
      <c r="Q511" s="30" t="s">
        <v>10752</v>
      </c>
      <c r="R511" s="30" t="s">
        <v>151</v>
      </c>
      <c r="S511" s="30" t="s">
        <v>162</v>
      </c>
      <c r="T511" s="37">
        <v>1.13</v>
      </c>
      <c r="U511" s="30" t="s">
        <v>163</v>
      </c>
      <c r="V511" s="30" t="s">
        <v>164</v>
      </c>
      <c r="W511" s="30" t="s">
        <v>165</v>
      </c>
      <c r="X511" s="28" t="s">
        <v>10753</v>
      </c>
      <c r="Y511" s="28" t="s">
        <v>10754</v>
      </c>
      <c r="Z511" s="40">
        <v>4</v>
      </c>
      <c r="AA511" s="30" t="s">
        <v>10755</v>
      </c>
      <c r="AB511" s="30" t="s">
        <v>151</v>
      </c>
      <c r="AC511" s="30" t="s">
        <v>151</v>
      </c>
      <c r="AD511" s="39">
        <v>2021</v>
      </c>
      <c r="AE511" s="30" t="s">
        <v>151</v>
      </c>
      <c r="AF511" s="35">
        <v>45537</v>
      </c>
      <c r="AG511" s="30" t="s">
        <v>151</v>
      </c>
      <c r="AH511" s="30" t="s">
        <v>151</v>
      </c>
      <c r="AI511" s="38">
        <v>0.05</v>
      </c>
      <c r="AJ511" s="32" t="s">
        <v>151</v>
      </c>
      <c r="AK511" s="38" t="s">
        <v>151</v>
      </c>
      <c r="AL511" s="38">
        <v>-0.09</v>
      </c>
      <c r="AM511" s="38" t="s">
        <v>151</v>
      </c>
      <c r="AN511" s="38" t="s">
        <v>151</v>
      </c>
      <c r="AO511" s="38" t="s">
        <v>151</v>
      </c>
      <c r="AP511" s="38" t="s">
        <v>151</v>
      </c>
      <c r="AQ511" s="38" t="s">
        <v>151</v>
      </c>
      <c r="AR511" s="29" t="s">
        <v>810</v>
      </c>
      <c r="AS511" s="30" t="s">
        <v>10756</v>
      </c>
      <c r="AT511" s="30" t="s">
        <v>10757</v>
      </c>
      <c r="AU511" s="31">
        <v>9</v>
      </c>
      <c r="AV511" s="30" t="s">
        <v>151</v>
      </c>
      <c r="AW511" s="30" t="s">
        <v>151</v>
      </c>
      <c r="AX511" s="30" t="s">
        <v>151</v>
      </c>
      <c r="AY511" s="30" t="s">
        <v>10758</v>
      </c>
      <c r="AZ511" s="30" t="s">
        <v>151</v>
      </c>
      <c r="BA511" s="30" t="s">
        <v>151</v>
      </c>
      <c r="BB511" s="30" t="s">
        <v>2781</v>
      </c>
      <c r="BC511" s="30" t="s">
        <v>2626</v>
      </c>
      <c r="BD511" s="30" t="s">
        <v>10759</v>
      </c>
      <c r="BE511" s="30" t="s">
        <v>10760</v>
      </c>
      <c r="BF511" s="30" t="s">
        <v>403</v>
      </c>
      <c r="BG511" s="30" t="s">
        <v>10761</v>
      </c>
      <c r="BH511" s="30" t="s">
        <v>151</v>
      </c>
      <c r="BI511" s="30" t="s">
        <v>1068</v>
      </c>
      <c r="BJ511" s="30" t="s">
        <v>10762</v>
      </c>
      <c r="BK511" s="30" t="s">
        <v>151</v>
      </c>
      <c r="BL511" s="30" t="s">
        <v>1071</v>
      </c>
      <c r="BM511" s="30" t="s">
        <v>1072</v>
      </c>
      <c r="BN511" s="29" t="s">
        <v>10763</v>
      </c>
      <c r="BO511" s="30" t="s">
        <v>186</v>
      </c>
      <c r="BP511" s="29" t="s">
        <v>151</v>
      </c>
      <c r="BQ511" s="29" t="s">
        <v>151</v>
      </c>
      <c r="BR511" s="30" t="s">
        <v>10764</v>
      </c>
      <c r="BS511" s="30" t="s">
        <v>187</v>
      </c>
      <c r="BT511" s="30" t="s">
        <v>188</v>
      </c>
      <c r="BU511" s="35">
        <v>44768</v>
      </c>
      <c r="BV511" s="37">
        <v>0.12</v>
      </c>
      <c r="BW511" s="30" t="s">
        <v>192</v>
      </c>
      <c r="BX511" s="37">
        <v>2</v>
      </c>
      <c r="BY511" s="30" t="s">
        <v>192</v>
      </c>
      <c r="BZ511" s="30" t="s">
        <v>189</v>
      </c>
      <c r="CA511" s="30" t="s">
        <v>151</v>
      </c>
      <c r="CB511" s="30" t="s">
        <v>151</v>
      </c>
      <c r="CC511" s="30" t="s">
        <v>190</v>
      </c>
      <c r="CD511" s="30" t="s">
        <v>151</v>
      </c>
      <c r="CE511" s="30" t="s">
        <v>191</v>
      </c>
      <c r="CF511" s="35">
        <v>45200</v>
      </c>
      <c r="CG511" s="37">
        <v>0.01</v>
      </c>
      <c r="CH511" s="30" t="s">
        <v>192</v>
      </c>
      <c r="CI511" s="37" t="s">
        <v>151</v>
      </c>
      <c r="CJ511" s="30" t="s">
        <v>151</v>
      </c>
      <c r="CK511" s="29" t="s">
        <v>151</v>
      </c>
      <c r="CL511" s="30" t="s">
        <v>1363</v>
      </c>
      <c r="CM511" s="30" t="s">
        <v>151</v>
      </c>
      <c r="CN511" s="30" t="s">
        <v>151</v>
      </c>
      <c r="CO511" s="30" t="s">
        <v>585</v>
      </c>
      <c r="CP511" s="35">
        <v>45200</v>
      </c>
      <c r="CQ511" s="37" t="s">
        <v>151</v>
      </c>
      <c r="CR511" s="30" t="s">
        <v>151</v>
      </c>
      <c r="CS511" s="30" t="s">
        <v>191</v>
      </c>
      <c r="CT511" s="29" t="s">
        <v>151</v>
      </c>
      <c r="CU511" s="30" t="s">
        <v>151</v>
      </c>
      <c r="CV511" s="32" t="s">
        <v>151</v>
      </c>
      <c r="CW511" s="32" t="s">
        <v>151</v>
      </c>
      <c r="CX511" s="30" t="s">
        <v>151</v>
      </c>
      <c r="CY511" s="32" t="s">
        <v>151</v>
      </c>
      <c r="CZ511" s="32" t="s">
        <v>151</v>
      </c>
      <c r="DA511" s="37">
        <v>6</v>
      </c>
      <c r="DB511" s="35">
        <v>45107</v>
      </c>
      <c r="DC511" s="30" t="s">
        <v>293</v>
      </c>
      <c r="DD511" s="29" t="s">
        <v>151</v>
      </c>
      <c r="DE511" s="32">
        <v>0</v>
      </c>
      <c r="DF511" s="34">
        <v>11</v>
      </c>
      <c r="DG511" s="32">
        <v>0</v>
      </c>
      <c r="DH511" s="32">
        <v>0</v>
      </c>
      <c r="DI511" s="32">
        <v>0</v>
      </c>
      <c r="DJ511" s="34">
        <v>10</v>
      </c>
      <c r="DK511" s="32" t="s">
        <v>151</v>
      </c>
      <c r="DL511" s="34" t="s">
        <v>151</v>
      </c>
      <c r="DM511" s="32">
        <v>0</v>
      </c>
      <c r="DN511" s="34">
        <v>10</v>
      </c>
      <c r="DO511" s="36">
        <v>1.84</v>
      </c>
      <c r="DP511" s="34">
        <v>64</v>
      </c>
      <c r="DQ511" s="36">
        <v>0</v>
      </c>
      <c r="DR511" s="32">
        <v>0</v>
      </c>
      <c r="DS511" s="36">
        <v>1.84</v>
      </c>
      <c r="DT511" s="34">
        <v>64</v>
      </c>
      <c r="DU511" s="36" t="s">
        <v>151</v>
      </c>
      <c r="DV511" s="34" t="s">
        <v>151</v>
      </c>
      <c r="DW511" s="36">
        <v>1.84</v>
      </c>
      <c r="DX511" s="34">
        <v>64</v>
      </c>
      <c r="DY511" s="31" t="s">
        <v>151</v>
      </c>
      <c r="DZ511" s="35" t="s">
        <v>151</v>
      </c>
      <c r="EA511" s="35" t="s">
        <v>151</v>
      </c>
      <c r="EB511" s="34">
        <v>63</v>
      </c>
      <c r="EC511" s="33">
        <v>63</v>
      </c>
      <c r="ED511" s="32">
        <v>0</v>
      </c>
      <c r="EE511" s="34">
        <v>35</v>
      </c>
      <c r="EF511" s="33">
        <v>0</v>
      </c>
      <c r="EG511" s="32">
        <v>0</v>
      </c>
      <c r="EH511" s="29" t="s">
        <v>198</v>
      </c>
      <c r="EI511" s="30" t="s">
        <v>151</v>
      </c>
      <c r="EJ511" s="30" t="s">
        <v>151</v>
      </c>
      <c r="EK511" s="31" t="s">
        <v>151</v>
      </c>
      <c r="EL511" s="31" t="s">
        <v>151</v>
      </c>
      <c r="EM511" s="31" t="s">
        <v>151</v>
      </c>
      <c r="EN511" s="31" t="s">
        <v>151</v>
      </c>
      <c r="EO511" s="31" t="s">
        <v>151</v>
      </c>
      <c r="EP511" s="30" t="s">
        <v>151</v>
      </c>
      <c r="EQ511" s="29" t="s">
        <v>151</v>
      </c>
      <c r="ER511" s="29" t="s">
        <v>151</v>
      </c>
      <c r="ES511" s="4">
        <f>HYPERLINK("https://my.pitchbook.com?c=500580-55","View Company Online")</f>
      </c>
    </row>
    <row r="512">
      <c r="A512" s="17" t="s">
        <v>10765</v>
      </c>
      <c r="B512" s="17" t="s">
        <v>10766</v>
      </c>
      <c r="C512" s="18" t="s">
        <v>151</v>
      </c>
      <c r="D512" s="17" t="s">
        <v>151</v>
      </c>
      <c r="E512" s="17" t="s">
        <v>151</v>
      </c>
      <c r="F512" s="17" t="s">
        <v>10767</v>
      </c>
      <c r="G512" s="17" t="s">
        <v>151</v>
      </c>
      <c r="H512" s="17" t="s">
        <v>151</v>
      </c>
      <c r="I512" s="17" t="s">
        <v>10768</v>
      </c>
      <c r="J512" s="17" t="s">
        <v>10765</v>
      </c>
      <c r="K512" s="17" t="s">
        <v>10769</v>
      </c>
      <c r="L512" s="17" t="s">
        <v>205</v>
      </c>
      <c r="M512" s="17" t="s">
        <v>206</v>
      </c>
      <c r="N512" s="17" t="s">
        <v>269</v>
      </c>
      <c r="O512" s="17" t="s">
        <v>10770</v>
      </c>
      <c r="P512" s="17" t="s">
        <v>9132</v>
      </c>
      <c r="Q512" s="17" t="s">
        <v>10771</v>
      </c>
      <c r="R512" s="17" t="s">
        <v>151</v>
      </c>
      <c r="S512" s="17" t="s">
        <v>162</v>
      </c>
      <c r="T512" s="24">
        <v>0.12</v>
      </c>
      <c r="U512" s="17" t="s">
        <v>163</v>
      </c>
      <c r="V512" s="17" t="s">
        <v>164</v>
      </c>
      <c r="W512" s="17" t="s">
        <v>165</v>
      </c>
      <c r="X512" s="15" t="s">
        <v>10772</v>
      </c>
      <c r="Y512" s="15" t="s">
        <v>10773</v>
      </c>
      <c r="Z512" s="27">
        <v>2</v>
      </c>
      <c r="AA512" s="17" t="s">
        <v>10774</v>
      </c>
      <c r="AB512" s="17" t="s">
        <v>151</v>
      </c>
      <c r="AC512" s="17" t="s">
        <v>151</v>
      </c>
      <c r="AD512" s="26" t="s">
        <v>151</v>
      </c>
      <c r="AE512" s="17" t="s">
        <v>151</v>
      </c>
      <c r="AF512" s="22">
        <v>45369</v>
      </c>
      <c r="AG512" s="17" t="s">
        <v>151</v>
      </c>
      <c r="AH512" s="17" t="s">
        <v>151</v>
      </c>
      <c r="AI512" s="25" t="s">
        <v>151</v>
      </c>
      <c r="AJ512" s="19" t="s">
        <v>151</v>
      </c>
      <c r="AK512" s="25" t="s">
        <v>151</v>
      </c>
      <c r="AL512" s="25" t="s">
        <v>151</v>
      </c>
      <c r="AM512" s="25" t="s">
        <v>151</v>
      </c>
      <c r="AN512" s="25" t="s">
        <v>151</v>
      </c>
      <c r="AO512" s="25" t="s">
        <v>151</v>
      </c>
      <c r="AP512" s="25" t="s">
        <v>151</v>
      </c>
      <c r="AQ512" s="25" t="s">
        <v>151</v>
      </c>
      <c r="AR512" s="16" t="s">
        <v>151</v>
      </c>
      <c r="AS512" s="17" t="s">
        <v>10775</v>
      </c>
      <c r="AT512" s="17" t="s">
        <v>10776</v>
      </c>
      <c r="AU512" s="18">
        <v>1</v>
      </c>
      <c r="AV512" s="17" t="s">
        <v>151</v>
      </c>
      <c r="AW512" s="17" t="s">
        <v>151</v>
      </c>
      <c r="AX512" s="17" t="s">
        <v>151</v>
      </c>
      <c r="AY512" s="17" t="s">
        <v>10777</v>
      </c>
      <c r="AZ512" s="17" t="s">
        <v>151</v>
      </c>
      <c r="BA512" s="17" t="s">
        <v>151</v>
      </c>
      <c r="BB512" s="17" t="s">
        <v>151</v>
      </c>
      <c r="BC512" s="17" t="s">
        <v>151</v>
      </c>
      <c r="BD512" s="17" t="s">
        <v>10778</v>
      </c>
      <c r="BE512" s="17" t="s">
        <v>10779</v>
      </c>
      <c r="BF512" s="17" t="s">
        <v>403</v>
      </c>
      <c r="BG512" s="17" t="s">
        <v>10780</v>
      </c>
      <c r="BH512" s="17" t="s">
        <v>10781</v>
      </c>
      <c r="BI512" s="17" t="s">
        <v>6124</v>
      </c>
      <c r="BJ512" s="17" t="s">
        <v>10782</v>
      </c>
      <c r="BK512" s="17" t="s">
        <v>10783</v>
      </c>
      <c r="BL512" s="17" t="s">
        <v>6127</v>
      </c>
      <c r="BM512" s="17" t="s">
        <v>1388</v>
      </c>
      <c r="BN512" s="16" t="s">
        <v>8364</v>
      </c>
      <c r="BO512" s="17" t="s">
        <v>186</v>
      </c>
      <c r="BP512" s="16" t="s">
        <v>10781</v>
      </c>
      <c r="BQ512" s="16" t="s">
        <v>151</v>
      </c>
      <c r="BR512" s="17" t="s">
        <v>10784</v>
      </c>
      <c r="BS512" s="17" t="s">
        <v>187</v>
      </c>
      <c r="BT512" s="17" t="s">
        <v>188</v>
      </c>
      <c r="BU512" s="22">
        <v>45072</v>
      </c>
      <c r="BV512" s="24">
        <v>0.12</v>
      </c>
      <c r="BW512" s="17" t="s">
        <v>192</v>
      </c>
      <c r="BX512" s="24">
        <v>6</v>
      </c>
      <c r="BY512" s="17" t="s">
        <v>192</v>
      </c>
      <c r="BZ512" s="17" t="s">
        <v>293</v>
      </c>
      <c r="CA512" s="17" t="s">
        <v>293</v>
      </c>
      <c r="CB512" s="17" t="s">
        <v>151</v>
      </c>
      <c r="CC512" s="17" t="s">
        <v>165</v>
      </c>
      <c r="CD512" s="17" t="s">
        <v>151</v>
      </c>
      <c r="CE512" s="17" t="s">
        <v>191</v>
      </c>
      <c r="CF512" s="22">
        <v>45072</v>
      </c>
      <c r="CG512" s="24">
        <v>0.12</v>
      </c>
      <c r="CH512" s="17" t="s">
        <v>192</v>
      </c>
      <c r="CI512" s="24">
        <v>6</v>
      </c>
      <c r="CJ512" s="17" t="s">
        <v>192</v>
      </c>
      <c r="CK512" s="16" t="s">
        <v>151</v>
      </c>
      <c r="CL512" s="17" t="s">
        <v>293</v>
      </c>
      <c r="CM512" s="17" t="s">
        <v>293</v>
      </c>
      <c r="CN512" s="17" t="s">
        <v>151</v>
      </c>
      <c r="CO512" s="17" t="s">
        <v>165</v>
      </c>
      <c r="CP512" s="22">
        <v>45072</v>
      </c>
      <c r="CQ512" s="24" t="s">
        <v>151</v>
      </c>
      <c r="CR512" s="17" t="s">
        <v>151</v>
      </c>
      <c r="CS512" s="17" t="s">
        <v>191</v>
      </c>
      <c r="CT512" s="16" t="s">
        <v>151</v>
      </c>
      <c r="CU512" s="17" t="s">
        <v>151</v>
      </c>
      <c r="CV512" s="19" t="s">
        <v>151</v>
      </c>
      <c r="CW512" s="19" t="s">
        <v>151</v>
      </c>
      <c r="CX512" s="17" t="s">
        <v>151</v>
      </c>
      <c r="CY512" s="19" t="s">
        <v>151</v>
      </c>
      <c r="CZ512" s="19" t="s">
        <v>151</v>
      </c>
      <c r="DA512" s="24">
        <v>6</v>
      </c>
      <c r="DB512" s="22">
        <v>45072</v>
      </c>
      <c r="DC512" s="17" t="s">
        <v>293</v>
      </c>
      <c r="DD512" s="16" t="s">
        <v>151</v>
      </c>
      <c r="DE512" s="19">
        <v>2.1</v>
      </c>
      <c r="DF512" s="21">
        <v>98</v>
      </c>
      <c r="DG512" s="19">
        <v>0</v>
      </c>
      <c r="DH512" s="19">
        <v>0</v>
      </c>
      <c r="DI512" s="19">
        <v>2.1</v>
      </c>
      <c r="DJ512" s="21">
        <v>98</v>
      </c>
      <c r="DK512" s="19">
        <v>2.12</v>
      </c>
      <c r="DL512" s="21">
        <v>94</v>
      </c>
      <c r="DM512" s="19">
        <v>2.08</v>
      </c>
      <c r="DN512" s="21">
        <v>98</v>
      </c>
      <c r="DO512" s="23">
        <v>16.06</v>
      </c>
      <c r="DP512" s="21">
        <v>94</v>
      </c>
      <c r="DQ512" s="23">
        <v>0</v>
      </c>
      <c r="DR512" s="19">
        <v>0</v>
      </c>
      <c r="DS512" s="23">
        <v>16.06</v>
      </c>
      <c r="DT512" s="21">
        <v>94</v>
      </c>
      <c r="DU512" s="23">
        <v>9.17</v>
      </c>
      <c r="DV512" s="21">
        <v>86</v>
      </c>
      <c r="DW512" s="23">
        <v>22.95</v>
      </c>
      <c r="DX512" s="21">
        <v>96</v>
      </c>
      <c r="DY512" s="18" t="s">
        <v>151</v>
      </c>
      <c r="DZ512" s="22" t="s">
        <v>151</v>
      </c>
      <c r="EA512" s="22" t="s">
        <v>151</v>
      </c>
      <c r="EB512" s="21">
        <v>1889</v>
      </c>
      <c r="EC512" s="20">
        <v>-33</v>
      </c>
      <c r="ED512" s="19">
        <v>-1.72</v>
      </c>
      <c r="EE512" s="21">
        <v>436</v>
      </c>
      <c r="EF512" s="20">
        <v>4</v>
      </c>
      <c r="EG512" s="19">
        <v>0.93</v>
      </c>
      <c r="EH512" s="16" t="s">
        <v>198</v>
      </c>
      <c r="EI512" s="17" t="s">
        <v>151</v>
      </c>
      <c r="EJ512" s="17" t="s">
        <v>151</v>
      </c>
      <c r="EK512" s="18" t="s">
        <v>151</v>
      </c>
      <c r="EL512" s="18" t="s">
        <v>151</v>
      </c>
      <c r="EM512" s="18" t="s">
        <v>151</v>
      </c>
      <c r="EN512" s="18" t="s">
        <v>151</v>
      </c>
      <c r="EO512" s="18" t="s">
        <v>151</v>
      </c>
      <c r="EP512" s="17" t="s">
        <v>151</v>
      </c>
      <c r="EQ512" s="16" t="s">
        <v>151</v>
      </c>
      <c r="ER512" s="16" t="s">
        <v>151</v>
      </c>
      <c r="ES512" s="3">
        <f>HYPERLINK("https://my.pitchbook.com?c=535792-33","View Company Online")</f>
      </c>
    </row>
    <row r="513">
      <c r="A513" s="30" t="s">
        <v>10785</v>
      </c>
      <c r="B513" s="30" t="s">
        <v>10786</v>
      </c>
      <c r="C513" s="31" t="s">
        <v>151</v>
      </c>
      <c r="D513" s="30" t="s">
        <v>151</v>
      </c>
      <c r="E513" s="30" t="s">
        <v>10787</v>
      </c>
      <c r="F513" s="30" t="s">
        <v>10788</v>
      </c>
      <c r="G513" s="30" t="s">
        <v>151</v>
      </c>
      <c r="H513" s="30" t="s">
        <v>151</v>
      </c>
      <c r="I513" s="30" t="s">
        <v>151</v>
      </c>
      <c r="J513" s="30" t="s">
        <v>10785</v>
      </c>
      <c r="K513" s="30" t="s">
        <v>10789</v>
      </c>
      <c r="L513" s="30" t="s">
        <v>616</v>
      </c>
      <c r="M513" s="30" t="s">
        <v>834</v>
      </c>
      <c r="N513" s="30" t="s">
        <v>3076</v>
      </c>
      <c r="O513" s="30" t="s">
        <v>10790</v>
      </c>
      <c r="P513" s="30" t="s">
        <v>1652</v>
      </c>
      <c r="Q513" s="30" t="s">
        <v>10791</v>
      </c>
      <c r="R513" s="30" t="s">
        <v>151</v>
      </c>
      <c r="S513" s="30" t="s">
        <v>162</v>
      </c>
      <c r="T513" s="37">
        <v>1.5</v>
      </c>
      <c r="U513" s="30" t="s">
        <v>163</v>
      </c>
      <c r="V513" s="30" t="s">
        <v>164</v>
      </c>
      <c r="W513" s="30" t="s">
        <v>165</v>
      </c>
      <c r="X513" s="28" t="s">
        <v>10792</v>
      </c>
      <c r="Y513" s="28" t="s">
        <v>10793</v>
      </c>
      <c r="Z513" s="40">
        <v>5</v>
      </c>
      <c r="AA513" s="30" t="s">
        <v>10794</v>
      </c>
      <c r="AB513" s="30" t="s">
        <v>151</v>
      </c>
      <c r="AC513" s="30" t="s">
        <v>151</v>
      </c>
      <c r="AD513" s="39" t="s">
        <v>151</v>
      </c>
      <c r="AE513" s="30" t="s">
        <v>151</v>
      </c>
      <c r="AF513" s="35">
        <v>45562</v>
      </c>
      <c r="AG513" s="30" t="s">
        <v>151</v>
      </c>
      <c r="AH513" s="30" t="s">
        <v>151</v>
      </c>
      <c r="AI513" s="38" t="s">
        <v>151</v>
      </c>
      <c r="AJ513" s="32" t="s">
        <v>151</v>
      </c>
      <c r="AK513" s="38" t="s">
        <v>151</v>
      </c>
      <c r="AL513" s="38" t="s">
        <v>151</v>
      </c>
      <c r="AM513" s="38" t="s">
        <v>151</v>
      </c>
      <c r="AN513" s="38" t="s">
        <v>151</v>
      </c>
      <c r="AO513" s="38" t="s">
        <v>151</v>
      </c>
      <c r="AP513" s="38" t="s">
        <v>151</v>
      </c>
      <c r="AQ513" s="38" t="s">
        <v>151</v>
      </c>
      <c r="AR513" s="29" t="s">
        <v>151</v>
      </c>
      <c r="AS513" s="30" t="s">
        <v>10795</v>
      </c>
      <c r="AT513" s="30" t="s">
        <v>10796</v>
      </c>
      <c r="AU513" s="31">
        <v>4</v>
      </c>
      <c r="AV513" s="30" t="s">
        <v>151</v>
      </c>
      <c r="AW513" s="30" t="s">
        <v>151</v>
      </c>
      <c r="AX513" s="30" t="s">
        <v>151</v>
      </c>
      <c r="AY513" s="30" t="s">
        <v>10797</v>
      </c>
      <c r="AZ513" s="30" t="s">
        <v>151</v>
      </c>
      <c r="BA513" s="30" t="s">
        <v>151</v>
      </c>
      <c r="BB513" s="30" t="s">
        <v>151</v>
      </c>
      <c r="BC513" s="30" t="s">
        <v>151</v>
      </c>
      <c r="BD513" s="30" t="s">
        <v>10798</v>
      </c>
      <c r="BE513" s="30" t="s">
        <v>10799</v>
      </c>
      <c r="BF513" s="30" t="s">
        <v>282</v>
      </c>
      <c r="BG513" s="30" t="s">
        <v>10800</v>
      </c>
      <c r="BH513" s="30" t="s">
        <v>151</v>
      </c>
      <c r="BI513" s="30" t="s">
        <v>1068</v>
      </c>
      <c r="BJ513" s="30" t="s">
        <v>10801</v>
      </c>
      <c r="BK513" s="30" t="s">
        <v>151</v>
      </c>
      <c r="BL513" s="30" t="s">
        <v>1071</v>
      </c>
      <c r="BM513" s="30" t="s">
        <v>1072</v>
      </c>
      <c r="BN513" s="29" t="s">
        <v>10802</v>
      </c>
      <c r="BO513" s="30" t="s">
        <v>186</v>
      </c>
      <c r="BP513" s="29" t="s">
        <v>151</v>
      </c>
      <c r="BQ513" s="29" t="s">
        <v>151</v>
      </c>
      <c r="BR513" s="30" t="s">
        <v>10803</v>
      </c>
      <c r="BS513" s="30" t="s">
        <v>187</v>
      </c>
      <c r="BT513" s="30" t="s">
        <v>188</v>
      </c>
      <c r="BU513" s="35">
        <v>42156</v>
      </c>
      <c r="BV513" s="37">
        <v>0.04</v>
      </c>
      <c r="BW513" s="30" t="s">
        <v>192</v>
      </c>
      <c r="BX513" s="37" t="s">
        <v>151</v>
      </c>
      <c r="BY513" s="30" t="s">
        <v>151</v>
      </c>
      <c r="BZ513" s="30" t="s">
        <v>501</v>
      </c>
      <c r="CA513" s="30" t="s">
        <v>151</v>
      </c>
      <c r="CB513" s="30" t="s">
        <v>151</v>
      </c>
      <c r="CC513" s="30" t="s">
        <v>190</v>
      </c>
      <c r="CD513" s="30" t="s">
        <v>151</v>
      </c>
      <c r="CE513" s="30" t="s">
        <v>191</v>
      </c>
      <c r="CF513" s="35">
        <v>45558</v>
      </c>
      <c r="CG513" s="37" t="s">
        <v>151</v>
      </c>
      <c r="CH513" s="30" t="s">
        <v>151</v>
      </c>
      <c r="CI513" s="37" t="s">
        <v>151</v>
      </c>
      <c r="CJ513" s="30" t="s">
        <v>151</v>
      </c>
      <c r="CK513" s="29" t="s">
        <v>151</v>
      </c>
      <c r="CL513" s="30" t="s">
        <v>189</v>
      </c>
      <c r="CM513" s="30" t="s">
        <v>151</v>
      </c>
      <c r="CN513" s="30" t="s">
        <v>151</v>
      </c>
      <c r="CO513" s="30" t="s">
        <v>190</v>
      </c>
      <c r="CP513" s="35">
        <v>45558</v>
      </c>
      <c r="CQ513" s="37" t="s">
        <v>151</v>
      </c>
      <c r="CR513" s="30" t="s">
        <v>151</v>
      </c>
      <c r="CS513" s="30" t="s">
        <v>191</v>
      </c>
      <c r="CT513" s="29">
        <v>46</v>
      </c>
      <c r="CU513" s="30" t="s">
        <v>263</v>
      </c>
      <c r="CV513" s="32">
        <v>45</v>
      </c>
      <c r="CW513" s="32">
        <v>55</v>
      </c>
      <c r="CX513" s="30" t="s">
        <v>263</v>
      </c>
      <c r="CY513" s="32">
        <v>1</v>
      </c>
      <c r="CZ513" s="32">
        <v>44</v>
      </c>
      <c r="DA513" s="37" t="s">
        <v>151</v>
      </c>
      <c r="DB513" s="35" t="s">
        <v>151</v>
      </c>
      <c r="DC513" s="30" t="s">
        <v>151</v>
      </c>
      <c r="DD513" s="29" t="s">
        <v>151</v>
      </c>
      <c r="DE513" s="32">
        <v>0</v>
      </c>
      <c r="DF513" s="34">
        <v>11</v>
      </c>
      <c r="DG513" s="32">
        <v>0</v>
      </c>
      <c r="DH513" s="32">
        <v>0</v>
      </c>
      <c r="DI513" s="32">
        <v>0</v>
      </c>
      <c r="DJ513" s="34">
        <v>10</v>
      </c>
      <c r="DK513" s="32" t="s">
        <v>151</v>
      </c>
      <c r="DL513" s="34" t="s">
        <v>151</v>
      </c>
      <c r="DM513" s="32">
        <v>0</v>
      </c>
      <c r="DN513" s="34">
        <v>10</v>
      </c>
      <c r="DO513" s="36">
        <v>0.96</v>
      </c>
      <c r="DP513" s="34">
        <v>49</v>
      </c>
      <c r="DQ513" s="36">
        <v>0</v>
      </c>
      <c r="DR513" s="32">
        <v>0</v>
      </c>
      <c r="DS513" s="36">
        <v>1.53</v>
      </c>
      <c r="DT513" s="34">
        <v>60</v>
      </c>
      <c r="DU513" s="36" t="s">
        <v>151</v>
      </c>
      <c r="DV513" s="34" t="s">
        <v>151</v>
      </c>
      <c r="DW513" s="36">
        <v>1.53</v>
      </c>
      <c r="DX513" s="34">
        <v>59</v>
      </c>
      <c r="DY513" s="31" t="s">
        <v>151</v>
      </c>
      <c r="DZ513" s="35" t="s">
        <v>151</v>
      </c>
      <c r="EA513" s="35" t="s">
        <v>151</v>
      </c>
      <c r="EB513" s="34">
        <v>0</v>
      </c>
      <c r="EC513" s="33">
        <v>0</v>
      </c>
      <c r="ED513" s="32">
        <v>0</v>
      </c>
      <c r="EE513" s="34">
        <v>29</v>
      </c>
      <c r="EF513" s="33">
        <v>0</v>
      </c>
      <c r="EG513" s="32">
        <v>0</v>
      </c>
      <c r="EH513" s="29" t="s">
        <v>198</v>
      </c>
      <c r="EI513" s="30" t="s">
        <v>151</v>
      </c>
      <c r="EJ513" s="30" t="s">
        <v>151</v>
      </c>
      <c r="EK513" s="31" t="s">
        <v>151</v>
      </c>
      <c r="EL513" s="31" t="s">
        <v>151</v>
      </c>
      <c r="EM513" s="31" t="s">
        <v>151</v>
      </c>
      <c r="EN513" s="31" t="s">
        <v>151</v>
      </c>
      <c r="EO513" s="31" t="s">
        <v>151</v>
      </c>
      <c r="EP513" s="30" t="s">
        <v>151</v>
      </c>
      <c r="EQ513" s="29" t="s">
        <v>151</v>
      </c>
      <c r="ER513" s="29" t="s">
        <v>151</v>
      </c>
      <c r="ES513" s="4">
        <f>HYPERLINK("https://my.pitchbook.com?c=503145-19","View Company Online")</f>
      </c>
    </row>
    <row r="514">
      <c r="A514" s="17" t="s">
        <v>10804</v>
      </c>
      <c r="B514" s="17" t="s">
        <v>10805</v>
      </c>
      <c r="C514" s="18" t="s">
        <v>151</v>
      </c>
      <c r="D514" s="17" t="s">
        <v>151</v>
      </c>
      <c r="E514" s="17" t="s">
        <v>151</v>
      </c>
      <c r="F514" s="17" t="s">
        <v>10806</v>
      </c>
      <c r="G514" s="17" t="s">
        <v>151</v>
      </c>
      <c r="H514" s="17" t="s">
        <v>151</v>
      </c>
      <c r="I514" s="17" t="s">
        <v>151</v>
      </c>
      <c r="J514" s="17" t="s">
        <v>10804</v>
      </c>
      <c r="K514" s="17" t="s">
        <v>10807</v>
      </c>
      <c r="L514" s="17" t="s">
        <v>155</v>
      </c>
      <c r="M514" s="17" t="s">
        <v>361</v>
      </c>
      <c r="N514" s="17" t="s">
        <v>362</v>
      </c>
      <c r="O514" s="17" t="s">
        <v>363</v>
      </c>
      <c r="P514" s="17" t="s">
        <v>1942</v>
      </c>
      <c r="Q514" s="17" t="s">
        <v>10808</v>
      </c>
      <c r="R514" s="17" t="s">
        <v>151</v>
      </c>
      <c r="S514" s="17" t="s">
        <v>162</v>
      </c>
      <c r="T514" s="24">
        <v>1.12</v>
      </c>
      <c r="U514" s="17" t="s">
        <v>163</v>
      </c>
      <c r="V514" s="17" t="s">
        <v>164</v>
      </c>
      <c r="W514" s="17" t="s">
        <v>165</v>
      </c>
      <c r="X514" s="15" t="s">
        <v>10809</v>
      </c>
      <c r="Y514" s="15" t="s">
        <v>10810</v>
      </c>
      <c r="Z514" s="27">
        <v>4</v>
      </c>
      <c r="AA514" s="17" t="s">
        <v>10811</v>
      </c>
      <c r="AB514" s="17" t="s">
        <v>151</v>
      </c>
      <c r="AC514" s="17" t="s">
        <v>151</v>
      </c>
      <c r="AD514" s="26">
        <v>2020</v>
      </c>
      <c r="AE514" s="17" t="s">
        <v>151</v>
      </c>
      <c r="AF514" s="22">
        <v>45569</v>
      </c>
      <c r="AG514" s="17" t="s">
        <v>151</v>
      </c>
      <c r="AH514" s="17" t="s">
        <v>151</v>
      </c>
      <c r="AI514" s="25" t="s">
        <v>151</v>
      </c>
      <c r="AJ514" s="19" t="s">
        <v>151</v>
      </c>
      <c r="AK514" s="25" t="s">
        <v>151</v>
      </c>
      <c r="AL514" s="25" t="s">
        <v>151</v>
      </c>
      <c r="AM514" s="25" t="s">
        <v>151</v>
      </c>
      <c r="AN514" s="25" t="s">
        <v>151</v>
      </c>
      <c r="AO514" s="25" t="s">
        <v>151</v>
      </c>
      <c r="AP514" s="25" t="s">
        <v>151</v>
      </c>
      <c r="AQ514" s="25" t="s">
        <v>151</v>
      </c>
      <c r="AR514" s="16" t="s">
        <v>151</v>
      </c>
      <c r="AS514" s="17" t="s">
        <v>10812</v>
      </c>
      <c r="AT514" s="17" t="s">
        <v>10813</v>
      </c>
      <c r="AU514" s="18">
        <v>6</v>
      </c>
      <c r="AV514" s="17" t="s">
        <v>151</v>
      </c>
      <c r="AW514" s="17" t="s">
        <v>151</v>
      </c>
      <c r="AX514" s="17" t="s">
        <v>151</v>
      </c>
      <c r="AY514" s="17" t="s">
        <v>10814</v>
      </c>
      <c r="AZ514" s="17" t="s">
        <v>151</v>
      </c>
      <c r="BA514" s="17" t="s">
        <v>151</v>
      </c>
      <c r="BB514" s="17" t="s">
        <v>151</v>
      </c>
      <c r="BC514" s="17" t="s">
        <v>151</v>
      </c>
      <c r="BD514" s="17" t="s">
        <v>10815</v>
      </c>
      <c r="BE514" s="17" t="s">
        <v>10816</v>
      </c>
      <c r="BF514" s="17" t="s">
        <v>221</v>
      </c>
      <c r="BG514" s="17" t="s">
        <v>10817</v>
      </c>
      <c r="BH514" s="17" t="s">
        <v>151</v>
      </c>
      <c r="BI514" s="17" t="s">
        <v>10818</v>
      </c>
      <c r="BJ514" s="17" t="s">
        <v>10819</v>
      </c>
      <c r="BK514" s="17" t="s">
        <v>151</v>
      </c>
      <c r="BL514" s="17" t="s">
        <v>10820</v>
      </c>
      <c r="BM514" s="17" t="s">
        <v>184</v>
      </c>
      <c r="BN514" s="16" t="s">
        <v>10821</v>
      </c>
      <c r="BO514" s="17" t="s">
        <v>186</v>
      </c>
      <c r="BP514" s="16" t="s">
        <v>151</v>
      </c>
      <c r="BQ514" s="16" t="s">
        <v>151</v>
      </c>
      <c r="BR514" s="17" t="s">
        <v>10822</v>
      </c>
      <c r="BS514" s="17" t="s">
        <v>187</v>
      </c>
      <c r="BT514" s="17" t="s">
        <v>188</v>
      </c>
      <c r="BU514" s="22">
        <v>44215</v>
      </c>
      <c r="BV514" s="24">
        <v>0.02</v>
      </c>
      <c r="BW514" s="17" t="s">
        <v>192</v>
      </c>
      <c r="BX514" s="24">
        <v>0.33</v>
      </c>
      <c r="BY514" s="17" t="s">
        <v>192</v>
      </c>
      <c r="BZ514" s="17" t="s">
        <v>189</v>
      </c>
      <c r="CA514" s="17" t="s">
        <v>151</v>
      </c>
      <c r="CB514" s="17" t="s">
        <v>151</v>
      </c>
      <c r="CC514" s="17" t="s">
        <v>190</v>
      </c>
      <c r="CD514" s="17" t="s">
        <v>151</v>
      </c>
      <c r="CE514" s="17" t="s">
        <v>191</v>
      </c>
      <c r="CF514" s="22">
        <v>44774</v>
      </c>
      <c r="CG514" s="24">
        <v>1.1</v>
      </c>
      <c r="CH514" s="17" t="s">
        <v>192</v>
      </c>
      <c r="CI514" s="24" t="s">
        <v>151</v>
      </c>
      <c r="CJ514" s="17" t="s">
        <v>151</v>
      </c>
      <c r="CK514" s="16" t="s">
        <v>151</v>
      </c>
      <c r="CL514" s="17" t="s">
        <v>293</v>
      </c>
      <c r="CM514" s="17" t="s">
        <v>293</v>
      </c>
      <c r="CN514" s="17" t="s">
        <v>151</v>
      </c>
      <c r="CO514" s="17" t="s">
        <v>165</v>
      </c>
      <c r="CP514" s="22">
        <v>44774</v>
      </c>
      <c r="CQ514" s="24" t="s">
        <v>151</v>
      </c>
      <c r="CR514" s="17" t="s">
        <v>151</v>
      </c>
      <c r="CS514" s="17" t="s">
        <v>191</v>
      </c>
      <c r="CT514" s="16" t="s">
        <v>151</v>
      </c>
      <c r="CU514" s="17" t="s">
        <v>151</v>
      </c>
      <c r="CV514" s="19" t="s">
        <v>151</v>
      </c>
      <c r="CW514" s="19" t="s">
        <v>151</v>
      </c>
      <c r="CX514" s="17" t="s">
        <v>151</v>
      </c>
      <c r="CY514" s="19" t="s">
        <v>151</v>
      </c>
      <c r="CZ514" s="19" t="s">
        <v>151</v>
      </c>
      <c r="DA514" s="24">
        <v>0.33</v>
      </c>
      <c r="DB514" s="22">
        <v>44215</v>
      </c>
      <c r="DC514" s="17" t="s">
        <v>189</v>
      </c>
      <c r="DD514" s="16" t="s">
        <v>151</v>
      </c>
      <c r="DE514" s="19">
        <v>0</v>
      </c>
      <c r="DF514" s="21">
        <v>11</v>
      </c>
      <c r="DG514" s="19">
        <v>0</v>
      </c>
      <c r="DH514" s="19">
        <v>0</v>
      </c>
      <c r="DI514" s="19">
        <v>0</v>
      </c>
      <c r="DJ514" s="21">
        <v>10</v>
      </c>
      <c r="DK514" s="19" t="s">
        <v>151</v>
      </c>
      <c r="DL514" s="21" t="s">
        <v>151</v>
      </c>
      <c r="DM514" s="19">
        <v>0</v>
      </c>
      <c r="DN514" s="21">
        <v>10</v>
      </c>
      <c r="DO514" s="23">
        <v>0.21</v>
      </c>
      <c r="DP514" s="21">
        <v>13</v>
      </c>
      <c r="DQ514" s="23">
        <v>0</v>
      </c>
      <c r="DR514" s="19">
        <v>0</v>
      </c>
      <c r="DS514" s="23">
        <v>0.11</v>
      </c>
      <c r="DT514" s="21">
        <v>5</v>
      </c>
      <c r="DU514" s="23" t="s">
        <v>151</v>
      </c>
      <c r="DV514" s="21" t="s">
        <v>151</v>
      </c>
      <c r="DW514" s="23">
        <v>0.11</v>
      </c>
      <c r="DX514" s="21">
        <v>5</v>
      </c>
      <c r="DY514" s="18" t="s">
        <v>151</v>
      </c>
      <c r="DZ514" s="22" t="s">
        <v>151</v>
      </c>
      <c r="EA514" s="22" t="s">
        <v>151</v>
      </c>
      <c r="EB514" s="21" t="s">
        <v>151</v>
      </c>
      <c r="EC514" s="20" t="s">
        <v>151</v>
      </c>
      <c r="ED514" s="19" t="s">
        <v>151</v>
      </c>
      <c r="EE514" s="21">
        <v>2</v>
      </c>
      <c r="EF514" s="20">
        <v>0</v>
      </c>
      <c r="EG514" s="19">
        <v>0</v>
      </c>
      <c r="EH514" s="16" t="s">
        <v>198</v>
      </c>
      <c r="EI514" s="17" t="s">
        <v>151</v>
      </c>
      <c r="EJ514" s="17" t="s">
        <v>151</v>
      </c>
      <c r="EK514" s="18" t="s">
        <v>151</v>
      </c>
      <c r="EL514" s="18" t="s">
        <v>151</v>
      </c>
      <c r="EM514" s="18" t="s">
        <v>151</v>
      </c>
      <c r="EN514" s="18" t="s">
        <v>151</v>
      </c>
      <c r="EO514" s="18" t="s">
        <v>151</v>
      </c>
      <c r="EP514" s="17" t="s">
        <v>151</v>
      </c>
      <c r="EQ514" s="16" t="s">
        <v>151</v>
      </c>
      <c r="ER514" s="16" t="s">
        <v>151</v>
      </c>
      <c r="ES514" s="3">
        <f>HYPERLINK("https://my.pitchbook.com?c=464435-56","View Company Online")</f>
      </c>
    </row>
    <row r="515">
      <c r="A515" s="30" t="s">
        <v>10823</v>
      </c>
      <c r="B515" s="30" t="s">
        <v>10824</v>
      </c>
      <c r="C515" s="31" t="s">
        <v>151</v>
      </c>
      <c r="D515" s="30" t="s">
        <v>151</v>
      </c>
      <c r="E515" s="30" t="s">
        <v>151</v>
      </c>
      <c r="F515" s="30" t="s">
        <v>10825</v>
      </c>
      <c r="G515" s="30" t="s">
        <v>151</v>
      </c>
      <c r="H515" s="30" t="s">
        <v>151</v>
      </c>
      <c r="I515" s="30" t="s">
        <v>10826</v>
      </c>
      <c r="J515" s="30" t="s">
        <v>10823</v>
      </c>
      <c r="K515" s="30" t="s">
        <v>10827</v>
      </c>
      <c r="L515" s="30" t="s">
        <v>205</v>
      </c>
      <c r="M515" s="30" t="s">
        <v>206</v>
      </c>
      <c r="N515" s="30" t="s">
        <v>776</v>
      </c>
      <c r="O515" s="30" t="s">
        <v>5507</v>
      </c>
      <c r="P515" s="30" t="s">
        <v>10828</v>
      </c>
      <c r="Q515" s="30" t="s">
        <v>10829</v>
      </c>
      <c r="R515" s="30" t="s">
        <v>10830</v>
      </c>
      <c r="S515" s="30" t="s">
        <v>162</v>
      </c>
      <c r="T515" s="37">
        <v>2.7</v>
      </c>
      <c r="U515" s="30" t="s">
        <v>163</v>
      </c>
      <c r="V515" s="30" t="s">
        <v>164</v>
      </c>
      <c r="W515" s="30" t="s">
        <v>165</v>
      </c>
      <c r="X515" s="28" t="s">
        <v>10831</v>
      </c>
      <c r="Y515" s="28" t="s">
        <v>10832</v>
      </c>
      <c r="Z515" s="40">
        <v>10</v>
      </c>
      <c r="AA515" s="30" t="s">
        <v>10833</v>
      </c>
      <c r="AB515" s="30" t="s">
        <v>151</v>
      </c>
      <c r="AC515" s="30" t="s">
        <v>151</v>
      </c>
      <c r="AD515" s="39">
        <v>2019</v>
      </c>
      <c r="AE515" s="30" t="s">
        <v>151</v>
      </c>
      <c r="AF515" s="35">
        <v>45475</v>
      </c>
      <c r="AG515" s="30" t="s">
        <v>151</v>
      </c>
      <c r="AH515" s="30" t="s">
        <v>151</v>
      </c>
      <c r="AI515" s="38" t="s">
        <v>151</v>
      </c>
      <c r="AJ515" s="32" t="s">
        <v>151</v>
      </c>
      <c r="AK515" s="38" t="s">
        <v>151</v>
      </c>
      <c r="AL515" s="38" t="s">
        <v>151</v>
      </c>
      <c r="AM515" s="38" t="s">
        <v>151</v>
      </c>
      <c r="AN515" s="38" t="s">
        <v>151</v>
      </c>
      <c r="AO515" s="38" t="s">
        <v>151</v>
      </c>
      <c r="AP515" s="38" t="s">
        <v>151</v>
      </c>
      <c r="AQ515" s="38" t="s">
        <v>151</v>
      </c>
      <c r="AR515" s="29" t="s">
        <v>151</v>
      </c>
      <c r="AS515" s="30" t="s">
        <v>10834</v>
      </c>
      <c r="AT515" s="30" t="s">
        <v>10835</v>
      </c>
      <c r="AU515" s="31">
        <v>12</v>
      </c>
      <c r="AV515" s="30" t="s">
        <v>151</v>
      </c>
      <c r="AW515" s="30" t="s">
        <v>151</v>
      </c>
      <c r="AX515" s="30" t="s">
        <v>151</v>
      </c>
      <c r="AY515" s="30" t="s">
        <v>10836</v>
      </c>
      <c r="AZ515" s="30" t="s">
        <v>151</v>
      </c>
      <c r="BA515" s="30" t="s">
        <v>151</v>
      </c>
      <c r="BB515" s="30" t="s">
        <v>151</v>
      </c>
      <c r="BC515" s="30" t="s">
        <v>151</v>
      </c>
      <c r="BD515" s="30" t="s">
        <v>10837</v>
      </c>
      <c r="BE515" s="30" t="s">
        <v>10838</v>
      </c>
      <c r="BF515" s="30" t="s">
        <v>403</v>
      </c>
      <c r="BG515" s="30" t="s">
        <v>10839</v>
      </c>
      <c r="BH515" s="30" t="s">
        <v>10840</v>
      </c>
      <c r="BI515" s="30" t="s">
        <v>906</v>
      </c>
      <c r="BJ515" s="30" t="s">
        <v>10841</v>
      </c>
      <c r="BK515" s="30" t="s">
        <v>2957</v>
      </c>
      <c r="BL515" s="30" t="s">
        <v>259</v>
      </c>
      <c r="BM515" s="30" t="s">
        <v>259</v>
      </c>
      <c r="BN515" s="29" t="s">
        <v>6684</v>
      </c>
      <c r="BO515" s="30" t="s">
        <v>186</v>
      </c>
      <c r="BP515" s="29" t="s">
        <v>10840</v>
      </c>
      <c r="BQ515" s="29" t="s">
        <v>151</v>
      </c>
      <c r="BR515" s="30" t="s">
        <v>10842</v>
      </c>
      <c r="BS515" s="30" t="s">
        <v>187</v>
      </c>
      <c r="BT515" s="30" t="s">
        <v>188</v>
      </c>
      <c r="BU515" s="35" t="s">
        <v>151</v>
      </c>
      <c r="BV515" s="37" t="s">
        <v>151</v>
      </c>
      <c r="BW515" s="30" t="s">
        <v>151</v>
      </c>
      <c r="BX515" s="37" t="s">
        <v>151</v>
      </c>
      <c r="BY515" s="30" t="s">
        <v>151</v>
      </c>
      <c r="BZ515" s="30" t="s">
        <v>189</v>
      </c>
      <c r="CA515" s="30" t="s">
        <v>151</v>
      </c>
      <c r="CB515" s="30" t="s">
        <v>151</v>
      </c>
      <c r="CC515" s="30" t="s">
        <v>190</v>
      </c>
      <c r="CD515" s="30" t="s">
        <v>151</v>
      </c>
      <c r="CE515" s="30" t="s">
        <v>191</v>
      </c>
      <c r="CF515" s="35">
        <v>45114</v>
      </c>
      <c r="CG515" s="37" t="s">
        <v>151</v>
      </c>
      <c r="CH515" s="30" t="s">
        <v>151</v>
      </c>
      <c r="CI515" s="37" t="s">
        <v>151</v>
      </c>
      <c r="CJ515" s="30" t="s">
        <v>151</v>
      </c>
      <c r="CK515" s="29" t="s">
        <v>151</v>
      </c>
      <c r="CL515" s="30" t="s">
        <v>189</v>
      </c>
      <c r="CM515" s="30" t="s">
        <v>151</v>
      </c>
      <c r="CN515" s="30" t="s">
        <v>151</v>
      </c>
      <c r="CO515" s="30" t="s">
        <v>190</v>
      </c>
      <c r="CP515" s="35">
        <v>45114</v>
      </c>
      <c r="CQ515" s="37" t="s">
        <v>151</v>
      </c>
      <c r="CR515" s="30" t="s">
        <v>151</v>
      </c>
      <c r="CS515" s="30" t="s">
        <v>191</v>
      </c>
      <c r="CT515" s="29">
        <v>60</v>
      </c>
      <c r="CU515" s="30" t="s">
        <v>196</v>
      </c>
      <c r="CV515" s="32">
        <v>57</v>
      </c>
      <c r="CW515" s="32">
        <v>43</v>
      </c>
      <c r="CX515" s="30" t="s">
        <v>294</v>
      </c>
      <c r="CY515" s="32">
        <v>1</v>
      </c>
      <c r="CZ515" s="32">
        <v>56</v>
      </c>
      <c r="DA515" s="37" t="s">
        <v>151</v>
      </c>
      <c r="DB515" s="35" t="s">
        <v>151</v>
      </c>
      <c r="DC515" s="30" t="s">
        <v>151</v>
      </c>
      <c r="DD515" s="29" t="s">
        <v>151</v>
      </c>
      <c r="DE515" s="32">
        <v>0.69</v>
      </c>
      <c r="DF515" s="34">
        <v>95</v>
      </c>
      <c r="DG515" s="32">
        <v>0</v>
      </c>
      <c r="DH515" s="32">
        <v>0</v>
      </c>
      <c r="DI515" s="32">
        <v>0</v>
      </c>
      <c r="DJ515" s="34">
        <v>10</v>
      </c>
      <c r="DK515" s="32" t="s">
        <v>151</v>
      </c>
      <c r="DL515" s="34" t="s">
        <v>151</v>
      </c>
      <c r="DM515" s="32">
        <v>0</v>
      </c>
      <c r="DN515" s="34">
        <v>10</v>
      </c>
      <c r="DO515" s="36">
        <v>2.52</v>
      </c>
      <c r="DP515" s="34">
        <v>71</v>
      </c>
      <c r="DQ515" s="36">
        <v>0</v>
      </c>
      <c r="DR515" s="32">
        <v>0</v>
      </c>
      <c r="DS515" s="36">
        <v>4.26</v>
      </c>
      <c r="DT515" s="34">
        <v>80</v>
      </c>
      <c r="DU515" s="36" t="s">
        <v>151</v>
      </c>
      <c r="DV515" s="34" t="s">
        <v>151</v>
      </c>
      <c r="DW515" s="36">
        <v>4.26</v>
      </c>
      <c r="DX515" s="34">
        <v>80</v>
      </c>
      <c r="DY515" s="31" t="s">
        <v>151</v>
      </c>
      <c r="DZ515" s="35" t="s">
        <v>151</v>
      </c>
      <c r="EA515" s="35" t="s">
        <v>151</v>
      </c>
      <c r="EB515" s="34">
        <v>421</v>
      </c>
      <c r="EC515" s="33">
        <v>1</v>
      </c>
      <c r="ED515" s="32">
        <v>0.24</v>
      </c>
      <c r="EE515" s="34">
        <v>81</v>
      </c>
      <c r="EF515" s="33">
        <v>0</v>
      </c>
      <c r="EG515" s="32">
        <v>0</v>
      </c>
      <c r="EH515" s="29" t="s">
        <v>198</v>
      </c>
      <c r="EI515" s="30" t="s">
        <v>151</v>
      </c>
      <c r="EJ515" s="30" t="s">
        <v>151</v>
      </c>
      <c r="EK515" s="31" t="s">
        <v>151</v>
      </c>
      <c r="EL515" s="31" t="s">
        <v>151</v>
      </c>
      <c r="EM515" s="31" t="s">
        <v>151</v>
      </c>
      <c r="EN515" s="31" t="s">
        <v>151</v>
      </c>
      <c r="EO515" s="31" t="s">
        <v>151</v>
      </c>
      <c r="EP515" s="30" t="s">
        <v>151</v>
      </c>
      <c r="EQ515" s="29" t="s">
        <v>151</v>
      </c>
      <c r="ER515" s="29" t="s">
        <v>151</v>
      </c>
      <c r="ES515" s="4">
        <f>HYPERLINK("https://my.pitchbook.com?c=491737-24","View Company Online")</f>
      </c>
    </row>
    <row r="516">
      <c r="A516" s="17" t="s">
        <v>10843</v>
      </c>
      <c r="B516" s="17" t="s">
        <v>10844</v>
      </c>
      <c r="C516" s="18" t="s">
        <v>151</v>
      </c>
      <c r="D516" s="17" t="s">
        <v>10845</v>
      </c>
      <c r="E516" s="17" t="s">
        <v>151</v>
      </c>
      <c r="F516" s="17" t="s">
        <v>10846</v>
      </c>
      <c r="G516" s="17" t="s">
        <v>151</v>
      </c>
      <c r="H516" s="17" t="s">
        <v>151</v>
      </c>
      <c r="I516" s="17" t="s">
        <v>151</v>
      </c>
      <c r="J516" s="17" t="s">
        <v>10843</v>
      </c>
      <c r="K516" s="17" t="s">
        <v>10847</v>
      </c>
      <c r="L516" s="17" t="s">
        <v>205</v>
      </c>
      <c r="M516" s="17" t="s">
        <v>206</v>
      </c>
      <c r="N516" s="17" t="s">
        <v>269</v>
      </c>
      <c r="O516" s="17" t="s">
        <v>563</v>
      </c>
      <c r="P516" s="17" t="s">
        <v>2416</v>
      </c>
      <c r="Q516" s="17" t="s">
        <v>10848</v>
      </c>
      <c r="R516" s="17" t="s">
        <v>151</v>
      </c>
      <c r="S516" s="17" t="s">
        <v>162</v>
      </c>
      <c r="T516" s="24">
        <v>1.74</v>
      </c>
      <c r="U516" s="17" t="s">
        <v>163</v>
      </c>
      <c r="V516" s="17" t="s">
        <v>164</v>
      </c>
      <c r="W516" s="17" t="s">
        <v>165</v>
      </c>
      <c r="X516" s="15" t="s">
        <v>10849</v>
      </c>
      <c r="Y516" s="15" t="s">
        <v>10850</v>
      </c>
      <c r="Z516" s="27">
        <v>14</v>
      </c>
      <c r="AA516" s="17" t="s">
        <v>10851</v>
      </c>
      <c r="AB516" s="17" t="s">
        <v>151</v>
      </c>
      <c r="AC516" s="17" t="s">
        <v>151</v>
      </c>
      <c r="AD516" s="26">
        <v>2016</v>
      </c>
      <c r="AE516" s="17" t="s">
        <v>151</v>
      </c>
      <c r="AF516" s="22">
        <v>45510</v>
      </c>
      <c r="AG516" s="17" t="s">
        <v>151</v>
      </c>
      <c r="AH516" s="17" t="s">
        <v>151</v>
      </c>
      <c r="AI516" s="25" t="s">
        <v>151</v>
      </c>
      <c r="AJ516" s="19" t="s">
        <v>151</v>
      </c>
      <c r="AK516" s="25" t="s">
        <v>151</v>
      </c>
      <c r="AL516" s="25" t="s">
        <v>151</v>
      </c>
      <c r="AM516" s="25" t="s">
        <v>151</v>
      </c>
      <c r="AN516" s="25" t="s">
        <v>151</v>
      </c>
      <c r="AO516" s="25" t="s">
        <v>151</v>
      </c>
      <c r="AP516" s="25" t="s">
        <v>151</v>
      </c>
      <c r="AQ516" s="25" t="s">
        <v>151</v>
      </c>
      <c r="AR516" s="16" t="s">
        <v>151</v>
      </c>
      <c r="AS516" s="17" t="s">
        <v>10852</v>
      </c>
      <c r="AT516" s="17" t="s">
        <v>10853</v>
      </c>
      <c r="AU516" s="18">
        <v>7</v>
      </c>
      <c r="AV516" s="17" t="s">
        <v>151</v>
      </c>
      <c r="AW516" s="17" t="s">
        <v>151</v>
      </c>
      <c r="AX516" s="17" t="s">
        <v>151</v>
      </c>
      <c r="AY516" s="17" t="s">
        <v>10854</v>
      </c>
      <c r="AZ516" s="17" t="s">
        <v>151</v>
      </c>
      <c r="BA516" s="17" t="s">
        <v>151</v>
      </c>
      <c r="BB516" s="17" t="s">
        <v>151</v>
      </c>
      <c r="BC516" s="17" t="s">
        <v>151</v>
      </c>
      <c r="BD516" s="17" t="s">
        <v>10855</v>
      </c>
      <c r="BE516" s="17" t="s">
        <v>10856</v>
      </c>
      <c r="BF516" s="17" t="s">
        <v>493</v>
      </c>
      <c r="BG516" s="17" t="s">
        <v>10857</v>
      </c>
      <c r="BH516" s="17" t="s">
        <v>151</v>
      </c>
      <c r="BI516" s="17" t="s">
        <v>1068</v>
      </c>
      <c r="BJ516" s="17" t="s">
        <v>10858</v>
      </c>
      <c r="BK516" s="17" t="s">
        <v>2887</v>
      </c>
      <c r="BL516" s="17" t="s">
        <v>1071</v>
      </c>
      <c r="BM516" s="17" t="s">
        <v>1072</v>
      </c>
      <c r="BN516" s="16" t="s">
        <v>10859</v>
      </c>
      <c r="BO516" s="17" t="s">
        <v>186</v>
      </c>
      <c r="BP516" s="16" t="s">
        <v>151</v>
      </c>
      <c r="BQ516" s="16" t="s">
        <v>151</v>
      </c>
      <c r="BR516" s="17" t="s">
        <v>10860</v>
      </c>
      <c r="BS516" s="17" t="s">
        <v>187</v>
      </c>
      <c r="BT516" s="17" t="s">
        <v>188</v>
      </c>
      <c r="BU516" s="22">
        <v>43466</v>
      </c>
      <c r="BV516" s="24">
        <v>0.01</v>
      </c>
      <c r="BW516" s="17" t="s">
        <v>192</v>
      </c>
      <c r="BX516" s="24" t="s">
        <v>151</v>
      </c>
      <c r="BY516" s="17" t="s">
        <v>151</v>
      </c>
      <c r="BZ516" s="17" t="s">
        <v>501</v>
      </c>
      <c r="CA516" s="17" t="s">
        <v>151</v>
      </c>
      <c r="CB516" s="17" t="s">
        <v>151</v>
      </c>
      <c r="CC516" s="17" t="s">
        <v>190</v>
      </c>
      <c r="CD516" s="17" t="s">
        <v>151</v>
      </c>
      <c r="CE516" s="17" t="s">
        <v>191</v>
      </c>
      <c r="CF516" s="22">
        <v>44540</v>
      </c>
      <c r="CG516" s="24">
        <v>0.27</v>
      </c>
      <c r="CH516" s="17" t="s">
        <v>192</v>
      </c>
      <c r="CI516" s="24" t="s">
        <v>151</v>
      </c>
      <c r="CJ516" s="17" t="s">
        <v>151</v>
      </c>
      <c r="CK516" s="16" t="s">
        <v>151</v>
      </c>
      <c r="CL516" s="17" t="s">
        <v>189</v>
      </c>
      <c r="CM516" s="17" t="s">
        <v>151</v>
      </c>
      <c r="CN516" s="17" t="s">
        <v>151</v>
      </c>
      <c r="CO516" s="17" t="s">
        <v>190</v>
      </c>
      <c r="CP516" s="22">
        <v>44540</v>
      </c>
      <c r="CQ516" s="24" t="s">
        <v>151</v>
      </c>
      <c r="CR516" s="17" t="s">
        <v>151</v>
      </c>
      <c r="CS516" s="17" t="s">
        <v>191</v>
      </c>
      <c r="CT516" s="16">
        <v>36</v>
      </c>
      <c r="CU516" s="17" t="s">
        <v>263</v>
      </c>
      <c r="CV516" s="19">
        <v>36</v>
      </c>
      <c r="CW516" s="19">
        <v>64</v>
      </c>
      <c r="CX516" s="17" t="s">
        <v>263</v>
      </c>
      <c r="CY516" s="19">
        <v>1</v>
      </c>
      <c r="CZ516" s="19">
        <v>35</v>
      </c>
      <c r="DA516" s="24" t="s">
        <v>151</v>
      </c>
      <c r="DB516" s="22" t="s">
        <v>151</v>
      </c>
      <c r="DC516" s="17" t="s">
        <v>151</v>
      </c>
      <c r="DD516" s="16" t="s">
        <v>151</v>
      </c>
      <c r="DE516" s="19">
        <v>0</v>
      </c>
      <c r="DF516" s="21">
        <v>11</v>
      </c>
      <c r="DG516" s="19">
        <v>0</v>
      </c>
      <c r="DH516" s="19">
        <v>0</v>
      </c>
      <c r="DI516" s="19">
        <v>0</v>
      </c>
      <c r="DJ516" s="21">
        <v>10</v>
      </c>
      <c r="DK516" s="19" t="s">
        <v>151</v>
      </c>
      <c r="DL516" s="21" t="s">
        <v>151</v>
      </c>
      <c r="DM516" s="19">
        <v>0</v>
      </c>
      <c r="DN516" s="21">
        <v>10</v>
      </c>
      <c r="DO516" s="23">
        <v>5.14</v>
      </c>
      <c r="DP516" s="21">
        <v>83</v>
      </c>
      <c r="DQ516" s="23">
        <v>0</v>
      </c>
      <c r="DR516" s="19">
        <v>0</v>
      </c>
      <c r="DS516" s="23">
        <v>9.21</v>
      </c>
      <c r="DT516" s="21">
        <v>89</v>
      </c>
      <c r="DU516" s="23" t="s">
        <v>151</v>
      </c>
      <c r="DV516" s="21" t="s">
        <v>151</v>
      </c>
      <c r="DW516" s="23">
        <v>9.21</v>
      </c>
      <c r="DX516" s="21">
        <v>89</v>
      </c>
      <c r="DY516" s="18" t="s">
        <v>151</v>
      </c>
      <c r="DZ516" s="22" t="s">
        <v>151</v>
      </c>
      <c r="EA516" s="22" t="s">
        <v>151</v>
      </c>
      <c r="EB516" s="21">
        <v>122</v>
      </c>
      <c r="EC516" s="20">
        <v>-58</v>
      </c>
      <c r="ED516" s="19">
        <v>-32.22</v>
      </c>
      <c r="EE516" s="21">
        <v>175</v>
      </c>
      <c r="EF516" s="20">
        <v>1</v>
      </c>
      <c r="EG516" s="19">
        <v>0.57</v>
      </c>
      <c r="EH516" s="16" t="s">
        <v>198</v>
      </c>
      <c r="EI516" s="17" t="s">
        <v>151</v>
      </c>
      <c r="EJ516" s="17" t="s">
        <v>151</v>
      </c>
      <c r="EK516" s="18" t="s">
        <v>151</v>
      </c>
      <c r="EL516" s="18" t="s">
        <v>151</v>
      </c>
      <c r="EM516" s="18" t="s">
        <v>151</v>
      </c>
      <c r="EN516" s="18" t="s">
        <v>151</v>
      </c>
      <c r="EO516" s="18" t="s">
        <v>151</v>
      </c>
      <c r="EP516" s="17" t="s">
        <v>151</v>
      </c>
      <c r="EQ516" s="16" t="s">
        <v>151</v>
      </c>
      <c r="ER516" s="16" t="s">
        <v>151</v>
      </c>
      <c r="ES516" s="3">
        <f>HYPERLINK("https://my.pitchbook.com?c=327169-99","View Company Online")</f>
      </c>
    </row>
    <row r="517">
      <c r="A517" s="30" t="s">
        <v>10861</v>
      </c>
      <c r="B517" s="30" t="s">
        <v>10862</v>
      </c>
      <c r="C517" s="31" t="s">
        <v>151</v>
      </c>
      <c r="D517" s="30" t="s">
        <v>151</v>
      </c>
      <c r="E517" s="30" t="s">
        <v>151</v>
      </c>
      <c r="F517" s="30" t="s">
        <v>10863</v>
      </c>
      <c r="G517" s="30" t="s">
        <v>151</v>
      </c>
      <c r="H517" s="30" t="s">
        <v>151</v>
      </c>
      <c r="I517" s="30" t="s">
        <v>151</v>
      </c>
      <c r="J517" s="30" t="s">
        <v>10861</v>
      </c>
      <c r="K517" s="30" t="s">
        <v>10864</v>
      </c>
      <c r="L517" s="30" t="s">
        <v>616</v>
      </c>
      <c r="M517" s="30" t="s">
        <v>834</v>
      </c>
      <c r="N517" s="30" t="s">
        <v>835</v>
      </c>
      <c r="O517" s="30" t="s">
        <v>10865</v>
      </c>
      <c r="P517" s="30" t="s">
        <v>1462</v>
      </c>
      <c r="Q517" s="30" t="s">
        <v>10866</v>
      </c>
      <c r="R517" s="30" t="s">
        <v>151</v>
      </c>
      <c r="S517" s="30" t="s">
        <v>162</v>
      </c>
      <c r="T517" s="37">
        <v>0.05</v>
      </c>
      <c r="U517" s="30" t="s">
        <v>163</v>
      </c>
      <c r="V517" s="30" t="s">
        <v>164</v>
      </c>
      <c r="W517" s="30" t="s">
        <v>165</v>
      </c>
      <c r="X517" s="28" t="s">
        <v>10867</v>
      </c>
      <c r="Y517" s="28" t="s">
        <v>10868</v>
      </c>
      <c r="Z517" s="40" t="s">
        <v>151</v>
      </c>
      <c r="AA517" s="30" t="s">
        <v>151</v>
      </c>
      <c r="AB517" s="30" t="s">
        <v>151</v>
      </c>
      <c r="AC517" s="30" t="s">
        <v>151</v>
      </c>
      <c r="AD517" s="39">
        <v>2020</v>
      </c>
      <c r="AE517" s="30" t="s">
        <v>151</v>
      </c>
      <c r="AF517" s="35">
        <v>45615</v>
      </c>
      <c r="AG517" s="30" t="s">
        <v>151</v>
      </c>
      <c r="AH517" s="30" t="s">
        <v>151</v>
      </c>
      <c r="AI517" s="38" t="s">
        <v>151</v>
      </c>
      <c r="AJ517" s="32" t="s">
        <v>151</v>
      </c>
      <c r="AK517" s="38" t="s">
        <v>151</v>
      </c>
      <c r="AL517" s="38" t="s">
        <v>151</v>
      </c>
      <c r="AM517" s="38" t="s">
        <v>151</v>
      </c>
      <c r="AN517" s="38" t="s">
        <v>151</v>
      </c>
      <c r="AO517" s="38" t="s">
        <v>151</v>
      </c>
      <c r="AP517" s="38" t="s">
        <v>151</v>
      </c>
      <c r="AQ517" s="38" t="s">
        <v>151</v>
      </c>
      <c r="AR517" s="29" t="s">
        <v>151</v>
      </c>
      <c r="AS517" s="30" t="s">
        <v>10869</v>
      </c>
      <c r="AT517" s="30" t="s">
        <v>10677</v>
      </c>
      <c r="AU517" s="31">
        <v>3</v>
      </c>
      <c r="AV517" s="30" t="s">
        <v>151</v>
      </c>
      <c r="AW517" s="30" t="s">
        <v>151</v>
      </c>
      <c r="AX517" s="30" t="s">
        <v>151</v>
      </c>
      <c r="AY517" s="30" t="s">
        <v>10678</v>
      </c>
      <c r="AZ517" s="30" t="s">
        <v>151</v>
      </c>
      <c r="BA517" s="30" t="s">
        <v>151</v>
      </c>
      <c r="BB517" s="30" t="s">
        <v>151</v>
      </c>
      <c r="BC517" s="30" t="s">
        <v>151</v>
      </c>
      <c r="BD517" s="30" t="s">
        <v>10870</v>
      </c>
      <c r="BE517" s="30" t="s">
        <v>10871</v>
      </c>
      <c r="BF517" s="30" t="s">
        <v>221</v>
      </c>
      <c r="BG517" s="30" t="s">
        <v>10872</v>
      </c>
      <c r="BH517" s="30" t="s">
        <v>151</v>
      </c>
      <c r="BI517" s="30" t="s">
        <v>10873</v>
      </c>
      <c r="BJ517" s="30" t="s">
        <v>10874</v>
      </c>
      <c r="BK517" s="30" t="s">
        <v>10875</v>
      </c>
      <c r="BL517" s="30" t="s">
        <v>10876</v>
      </c>
      <c r="BM517" s="30" t="s">
        <v>3217</v>
      </c>
      <c r="BN517" s="29" t="s">
        <v>10877</v>
      </c>
      <c r="BO517" s="30" t="s">
        <v>186</v>
      </c>
      <c r="BP517" s="29" t="s">
        <v>151</v>
      </c>
      <c r="BQ517" s="29" t="s">
        <v>151</v>
      </c>
      <c r="BR517" s="30" t="s">
        <v>151</v>
      </c>
      <c r="BS517" s="30" t="s">
        <v>187</v>
      </c>
      <c r="BT517" s="30" t="s">
        <v>188</v>
      </c>
      <c r="BU517" s="35">
        <v>45399</v>
      </c>
      <c r="BV517" s="37" t="s">
        <v>151</v>
      </c>
      <c r="BW517" s="30" t="s">
        <v>151</v>
      </c>
      <c r="BX517" s="37" t="s">
        <v>151</v>
      </c>
      <c r="BY517" s="30" t="s">
        <v>151</v>
      </c>
      <c r="BZ517" s="30" t="s">
        <v>189</v>
      </c>
      <c r="CA517" s="30" t="s">
        <v>151</v>
      </c>
      <c r="CB517" s="30" t="s">
        <v>151</v>
      </c>
      <c r="CC517" s="30" t="s">
        <v>190</v>
      </c>
      <c r="CD517" s="30" t="s">
        <v>151</v>
      </c>
      <c r="CE517" s="30" t="s">
        <v>191</v>
      </c>
      <c r="CF517" s="35">
        <v>45510</v>
      </c>
      <c r="CG517" s="37">
        <v>0.05</v>
      </c>
      <c r="CH517" s="30" t="s">
        <v>192</v>
      </c>
      <c r="CI517" s="37" t="s">
        <v>151</v>
      </c>
      <c r="CJ517" s="30" t="s">
        <v>151</v>
      </c>
      <c r="CK517" s="29" t="s">
        <v>151</v>
      </c>
      <c r="CL517" s="30" t="s">
        <v>293</v>
      </c>
      <c r="CM517" s="30" t="s">
        <v>293</v>
      </c>
      <c r="CN517" s="30" t="s">
        <v>151</v>
      </c>
      <c r="CO517" s="30" t="s">
        <v>165</v>
      </c>
      <c r="CP517" s="35">
        <v>45510</v>
      </c>
      <c r="CQ517" s="37" t="s">
        <v>151</v>
      </c>
      <c r="CR517" s="30" t="s">
        <v>151</v>
      </c>
      <c r="CS517" s="30" t="s">
        <v>191</v>
      </c>
      <c r="CT517" s="29" t="s">
        <v>151</v>
      </c>
      <c r="CU517" s="30" t="s">
        <v>151</v>
      </c>
      <c r="CV517" s="32" t="s">
        <v>151</v>
      </c>
      <c r="CW517" s="32" t="s">
        <v>151</v>
      </c>
      <c r="CX517" s="30" t="s">
        <v>151</v>
      </c>
      <c r="CY517" s="32" t="s">
        <v>151</v>
      </c>
      <c r="CZ517" s="32" t="s">
        <v>151</v>
      </c>
      <c r="DA517" s="37" t="s">
        <v>151</v>
      </c>
      <c r="DB517" s="35" t="s">
        <v>151</v>
      </c>
      <c r="DC517" s="30" t="s">
        <v>151</v>
      </c>
      <c r="DD517" s="29" t="s">
        <v>151</v>
      </c>
      <c r="DE517" s="32" t="s">
        <v>151</v>
      </c>
      <c r="DF517" s="34" t="s">
        <v>151</v>
      </c>
      <c r="DG517" s="32" t="s">
        <v>151</v>
      </c>
      <c r="DH517" s="32" t="s">
        <v>151</v>
      </c>
      <c r="DI517" s="32" t="s">
        <v>151</v>
      </c>
      <c r="DJ517" s="34" t="s">
        <v>151</v>
      </c>
      <c r="DK517" s="32" t="s">
        <v>151</v>
      </c>
      <c r="DL517" s="34" t="s">
        <v>151</v>
      </c>
      <c r="DM517" s="32" t="s">
        <v>151</v>
      </c>
      <c r="DN517" s="34" t="s">
        <v>151</v>
      </c>
      <c r="DO517" s="36" t="s">
        <v>151</v>
      </c>
      <c r="DP517" s="34" t="s">
        <v>151</v>
      </c>
      <c r="DQ517" s="36" t="s">
        <v>151</v>
      </c>
      <c r="DR517" s="32" t="s">
        <v>151</v>
      </c>
      <c r="DS517" s="36" t="s">
        <v>151</v>
      </c>
      <c r="DT517" s="34" t="s">
        <v>151</v>
      </c>
      <c r="DU517" s="36" t="s">
        <v>151</v>
      </c>
      <c r="DV517" s="34" t="s">
        <v>151</v>
      </c>
      <c r="DW517" s="36" t="s">
        <v>151</v>
      </c>
      <c r="DX517" s="34" t="s">
        <v>151</v>
      </c>
      <c r="DY517" s="31" t="s">
        <v>151</v>
      </c>
      <c r="DZ517" s="35" t="s">
        <v>151</v>
      </c>
      <c r="EA517" s="35" t="s">
        <v>151</v>
      </c>
      <c r="EB517" s="34" t="s">
        <v>151</v>
      </c>
      <c r="EC517" s="33" t="s">
        <v>151</v>
      </c>
      <c r="ED517" s="32" t="s">
        <v>151</v>
      </c>
      <c r="EE517" s="34" t="s">
        <v>151</v>
      </c>
      <c r="EF517" s="33" t="s">
        <v>151</v>
      </c>
      <c r="EG517" s="32" t="s">
        <v>151</v>
      </c>
      <c r="EH517" s="29" t="s">
        <v>198</v>
      </c>
      <c r="EI517" s="30" t="s">
        <v>151</v>
      </c>
      <c r="EJ517" s="30" t="s">
        <v>151</v>
      </c>
      <c r="EK517" s="31" t="s">
        <v>151</v>
      </c>
      <c r="EL517" s="31" t="s">
        <v>151</v>
      </c>
      <c r="EM517" s="31" t="s">
        <v>151</v>
      </c>
      <c r="EN517" s="31" t="s">
        <v>151</v>
      </c>
      <c r="EO517" s="31" t="s">
        <v>151</v>
      </c>
      <c r="EP517" s="30" t="s">
        <v>151</v>
      </c>
      <c r="EQ517" s="29" t="s">
        <v>151</v>
      </c>
      <c r="ER517" s="29" t="s">
        <v>151</v>
      </c>
      <c r="ES517" s="4">
        <f>HYPERLINK("https://my.pitchbook.com?c=607516-84","View Company Online")</f>
      </c>
    </row>
    <row r="518">
      <c r="A518" s="17" t="s">
        <v>10878</v>
      </c>
      <c r="B518" s="17" t="s">
        <v>10879</v>
      </c>
      <c r="C518" s="18" t="s">
        <v>151</v>
      </c>
      <c r="D518" s="17" t="s">
        <v>151</v>
      </c>
      <c r="E518" s="17" t="s">
        <v>151</v>
      </c>
      <c r="F518" s="17" t="s">
        <v>10880</v>
      </c>
      <c r="G518" s="17" t="s">
        <v>151</v>
      </c>
      <c r="H518" s="17" t="s">
        <v>151</v>
      </c>
      <c r="I518" s="17" t="s">
        <v>10881</v>
      </c>
      <c r="J518" s="17" t="s">
        <v>10878</v>
      </c>
      <c r="K518" s="17" t="s">
        <v>10882</v>
      </c>
      <c r="L518" s="17" t="s">
        <v>205</v>
      </c>
      <c r="M518" s="17" t="s">
        <v>206</v>
      </c>
      <c r="N518" s="17" t="s">
        <v>269</v>
      </c>
      <c r="O518" s="17" t="s">
        <v>7026</v>
      </c>
      <c r="P518" s="17" t="s">
        <v>2149</v>
      </c>
      <c r="Q518" s="17" t="s">
        <v>10883</v>
      </c>
      <c r="R518" s="17" t="s">
        <v>151</v>
      </c>
      <c r="S518" s="17" t="s">
        <v>162</v>
      </c>
      <c r="T518" s="24">
        <v>12.98</v>
      </c>
      <c r="U518" s="17" t="s">
        <v>163</v>
      </c>
      <c r="V518" s="17" t="s">
        <v>164</v>
      </c>
      <c r="W518" s="17" t="s">
        <v>165</v>
      </c>
      <c r="X518" s="15" t="s">
        <v>10884</v>
      </c>
      <c r="Y518" s="15" t="s">
        <v>10885</v>
      </c>
      <c r="Z518" s="27">
        <v>43</v>
      </c>
      <c r="AA518" s="17" t="s">
        <v>10886</v>
      </c>
      <c r="AB518" s="17" t="s">
        <v>151</v>
      </c>
      <c r="AC518" s="17" t="s">
        <v>151</v>
      </c>
      <c r="AD518" s="26">
        <v>2020</v>
      </c>
      <c r="AE518" s="17" t="s">
        <v>151</v>
      </c>
      <c r="AF518" s="22">
        <v>45580</v>
      </c>
      <c r="AG518" s="17" t="s">
        <v>151</v>
      </c>
      <c r="AH518" s="17" t="s">
        <v>151</v>
      </c>
      <c r="AI518" s="25" t="s">
        <v>151</v>
      </c>
      <c r="AJ518" s="19" t="s">
        <v>151</v>
      </c>
      <c r="AK518" s="25" t="s">
        <v>151</v>
      </c>
      <c r="AL518" s="25" t="s">
        <v>151</v>
      </c>
      <c r="AM518" s="25" t="s">
        <v>151</v>
      </c>
      <c r="AN518" s="25" t="s">
        <v>151</v>
      </c>
      <c r="AO518" s="25" t="s">
        <v>151</v>
      </c>
      <c r="AP518" s="25" t="s">
        <v>151</v>
      </c>
      <c r="AQ518" s="25" t="s">
        <v>151</v>
      </c>
      <c r="AR518" s="16" t="s">
        <v>151</v>
      </c>
      <c r="AS518" s="17" t="s">
        <v>10887</v>
      </c>
      <c r="AT518" s="17" t="s">
        <v>10888</v>
      </c>
      <c r="AU518" s="18">
        <v>21</v>
      </c>
      <c r="AV518" s="17" t="s">
        <v>151</v>
      </c>
      <c r="AW518" s="17" t="s">
        <v>151</v>
      </c>
      <c r="AX518" s="17" t="s">
        <v>151</v>
      </c>
      <c r="AY518" s="17" t="s">
        <v>10889</v>
      </c>
      <c r="AZ518" s="17" t="s">
        <v>151</v>
      </c>
      <c r="BA518" s="17" t="s">
        <v>151</v>
      </c>
      <c r="BB518" s="17" t="s">
        <v>151</v>
      </c>
      <c r="BC518" s="17" t="s">
        <v>151</v>
      </c>
      <c r="BD518" s="17" t="s">
        <v>10890</v>
      </c>
      <c r="BE518" s="17" t="s">
        <v>10891</v>
      </c>
      <c r="BF518" s="17" t="s">
        <v>10892</v>
      </c>
      <c r="BG518" s="17" t="s">
        <v>151</v>
      </c>
      <c r="BH518" s="17" t="s">
        <v>10893</v>
      </c>
      <c r="BI518" s="17" t="s">
        <v>285</v>
      </c>
      <c r="BJ518" s="17" t="s">
        <v>2523</v>
      </c>
      <c r="BK518" s="17" t="s">
        <v>10894</v>
      </c>
      <c r="BL518" s="17" t="s">
        <v>288</v>
      </c>
      <c r="BM518" s="17" t="s">
        <v>289</v>
      </c>
      <c r="BN518" s="16" t="s">
        <v>1361</v>
      </c>
      <c r="BO518" s="17" t="s">
        <v>186</v>
      </c>
      <c r="BP518" s="16" t="s">
        <v>10895</v>
      </c>
      <c r="BQ518" s="16" t="s">
        <v>151</v>
      </c>
      <c r="BR518" s="17" t="s">
        <v>10896</v>
      </c>
      <c r="BS518" s="17" t="s">
        <v>187</v>
      </c>
      <c r="BT518" s="17" t="s">
        <v>188</v>
      </c>
      <c r="BU518" s="22">
        <v>44676</v>
      </c>
      <c r="BV518" s="24">
        <v>3.62</v>
      </c>
      <c r="BW518" s="17" t="s">
        <v>192</v>
      </c>
      <c r="BX518" s="24">
        <v>11.62</v>
      </c>
      <c r="BY518" s="17" t="s">
        <v>192</v>
      </c>
      <c r="BZ518" s="17" t="s">
        <v>293</v>
      </c>
      <c r="CA518" s="17" t="s">
        <v>293</v>
      </c>
      <c r="CB518" s="17" t="s">
        <v>151</v>
      </c>
      <c r="CC518" s="17" t="s">
        <v>165</v>
      </c>
      <c r="CD518" s="17" t="s">
        <v>151</v>
      </c>
      <c r="CE518" s="17" t="s">
        <v>191</v>
      </c>
      <c r="CF518" s="22">
        <v>45392</v>
      </c>
      <c r="CG518" s="24">
        <v>3.1</v>
      </c>
      <c r="CH518" s="17" t="s">
        <v>192</v>
      </c>
      <c r="CI518" s="24" t="s">
        <v>151</v>
      </c>
      <c r="CJ518" s="17" t="s">
        <v>151</v>
      </c>
      <c r="CK518" s="16" t="s">
        <v>151</v>
      </c>
      <c r="CL518" s="17" t="s">
        <v>231</v>
      </c>
      <c r="CM518" s="17" t="s">
        <v>151</v>
      </c>
      <c r="CN518" s="17" t="s">
        <v>151</v>
      </c>
      <c r="CO518" s="17" t="s">
        <v>165</v>
      </c>
      <c r="CP518" s="22">
        <v>45392</v>
      </c>
      <c r="CQ518" s="24" t="s">
        <v>151</v>
      </c>
      <c r="CR518" s="17" t="s">
        <v>151</v>
      </c>
      <c r="CS518" s="17" t="s">
        <v>191</v>
      </c>
      <c r="CT518" s="16">
        <v>94</v>
      </c>
      <c r="CU518" s="17" t="s">
        <v>196</v>
      </c>
      <c r="CV518" s="19">
        <v>86</v>
      </c>
      <c r="CW518" s="19">
        <v>14</v>
      </c>
      <c r="CX518" s="17" t="s">
        <v>294</v>
      </c>
      <c r="CY518" s="19">
        <v>4</v>
      </c>
      <c r="CZ518" s="19">
        <v>82</v>
      </c>
      <c r="DA518" s="24">
        <v>25.25</v>
      </c>
      <c r="DB518" s="22">
        <v>45201</v>
      </c>
      <c r="DC518" s="17" t="s">
        <v>231</v>
      </c>
      <c r="DD518" s="16">
        <v>1.63</v>
      </c>
      <c r="DE518" s="19">
        <v>0.82</v>
      </c>
      <c r="DF518" s="21">
        <v>95</v>
      </c>
      <c r="DG518" s="19">
        <v>0</v>
      </c>
      <c r="DH518" s="19">
        <v>0</v>
      </c>
      <c r="DI518" s="19">
        <v>1.35</v>
      </c>
      <c r="DJ518" s="21">
        <v>97</v>
      </c>
      <c r="DK518" s="19" t="s">
        <v>151</v>
      </c>
      <c r="DL518" s="21" t="s">
        <v>151</v>
      </c>
      <c r="DM518" s="19">
        <v>1.35</v>
      </c>
      <c r="DN518" s="21">
        <v>97</v>
      </c>
      <c r="DO518" s="23">
        <v>8.92</v>
      </c>
      <c r="DP518" s="21">
        <v>89</v>
      </c>
      <c r="DQ518" s="23">
        <v>0</v>
      </c>
      <c r="DR518" s="19">
        <v>0</v>
      </c>
      <c r="DS518" s="23">
        <v>14.53</v>
      </c>
      <c r="DT518" s="21">
        <v>93</v>
      </c>
      <c r="DU518" s="23" t="s">
        <v>151</v>
      </c>
      <c r="DV518" s="21" t="s">
        <v>151</v>
      </c>
      <c r="DW518" s="23">
        <v>14.53</v>
      </c>
      <c r="DX518" s="21">
        <v>93</v>
      </c>
      <c r="DY518" s="18" t="s">
        <v>151</v>
      </c>
      <c r="DZ518" s="22" t="s">
        <v>151</v>
      </c>
      <c r="EA518" s="22" t="s">
        <v>151</v>
      </c>
      <c r="EB518" s="21">
        <v>205</v>
      </c>
      <c r="EC518" s="20">
        <v>-39</v>
      </c>
      <c r="ED518" s="19">
        <v>-15.98</v>
      </c>
      <c r="EE518" s="21">
        <v>276</v>
      </c>
      <c r="EF518" s="20">
        <v>2</v>
      </c>
      <c r="EG518" s="19">
        <v>0.73</v>
      </c>
      <c r="EH518" s="16" t="s">
        <v>198</v>
      </c>
      <c r="EI518" s="17" t="s">
        <v>151</v>
      </c>
      <c r="EJ518" s="17" t="s">
        <v>151</v>
      </c>
      <c r="EK518" s="18" t="s">
        <v>151</v>
      </c>
      <c r="EL518" s="18" t="s">
        <v>151</v>
      </c>
      <c r="EM518" s="18" t="s">
        <v>151</v>
      </c>
      <c r="EN518" s="18" t="s">
        <v>151</v>
      </c>
      <c r="EO518" s="18" t="s">
        <v>151</v>
      </c>
      <c r="EP518" s="17" t="s">
        <v>151</v>
      </c>
      <c r="EQ518" s="16" t="s">
        <v>151</v>
      </c>
      <c r="ER518" s="16" t="s">
        <v>151</v>
      </c>
      <c r="ES518" s="3">
        <f>HYPERLINK("https://my.pitchbook.com?c=469083-88","View Company Online")</f>
      </c>
    </row>
    <row r="519">
      <c r="A519" s="30" t="s">
        <v>10897</v>
      </c>
      <c r="B519" s="30" t="s">
        <v>10898</v>
      </c>
      <c r="C519" s="31" t="s">
        <v>151</v>
      </c>
      <c r="D519" s="30" t="s">
        <v>151</v>
      </c>
      <c r="E519" s="30" t="s">
        <v>10899</v>
      </c>
      <c r="F519" s="30" t="s">
        <v>10900</v>
      </c>
      <c r="G519" s="30" t="s">
        <v>151</v>
      </c>
      <c r="H519" s="30" t="s">
        <v>151</v>
      </c>
      <c r="I519" s="30" t="s">
        <v>151</v>
      </c>
      <c r="J519" s="30" t="s">
        <v>10897</v>
      </c>
      <c r="K519" s="30" t="s">
        <v>10901</v>
      </c>
      <c r="L519" s="30" t="s">
        <v>155</v>
      </c>
      <c r="M519" s="30" t="s">
        <v>2320</v>
      </c>
      <c r="N519" s="30" t="s">
        <v>2321</v>
      </c>
      <c r="O519" s="30" t="s">
        <v>10902</v>
      </c>
      <c r="P519" s="30" t="s">
        <v>1107</v>
      </c>
      <c r="Q519" s="30" t="s">
        <v>10903</v>
      </c>
      <c r="R519" s="30" t="s">
        <v>151</v>
      </c>
      <c r="S519" s="30" t="s">
        <v>162</v>
      </c>
      <c r="T519" s="37">
        <v>4</v>
      </c>
      <c r="U519" s="30" t="s">
        <v>163</v>
      </c>
      <c r="V519" s="30" t="s">
        <v>164</v>
      </c>
      <c r="W519" s="30" t="s">
        <v>165</v>
      </c>
      <c r="X519" s="28" t="s">
        <v>10904</v>
      </c>
      <c r="Y519" s="28" t="s">
        <v>10905</v>
      </c>
      <c r="Z519" s="40">
        <v>4</v>
      </c>
      <c r="AA519" s="30" t="s">
        <v>8692</v>
      </c>
      <c r="AB519" s="30" t="s">
        <v>151</v>
      </c>
      <c r="AC519" s="30" t="s">
        <v>151</v>
      </c>
      <c r="AD519" s="39">
        <v>2024</v>
      </c>
      <c r="AE519" s="30" t="s">
        <v>151</v>
      </c>
      <c r="AF519" s="35">
        <v>45600</v>
      </c>
      <c r="AG519" s="30" t="s">
        <v>151</v>
      </c>
      <c r="AH519" s="30" t="s">
        <v>151</v>
      </c>
      <c r="AI519" s="38" t="s">
        <v>151</v>
      </c>
      <c r="AJ519" s="32" t="s">
        <v>151</v>
      </c>
      <c r="AK519" s="38" t="s">
        <v>151</v>
      </c>
      <c r="AL519" s="38" t="s">
        <v>151</v>
      </c>
      <c r="AM519" s="38" t="s">
        <v>151</v>
      </c>
      <c r="AN519" s="38" t="s">
        <v>151</v>
      </c>
      <c r="AO519" s="38" t="s">
        <v>151</v>
      </c>
      <c r="AP519" s="38" t="s">
        <v>151</v>
      </c>
      <c r="AQ519" s="38" t="s">
        <v>151</v>
      </c>
      <c r="AR519" s="29" t="s">
        <v>151</v>
      </c>
      <c r="AS519" s="30" t="s">
        <v>10906</v>
      </c>
      <c r="AT519" s="30" t="s">
        <v>10907</v>
      </c>
      <c r="AU519" s="31">
        <v>4</v>
      </c>
      <c r="AV519" s="30" t="s">
        <v>151</v>
      </c>
      <c r="AW519" s="30" t="s">
        <v>151</v>
      </c>
      <c r="AX519" s="30" t="s">
        <v>151</v>
      </c>
      <c r="AY519" s="30" t="s">
        <v>10908</v>
      </c>
      <c r="AZ519" s="30" t="s">
        <v>151</v>
      </c>
      <c r="BA519" s="30" t="s">
        <v>151</v>
      </c>
      <c r="BB519" s="30" t="s">
        <v>151</v>
      </c>
      <c r="BC519" s="30" t="s">
        <v>151</v>
      </c>
      <c r="BD519" s="30" t="s">
        <v>10909</v>
      </c>
      <c r="BE519" s="30" t="s">
        <v>10910</v>
      </c>
      <c r="BF519" s="30" t="s">
        <v>3087</v>
      </c>
      <c r="BG519" s="30" t="s">
        <v>151</v>
      </c>
      <c r="BH519" s="30" t="s">
        <v>151</v>
      </c>
      <c r="BI519" s="30" t="s">
        <v>764</v>
      </c>
      <c r="BJ519" s="30" t="s">
        <v>10911</v>
      </c>
      <c r="BK519" s="30" t="s">
        <v>10912</v>
      </c>
      <c r="BL519" s="30" t="s">
        <v>767</v>
      </c>
      <c r="BM519" s="30" t="s">
        <v>184</v>
      </c>
      <c r="BN519" s="29" t="s">
        <v>10913</v>
      </c>
      <c r="BO519" s="30" t="s">
        <v>186</v>
      </c>
      <c r="BP519" s="29" t="s">
        <v>151</v>
      </c>
      <c r="BQ519" s="29" t="s">
        <v>151</v>
      </c>
      <c r="BR519" s="30" t="s">
        <v>151</v>
      </c>
      <c r="BS519" s="30" t="s">
        <v>187</v>
      </c>
      <c r="BT519" s="30" t="s">
        <v>188</v>
      </c>
      <c r="BU519" s="35">
        <v>45573</v>
      </c>
      <c r="BV519" s="37">
        <v>4</v>
      </c>
      <c r="BW519" s="30" t="s">
        <v>151</v>
      </c>
      <c r="BX519" s="37">
        <v>25</v>
      </c>
      <c r="BY519" s="30" t="s">
        <v>192</v>
      </c>
      <c r="BZ519" s="30" t="s">
        <v>293</v>
      </c>
      <c r="CA519" s="30" t="s">
        <v>293</v>
      </c>
      <c r="CB519" s="30" t="s">
        <v>151</v>
      </c>
      <c r="CC519" s="30" t="s">
        <v>165</v>
      </c>
      <c r="CD519" s="30" t="s">
        <v>151</v>
      </c>
      <c r="CE519" s="30" t="s">
        <v>191</v>
      </c>
      <c r="CF519" s="35">
        <v>45573</v>
      </c>
      <c r="CG519" s="37">
        <v>4</v>
      </c>
      <c r="CH519" s="30" t="s">
        <v>151</v>
      </c>
      <c r="CI519" s="37">
        <v>25</v>
      </c>
      <c r="CJ519" s="30" t="s">
        <v>192</v>
      </c>
      <c r="CK519" s="29" t="s">
        <v>151</v>
      </c>
      <c r="CL519" s="30" t="s">
        <v>293</v>
      </c>
      <c r="CM519" s="30" t="s">
        <v>293</v>
      </c>
      <c r="CN519" s="30" t="s">
        <v>151</v>
      </c>
      <c r="CO519" s="30" t="s">
        <v>165</v>
      </c>
      <c r="CP519" s="35">
        <v>45573</v>
      </c>
      <c r="CQ519" s="37" t="s">
        <v>151</v>
      </c>
      <c r="CR519" s="30" t="s">
        <v>151</v>
      </c>
      <c r="CS519" s="30" t="s">
        <v>191</v>
      </c>
      <c r="CT519" s="29" t="s">
        <v>151</v>
      </c>
      <c r="CU519" s="30" t="s">
        <v>151</v>
      </c>
      <c r="CV519" s="32" t="s">
        <v>151</v>
      </c>
      <c r="CW519" s="32" t="s">
        <v>151</v>
      </c>
      <c r="CX519" s="30" t="s">
        <v>151</v>
      </c>
      <c r="CY519" s="32" t="s">
        <v>151</v>
      </c>
      <c r="CZ519" s="32" t="s">
        <v>151</v>
      </c>
      <c r="DA519" s="37">
        <v>25</v>
      </c>
      <c r="DB519" s="35">
        <v>45573</v>
      </c>
      <c r="DC519" s="30" t="s">
        <v>293</v>
      </c>
      <c r="DD519" s="29" t="s">
        <v>151</v>
      </c>
      <c r="DE519" s="32" t="s">
        <v>151</v>
      </c>
      <c r="DF519" s="34" t="s">
        <v>151</v>
      </c>
      <c r="DG519" s="32" t="s">
        <v>151</v>
      </c>
      <c r="DH519" s="32" t="s">
        <v>151</v>
      </c>
      <c r="DI519" s="32" t="s">
        <v>151</v>
      </c>
      <c r="DJ519" s="34" t="s">
        <v>151</v>
      </c>
      <c r="DK519" s="32" t="s">
        <v>151</v>
      </c>
      <c r="DL519" s="34" t="s">
        <v>151</v>
      </c>
      <c r="DM519" s="32" t="s">
        <v>151</v>
      </c>
      <c r="DN519" s="34" t="s">
        <v>151</v>
      </c>
      <c r="DO519" s="36" t="s">
        <v>151</v>
      </c>
      <c r="DP519" s="34" t="s">
        <v>151</v>
      </c>
      <c r="DQ519" s="36" t="s">
        <v>151</v>
      </c>
      <c r="DR519" s="32" t="s">
        <v>151</v>
      </c>
      <c r="DS519" s="36" t="s">
        <v>151</v>
      </c>
      <c r="DT519" s="34" t="s">
        <v>151</v>
      </c>
      <c r="DU519" s="36" t="s">
        <v>151</v>
      </c>
      <c r="DV519" s="34" t="s">
        <v>151</v>
      </c>
      <c r="DW519" s="36" t="s">
        <v>151</v>
      </c>
      <c r="DX519" s="34" t="s">
        <v>151</v>
      </c>
      <c r="DY519" s="31" t="s">
        <v>151</v>
      </c>
      <c r="DZ519" s="35" t="s">
        <v>151</v>
      </c>
      <c r="EA519" s="35" t="s">
        <v>151</v>
      </c>
      <c r="EB519" s="34" t="s">
        <v>151</v>
      </c>
      <c r="EC519" s="33" t="s">
        <v>151</v>
      </c>
      <c r="ED519" s="32" t="s">
        <v>151</v>
      </c>
      <c r="EE519" s="34" t="s">
        <v>151</v>
      </c>
      <c r="EF519" s="33" t="s">
        <v>151</v>
      </c>
      <c r="EG519" s="32" t="s">
        <v>151</v>
      </c>
      <c r="EH519" s="29" t="s">
        <v>198</v>
      </c>
      <c r="EI519" s="30" t="s">
        <v>151</v>
      </c>
      <c r="EJ519" s="30" t="s">
        <v>151</v>
      </c>
      <c r="EK519" s="31" t="s">
        <v>151</v>
      </c>
      <c r="EL519" s="31" t="s">
        <v>151</v>
      </c>
      <c r="EM519" s="31" t="s">
        <v>151</v>
      </c>
      <c r="EN519" s="31" t="s">
        <v>151</v>
      </c>
      <c r="EO519" s="31" t="s">
        <v>151</v>
      </c>
      <c r="EP519" s="30" t="s">
        <v>151</v>
      </c>
      <c r="EQ519" s="29" t="s">
        <v>151</v>
      </c>
      <c r="ER519" s="29" t="s">
        <v>151</v>
      </c>
      <c r="ES519" s="4">
        <f>HYPERLINK("https://my.pitchbook.com?c=608504-95","View Company Online")</f>
      </c>
    </row>
    <row r="520">
      <c r="A520" s="17" t="s">
        <v>10914</v>
      </c>
      <c r="B520" s="17" t="s">
        <v>10915</v>
      </c>
      <c r="C520" s="18" t="s">
        <v>151</v>
      </c>
      <c r="D520" s="17" t="s">
        <v>151</v>
      </c>
      <c r="E520" s="17" t="s">
        <v>10916</v>
      </c>
      <c r="F520" s="17" t="s">
        <v>151</v>
      </c>
      <c r="G520" s="17" t="s">
        <v>151</v>
      </c>
      <c r="H520" s="17" t="s">
        <v>151</v>
      </c>
      <c r="I520" s="17" t="s">
        <v>151</v>
      </c>
      <c r="J520" s="17" t="s">
        <v>10914</v>
      </c>
      <c r="K520" s="17" t="s">
        <v>10917</v>
      </c>
      <c r="L520" s="17" t="s">
        <v>205</v>
      </c>
      <c r="M520" s="17" t="s">
        <v>8566</v>
      </c>
      <c r="N520" s="17" t="s">
        <v>8567</v>
      </c>
      <c r="O520" s="17" t="s">
        <v>10918</v>
      </c>
      <c r="P520" s="17" t="s">
        <v>209</v>
      </c>
      <c r="Q520" s="17" t="s">
        <v>10919</v>
      </c>
      <c r="R520" s="17" t="s">
        <v>4288</v>
      </c>
      <c r="S520" s="17" t="s">
        <v>162</v>
      </c>
      <c r="T520" s="24">
        <v>6</v>
      </c>
      <c r="U520" s="17" t="s">
        <v>163</v>
      </c>
      <c r="V520" s="17" t="s">
        <v>164</v>
      </c>
      <c r="W520" s="17" t="s">
        <v>165</v>
      </c>
      <c r="X520" s="15" t="s">
        <v>10920</v>
      </c>
      <c r="Y520" s="15" t="s">
        <v>10921</v>
      </c>
      <c r="Z520" s="27">
        <v>2</v>
      </c>
      <c r="AA520" s="17" t="s">
        <v>6077</v>
      </c>
      <c r="AB520" s="17" t="s">
        <v>151</v>
      </c>
      <c r="AC520" s="17" t="s">
        <v>151</v>
      </c>
      <c r="AD520" s="26">
        <v>2023</v>
      </c>
      <c r="AE520" s="17" t="s">
        <v>151</v>
      </c>
      <c r="AF520" s="22">
        <v>45600</v>
      </c>
      <c r="AG520" s="17" t="s">
        <v>151</v>
      </c>
      <c r="AH520" s="17" t="s">
        <v>151</v>
      </c>
      <c r="AI520" s="25" t="s">
        <v>151</v>
      </c>
      <c r="AJ520" s="19" t="s">
        <v>151</v>
      </c>
      <c r="AK520" s="25" t="s">
        <v>151</v>
      </c>
      <c r="AL520" s="25" t="s">
        <v>151</v>
      </c>
      <c r="AM520" s="25" t="s">
        <v>151</v>
      </c>
      <c r="AN520" s="25" t="s">
        <v>151</v>
      </c>
      <c r="AO520" s="25" t="s">
        <v>151</v>
      </c>
      <c r="AP520" s="25" t="s">
        <v>151</v>
      </c>
      <c r="AQ520" s="25" t="s">
        <v>151</v>
      </c>
      <c r="AR520" s="16" t="s">
        <v>151</v>
      </c>
      <c r="AS520" s="17" t="s">
        <v>10922</v>
      </c>
      <c r="AT520" s="17" t="s">
        <v>10923</v>
      </c>
      <c r="AU520" s="18">
        <v>14</v>
      </c>
      <c r="AV520" s="17" t="s">
        <v>151</v>
      </c>
      <c r="AW520" s="17" t="s">
        <v>151</v>
      </c>
      <c r="AX520" s="17" t="s">
        <v>151</v>
      </c>
      <c r="AY520" s="17" t="s">
        <v>10924</v>
      </c>
      <c r="AZ520" s="17" t="s">
        <v>151</v>
      </c>
      <c r="BA520" s="17" t="s">
        <v>151</v>
      </c>
      <c r="BB520" s="17" t="s">
        <v>151</v>
      </c>
      <c r="BC520" s="17" t="s">
        <v>151</v>
      </c>
      <c r="BD520" s="17" t="s">
        <v>10925</v>
      </c>
      <c r="BE520" s="17" t="s">
        <v>10926</v>
      </c>
      <c r="BF520" s="17" t="s">
        <v>221</v>
      </c>
      <c r="BG520" s="17" t="s">
        <v>151</v>
      </c>
      <c r="BH520" s="17" t="s">
        <v>151</v>
      </c>
      <c r="BI520" s="17" t="s">
        <v>151</v>
      </c>
      <c r="BJ520" s="17" t="s">
        <v>151</v>
      </c>
      <c r="BK520" s="17" t="s">
        <v>151</v>
      </c>
      <c r="BL520" s="17" t="s">
        <v>151</v>
      </c>
      <c r="BM520" s="17" t="s">
        <v>151</v>
      </c>
      <c r="BN520" s="16" t="s">
        <v>151</v>
      </c>
      <c r="BO520" s="17" t="s">
        <v>186</v>
      </c>
      <c r="BP520" s="16" t="s">
        <v>151</v>
      </c>
      <c r="BQ520" s="16" t="s">
        <v>151</v>
      </c>
      <c r="BR520" s="17" t="s">
        <v>151</v>
      </c>
      <c r="BS520" s="17" t="s">
        <v>187</v>
      </c>
      <c r="BT520" s="17" t="s">
        <v>188</v>
      </c>
      <c r="BU520" s="22">
        <v>45547</v>
      </c>
      <c r="BV520" s="24">
        <v>6</v>
      </c>
      <c r="BW520" s="17" t="s">
        <v>192</v>
      </c>
      <c r="BX520" s="24" t="s">
        <v>151</v>
      </c>
      <c r="BY520" s="17" t="s">
        <v>151</v>
      </c>
      <c r="BZ520" s="17" t="s">
        <v>231</v>
      </c>
      <c r="CA520" s="17" t="s">
        <v>151</v>
      </c>
      <c r="CB520" s="17" t="s">
        <v>151</v>
      </c>
      <c r="CC520" s="17" t="s">
        <v>165</v>
      </c>
      <c r="CD520" s="17" t="s">
        <v>151</v>
      </c>
      <c r="CE520" s="17" t="s">
        <v>191</v>
      </c>
      <c r="CF520" s="22">
        <v>45547</v>
      </c>
      <c r="CG520" s="24">
        <v>6</v>
      </c>
      <c r="CH520" s="17" t="s">
        <v>192</v>
      </c>
      <c r="CI520" s="24" t="s">
        <v>151</v>
      </c>
      <c r="CJ520" s="17" t="s">
        <v>151</v>
      </c>
      <c r="CK520" s="16" t="s">
        <v>151</v>
      </c>
      <c r="CL520" s="17" t="s">
        <v>231</v>
      </c>
      <c r="CM520" s="17" t="s">
        <v>151</v>
      </c>
      <c r="CN520" s="17" t="s">
        <v>151</v>
      </c>
      <c r="CO520" s="17" t="s">
        <v>165</v>
      </c>
      <c r="CP520" s="22">
        <v>45547</v>
      </c>
      <c r="CQ520" s="24" t="s">
        <v>151</v>
      </c>
      <c r="CR520" s="17" t="s">
        <v>151</v>
      </c>
      <c r="CS520" s="17" t="s">
        <v>191</v>
      </c>
      <c r="CT520" s="16" t="s">
        <v>151</v>
      </c>
      <c r="CU520" s="17" t="s">
        <v>151</v>
      </c>
      <c r="CV520" s="19" t="s">
        <v>151</v>
      </c>
      <c r="CW520" s="19" t="s">
        <v>151</v>
      </c>
      <c r="CX520" s="17" t="s">
        <v>151</v>
      </c>
      <c r="CY520" s="19" t="s">
        <v>151</v>
      </c>
      <c r="CZ520" s="19" t="s">
        <v>151</v>
      </c>
      <c r="DA520" s="24" t="s">
        <v>151</v>
      </c>
      <c r="DB520" s="22" t="s">
        <v>151</v>
      </c>
      <c r="DC520" s="17" t="s">
        <v>151</v>
      </c>
      <c r="DD520" s="16" t="s">
        <v>151</v>
      </c>
      <c r="DE520" s="19" t="s">
        <v>151</v>
      </c>
      <c r="DF520" s="21" t="s">
        <v>151</v>
      </c>
      <c r="DG520" s="19" t="s">
        <v>151</v>
      </c>
      <c r="DH520" s="19" t="s">
        <v>151</v>
      </c>
      <c r="DI520" s="19" t="s">
        <v>151</v>
      </c>
      <c r="DJ520" s="21" t="s">
        <v>151</v>
      </c>
      <c r="DK520" s="19" t="s">
        <v>151</v>
      </c>
      <c r="DL520" s="21" t="s">
        <v>151</v>
      </c>
      <c r="DM520" s="19" t="s">
        <v>151</v>
      </c>
      <c r="DN520" s="21" t="s">
        <v>151</v>
      </c>
      <c r="DO520" s="23" t="s">
        <v>151</v>
      </c>
      <c r="DP520" s="21" t="s">
        <v>151</v>
      </c>
      <c r="DQ520" s="23" t="s">
        <v>151</v>
      </c>
      <c r="DR520" s="19" t="s">
        <v>151</v>
      </c>
      <c r="DS520" s="23" t="s">
        <v>151</v>
      </c>
      <c r="DT520" s="21" t="s">
        <v>151</v>
      </c>
      <c r="DU520" s="23" t="s">
        <v>151</v>
      </c>
      <c r="DV520" s="21" t="s">
        <v>151</v>
      </c>
      <c r="DW520" s="23" t="s">
        <v>151</v>
      </c>
      <c r="DX520" s="21" t="s">
        <v>151</v>
      </c>
      <c r="DY520" s="18" t="s">
        <v>151</v>
      </c>
      <c r="DZ520" s="22" t="s">
        <v>151</v>
      </c>
      <c r="EA520" s="22" t="s">
        <v>151</v>
      </c>
      <c r="EB520" s="21" t="s">
        <v>151</v>
      </c>
      <c r="EC520" s="20" t="s">
        <v>151</v>
      </c>
      <c r="ED520" s="19" t="s">
        <v>151</v>
      </c>
      <c r="EE520" s="21" t="s">
        <v>151</v>
      </c>
      <c r="EF520" s="20" t="s">
        <v>151</v>
      </c>
      <c r="EG520" s="19" t="s">
        <v>151</v>
      </c>
      <c r="EH520" s="16" t="s">
        <v>198</v>
      </c>
      <c r="EI520" s="17" t="s">
        <v>151</v>
      </c>
      <c r="EJ520" s="17" t="s">
        <v>151</v>
      </c>
      <c r="EK520" s="18" t="s">
        <v>151</v>
      </c>
      <c r="EL520" s="18" t="s">
        <v>151</v>
      </c>
      <c r="EM520" s="18" t="s">
        <v>151</v>
      </c>
      <c r="EN520" s="18" t="s">
        <v>151</v>
      </c>
      <c r="EO520" s="18" t="s">
        <v>151</v>
      </c>
      <c r="EP520" s="17" t="s">
        <v>151</v>
      </c>
      <c r="EQ520" s="16" t="s">
        <v>151</v>
      </c>
      <c r="ER520" s="16" t="s">
        <v>151</v>
      </c>
      <c r="ES520" s="3">
        <f>HYPERLINK("https://my.pitchbook.com?c=656828-65","View Company Online")</f>
      </c>
    </row>
    <row r="521">
      <c r="A521" s="30" t="s">
        <v>10927</v>
      </c>
      <c r="B521" s="30" t="s">
        <v>10928</v>
      </c>
      <c r="C521" s="31" t="s">
        <v>151</v>
      </c>
      <c r="D521" s="30" t="s">
        <v>10929</v>
      </c>
      <c r="E521" s="30" t="s">
        <v>151</v>
      </c>
      <c r="F521" s="30" t="s">
        <v>10930</v>
      </c>
      <c r="G521" s="30" t="s">
        <v>151</v>
      </c>
      <c r="H521" s="30" t="s">
        <v>151</v>
      </c>
      <c r="I521" s="30" t="s">
        <v>10931</v>
      </c>
      <c r="J521" s="30" t="s">
        <v>10927</v>
      </c>
      <c r="K521" s="30" t="s">
        <v>10932</v>
      </c>
      <c r="L521" s="30" t="s">
        <v>205</v>
      </c>
      <c r="M521" s="30" t="s">
        <v>206</v>
      </c>
      <c r="N521" s="30" t="s">
        <v>776</v>
      </c>
      <c r="O521" s="30" t="s">
        <v>10933</v>
      </c>
      <c r="P521" s="30" t="s">
        <v>9709</v>
      </c>
      <c r="Q521" s="30" t="s">
        <v>10934</v>
      </c>
      <c r="R521" s="30" t="s">
        <v>151</v>
      </c>
      <c r="S521" s="30" t="s">
        <v>162</v>
      </c>
      <c r="T521" s="37">
        <v>0.61</v>
      </c>
      <c r="U521" s="30" t="s">
        <v>1727</v>
      </c>
      <c r="V521" s="30" t="s">
        <v>164</v>
      </c>
      <c r="W521" s="30" t="s">
        <v>165</v>
      </c>
      <c r="X521" s="28" t="s">
        <v>10935</v>
      </c>
      <c r="Y521" s="28" t="s">
        <v>10936</v>
      </c>
      <c r="Z521" s="40">
        <v>4</v>
      </c>
      <c r="AA521" s="30" t="s">
        <v>10937</v>
      </c>
      <c r="AB521" s="30" t="s">
        <v>151</v>
      </c>
      <c r="AC521" s="30" t="s">
        <v>151</v>
      </c>
      <c r="AD521" s="39">
        <v>2017</v>
      </c>
      <c r="AE521" s="30" t="s">
        <v>151</v>
      </c>
      <c r="AF521" s="35">
        <v>45478</v>
      </c>
      <c r="AG521" s="30" t="s">
        <v>151</v>
      </c>
      <c r="AH521" s="30" t="s">
        <v>151</v>
      </c>
      <c r="AI521" s="38" t="s">
        <v>151</v>
      </c>
      <c r="AJ521" s="32" t="s">
        <v>151</v>
      </c>
      <c r="AK521" s="38" t="s">
        <v>151</v>
      </c>
      <c r="AL521" s="38" t="s">
        <v>151</v>
      </c>
      <c r="AM521" s="38" t="s">
        <v>151</v>
      </c>
      <c r="AN521" s="38" t="s">
        <v>151</v>
      </c>
      <c r="AO521" s="38" t="s">
        <v>151</v>
      </c>
      <c r="AP521" s="38" t="s">
        <v>151</v>
      </c>
      <c r="AQ521" s="38">
        <v>0</v>
      </c>
      <c r="AR521" s="29" t="s">
        <v>3435</v>
      </c>
      <c r="AS521" s="30" t="s">
        <v>10938</v>
      </c>
      <c r="AT521" s="30" t="s">
        <v>10939</v>
      </c>
      <c r="AU521" s="31">
        <v>6</v>
      </c>
      <c r="AV521" s="30" t="s">
        <v>151</v>
      </c>
      <c r="AW521" s="30" t="s">
        <v>151</v>
      </c>
      <c r="AX521" s="30" t="s">
        <v>151</v>
      </c>
      <c r="AY521" s="30" t="s">
        <v>10940</v>
      </c>
      <c r="AZ521" s="30" t="s">
        <v>151</v>
      </c>
      <c r="BA521" s="30" t="s">
        <v>151</v>
      </c>
      <c r="BB521" s="30" t="s">
        <v>151</v>
      </c>
      <c r="BC521" s="30" t="s">
        <v>151</v>
      </c>
      <c r="BD521" s="30" t="s">
        <v>10941</v>
      </c>
      <c r="BE521" s="30" t="s">
        <v>10942</v>
      </c>
      <c r="BF521" s="30" t="s">
        <v>3400</v>
      </c>
      <c r="BG521" s="30" t="s">
        <v>10943</v>
      </c>
      <c r="BH521" s="30" t="s">
        <v>151</v>
      </c>
      <c r="BI521" s="30" t="s">
        <v>934</v>
      </c>
      <c r="BJ521" s="30" t="s">
        <v>151</v>
      </c>
      <c r="BK521" s="30" t="s">
        <v>151</v>
      </c>
      <c r="BL521" s="30" t="s">
        <v>937</v>
      </c>
      <c r="BM521" s="30" t="s">
        <v>184</v>
      </c>
      <c r="BN521" s="29" t="s">
        <v>151</v>
      </c>
      <c r="BO521" s="30" t="s">
        <v>186</v>
      </c>
      <c r="BP521" s="29" t="s">
        <v>151</v>
      </c>
      <c r="BQ521" s="29" t="s">
        <v>151</v>
      </c>
      <c r="BR521" s="30" t="s">
        <v>10944</v>
      </c>
      <c r="BS521" s="30" t="s">
        <v>187</v>
      </c>
      <c r="BT521" s="30" t="s">
        <v>188</v>
      </c>
      <c r="BU521" s="35">
        <v>43033</v>
      </c>
      <c r="BV521" s="37">
        <v>0.35</v>
      </c>
      <c r="BW521" s="30" t="s">
        <v>193</v>
      </c>
      <c r="BX521" s="37">
        <v>0.71</v>
      </c>
      <c r="BY521" s="30" t="s">
        <v>192</v>
      </c>
      <c r="BZ521" s="30" t="s">
        <v>189</v>
      </c>
      <c r="CA521" s="30" t="s">
        <v>151</v>
      </c>
      <c r="CB521" s="30" t="s">
        <v>151</v>
      </c>
      <c r="CC521" s="30" t="s">
        <v>190</v>
      </c>
      <c r="CD521" s="30" t="s">
        <v>151</v>
      </c>
      <c r="CE521" s="30" t="s">
        <v>191</v>
      </c>
      <c r="CF521" s="35">
        <v>45099</v>
      </c>
      <c r="CG521" s="37">
        <v>0.01</v>
      </c>
      <c r="CH521" s="30" t="s">
        <v>192</v>
      </c>
      <c r="CI521" s="37" t="s">
        <v>151</v>
      </c>
      <c r="CJ521" s="30" t="s">
        <v>151</v>
      </c>
      <c r="CK521" s="29" t="s">
        <v>151</v>
      </c>
      <c r="CL521" s="30" t="s">
        <v>189</v>
      </c>
      <c r="CM521" s="30" t="s">
        <v>151</v>
      </c>
      <c r="CN521" s="30" t="s">
        <v>151</v>
      </c>
      <c r="CO521" s="30" t="s">
        <v>190</v>
      </c>
      <c r="CP521" s="35">
        <v>45099</v>
      </c>
      <c r="CQ521" s="37" t="s">
        <v>151</v>
      </c>
      <c r="CR521" s="30" t="s">
        <v>151</v>
      </c>
      <c r="CS521" s="30" t="s">
        <v>191</v>
      </c>
      <c r="CT521" s="29" t="s">
        <v>151</v>
      </c>
      <c r="CU521" s="30" t="s">
        <v>151</v>
      </c>
      <c r="CV521" s="32" t="s">
        <v>151</v>
      </c>
      <c r="CW521" s="32" t="s">
        <v>151</v>
      </c>
      <c r="CX521" s="30" t="s">
        <v>151</v>
      </c>
      <c r="CY521" s="32" t="s">
        <v>151</v>
      </c>
      <c r="CZ521" s="32" t="s">
        <v>151</v>
      </c>
      <c r="DA521" s="37">
        <v>8.5</v>
      </c>
      <c r="DB521" s="35">
        <v>44713</v>
      </c>
      <c r="DC521" s="30" t="s">
        <v>293</v>
      </c>
      <c r="DD521" s="29" t="s">
        <v>151</v>
      </c>
      <c r="DE521" s="32">
        <v>0.19</v>
      </c>
      <c r="DF521" s="34">
        <v>91</v>
      </c>
      <c r="DG521" s="32">
        <v>0</v>
      </c>
      <c r="DH521" s="32">
        <v>0</v>
      </c>
      <c r="DI521" s="32">
        <v>0.39</v>
      </c>
      <c r="DJ521" s="34">
        <v>94</v>
      </c>
      <c r="DK521" s="32">
        <v>0</v>
      </c>
      <c r="DL521" s="34">
        <v>11</v>
      </c>
      <c r="DM521" s="32">
        <v>0.78</v>
      </c>
      <c r="DN521" s="34">
        <v>96</v>
      </c>
      <c r="DO521" s="36">
        <v>2.43</v>
      </c>
      <c r="DP521" s="34">
        <v>70</v>
      </c>
      <c r="DQ521" s="36">
        <v>0</v>
      </c>
      <c r="DR521" s="32">
        <v>0</v>
      </c>
      <c r="DS521" s="36">
        <v>4.55</v>
      </c>
      <c r="DT521" s="34">
        <v>81</v>
      </c>
      <c r="DU521" s="36">
        <v>1.21</v>
      </c>
      <c r="DV521" s="34">
        <v>59</v>
      </c>
      <c r="DW521" s="36">
        <v>7.89</v>
      </c>
      <c r="DX521" s="34">
        <v>87</v>
      </c>
      <c r="DY521" s="31" t="s">
        <v>151</v>
      </c>
      <c r="DZ521" s="35" t="s">
        <v>151</v>
      </c>
      <c r="EA521" s="35" t="s">
        <v>151</v>
      </c>
      <c r="EB521" s="34">
        <v>250</v>
      </c>
      <c r="EC521" s="33">
        <v>1</v>
      </c>
      <c r="ED521" s="32">
        <v>0.4</v>
      </c>
      <c r="EE521" s="34">
        <v>150</v>
      </c>
      <c r="EF521" s="33">
        <v>2</v>
      </c>
      <c r="EG521" s="32">
        <v>1.35</v>
      </c>
      <c r="EH521" s="29" t="s">
        <v>198</v>
      </c>
      <c r="EI521" s="30" t="s">
        <v>151</v>
      </c>
      <c r="EJ521" s="30" t="s">
        <v>151</v>
      </c>
      <c r="EK521" s="31" t="s">
        <v>151</v>
      </c>
      <c r="EL521" s="31" t="s">
        <v>151</v>
      </c>
      <c r="EM521" s="31" t="s">
        <v>151</v>
      </c>
      <c r="EN521" s="31" t="s">
        <v>151</v>
      </c>
      <c r="EO521" s="31" t="s">
        <v>151</v>
      </c>
      <c r="EP521" s="30" t="s">
        <v>151</v>
      </c>
      <c r="EQ521" s="29" t="s">
        <v>151</v>
      </c>
      <c r="ER521" s="29" t="s">
        <v>151</v>
      </c>
      <c r="ES521" s="4">
        <f>HYPERLINK("https://my.pitchbook.com?c=186124-51","View Company Online")</f>
      </c>
    </row>
    <row r="522">
      <c r="A522" s="17" t="s">
        <v>10945</v>
      </c>
      <c r="B522" s="17" t="s">
        <v>10946</v>
      </c>
      <c r="C522" s="18" t="s">
        <v>151</v>
      </c>
      <c r="D522" s="17" t="s">
        <v>10947</v>
      </c>
      <c r="E522" s="17" t="s">
        <v>151</v>
      </c>
      <c r="F522" s="17" t="s">
        <v>10948</v>
      </c>
      <c r="G522" s="17" t="s">
        <v>151</v>
      </c>
      <c r="H522" s="17" t="s">
        <v>151</v>
      </c>
      <c r="I522" s="17" t="s">
        <v>151</v>
      </c>
      <c r="J522" s="17" t="s">
        <v>10945</v>
      </c>
      <c r="K522" s="17" t="s">
        <v>10949</v>
      </c>
      <c r="L522" s="17" t="s">
        <v>205</v>
      </c>
      <c r="M522" s="17" t="s">
        <v>206</v>
      </c>
      <c r="N522" s="17" t="s">
        <v>1268</v>
      </c>
      <c r="O522" s="17" t="s">
        <v>10950</v>
      </c>
      <c r="P522" s="17" t="s">
        <v>3250</v>
      </c>
      <c r="Q522" s="17" t="s">
        <v>10951</v>
      </c>
      <c r="R522" s="17" t="s">
        <v>151</v>
      </c>
      <c r="S522" s="17" t="s">
        <v>162</v>
      </c>
      <c r="T522" s="24">
        <v>3.5</v>
      </c>
      <c r="U522" s="17" t="s">
        <v>163</v>
      </c>
      <c r="V522" s="17" t="s">
        <v>164</v>
      </c>
      <c r="W522" s="17" t="s">
        <v>165</v>
      </c>
      <c r="X522" s="15" t="s">
        <v>10952</v>
      </c>
      <c r="Y522" s="15" t="s">
        <v>10953</v>
      </c>
      <c r="Z522" s="27">
        <v>9</v>
      </c>
      <c r="AA522" s="17" t="s">
        <v>10954</v>
      </c>
      <c r="AB522" s="17" t="s">
        <v>151</v>
      </c>
      <c r="AC522" s="17" t="s">
        <v>151</v>
      </c>
      <c r="AD522" s="26">
        <v>2021</v>
      </c>
      <c r="AE522" s="17" t="s">
        <v>151</v>
      </c>
      <c r="AF522" s="22">
        <v>45568</v>
      </c>
      <c r="AG522" s="17" t="s">
        <v>151</v>
      </c>
      <c r="AH522" s="17" t="s">
        <v>151</v>
      </c>
      <c r="AI522" s="25" t="s">
        <v>151</v>
      </c>
      <c r="AJ522" s="19" t="s">
        <v>151</v>
      </c>
      <c r="AK522" s="25" t="s">
        <v>151</v>
      </c>
      <c r="AL522" s="25" t="s">
        <v>151</v>
      </c>
      <c r="AM522" s="25" t="s">
        <v>151</v>
      </c>
      <c r="AN522" s="25" t="s">
        <v>151</v>
      </c>
      <c r="AO522" s="25" t="s">
        <v>151</v>
      </c>
      <c r="AP522" s="25" t="s">
        <v>151</v>
      </c>
      <c r="AQ522" s="25" t="s">
        <v>151</v>
      </c>
      <c r="AR522" s="16" t="s">
        <v>151</v>
      </c>
      <c r="AS522" s="17" t="s">
        <v>10955</v>
      </c>
      <c r="AT522" s="17" t="s">
        <v>10956</v>
      </c>
      <c r="AU522" s="18">
        <v>17</v>
      </c>
      <c r="AV522" s="17" t="s">
        <v>151</v>
      </c>
      <c r="AW522" s="17" t="s">
        <v>151</v>
      </c>
      <c r="AX522" s="17" t="s">
        <v>151</v>
      </c>
      <c r="AY522" s="17" t="s">
        <v>10957</v>
      </c>
      <c r="AZ522" s="17" t="s">
        <v>151</v>
      </c>
      <c r="BA522" s="17" t="s">
        <v>151</v>
      </c>
      <c r="BB522" s="17" t="s">
        <v>151</v>
      </c>
      <c r="BC522" s="17" t="s">
        <v>151</v>
      </c>
      <c r="BD522" s="17" t="s">
        <v>10958</v>
      </c>
      <c r="BE522" s="17" t="s">
        <v>10959</v>
      </c>
      <c r="BF522" s="17" t="s">
        <v>493</v>
      </c>
      <c r="BG522" s="17" t="s">
        <v>10960</v>
      </c>
      <c r="BH522" s="17" t="s">
        <v>10961</v>
      </c>
      <c r="BI522" s="17" t="s">
        <v>1068</v>
      </c>
      <c r="BJ522" s="17" t="s">
        <v>10962</v>
      </c>
      <c r="BK522" s="17" t="s">
        <v>151</v>
      </c>
      <c r="BL522" s="17" t="s">
        <v>1071</v>
      </c>
      <c r="BM522" s="17" t="s">
        <v>1072</v>
      </c>
      <c r="BN522" s="16" t="s">
        <v>10963</v>
      </c>
      <c r="BO522" s="17" t="s">
        <v>186</v>
      </c>
      <c r="BP522" s="16" t="s">
        <v>10961</v>
      </c>
      <c r="BQ522" s="16" t="s">
        <v>151</v>
      </c>
      <c r="BR522" s="17" t="s">
        <v>10964</v>
      </c>
      <c r="BS522" s="17" t="s">
        <v>187</v>
      </c>
      <c r="BT522" s="17" t="s">
        <v>188</v>
      </c>
      <c r="BU522" s="22">
        <v>44314</v>
      </c>
      <c r="BV522" s="24">
        <v>0.5</v>
      </c>
      <c r="BW522" s="17" t="s">
        <v>192</v>
      </c>
      <c r="BX522" s="24" t="s">
        <v>151</v>
      </c>
      <c r="BY522" s="17" t="s">
        <v>151</v>
      </c>
      <c r="BZ522" s="17" t="s">
        <v>293</v>
      </c>
      <c r="CA522" s="17" t="s">
        <v>293</v>
      </c>
      <c r="CB522" s="17" t="s">
        <v>151</v>
      </c>
      <c r="CC522" s="17" t="s">
        <v>165</v>
      </c>
      <c r="CD522" s="17" t="s">
        <v>151</v>
      </c>
      <c r="CE522" s="17" t="s">
        <v>191</v>
      </c>
      <c r="CF522" s="22">
        <v>45567</v>
      </c>
      <c r="CG522" s="24">
        <v>2</v>
      </c>
      <c r="CH522" s="17" t="s">
        <v>192</v>
      </c>
      <c r="CI522" s="24" t="s">
        <v>151</v>
      </c>
      <c r="CJ522" s="17" t="s">
        <v>151</v>
      </c>
      <c r="CK522" s="16" t="s">
        <v>151</v>
      </c>
      <c r="CL522" s="17" t="s">
        <v>293</v>
      </c>
      <c r="CM522" s="17" t="s">
        <v>293</v>
      </c>
      <c r="CN522" s="17" t="s">
        <v>151</v>
      </c>
      <c r="CO522" s="17" t="s">
        <v>165</v>
      </c>
      <c r="CP522" s="22">
        <v>45567</v>
      </c>
      <c r="CQ522" s="24" t="s">
        <v>151</v>
      </c>
      <c r="CR522" s="17" t="s">
        <v>151</v>
      </c>
      <c r="CS522" s="17" t="s">
        <v>191</v>
      </c>
      <c r="CT522" s="16">
        <v>88</v>
      </c>
      <c r="CU522" s="17" t="s">
        <v>196</v>
      </c>
      <c r="CV522" s="19">
        <v>80</v>
      </c>
      <c r="CW522" s="19">
        <v>20</v>
      </c>
      <c r="CX522" s="17" t="s">
        <v>294</v>
      </c>
      <c r="CY522" s="19">
        <v>1</v>
      </c>
      <c r="CZ522" s="19">
        <v>79</v>
      </c>
      <c r="DA522" s="24" t="s">
        <v>151</v>
      </c>
      <c r="DB522" s="22" t="s">
        <v>151</v>
      </c>
      <c r="DC522" s="17" t="s">
        <v>151</v>
      </c>
      <c r="DD522" s="16" t="s">
        <v>151</v>
      </c>
      <c r="DE522" s="19">
        <v>0</v>
      </c>
      <c r="DF522" s="21">
        <v>11</v>
      </c>
      <c r="DG522" s="19">
        <v>0</v>
      </c>
      <c r="DH522" s="19">
        <v>0</v>
      </c>
      <c r="DI522" s="19">
        <v>0</v>
      </c>
      <c r="DJ522" s="21">
        <v>10</v>
      </c>
      <c r="DK522" s="19" t="s">
        <v>151</v>
      </c>
      <c r="DL522" s="21" t="s">
        <v>151</v>
      </c>
      <c r="DM522" s="19">
        <v>0</v>
      </c>
      <c r="DN522" s="21">
        <v>10</v>
      </c>
      <c r="DO522" s="23">
        <v>4.08</v>
      </c>
      <c r="DP522" s="21">
        <v>79</v>
      </c>
      <c r="DQ522" s="23">
        <v>0</v>
      </c>
      <c r="DR522" s="19">
        <v>0</v>
      </c>
      <c r="DS522" s="23">
        <v>7.47</v>
      </c>
      <c r="DT522" s="21">
        <v>87</v>
      </c>
      <c r="DU522" s="23" t="s">
        <v>151</v>
      </c>
      <c r="DV522" s="21" t="s">
        <v>151</v>
      </c>
      <c r="DW522" s="23">
        <v>7.47</v>
      </c>
      <c r="DX522" s="21">
        <v>87</v>
      </c>
      <c r="DY522" s="18" t="s">
        <v>151</v>
      </c>
      <c r="DZ522" s="22" t="s">
        <v>151</v>
      </c>
      <c r="EA522" s="22" t="s">
        <v>151</v>
      </c>
      <c r="EB522" s="21">
        <v>1781</v>
      </c>
      <c r="EC522" s="20">
        <v>280</v>
      </c>
      <c r="ED522" s="19">
        <v>18.65</v>
      </c>
      <c r="EE522" s="21">
        <v>142</v>
      </c>
      <c r="EF522" s="20">
        <v>0</v>
      </c>
      <c r="EG522" s="19">
        <v>0</v>
      </c>
      <c r="EH522" s="16" t="s">
        <v>198</v>
      </c>
      <c r="EI522" s="17" t="s">
        <v>151</v>
      </c>
      <c r="EJ522" s="17" t="s">
        <v>151</v>
      </c>
      <c r="EK522" s="18" t="s">
        <v>151</v>
      </c>
      <c r="EL522" s="18" t="s">
        <v>151</v>
      </c>
      <c r="EM522" s="18" t="s">
        <v>151</v>
      </c>
      <c r="EN522" s="18" t="s">
        <v>151</v>
      </c>
      <c r="EO522" s="18" t="s">
        <v>151</v>
      </c>
      <c r="EP522" s="17" t="s">
        <v>151</v>
      </c>
      <c r="EQ522" s="16" t="s">
        <v>151</v>
      </c>
      <c r="ER522" s="16" t="s">
        <v>151</v>
      </c>
      <c r="ES522" s="3">
        <f>HYPERLINK("https://my.pitchbook.com?c=495468-01","View Company Online")</f>
      </c>
    </row>
    <row r="523">
      <c r="A523" s="30" t="s">
        <v>10965</v>
      </c>
      <c r="B523" s="30" t="s">
        <v>10966</v>
      </c>
      <c r="C523" s="31" t="s">
        <v>151</v>
      </c>
      <c r="D523" s="30" t="s">
        <v>151</v>
      </c>
      <c r="E523" s="30" t="s">
        <v>151</v>
      </c>
      <c r="F523" s="30" t="s">
        <v>10967</v>
      </c>
      <c r="G523" s="30" t="s">
        <v>151</v>
      </c>
      <c r="H523" s="30" t="s">
        <v>151</v>
      </c>
      <c r="I523" s="30" t="s">
        <v>10968</v>
      </c>
      <c r="J523" s="30" t="s">
        <v>10965</v>
      </c>
      <c r="K523" s="30" t="s">
        <v>10969</v>
      </c>
      <c r="L523" s="30" t="s">
        <v>205</v>
      </c>
      <c r="M523" s="30" t="s">
        <v>206</v>
      </c>
      <c r="N523" s="30" t="s">
        <v>269</v>
      </c>
      <c r="O523" s="30" t="s">
        <v>563</v>
      </c>
      <c r="P523" s="30" t="s">
        <v>3770</v>
      </c>
      <c r="Q523" s="30" t="s">
        <v>10970</v>
      </c>
      <c r="R523" s="30" t="s">
        <v>151</v>
      </c>
      <c r="S523" s="30" t="s">
        <v>162</v>
      </c>
      <c r="T523" s="37">
        <v>16.3</v>
      </c>
      <c r="U523" s="30" t="s">
        <v>163</v>
      </c>
      <c r="V523" s="30" t="s">
        <v>164</v>
      </c>
      <c r="W523" s="30" t="s">
        <v>165</v>
      </c>
      <c r="X523" s="28" t="s">
        <v>10971</v>
      </c>
      <c r="Y523" s="28" t="s">
        <v>10972</v>
      </c>
      <c r="Z523" s="40">
        <v>100</v>
      </c>
      <c r="AA523" s="30" t="s">
        <v>10973</v>
      </c>
      <c r="AB523" s="30" t="s">
        <v>151</v>
      </c>
      <c r="AC523" s="30" t="s">
        <v>151</v>
      </c>
      <c r="AD523" s="39">
        <v>2020</v>
      </c>
      <c r="AE523" s="30" t="s">
        <v>151</v>
      </c>
      <c r="AF523" s="35">
        <v>45617</v>
      </c>
      <c r="AG523" s="30" t="s">
        <v>151</v>
      </c>
      <c r="AH523" s="30" t="s">
        <v>10974</v>
      </c>
      <c r="AI523" s="38" t="s">
        <v>151</v>
      </c>
      <c r="AJ523" s="32" t="s">
        <v>151</v>
      </c>
      <c r="AK523" s="38" t="s">
        <v>151</v>
      </c>
      <c r="AL523" s="38" t="s">
        <v>151</v>
      </c>
      <c r="AM523" s="38" t="s">
        <v>151</v>
      </c>
      <c r="AN523" s="38" t="s">
        <v>151</v>
      </c>
      <c r="AO523" s="38" t="s">
        <v>151</v>
      </c>
      <c r="AP523" s="38" t="s">
        <v>151</v>
      </c>
      <c r="AQ523" s="38" t="s">
        <v>151</v>
      </c>
      <c r="AR523" s="29" t="s">
        <v>151</v>
      </c>
      <c r="AS523" s="30" t="s">
        <v>10975</v>
      </c>
      <c r="AT523" s="30" t="s">
        <v>10976</v>
      </c>
      <c r="AU523" s="31">
        <v>24</v>
      </c>
      <c r="AV523" s="30" t="s">
        <v>151</v>
      </c>
      <c r="AW523" s="30" t="s">
        <v>151</v>
      </c>
      <c r="AX523" s="30" t="s">
        <v>151</v>
      </c>
      <c r="AY523" s="30" t="s">
        <v>10977</v>
      </c>
      <c r="AZ523" s="30" t="s">
        <v>151</v>
      </c>
      <c r="BA523" s="30" t="s">
        <v>151</v>
      </c>
      <c r="BB523" s="30" t="s">
        <v>151</v>
      </c>
      <c r="BC523" s="30" t="s">
        <v>490</v>
      </c>
      <c r="BD523" s="30" t="s">
        <v>10978</v>
      </c>
      <c r="BE523" s="30" t="s">
        <v>10979</v>
      </c>
      <c r="BF523" s="30" t="s">
        <v>3330</v>
      </c>
      <c r="BG523" s="30" t="s">
        <v>10980</v>
      </c>
      <c r="BH523" s="30" t="s">
        <v>10981</v>
      </c>
      <c r="BI523" s="30" t="s">
        <v>1409</v>
      </c>
      <c r="BJ523" s="30" t="s">
        <v>10982</v>
      </c>
      <c r="BK523" s="30" t="s">
        <v>5050</v>
      </c>
      <c r="BL523" s="30" t="s">
        <v>1412</v>
      </c>
      <c r="BM523" s="30" t="s">
        <v>823</v>
      </c>
      <c r="BN523" s="29" t="s">
        <v>4074</v>
      </c>
      <c r="BO523" s="30" t="s">
        <v>186</v>
      </c>
      <c r="BP523" s="29" t="s">
        <v>10981</v>
      </c>
      <c r="BQ523" s="29" t="s">
        <v>151</v>
      </c>
      <c r="BR523" s="30" t="s">
        <v>151</v>
      </c>
      <c r="BS523" s="30" t="s">
        <v>187</v>
      </c>
      <c r="BT523" s="30" t="s">
        <v>188</v>
      </c>
      <c r="BU523" s="35">
        <v>44571</v>
      </c>
      <c r="BV523" s="37">
        <v>6.3</v>
      </c>
      <c r="BW523" s="30" t="s">
        <v>192</v>
      </c>
      <c r="BX523" s="37">
        <v>21.3</v>
      </c>
      <c r="BY523" s="30" t="s">
        <v>192</v>
      </c>
      <c r="BZ523" s="30" t="s">
        <v>293</v>
      </c>
      <c r="CA523" s="30" t="s">
        <v>293</v>
      </c>
      <c r="CB523" s="30" t="s">
        <v>151</v>
      </c>
      <c r="CC523" s="30" t="s">
        <v>165</v>
      </c>
      <c r="CD523" s="30" t="s">
        <v>151</v>
      </c>
      <c r="CE523" s="30" t="s">
        <v>191</v>
      </c>
      <c r="CF523" s="35">
        <v>45610</v>
      </c>
      <c r="CG523" s="37">
        <v>10</v>
      </c>
      <c r="CH523" s="30" t="s">
        <v>192</v>
      </c>
      <c r="CI523" s="37">
        <v>36.5</v>
      </c>
      <c r="CJ523" s="30" t="s">
        <v>192</v>
      </c>
      <c r="CK523" s="29">
        <v>1.24</v>
      </c>
      <c r="CL523" s="30" t="s">
        <v>231</v>
      </c>
      <c r="CM523" s="30" t="s">
        <v>232</v>
      </c>
      <c r="CN523" s="30" t="s">
        <v>151</v>
      </c>
      <c r="CO523" s="30" t="s">
        <v>165</v>
      </c>
      <c r="CP523" s="35">
        <v>45610</v>
      </c>
      <c r="CQ523" s="37" t="s">
        <v>151</v>
      </c>
      <c r="CR523" s="30" t="s">
        <v>151</v>
      </c>
      <c r="CS523" s="30" t="s">
        <v>191</v>
      </c>
      <c r="CT523" s="29">
        <v>98</v>
      </c>
      <c r="CU523" s="30" t="s">
        <v>196</v>
      </c>
      <c r="CV523" s="32">
        <v>94</v>
      </c>
      <c r="CW523" s="32">
        <v>6</v>
      </c>
      <c r="CX523" s="30" t="s">
        <v>294</v>
      </c>
      <c r="CY523" s="32">
        <v>2</v>
      </c>
      <c r="CZ523" s="32">
        <v>92</v>
      </c>
      <c r="DA523" s="37">
        <v>36.5</v>
      </c>
      <c r="DB523" s="35">
        <v>45610</v>
      </c>
      <c r="DC523" s="30" t="s">
        <v>231</v>
      </c>
      <c r="DD523" s="29">
        <v>1.24</v>
      </c>
      <c r="DE523" s="32">
        <v>0.13</v>
      </c>
      <c r="DF523" s="34">
        <v>91</v>
      </c>
      <c r="DG523" s="32">
        <v>0</v>
      </c>
      <c r="DH523" s="32">
        <v>0</v>
      </c>
      <c r="DI523" s="32">
        <v>0</v>
      </c>
      <c r="DJ523" s="34">
        <v>10</v>
      </c>
      <c r="DK523" s="32" t="s">
        <v>151</v>
      </c>
      <c r="DL523" s="34" t="s">
        <v>151</v>
      </c>
      <c r="DM523" s="32">
        <v>0</v>
      </c>
      <c r="DN523" s="34">
        <v>10</v>
      </c>
      <c r="DO523" s="36">
        <v>5.52</v>
      </c>
      <c r="DP523" s="34">
        <v>84</v>
      </c>
      <c r="DQ523" s="36">
        <v>0</v>
      </c>
      <c r="DR523" s="32">
        <v>0</v>
      </c>
      <c r="DS523" s="36">
        <v>3.26</v>
      </c>
      <c r="DT523" s="34">
        <v>76</v>
      </c>
      <c r="DU523" s="36" t="s">
        <v>151</v>
      </c>
      <c r="DV523" s="34" t="s">
        <v>151</v>
      </c>
      <c r="DW523" s="36">
        <v>3.26</v>
      </c>
      <c r="DX523" s="34">
        <v>75</v>
      </c>
      <c r="DY523" s="31" t="s">
        <v>151</v>
      </c>
      <c r="DZ523" s="35" t="s">
        <v>151</v>
      </c>
      <c r="EA523" s="35" t="s">
        <v>151</v>
      </c>
      <c r="EB523" s="34">
        <v>1942</v>
      </c>
      <c r="EC523" s="33">
        <v>193</v>
      </c>
      <c r="ED523" s="32">
        <v>11.03</v>
      </c>
      <c r="EE523" s="34">
        <v>62</v>
      </c>
      <c r="EF523" s="33">
        <v>0</v>
      </c>
      <c r="EG523" s="32">
        <v>0</v>
      </c>
      <c r="EH523" s="29" t="s">
        <v>198</v>
      </c>
      <c r="EI523" s="30" t="s">
        <v>151</v>
      </c>
      <c r="EJ523" s="30" t="s">
        <v>151</v>
      </c>
      <c r="EK523" s="31" t="s">
        <v>151</v>
      </c>
      <c r="EL523" s="31" t="s">
        <v>151</v>
      </c>
      <c r="EM523" s="31" t="s">
        <v>151</v>
      </c>
      <c r="EN523" s="31" t="s">
        <v>151</v>
      </c>
      <c r="EO523" s="31" t="s">
        <v>151</v>
      </c>
      <c r="EP523" s="30" t="s">
        <v>151</v>
      </c>
      <c r="EQ523" s="29" t="s">
        <v>151</v>
      </c>
      <c r="ER523" s="29" t="s">
        <v>151</v>
      </c>
      <c r="ES523" s="4">
        <f>HYPERLINK("https://my.pitchbook.com?c=458683-57","View Company Online")</f>
      </c>
    </row>
    <row r="524">
      <c r="A524" s="17" t="s">
        <v>10983</v>
      </c>
      <c r="B524" s="17" t="s">
        <v>10984</v>
      </c>
      <c r="C524" s="18" t="s">
        <v>151</v>
      </c>
      <c r="D524" s="17" t="s">
        <v>151</v>
      </c>
      <c r="E524" s="17" t="s">
        <v>10985</v>
      </c>
      <c r="F524" s="17" t="s">
        <v>10986</v>
      </c>
      <c r="G524" s="17" t="s">
        <v>151</v>
      </c>
      <c r="H524" s="17" t="s">
        <v>151</v>
      </c>
      <c r="I524" s="17" t="s">
        <v>151</v>
      </c>
      <c r="J524" s="17" t="s">
        <v>10983</v>
      </c>
      <c r="K524" s="17" t="s">
        <v>10987</v>
      </c>
      <c r="L524" s="17" t="s">
        <v>205</v>
      </c>
      <c r="M524" s="17" t="s">
        <v>206</v>
      </c>
      <c r="N524" s="17" t="s">
        <v>269</v>
      </c>
      <c r="O524" s="17" t="s">
        <v>10988</v>
      </c>
      <c r="P524" s="17" t="s">
        <v>151</v>
      </c>
      <c r="Q524" s="17" t="s">
        <v>10989</v>
      </c>
      <c r="R524" s="17" t="s">
        <v>151</v>
      </c>
      <c r="S524" s="17" t="s">
        <v>162</v>
      </c>
      <c r="T524" s="24">
        <v>3.15</v>
      </c>
      <c r="U524" s="17" t="s">
        <v>163</v>
      </c>
      <c r="V524" s="17" t="s">
        <v>164</v>
      </c>
      <c r="W524" s="17" t="s">
        <v>165</v>
      </c>
      <c r="X524" s="15" t="s">
        <v>10990</v>
      </c>
      <c r="Y524" s="15" t="s">
        <v>10991</v>
      </c>
      <c r="Z524" s="27">
        <v>7</v>
      </c>
      <c r="AA524" s="17" t="s">
        <v>10992</v>
      </c>
      <c r="AB524" s="17" t="s">
        <v>151</v>
      </c>
      <c r="AC524" s="17" t="s">
        <v>151</v>
      </c>
      <c r="AD524" s="26">
        <v>2021</v>
      </c>
      <c r="AE524" s="17" t="s">
        <v>151</v>
      </c>
      <c r="AF524" s="22">
        <v>45510</v>
      </c>
      <c r="AG524" s="17" t="s">
        <v>151</v>
      </c>
      <c r="AH524" s="17" t="s">
        <v>151</v>
      </c>
      <c r="AI524" s="25">
        <v>0.46</v>
      </c>
      <c r="AJ524" s="19" t="s">
        <v>151</v>
      </c>
      <c r="AK524" s="25" t="s">
        <v>151</v>
      </c>
      <c r="AL524" s="25">
        <v>-0.03</v>
      </c>
      <c r="AM524" s="25" t="s">
        <v>151</v>
      </c>
      <c r="AN524" s="25" t="s">
        <v>151</v>
      </c>
      <c r="AO524" s="25" t="s">
        <v>151</v>
      </c>
      <c r="AP524" s="25" t="s">
        <v>151</v>
      </c>
      <c r="AQ524" s="25" t="s">
        <v>151</v>
      </c>
      <c r="AR524" s="16" t="s">
        <v>810</v>
      </c>
      <c r="AS524" s="17" t="s">
        <v>10993</v>
      </c>
      <c r="AT524" s="17" t="s">
        <v>10994</v>
      </c>
      <c r="AU524" s="18">
        <v>2</v>
      </c>
      <c r="AV524" s="17" t="s">
        <v>151</v>
      </c>
      <c r="AW524" s="17" t="s">
        <v>151</v>
      </c>
      <c r="AX524" s="17" t="s">
        <v>151</v>
      </c>
      <c r="AY524" s="17" t="s">
        <v>10995</v>
      </c>
      <c r="AZ524" s="17" t="s">
        <v>151</v>
      </c>
      <c r="BA524" s="17" t="s">
        <v>151</v>
      </c>
      <c r="BB524" s="17" t="s">
        <v>151</v>
      </c>
      <c r="BC524" s="17" t="s">
        <v>1214</v>
      </c>
      <c r="BD524" s="17" t="s">
        <v>10996</v>
      </c>
      <c r="BE524" s="17" t="s">
        <v>10997</v>
      </c>
      <c r="BF524" s="17" t="s">
        <v>789</v>
      </c>
      <c r="BG524" s="17" t="s">
        <v>10998</v>
      </c>
      <c r="BH524" s="17" t="s">
        <v>10999</v>
      </c>
      <c r="BI524" s="17" t="s">
        <v>906</v>
      </c>
      <c r="BJ524" s="17" t="s">
        <v>1121</v>
      </c>
      <c r="BK524" s="17" t="s">
        <v>151</v>
      </c>
      <c r="BL524" s="17" t="s">
        <v>259</v>
      </c>
      <c r="BM524" s="17" t="s">
        <v>259</v>
      </c>
      <c r="BN524" s="16" t="s">
        <v>1123</v>
      </c>
      <c r="BO524" s="17" t="s">
        <v>186</v>
      </c>
      <c r="BP524" s="16" t="s">
        <v>10999</v>
      </c>
      <c r="BQ524" s="16" t="s">
        <v>151</v>
      </c>
      <c r="BR524" s="17" t="s">
        <v>11000</v>
      </c>
      <c r="BS524" s="17" t="s">
        <v>187</v>
      </c>
      <c r="BT524" s="17" t="s">
        <v>188</v>
      </c>
      <c r="BU524" s="22">
        <v>44593</v>
      </c>
      <c r="BV524" s="24">
        <v>3</v>
      </c>
      <c r="BW524" s="17" t="s">
        <v>192</v>
      </c>
      <c r="BX524" s="24" t="s">
        <v>151</v>
      </c>
      <c r="BY524" s="17" t="s">
        <v>151</v>
      </c>
      <c r="BZ524" s="17" t="s">
        <v>293</v>
      </c>
      <c r="CA524" s="17" t="s">
        <v>293</v>
      </c>
      <c r="CB524" s="17" t="s">
        <v>151</v>
      </c>
      <c r="CC524" s="17" t="s">
        <v>165</v>
      </c>
      <c r="CD524" s="17" t="s">
        <v>151</v>
      </c>
      <c r="CE524" s="17" t="s">
        <v>191</v>
      </c>
      <c r="CF524" s="22">
        <v>45124</v>
      </c>
      <c r="CG524" s="24">
        <v>0.05</v>
      </c>
      <c r="CH524" s="17" t="s">
        <v>192</v>
      </c>
      <c r="CI524" s="24" t="s">
        <v>151</v>
      </c>
      <c r="CJ524" s="17" t="s">
        <v>151</v>
      </c>
      <c r="CK524" s="16" t="s">
        <v>151</v>
      </c>
      <c r="CL524" s="17" t="s">
        <v>189</v>
      </c>
      <c r="CM524" s="17" t="s">
        <v>151</v>
      </c>
      <c r="CN524" s="17" t="s">
        <v>151</v>
      </c>
      <c r="CO524" s="17" t="s">
        <v>190</v>
      </c>
      <c r="CP524" s="22">
        <v>45124</v>
      </c>
      <c r="CQ524" s="24" t="s">
        <v>151</v>
      </c>
      <c r="CR524" s="17" t="s">
        <v>151</v>
      </c>
      <c r="CS524" s="17" t="s">
        <v>191</v>
      </c>
      <c r="CT524" s="16" t="s">
        <v>151</v>
      </c>
      <c r="CU524" s="17" t="s">
        <v>151</v>
      </c>
      <c r="CV524" s="19" t="s">
        <v>151</v>
      </c>
      <c r="CW524" s="19" t="s">
        <v>151</v>
      </c>
      <c r="CX524" s="17" t="s">
        <v>151</v>
      </c>
      <c r="CY524" s="19" t="s">
        <v>151</v>
      </c>
      <c r="CZ524" s="19" t="s">
        <v>151</v>
      </c>
      <c r="DA524" s="24" t="s">
        <v>151</v>
      </c>
      <c r="DB524" s="22" t="s">
        <v>151</v>
      </c>
      <c r="DC524" s="17" t="s">
        <v>151</v>
      </c>
      <c r="DD524" s="16" t="s">
        <v>151</v>
      </c>
      <c r="DE524" s="19">
        <v>-1.48</v>
      </c>
      <c r="DF524" s="21">
        <v>3</v>
      </c>
      <c r="DG524" s="19">
        <v>0</v>
      </c>
      <c r="DH524" s="19">
        <v>0</v>
      </c>
      <c r="DI524" s="19">
        <v>0</v>
      </c>
      <c r="DJ524" s="21">
        <v>10</v>
      </c>
      <c r="DK524" s="19" t="s">
        <v>151</v>
      </c>
      <c r="DL524" s="21" t="s">
        <v>151</v>
      </c>
      <c r="DM524" s="19">
        <v>0</v>
      </c>
      <c r="DN524" s="21">
        <v>10</v>
      </c>
      <c r="DO524" s="23">
        <v>0.72</v>
      </c>
      <c r="DP524" s="21">
        <v>42</v>
      </c>
      <c r="DQ524" s="23">
        <v>0</v>
      </c>
      <c r="DR524" s="19">
        <v>0</v>
      </c>
      <c r="DS524" s="23">
        <v>0.89</v>
      </c>
      <c r="DT524" s="21">
        <v>47</v>
      </c>
      <c r="DU524" s="23" t="s">
        <v>151</v>
      </c>
      <c r="DV524" s="21" t="s">
        <v>151</v>
      </c>
      <c r="DW524" s="23">
        <v>0.89</v>
      </c>
      <c r="DX524" s="21">
        <v>47</v>
      </c>
      <c r="DY524" s="18" t="s">
        <v>151</v>
      </c>
      <c r="DZ524" s="22" t="s">
        <v>151</v>
      </c>
      <c r="EA524" s="22" t="s">
        <v>151</v>
      </c>
      <c r="EB524" s="21">
        <v>1018</v>
      </c>
      <c r="EC524" s="20">
        <v>64</v>
      </c>
      <c r="ED524" s="19">
        <v>6.71</v>
      </c>
      <c r="EE524" s="21">
        <v>17</v>
      </c>
      <c r="EF524" s="20">
        <v>0</v>
      </c>
      <c r="EG524" s="19">
        <v>0</v>
      </c>
      <c r="EH524" s="16" t="s">
        <v>198</v>
      </c>
      <c r="EI524" s="17" t="s">
        <v>151</v>
      </c>
      <c r="EJ524" s="17" t="s">
        <v>151</v>
      </c>
      <c r="EK524" s="18" t="s">
        <v>151</v>
      </c>
      <c r="EL524" s="18" t="s">
        <v>151</v>
      </c>
      <c r="EM524" s="18" t="s">
        <v>151</v>
      </c>
      <c r="EN524" s="18" t="s">
        <v>151</v>
      </c>
      <c r="EO524" s="18" t="s">
        <v>151</v>
      </c>
      <c r="EP524" s="17" t="s">
        <v>151</v>
      </c>
      <c r="EQ524" s="16" t="s">
        <v>151</v>
      </c>
      <c r="ER524" s="16" t="s">
        <v>151</v>
      </c>
      <c r="ES524" s="3">
        <f>HYPERLINK("https://my.pitchbook.com?c=496684-54","View Company Online")</f>
      </c>
    </row>
    <row r="525">
      <c r="A525" s="30" t="s">
        <v>11001</v>
      </c>
      <c r="B525" s="30" t="s">
        <v>11002</v>
      </c>
      <c r="C525" s="31" t="s">
        <v>151</v>
      </c>
      <c r="D525" s="30" t="s">
        <v>151</v>
      </c>
      <c r="E525" s="30" t="s">
        <v>11003</v>
      </c>
      <c r="F525" s="30" t="s">
        <v>11004</v>
      </c>
      <c r="G525" s="30" t="s">
        <v>151</v>
      </c>
      <c r="H525" s="30" t="s">
        <v>151</v>
      </c>
      <c r="I525" s="30" t="s">
        <v>151</v>
      </c>
      <c r="J525" s="30" t="s">
        <v>11001</v>
      </c>
      <c r="K525" s="30" t="s">
        <v>11005</v>
      </c>
      <c r="L525" s="30" t="s">
        <v>205</v>
      </c>
      <c r="M525" s="30" t="s">
        <v>206</v>
      </c>
      <c r="N525" s="30" t="s">
        <v>269</v>
      </c>
      <c r="O525" s="30" t="s">
        <v>4250</v>
      </c>
      <c r="P525" s="30" t="s">
        <v>1107</v>
      </c>
      <c r="Q525" s="30" t="s">
        <v>11006</v>
      </c>
      <c r="R525" s="30" t="s">
        <v>780</v>
      </c>
      <c r="S525" s="30" t="s">
        <v>162</v>
      </c>
      <c r="T525" s="37">
        <v>0.09</v>
      </c>
      <c r="U525" s="30" t="s">
        <v>336</v>
      </c>
      <c r="V525" s="30" t="s">
        <v>164</v>
      </c>
      <c r="W525" s="30" t="s">
        <v>165</v>
      </c>
      <c r="X525" s="28" t="s">
        <v>11007</v>
      </c>
      <c r="Y525" s="28" t="s">
        <v>11008</v>
      </c>
      <c r="Z525" s="40">
        <v>10</v>
      </c>
      <c r="AA525" s="30" t="s">
        <v>11009</v>
      </c>
      <c r="AB525" s="30" t="s">
        <v>151</v>
      </c>
      <c r="AC525" s="30" t="s">
        <v>151</v>
      </c>
      <c r="AD525" s="39">
        <v>2021</v>
      </c>
      <c r="AE525" s="30" t="s">
        <v>151</v>
      </c>
      <c r="AF525" s="35">
        <v>45595</v>
      </c>
      <c r="AG525" s="30" t="s">
        <v>151</v>
      </c>
      <c r="AH525" s="30" t="s">
        <v>151</v>
      </c>
      <c r="AI525" s="38" t="s">
        <v>151</v>
      </c>
      <c r="AJ525" s="32" t="s">
        <v>151</v>
      </c>
      <c r="AK525" s="38" t="s">
        <v>151</v>
      </c>
      <c r="AL525" s="38" t="s">
        <v>151</v>
      </c>
      <c r="AM525" s="38" t="s">
        <v>151</v>
      </c>
      <c r="AN525" s="38" t="s">
        <v>151</v>
      </c>
      <c r="AO525" s="38" t="s">
        <v>151</v>
      </c>
      <c r="AP525" s="38" t="s">
        <v>151</v>
      </c>
      <c r="AQ525" s="38" t="s">
        <v>151</v>
      </c>
      <c r="AR525" s="29" t="s">
        <v>151</v>
      </c>
      <c r="AS525" s="30" t="s">
        <v>11010</v>
      </c>
      <c r="AT525" s="30" t="s">
        <v>11011</v>
      </c>
      <c r="AU525" s="31">
        <v>4</v>
      </c>
      <c r="AV525" s="30" t="s">
        <v>151</v>
      </c>
      <c r="AW525" s="30" t="s">
        <v>151</v>
      </c>
      <c r="AX525" s="30" t="s">
        <v>151</v>
      </c>
      <c r="AY525" s="30" t="s">
        <v>11012</v>
      </c>
      <c r="AZ525" s="30" t="s">
        <v>151</v>
      </c>
      <c r="BA525" s="30" t="s">
        <v>151</v>
      </c>
      <c r="BB525" s="30" t="s">
        <v>151</v>
      </c>
      <c r="BC525" s="30" t="s">
        <v>151</v>
      </c>
      <c r="BD525" s="30" t="s">
        <v>11013</v>
      </c>
      <c r="BE525" s="30" t="s">
        <v>11014</v>
      </c>
      <c r="BF525" s="30" t="s">
        <v>3400</v>
      </c>
      <c r="BG525" s="30" t="s">
        <v>11015</v>
      </c>
      <c r="BH525" s="30" t="s">
        <v>11016</v>
      </c>
      <c r="BI525" s="30" t="s">
        <v>906</v>
      </c>
      <c r="BJ525" s="30" t="s">
        <v>11017</v>
      </c>
      <c r="BK525" s="30" t="s">
        <v>11018</v>
      </c>
      <c r="BL525" s="30" t="s">
        <v>259</v>
      </c>
      <c r="BM525" s="30" t="s">
        <v>259</v>
      </c>
      <c r="BN525" s="29" t="s">
        <v>11019</v>
      </c>
      <c r="BO525" s="30" t="s">
        <v>186</v>
      </c>
      <c r="BP525" s="29" t="s">
        <v>11016</v>
      </c>
      <c r="BQ525" s="29" t="s">
        <v>151</v>
      </c>
      <c r="BR525" s="30" t="s">
        <v>151</v>
      </c>
      <c r="BS525" s="30" t="s">
        <v>187</v>
      </c>
      <c r="BT525" s="30" t="s">
        <v>188</v>
      </c>
      <c r="BU525" s="35">
        <v>44666</v>
      </c>
      <c r="BV525" s="37" t="s">
        <v>151</v>
      </c>
      <c r="BW525" s="30" t="s">
        <v>151</v>
      </c>
      <c r="BX525" s="37" t="s">
        <v>151</v>
      </c>
      <c r="BY525" s="30" t="s">
        <v>151</v>
      </c>
      <c r="BZ525" s="30" t="s">
        <v>189</v>
      </c>
      <c r="CA525" s="30" t="s">
        <v>151</v>
      </c>
      <c r="CB525" s="30" t="s">
        <v>151</v>
      </c>
      <c r="CC525" s="30" t="s">
        <v>190</v>
      </c>
      <c r="CD525" s="30" t="s">
        <v>11020</v>
      </c>
      <c r="CE525" s="30" t="s">
        <v>191</v>
      </c>
      <c r="CF525" s="35">
        <v>45301</v>
      </c>
      <c r="CG525" s="37">
        <v>0.05</v>
      </c>
      <c r="CH525" s="30" t="s">
        <v>192</v>
      </c>
      <c r="CI525" s="37" t="s">
        <v>151</v>
      </c>
      <c r="CJ525" s="30" t="s">
        <v>151</v>
      </c>
      <c r="CK525" s="29" t="s">
        <v>151</v>
      </c>
      <c r="CL525" s="30" t="s">
        <v>231</v>
      </c>
      <c r="CM525" s="30" t="s">
        <v>151</v>
      </c>
      <c r="CN525" s="30" t="s">
        <v>151</v>
      </c>
      <c r="CO525" s="30" t="s">
        <v>165</v>
      </c>
      <c r="CP525" s="35">
        <v>45301</v>
      </c>
      <c r="CQ525" s="37" t="s">
        <v>151</v>
      </c>
      <c r="CR525" s="30" t="s">
        <v>151</v>
      </c>
      <c r="CS525" s="30" t="s">
        <v>191</v>
      </c>
      <c r="CT525" s="29">
        <v>67</v>
      </c>
      <c r="CU525" s="30" t="s">
        <v>196</v>
      </c>
      <c r="CV525" s="32">
        <v>63</v>
      </c>
      <c r="CW525" s="32">
        <v>37</v>
      </c>
      <c r="CX525" s="30" t="s">
        <v>294</v>
      </c>
      <c r="CY525" s="32">
        <v>1</v>
      </c>
      <c r="CZ525" s="32">
        <v>62</v>
      </c>
      <c r="DA525" s="37" t="s">
        <v>151</v>
      </c>
      <c r="DB525" s="35" t="s">
        <v>151</v>
      </c>
      <c r="DC525" s="30" t="s">
        <v>151</v>
      </c>
      <c r="DD525" s="29" t="s">
        <v>151</v>
      </c>
      <c r="DE525" s="32">
        <v>0</v>
      </c>
      <c r="DF525" s="34">
        <v>11</v>
      </c>
      <c r="DG525" s="32">
        <v>0</v>
      </c>
      <c r="DH525" s="32">
        <v>0</v>
      </c>
      <c r="DI525" s="32" t="s">
        <v>151</v>
      </c>
      <c r="DJ525" s="34" t="s">
        <v>151</v>
      </c>
      <c r="DK525" s="32" t="s">
        <v>151</v>
      </c>
      <c r="DL525" s="34" t="s">
        <v>151</v>
      </c>
      <c r="DM525" s="32" t="s">
        <v>151</v>
      </c>
      <c r="DN525" s="34" t="s">
        <v>151</v>
      </c>
      <c r="DO525" s="36">
        <v>0.77</v>
      </c>
      <c r="DP525" s="34">
        <v>44</v>
      </c>
      <c r="DQ525" s="36">
        <v>0</v>
      </c>
      <c r="DR525" s="32">
        <v>0</v>
      </c>
      <c r="DS525" s="36" t="s">
        <v>151</v>
      </c>
      <c r="DT525" s="34" t="s">
        <v>151</v>
      </c>
      <c r="DU525" s="36" t="s">
        <v>151</v>
      </c>
      <c r="DV525" s="34" t="s">
        <v>151</v>
      </c>
      <c r="DW525" s="36" t="s">
        <v>151</v>
      </c>
      <c r="DX525" s="34" t="s">
        <v>151</v>
      </c>
      <c r="DY525" s="31" t="s">
        <v>151</v>
      </c>
      <c r="DZ525" s="35" t="s">
        <v>151</v>
      </c>
      <c r="EA525" s="35" t="s">
        <v>151</v>
      </c>
      <c r="EB525" s="34">
        <v>126</v>
      </c>
      <c r="EC525" s="33">
        <v>-14</v>
      </c>
      <c r="ED525" s="32">
        <v>-10</v>
      </c>
      <c r="EE525" s="34" t="s">
        <v>151</v>
      </c>
      <c r="EF525" s="33" t="s">
        <v>151</v>
      </c>
      <c r="EG525" s="32" t="s">
        <v>151</v>
      </c>
      <c r="EH525" s="29" t="s">
        <v>198</v>
      </c>
      <c r="EI525" s="30" t="s">
        <v>151</v>
      </c>
      <c r="EJ525" s="30" t="s">
        <v>151</v>
      </c>
      <c r="EK525" s="31" t="s">
        <v>151</v>
      </c>
      <c r="EL525" s="31" t="s">
        <v>151</v>
      </c>
      <c r="EM525" s="31" t="s">
        <v>151</v>
      </c>
      <c r="EN525" s="31" t="s">
        <v>151</v>
      </c>
      <c r="EO525" s="31" t="s">
        <v>151</v>
      </c>
      <c r="EP525" s="30" t="s">
        <v>151</v>
      </c>
      <c r="EQ525" s="29" t="s">
        <v>151</v>
      </c>
      <c r="ER525" s="29" t="s">
        <v>151</v>
      </c>
      <c r="ES525" s="4">
        <f>HYPERLINK("https://my.pitchbook.com?c=481530-07","View Company Online")</f>
      </c>
    </row>
    <row r="526">
      <c r="A526" s="17" t="s">
        <v>11021</v>
      </c>
      <c r="B526" s="17" t="s">
        <v>11022</v>
      </c>
      <c r="C526" s="18" t="s">
        <v>151</v>
      </c>
      <c r="D526" s="17" t="s">
        <v>151</v>
      </c>
      <c r="E526" s="17" t="s">
        <v>151</v>
      </c>
      <c r="F526" s="17" t="s">
        <v>11023</v>
      </c>
      <c r="G526" s="17" t="s">
        <v>151</v>
      </c>
      <c r="H526" s="17" t="s">
        <v>151</v>
      </c>
      <c r="I526" s="17" t="s">
        <v>151</v>
      </c>
      <c r="J526" s="17" t="s">
        <v>11021</v>
      </c>
      <c r="K526" s="17" t="s">
        <v>11024</v>
      </c>
      <c r="L526" s="17" t="s">
        <v>205</v>
      </c>
      <c r="M526" s="17" t="s">
        <v>206</v>
      </c>
      <c r="N526" s="17" t="s">
        <v>1940</v>
      </c>
      <c r="O526" s="17" t="s">
        <v>5396</v>
      </c>
      <c r="P526" s="17" t="s">
        <v>2174</v>
      </c>
      <c r="Q526" s="17" t="s">
        <v>11025</v>
      </c>
      <c r="R526" s="17" t="s">
        <v>151</v>
      </c>
      <c r="S526" s="17" t="s">
        <v>162</v>
      </c>
      <c r="T526" s="24">
        <v>6.16</v>
      </c>
      <c r="U526" s="17" t="s">
        <v>163</v>
      </c>
      <c r="V526" s="17" t="s">
        <v>164</v>
      </c>
      <c r="W526" s="17" t="s">
        <v>165</v>
      </c>
      <c r="X526" s="15" t="s">
        <v>11026</v>
      </c>
      <c r="Y526" s="15" t="s">
        <v>11027</v>
      </c>
      <c r="Z526" s="27">
        <v>69</v>
      </c>
      <c r="AA526" s="17" t="s">
        <v>11028</v>
      </c>
      <c r="AB526" s="17" t="s">
        <v>151</v>
      </c>
      <c r="AC526" s="17" t="s">
        <v>151</v>
      </c>
      <c r="AD526" s="26">
        <v>2017</v>
      </c>
      <c r="AE526" s="17" t="s">
        <v>151</v>
      </c>
      <c r="AF526" s="22">
        <v>45607</v>
      </c>
      <c r="AG526" s="17" t="s">
        <v>151</v>
      </c>
      <c r="AH526" s="17" t="s">
        <v>151</v>
      </c>
      <c r="AI526" s="25" t="s">
        <v>151</v>
      </c>
      <c r="AJ526" s="19" t="s">
        <v>151</v>
      </c>
      <c r="AK526" s="25" t="s">
        <v>151</v>
      </c>
      <c r="AL526" s="25" t="s">
        <v>151</v>
      </c>
      <c r="AM526" s="25" t="s">
        <v>151</v>
      </c>
      <c r="AN526" s="25" t="s">
        <v>151</v>
      </c>
      <c r="AO526" s="25" t="s">
        <v>151</v>
      </c>
      <c r="AP526" s="25" t="s">
        <v>151</v>
      </c>
      <c r="AQ526" s="25" t="s">
        <v>151</v>
      </c>
      <c r="AR526" s="16" t="s">
        <v>151</v>
      </c>
      <c r="AS526" s="17" t="s">
        <v>11029</v>
      </c>
      <c r="AT526" s="17" t="s">
        <v>11030</v>
      </c>
      <c r="AU526" s="18">
        <v>2</v>
      </c>
      <c r="AV526" s="17" t="s">
        <v>151</v>
      </c>
      <c r="AW526" s="17" t="s">
        <v>151</v>
      </c>
      <c r="AX526" s="17" t="s">
        <v>151</v>
      </c>
      <c r="AY526" s="17" t="s">
        <v>11031</v>
      </c>
      <c r="AZ526" s="17" t="s">
        <v>151</v>
      </c>
      <c r="BA526" s="17" t="s">
        <v>151</v>
      </c>
      <c r="BB526" s="17" t="s">
        <v>151</v>
      </c>
      <c r="BC526" s="17" t="s">
        <v>151</v>
      </c>
      <c r="BD526" s="17" t="s">
        <v>11032</v>
      </c>
      <c r="BE526" s="17" t="s">
        <v>11033</v>
      </c>
      <c r="BF526" s="17" t="s">
        <v>493</v>
      </c>
      <c r="BG526" s="17" t="s">
        <v>11034</v>
      </c>
      <c r="BH526" s="17" t="s">
        <v>11035</v>
      </c>
      <c r="BI526" s="17" t="s">
        <v>578</v>
      </c>
      <c r="BJ526" s="17" t="s">
        <v>11036</v>
      </c>
      <c r="BK526" s="17" t="s">
        <v>151</v>
      </c>
      <c r="BL526" s="17" t="s">
        <v>581</v>
      </c>
      <c r="BM526" s="17" t="s">
        <v>582</v>
      </c>
      <c r="BN526" s="16" t="s">
        <v>11037</v>
      </c>
      <c r="BO526" s="17" t="s">
        <v>186</v>
      </c>
      <c r="BP526" s="16" t="s">
        <v>11035</v>
      </c>
      <c r="BQ526" s="16" t="s">
        <v>151</v>
      </c>
      <c r="BR526" s="17" t="s">
        <v>11038</v>
      </c>
      <c r="BS526" s="17" t="s">
        <v>187</v>
      </c>
      <c r="BT526" s="17" t="s">
        <v>188</v>
      </c>
      <c r="BU526" s="22">
        <v>45237</v>
      </c>
      <c r="BV526" s="24">
        <v>6.16</v>
      </c>
      <c r="BW526" s="17" t="s">
        <v>192</v>
      </c>
      <c r="BX526" s="24">
        <v>46.16</v>
      </c>
      <c r="BY526" s="17" t="s">
        <v>192</v>
      </c>
      <c r="BZ526" s="17" t="s">
        <v>194</v>
      </c>
      <c r="CA526" s="17" t="s">
        <v>232</v>
      </c>
      <c r="CB526" s="17" t="s">
        <v>151</v>
      </c>
      <c r="CC526" s="17" t="s">
        <v>165</v>
      </c>
      <c r="CD526" s="17" t="s">
        <v>151</v>
      </c>
      <c r="CE526" s="17" t="s">
        <v>191</v>
      </c>
      <c r="CF526" s="22">
        <v>45237</v>
      </c>
      <c r="CG526" s="24">
        <v>6.16</v>
      </c>
      <c r="CH526" s="17" t="s">
        <v>192</v>
      </c>
      <c r="CI526" s="24">
        <v>46.16</v>
      </c>
      <c r="CJ526" s="17" t="s">
        <v>192</v>
      </c>
      <c r="CK526" s="16" t="s">
        <v>151</v>
      </c>
      <c r="CL526" s="17" t="s">
        <v>194</v>
      </c>
      <c r="CM526" s="17" t="s">
        <v>232</v>
      </c>
      <c r="CN526" s="17" t="s">
        <v>151</v>
      </c>
      <c r="CO526" s="17" t="s">
        <v>165</v>
      </c>
      <c r="CP526" s="22">
        <v>45237</v>
      </c>
      <c r="CQ526" s="24" t="s">
        <v>151</v>
      </c>
      <c r="CR526" s="17" t="s">
        <v>151</v>
      </c>
      <c r="CS526" s="17" t="s">
        <v>191</v>
      </c>
      <c r="CT526" s="16" t="s">
        <v>151</v>
      </c>
      <c r="CU526" s="17" t="s">
        <v>151</v>
      </c>
      <c r="CV526" s="19" t="s">
        <v>151</v>
      </c>
      <c r="CW526" s="19" t="s">
        <v>151</v>
      </c>
      <c r="CX526" s="17" t="s">
        <v>151</v>
      </c>
      <c r="CY526" s="19" t="s">
        <v>151</v>
      </c>
      <c r="CZ526" s="19" t="s">
        <v>151</v>
      </c>
      <c r="DA526" s="24">
        <v>46.16</v>
      </c>
      <c r="DB526" s="22">
        <v>45237</v>
      </c>
      <c r="DC526" s="17" t="s">
        <v>194</v>
      </c>
      <c r="DD526" s="16" t="s">
        <v>151</v>
      </c>
      <c r="DE526" s="19">
        <v>-1.06</v>
      </c>
      <c r="DF526" s="21">
        <v>4</v>
      </c>
      <c r="DG526" s="19">
        <v>0</v>
      </c>
      <c r="DH526" s="19">
        <v>0</v>
      </c>
      <c r="DI526" s="19">
        <v>-2.32</v>
      </c>
      <c r="DJ526" s="21">
        <v>2</v>
      </c>
      <c r="DK526" s="19">
        <v>-4.38</v>
      </c>
      <c r="DL526" s="21">
        <v>3</v>
      </c>
      <c r="DM526" s="19">
        <v>-0.25</v>
      </c>
      <c r="DN526" s="21">
        <v>9</v>
      </c>
      <c r="DO526" s="23">
        <v>8.36</v>
      </c>
      <c r="DP526" s="21">
        <v>88</v>
      </c>
      <c r="DQ526" s="23">
        <v>0</v>
      </c>
      <c r="DR526" s="19">
        <v>0</v>
      </c>
      <c r="DS526" s="23">
        <v>11.73</v>
      </c>
      <c r="DT526" s="21">
        <v>91</v>
      </c>
      <c r="DU526" s="23">
        <v>13.3</v>
      </c>
      <c r="DV526" s="21">
        <v>89</v>
      </c>
      <c r="DW526" s="23">
        <v>10.16</v>
      </c>
      <c r="DX526" s="21">
        <v>90</v>
      </c>
      <c r="DY526" s="18">
        <v>1</v>
      </c>
      <c r="DZ526" s="22">
        <v>45219</v>
      </c>
      <c r="EA526" s="22" t="s">
        <v>151</v>
      </c>
      <c r="EB526" s="21">
        <v>2892</v>
      </c>
      <c r="EC526" s="20">
        <v>-459</v>
      </c>
      <c r="ED526" s="19">
        <v>-13.7</v>
      </c>
      <c r="EE526" s="21">
        <v>193</v>
      </c>
      <c r="EF526" s="20">
        <v>0</v>
      </c>
      <c r="EG526" s="19">
        <v>0</v>
      </c>
      <c r="EH526" s="16" t="s">
        <v>198</v>
      </c>
      <c r="EI526" s="17" t="s">
        <v>151</v>
      </c>
      <c r="EJ526" s="17" t="s">
        <v>151</v>
      </c>
      <c r="EK526" s="18" t="s">
        <v>151</v>
      </c>
      <c r="EL526" s="18" t="s">
        <v>151</v>
      </c>
      <c r="EM526" s="18" t="s">
        <v>151</v>
      </c>
      <c r="EN526" s="18" t="s">
        <v>151</v>
      </c>
      <c r="EO526" s="18" t="s">
        <v>151</v>
      </c>
      <c r="EP526" s="17" t="s">
        <v>151</v>
      </c>
      <c r="EQ526" s="16" t="s">
        <v>151</v>
      </c>
      <c r="ER526" s="16" t="s">
        <v>151</v>
      </c>
      <c r="ES526" s="3">
        <f>HYPERLINK("https://my.pitchbook.com?c=537974-56","View Company Online")</f>
      </c>
    </row>
    <row r="527">
      <c r="A527" s="30" t="s">
        <v>11039</v>
      </c>
      <c r="B527" s="30" t="s">
        <v>11040</v>
      </c>
      <c r="C527" s="31" t="s">
        <v>151</v>
      </c>
      <c r="D527" s="30" t="s">
        <v>151</v>
      </c>
      <c r="E527" s="30" t="s">
        <v>11041</v>
      </c>
      <c r="F527" s="30" t="s">
        <v>11042</v>
      </c>
      <c r="G527" s="30" t="s">
        <v>151</v>
      </c>
      <c r="H527" s="30" t="s">
        <v>151</v>
      </c>
      <c r="I527" s="30" t="s">
        <v>11043</v>
      </c>
      <c r="J527" s="30" t="s">
        <v>11039</v>
      </c>
      <c r="K527" s="30" t="s">
        <v>11044</v>
      </c>
      <c r="L527" s="30" t="s">
        <v>205</v>
      </c>
      <c r="M527" s="30" t="s">
        <v>206</v>
      </c>
      <c r="N527" s="30" t="s">
        <v>269</v>
      </c>
      <c r="O527" s="30" t="s">
        <v>1396</v>
      </c>
      <c r="P527" s="30" t="s">
        <v>919</v>
      </c>
      <c r="Q527" s="30" t="s">
        <v>11045</v>
      </c>
      <c r="R527" s="30" t="s">
        <v>151</v>
      </c>
      <c r="S527" s="30" t="s">
        <v>162</v>
      </c>
      <c r="T527" s="37">
        <v>4.8</v>
      </c>
      <c r="U527" s="30" t="s">
        <v>163</v>
      </c>
      <c r="V527" s="30" t="s">
        <v>164</v>
      </c>
      <c r="W527" s="30" t="s">
        <v>165</v>
      </c>
      <c r="X527" s="28" t="s">
        <v>11046</v>
      </c>
      <c r="Y527" s="28" t="s">
        <v>11047</v>
      </c>
      <c r="Z527" s="40">
        <v>3</v>
      </c>
      <c r="AA527" s="30" t="s">
        <v>8692</v>
      </c>
      <c r="AB527" s="30" t="s">
        <v>151</v>
      </c>
      <c r="AC527" s="30" t="s">
        <v>151</v>
      </c>
      <c r="AD527" s="39">
        <v>2023</v>
      </c>
      <c r="AE527" s="30" t="s">
        <v>151</v>
      </c>
      <c r="AF527" s="35">
        <v>45589</v>
      </c>
      <c r="AG527" s="30" t="s">
        <v>151</v>
      </c>
      <c r="AH527" s="30" t="s">
        <v>151</v>
      </c>
      <c r="AI527" s="38" t="s">
        <v>151</v>
      </c>
      <c r="AJ527" s="32" t="s">
        <v>151</v>
      </c>
      <c r="AK527" s="38" t="s">
        <v>151</v>
      </c>
      <c r="AL527" s="38" t="s">
        <v>151</v>
      </c>
      <c r="AM527" s="38" t="s">
        <v>151</v>
      </c>
      <c r="AN527" s="38" t="s">
        <v>151</v>
      </c>
      <c r="AO527" s="38" t="s">
        <v>151</v>
      </c>
      <c r="AP527" s="38" t="s">
        <v>151</v>
      </c>
      <c r="AQ527" s="38" t="s">
        <v>151</v>
      </c>
      <c r="AR527" s="29" t="s">
        <v>151</v>
      </c>
      <c r="AS527" s="30" t="s">
        <v>11048</v>
      </c>
      <c r="AT527" s="30" t="s">
        <v>11049</v>
      </c>
      <c r="AU527" s="31">
        <v>10</v>
      </c>
      <c r="AV527" s="30" t="s">
        <v>151</v>
      </c>
      <c r="AW527" s="30" t="s">
        <v>151</v>
      </c>
      <c r="AX527" s="30" t="s">
        <v>151</v>
      </c>
      <c r="AY527" s="30" t="s">
        <v>11050</v>
      </c>
      <c r="AZ527" s="30" t="s">
        <v>151</v>
      </c>
      <c r="BA527" s="30" t="s">
        <v>151</v>
      </c>
      <c r="BB527" s="30" t="s">
        <v>151</v>
      </c>
      <c r="BC527" s="30" t="s">
        <v>151</v>
      </c>
      <c r="BD527" s="30" t="s">
        <v>11051</v>
      </c>
      <c r="BE527" s="30" t="s">
        <v>11052</v>
      </c>
      <c r="BF527" s="30" t="s">
        <v>221</v>
      </c>
      <c r="BG527" s="30" t="s">
        <v>11053</v>
      </c>
      <c r="BH527" s="30" t="s">
        <v>11054</v>
      </c>
      <c r="BI527" s="30" t="s">
        <v>764</v>
      </c>
      <c r="BJ527" s="30" t="s">
        <v>11055</v>
      </c>
      <c r="BK527" s="30" t="s">
        <v>151</v>
      </c>
      <c r="BL527" s="30" t="s">
        <v>767</v>
      </c>
      <c r="BM527" s="30" t="s">
        <v>184</v>
      </c>
      <c r="BN527" s="29" t="s">
        <v>4056</v>
      </c>
      <c r="BO527" s="30" t="s">
        <v>186</v>
      </c>
      <c r="BP527" s="29" t="s">
        <v>11054</v>
      </c>
      <c r="BQ527" s="29" t="s">
        <v>151</v>
      </c>
      <c r="BR527" s="30" t="s">
        <v>151</v>
      </c>
      <c r="BS527" s="30" t="s">
        <v>187</v>
      </c>
      <c r="BT527" s="30" t="s">
        <v>188</v>
      </c>
      <c r="BU527" s="35">
        <v>45057</v>
      </c>
      <c r="BV527" s="37">
        <v>0.5</v>
      </c>
      <c r="BW527" s="30" t="s">
        <v>192</v>
      </c>
      <c r="BX527" s="37">
        <v>5</v>
      </c>
      <c r="BY527" s="30" t="s">
        <v>192</v>
      </c>
      <c r="BZ527" s="30" t="s">
        <v>189</v>
      </c>
      <c r="CA527" s="30" t="s">
        <v>151</v>
      </c>
      <c r="CB527" s="30" t="s">
        <v>151</v>
      </c>
      <c r="CC527" s="30" t="s">
        <v>190</v>
      </c>
      <c r="CD527" s="30" t="s">
        <v>151</v>
      </c>
      <c r="CE527" s="30" t="s">
        <v>191</v>
      </c>
      <c r="CF527" s="35">
        <v>45455</v>
      </c>
      <c r="CG527" s="37">
        <v>4.3</v>
      </c>
      <c r="CH527" s="30" t="s">
        <v>193</v>
      </c>
      <c r="CI527" s="37">
        <v>13.88</v>
      </c>
      <c r="CJ527" s="30" t="s">
        <v>192</v>
      </c>
      <c r="CK527" s="29" t="s">
        <v>151</v>
      </c>
      <c r="CL527" s="30" t="s">
        <v>293</v>
      </c>
      <c r="CM527" s="30" t="s">
        <v>293</v>
      </c>
      <c r="CN527" s="30" t="s">
        <v>151</v>
      </c>
      <c r="CO527" s="30" t="s">
        <v>165</v>
      </c>
      <c r="CP527" s="35">
        <v>45455</v>
      </c>
      <c r="CQ527" s="37" t="s">
        <v>151</v>
      </c>
      <c r="CR527" s="30" t="s">
        <v>151</v>
      </c>
      <c r="CS527" s="30" t="s">
        <v>191</v>
      </c>
      <c r="CT527" s="29" t="s">
        <v>151</v>
      </c>
      <c r="CU527" s="30" t="s">
        <v>151</v>
      </c>
      <c r="CV527" s="32" t="s">
        <v>151</v>
      </c>
      <c r="CW527" s="32" t="s">
        <v>151</v>
      </c>
      <c r="CX527" s="30" t="s">
        <v>151</v>
      </c>
      <c r="CY527" s="32" t="s">
        <v>151</v>
      </c>
      <c r="CZ527" s="32" t="s">
        <v>151</v>
      </c>
      <c r="DA527" s="37">
        <v>13.88</v>
      </c>
      <c r="DB527" s="35">
        <v>45455</v>
      </c>
      <c r="DC527" s="30" t="s">
        <v>293</v>
      </c>
      <c r="DD527" s="29" t="s">
        <v>151</v>
      </c>
      <c r="DE527" s="32">
        <v>-3.13</v>
      </c>
      <c r="DF527" s="34">
        <v>1</v>
      </c>
      <c r="DG527" s="32">
        <v>0</v>
      </c>
      <c r="DH527" s="32">
        <v>0</v>
      </c>
      <c r="DI527" s="32" t="s">
        <v>151</v>
      </c>
      <c r="DJ527" s="34" t="s">
        <v>151</v>
      </c>
      <c r="DK527" s="32" t="s">
        <v>151</v>
      </c>
      <c r="DL527" s="34" t="s">
        <v>151</v>
      </c>
      <c r="DM527" s="32" t="s">
        <v>151</v>
      </c>
      <c r="DN527" s="34" t="s">
        <v>151</v>
      </c>
      <c r="DO527" s="36">
        <v>0.23</v>
      </c>
      <c r="DP527" s="34">
        <v>17</v>
      </c>
      <c r="DQ527" s="36">
        <v>0</v>
      </c>
      <c r="DR527" s="32">
        <v>0</v>
      </c>
      <c r="DS527" s="36" t="s">
        <v>151</v>
      </c>
      <c r="DT527" s="34" t="s">
        <v>151</v>
      </c>
      <c r="DU527" s="36" t="s">
        <v>151</v>
      </c>
      <c r="DV527" s="34" t="s">
        <v>151</v>
      </c>
      <c r="DW527" s="36" t="s">
        <v>151</v>
      </c>
      <c r="DX527" s="34" t="s">
        <v>151</v>
      </c>
      <c r="DY527" s="31" t="s">
        <v>151</v>
      </c>
      <c r="DZ527" s="35" t="s">
        <v>151</v>
      </c>
      <c r="EA527" s="35" t="s">
        <v>151</v>
      </c>
      <c r="EB527" s="34">
        <v>322</v>
      </c>
      <c r="EC527" s="33">
        <v>-5</v>
      </c>
      <c r="ED527" s="32">
        <v>-1.53</v>
      </c>
      <c r="EE527" s="34" t="s">
        <v>151</v>
      </c>
      <c r="EF527" s="33" t="s">
        <v>151</v>
      </c>
      <c r="EG527" s="32" t="s">
        <v>151</v>
      </c>
      <c r="EH527" s="29" t="s">
        <v>198</v>
      </c>
      <c r="EI527" s="30" t="s">
        <v>151</v>
      </c>
      <c r="EJ527" s="30" t="s">
        <v>151</v>
      </c>
      <c r="EK527" s="31" t="s">
        <v>151</v>
      </c>
      <c r="EL527" s="31" t="s">
        <v>151</v>
      </c>
      <c r="EM527" s="31" t="s">
        <v>151</v>
      </c>
      <c r="EN527" s="31" t="s">
        <v>151</v>
      </c>
      <c r="EO527" s="31" t="s">
        <v>151</v>
      </c>
      <c r="EP527" s="30" t="s">
        <v>151</v>
      </c>
      <c r="EQ527" s="29" t="s">
        <v>151</v>
      </c>
      <c r="ER527" s="29" t="s">
        <v>151</v>
      </c>
      <c r="ES527" s="4">
        <f>HYPERLINK("https://my.pitchbook.com?c=539588-98","View Company Online")</f>
      </c>
    </row>
    <row r="528">
      <c r="A528" s="17" t="s">
        <v>11056</v>
      </c>
      <c r="B528" s="17" t="s">
        <v>11057</v>
      </c>
      <c r="C528" s="18" t="s">
        <v>151</v>
      </c>
      <c r="D528" s="17" t="s">
        <v>151</v>
      </c>
      <c r="E528" s="17" t="s">
        <v>11058</v>
      </c>
      <c r="F528" s="17" t="s">
        <v>11059</v>
      </c>
      <c r="G528" s="17" t="s">
        <v>151</v>
      </c>
      <c r="H528" s="17" t="s">
        <v>151</v>
      </c>
      <c r="I528" s="17" t="s">
        <v>151</v>
      </c>
      <c r="J528" s="17" t="s">
        <v>11056</v>
      </c>
      <c r="K528" s="17" t="s">
        <v>11060</v>
      </c>
      <c r="L528" s="17" t="s">
        <v>205</v>
      </c>
      <c r="M528" s="17" t="s">
        <v>206</v>
      </c>
      <c r="N528" s="17" t="s">
        <v>269</v>
      </c>
      <c r="O528" s="17" t="s">
        <v>563</v>
      </c>
      <c r="P528" s="17" t="s">
        <v>1153</v>
      </c>
      <c r="Q528" s="17" t="s">
        <v>11061</v>
      </c>
      <c r="R528" s="17" t="s">
        <v>151</v>
      </c>
      <c r="S528" s="17" t="s">
        <v>162</v>
      </c>
      <c r="T528" s="24">
        <v>3.6</v>
      </c>
      <c r="U528" s="17" t="s">
        <v>163</v>
      </c>
      <c r="V528" s="17" t="s">
        <v>164</v>
      </c>
      <c r="W528" s="17" t="s">
        <v>165</v>
      </c>
      <c r="X528" s="15" t="s">
        <v>11062</v>
      </c>
      <c r="Y528" s="15" t="s">
        <v>11063</v>
      </c>
      <c r="Z528" s="27">
        <v>15</v>
      </c>
      <c r="AA528" s="17" t="s">
        <v>11064</v>
      </c>
      <c r="AB528" s="17" t="s">
        <v>151</v>
      </c>
      <c r="AC528" s="17" t="s">
        <v>151</v>
      </c>
      <c r="AD528" s="26">
        <v>2021</v>
      </c>
      <c r="AE528" s="17" t="s">
        <v>151</v>
      </c>
      <c r="AF528" s="22">
        <v>45609</v>
      </c>
      <c r="AG528" s="17" t="s">
        <v>151</v>
      </c>
      <c r="AH528" s="17" t="s">
        <v>151</v>
      </c>
      <c r="AI528" s="25" t="s">
        <v>151</v>
      </c>
      <c r="AJ528" s="19" t="s">
        <v>151</v>
      </c>
      <c r="AK528" s="25" t="s">
        <v>151</v>
      </c>
      <c r="AL528" s="25" t="s">
        <v>151</v>
      </c>
      <c r="AM528" s="25" t="s">
        <v>151</v>
      </c>
      <c r="AN528" s="25" t="s">
        <v>151</v>
      </c>
      <c r="AO528" s="25" t="s">
        <v>151</v>
      </c>
      <c r="AP528" s="25" t="s">
        <v>151</v>
      </c>
      <c r="AQ528" s="25" t="s">
        <v>151</v>
      </c>
      <c r="AR528" s="16" t="s">
        <v>151</v>
      </c>
      <c r="AS528" s="17" t="s">
        <v>11065</v>
      </c>
      <c r="AT528" s="17" t="s">
        <v>11066</v>
      </c>
      <c r="AU528" s="18">
        <v>9</v>
      </c>
      <c r="AV528" s="17" t="s">
        <v>151</v>
      </c>
      <c r="AW528" s="17" t="s">
        <v>151</v>
      </c>
      <c r="AX528" s="17" t="s">
        <v>151</v>
      </c>
      <c r="AY528" s="17" t="s">
        <v>11067</v>
      </c>
      <c r="AZ528" s="17" t="s">
        <v>151</v>
      </c>
      <c r="BA528" s="17" t="s">
        <v>151</v>
      </c>
      <c r="BB528" s="17" t="s">
        <v>151</v>
      </c>
      <c r="BC528" s="17" t="s">
        <v>151</v>
      </c>
      <c r="BD528" s="17" t="s">
        <v>11068</v>
      </c>
      <c r="BE528" s="17" t="s">
        <v>11069</v>
      </c>
      <c r="BF528" s="17" t="s">
        <v>403</v>
      </c>
      <c r="BG528" s="17" t="s">
        <v>11070</v>
      </c>
      <c r="BH528" s="17" t="s">
        <v>11071</v>
      </c>
      <c r="BI528" s="17" t="s">
        <v>2652</v>
      </c>
      <c r="BJ528" s="17" t="s">
        <v>11072</v>
      </c>
      <c r="BK528" s="17" t="s">
        <v>151</v>
      </c>
      <c r="BL528" s="17" t="s">
        <v>2654</v>
      </c>
      <c r="BM528" s="17" t="s">
        <v>1576</v>
      </c>
      <c r="BN528" s="16" t="s">
        <v>11073</v>
      </c>
      <c r="BO528" s="17" t="s">
        <v>186</v>
      </c>
      <c r="BP528" s="16" t="s">
        <v>11071</v>
      </c>
      <c r="BQ528" s="16" t="s">
        <v>151</v>
      </c>
      <c r="BR528" s="17" t="s">
        <v>11074</v>
      </c>
      <c r="BS528" s="17" t="s">
        <v>187</v>
      </c>
      <c r="BT528" s="17" t="s">
        <v>188</v>
      </c>
      <c r="BU528" s="22">
        <v>44571</v>
      </c>
      <c r="BV528" s="24">
        <v>2.6</v>
      </c>
      <c r="BW528" s="17" t="s">
        <v>192</v>
      </c>
      <c r="BX528" s="24" t="s">
        <v>151</v>
      </c>
      <c r="BY528" s="17" t="s">
        <v>151</v>
      </c>
      <c r="BZ528" s="17" t="s">
        <v>293</v>
      </c>
      <c r="CA528" s="17" t="s">
        <v>293</v>
      </c>
      <c r="CB528" s="17" t="s">
        <v>151</v>
      </c>
      <c r="CC528" s="17" t="s">
        <v>165</v>
      </c>
      <c r="CD528" s="17" t="s">
        <v>151</v>
      </c>
      <c r="CE528" s="17" t="s">
        <v>191</v>
      </c>
      <c r="CF528" s="22">
        <v>45352</v>
      </c>
      <c r="CG528" s="24">
        <v>1</v>
      </c>
      <c r="CH528" s="17" t="s">
        <v>192</v>
      </c>
      <c r="CI528" s="24" t="s">
        <v>151</v>
      </c>
      <c r="CJ528" s="17" t="s">
        <v>151</v>
      </c>
      <c r="CK528" s="16" t="s">
        <v>151</v>
      </c>
      <c r="CL528" s="17" t="s">
        <v>293</v>
      </c>
      <c r="CM528" s="17" t="s">
        <v>293</v>
      </c>
      <c r="CN528" s="17" t="s">
        <v>151</v>
      </c>
      <c r="CO528" s="17" t="s">
        <v>165</v>
      </c>
      <c r="CP528" s="22">
        <v>45352</v>
      </c>
      <c r="CQ528" s="24" t="s">
        <v>151</v>
      </c>
      <c r="CR528" s="17" t="s">
        <v>151</v>
      </c>
      <c r="CS528" s="17" t="s">
        <v>191</v>
      </c>
      <c r="CT528" s="16">
        <v>41</v>
      </c>
      <c r="CU528" s="17" t="s">
        <v>263</v>
      </c>
      <c r="CV528" s="19">
        <v>41</v>
      </c>
      <c r="CW528" s="19">
        <v>59</v>
      </c>
      <c r="CX528" s="17" t="s">
        <v>263</v>
      </c>
      <c r="CY528" s="19">
        <v>1</v>
      </c>
      <c r="CZ528" s="19">
        <v>40</v>
      </c>
      <c r="DA528" s="24" t="s">
        <v>151</v>
      </c>
      <c r="DB528" s="22" t="s">
        <v>151</v>
      </c>
      <c r="DC528" s="17" t="s">
        <v>151</v>
      </c>
      <c r="DD528" s="16" t="s">
        <v>151</v>
      </c>
      <c r="DE528" s="19">
        <v>0.45</v>
      </c>
      <c r="DF528" s="21">
        <v>94</v>
      </c>
      <c r="DG528" s="19">
        <v>0</v>
      </c>
      <c r="DH528" s="19">
        <v>0</v>
      </c>
      <c r="DI528" s="19">
        <v>0</v>
      </c>
      <c r="DJ528" s="21">
        <v>10</v>
      </c>
      <c r="DK528" s="19" t="s">
        <v>151</v>
      </c>
      <c r="DL528" s="21" t="s">
        <v>151</v>
      </c>
      <c r="DM528" s="19">
        <v>0</v>
      </c>
      <c r="DN528" s="21">
        <v>10</v>
      </c>
      <c r="DO528" s="23">
        <v>1.58</v>
      </c>
      <c r="DP528" s="21">
        <v>61</v>
      </c>
      <c r="DQ528" s="23">
        <v>0</v>
      </c>
      <c r="DR528" s="19">
        <v>0</v>
      </c>
      <c r="DS528" s="23">
        <v>2</v>
      </c>
      <c r="DT528" s="21">
        <v>66</v>
      </c>
      <c r="DU528" s="23" t="s">
        <v>151</v>
      </c>
      <c r="DV528" s="21" t="s">
        <v>151</v>
      </c>
      <c r="DW528" s="23">
        <v>2</v>
      </c>
      <c r="DX528" s="21">
        <v>65</v>
      </c>
      <c r="DY528" s="18" t="s">
        <v>151</v>
      </c>
      <c r="DZ528" s="22" t="s">
        <v>151</v>
      </c>
      <c r="EA528" s="22" t="s">
        <v>151</v>
      </c>
      <c r="EB528" s="21">
        <v>540</v>
      </c>
      <c r="EC528" s="20">
        <v>21</v>
      </c>
      <c r="ED528" s="19">
        <v>4.05</v>
      </c>
      <c r="EE528" s="21">
        <v>38</v>
      </c>
      <c r="EF528" s="20">
        <v>0</v>
      </c>
      <c r="EG528" s="19">
        <v>0</v>
      </c>
      <c r="EH528" s="16" t="s">
        <v>198</v>
      </c>
      <c r="EI528" s="17" t="s">
        <v>151</v>
      </c>
      <c r="EJ528" s="17" t="s">
        <v>151</v>
      </c>
      <c r="EK528" s="18" t="s">
        <v>151</v>
      </c>
      <c r="EL528" s="18" t="s">
        <v>151</v>
      </c>
      <c r="EM528" s="18" t="s">
        <v>151</v>
      </c>
      <c r="EN528" s="18" t="s">
        <v>151</v>
      </c>
      <c r="EO528" s="18" t="s">
        <v>151</v>
      </c>
      <c r="EP528" s="17" t="s">
        <v>151</v>
      </c>
      <c r="EQ528" s="16" t="s">
        <v>151</v>
      </c>
      <c r="ER528" s="16" t="s">
        <v>151</v>
      </c>
      <c r="ES528" s="3">
        <f>HYPERLINK("https://my.pitchbook.com?c=501763-42","View Company Online")</f>
      </c>
    </row>
    <row r="529">
      <c r="A529" s="30" t="s">
        <v>11075</v>
      </c>
      <c r="B529" s="30" t="s">
        <v>11076</v>
      </c>
      <c r="C529" s="31" t="s">
        <v>151</v>
      </c>
      <c r="D529" s="30" t="s">
        <v>151</v>
      </c>
      <c r="E529" s="30" t="s">
        <v>151</v>
      </c>
      <c r="F529" s="30" t="s">
        <v>11077</v>
      </c>
      <c r="G529" s="30" t="s">
        <v>151</v>
      </c>
      <c r="H529" s="30" t="s">
        <v>151</v>
      </c>
      <c r="I529" s="30" t="s">
        <v>11078</v>
      </c>
      <c r="J529" s="30" t="s">
        <v>11075</v>
      </c>
      <c r="K529" s="30" t="s">
        <v>11079</v>
      </c>
      <c r="L529" s="30" t="s">
        <v>205</v>
      </c>
      <c r="M529" s="30" t="s">
        <v>206</v>
      </c>
      <c r="N529" s="30" t="s">
        <v>1268</v>
      </c>
      <c r="O529" s="30" t="s">
        <v>1485</v>
      </c>
      <c r="P529" s="30" t="s">
        <v>2130</v>
      </c>
      <c r="Q529" s="30" t="s">
        <v>11080</v>
      </c>
      <c r="R529" s="30" t="s">
        <v>151</v>
      </c>
      <c r="S529" s="30" t="s">
        <v>162</v>
      </c>
      <c r="T529" s="37">
        <v>9.8</v>
      </c>
      <c r="U529" s="30" t="s">
        <v>163</v>
      </c>
      <c r="V529" s="30" t="s">
        <v>164</v>
      </c>
      <c r="W529" s="30" t="s">
        <v>165</v>
      </c>
      <c r="X529" s="28" t="s">
        <v>11081</v>
      </c>
      <c r="Y529" s="28" t="s">
        <v>11082</v>
      </c>
      <c r="Z529" s="40">
        <v>21</v>
      </c>
      <c r="AA529" s="30" t="s">
        <v>11083</v>
      </c>
      <c r="AB529" s="30" t="s">
        <v>151</v>
      </c>
      <c r="AC529" s="30" t="s">
        <v>151</v>
      </c>
      <c r="AD529" s="39">
        <v>2020</v>
      </c>
      <c r="AE529" s="30" t="s">
        <v>151</v>
      </c>
      <c r="AF529" s="35">
        <v>45568</v>
      </c>
      <c r="AG529" s="30" t="s">
        <v>151</v>
      </c>
      <c r="AH529" s="30" t="s">
        <v>151</v>
      </c>
      <c r="AI529" s="38" t="s">
        <v>151</v>
      </c>
      <c r="AJ529" s="32" t="s">
        <v>151</v>
      </c>
      <c r="AK529" s="38" t="s">
        <v>151</v>
      </c>
      <c r="AL529" s="38" t="s">
        <v>151</v>
      </c>
      <c r="AM529" s="38" t="s">
        <v>151</v>
      </c>
      <c r="AN529" s="38" t="s">
        <v>151</v>
      </c>
      <c r="AO529" s="38" t="s">
        <v>151</v>
      </c>
      <c r="AP529" s="38" t="s">
        <v>151</v>
      </c>
      <c r="AQ529" s="38" t="s">
        <v>151</v>
      </c>
      <c r="AR529" s="29" t="s">
        <v>151</v>
      </c>
      <c r="AS529" s="30" t="s">
        <v>11084</v>
      </c>
      <c r="AT529" s="30" t="s">
        <v>11085</v>
      </c>
      <c r="AU529" s="31">
        <v>10</v>
      </c>
      <c r="AV529" s="30" t="s">
        <v>151</v>
      </c>
      <c r="AW529" s="30" t="s">
        <v>151</v>
      </c>
      <c r="AX529" s="30" t="s">
        <v>151</v>
      </c>
      <c r="AY529" s="30" t="s">
        <v>11086</v>
      </c>
      <c r="AZ529" s="30" t="s">
        <v>151</v>
      </c>
      <c r="BA529" s="30" t="s">
        <v>151</v>
      </c>
      <c r="BB529" s="30" t="s">
        <v>151</v>
      </c>
      <c r="BC529" s="30" t="s">
        <v>1062</v>
      </c>
      <c r="BD529" s="30" t="s">
        <v>11087</v>
      </c>
      <c r="BE529" s="30" t="s">
        <v>11088</v>
      </c>
      <c r="BF529" s="30" t="s">
        <v>403</v>
      </c>
      <c r="BG529" s="30" t="s">
        <v>11089</v>
      </c>
      <c r="BH529" s="30" t="s">
        <v>151</v>
      </c>
      <c r="BI529" s="30" t="s">
        <v>906</v>
      </c>
      <c r="BJ529" s="30" t="s">
        <v>11090</v>
      </c>
      <c r="BK529" s="30" t="s">
        <v>11091</v>
      </c>
      <c r="BL529" s="30" t="s">
        <v>259</v>
      </c>
      <c r="BM529" s="30" t="s">
        <v>259</v>
      </c>
      <c r="BN529" s="29" t="s">
        <v>1933</v>
      </c>
      <c r="BO529" s="30" t="s">
        <v>186</v>
      </c>
      <c r="BP529" s="29" t="s">
        <v>151</v>
      </c>
      <c r="BQ529" s="29" t="s">
        <v>151</v>
      </c>
      <c r="BR529" s="30" t="s">
        <v>11092</v>
      </c>
      <c r="BS529" s="30" t="s">
        <v>187</v>
      </c>
      <c r="BT529" s="30" t="s">
        <v>188</v>
      </c>
      <c r="BU529" s="35">
        <v>44263</v>
      </c>
      <c r="BV529" s="37">
        <v>2.5</v>
      </c>
      <c r="BW529" s="30" t="s">
        <v>192</v>
      </c>
      <c r="BX529" s="37">
        <v>15</v>
      </c>
      <c r="BY529" s="30" t="s">
        <v>192</v>
      </c>
      <c r="BZ529" s="30" t="s">
        <v>293</v>
      </c>
      <c r="CA529" s="30" t="s">
        <v>293</v>
      </c>
      <c r="CB529" s="30" t="s">
        <v>151</v>
      </c>
      <c r="CC529" s="30" t="s">
        <v>165</v>
      </c>
      <c r="CD529" s="30" t="s">
        <v>151</v>
      </c>
      <c r="CE529" s="30" t="s">
        <v>191</v>
      </c>
      <c r="CF529" s="35">
        <v>44867</v>
      </c>
      <c r="CG529" s="37">
        <v>7.3</v>
      </c>
      <c r="CH529" s="30" t="s">
        <v>192</v>
      </c>
      <c r="CI529" s="37">
        <v>35.3</v>
      </c>
      <c r="CJ529" s="30" t="s">
        <v>192</v>
      </c>
      <c r="CK529" s="29">
        <v>1.87</v>
      </c>
      <c r="CL529" s="30" t="s">
        <v>231</v>
      </c>
      <c r="CM529" s="30" t="s">
        <v>232</v>
      </c>
      <c r="CN529" s="30" t="s">
        <v>151</v>
      </c>
      <c r="CO529" s="30" t="s">
        <v>165</v>
      </c>
      <c r="CP529" s="35">
        <v>44867</v>
      </c>
      <c r="CQ529" s="37" t="s">
        <v>151</v>
      </c>
      <c r="CR529" s="30" t="s">
        <v>151</v>
      </c>
      <c r="CS529" s="30" t="s">
        <v>191</v>
      </c>
      <c r="CT529" s="29">
        <v>89</v>
      </c>
      <c r="CU529" s="30" t="s">
        <v>196</v>
      </c>
      <c r="CV529" s="32">
        <v>81</v>
      </c>
      <c r="CW529" s="32">
        <v>19</v>
      </c>
      <c r="CX529" s="30" t="s">
        <v>294</v>
      </c>
      <c r="CY529" s="32">
        <v>1</v>
      </c>
      <c r="CZ529" s="32">
        <v>80</v>
      </c>
      <c r="DA529" s="37">
        <v>35.3</v>
      </c>
      <c r="DB529" s="35">
        <v>44867</v>
      </c>
      <c r="DC529" s="30" t="s">
        <v>231</v>
      </c>
      <c r="DD529" s="29">
        <v>1.87</v>
      </c>
      <c r="DE529" s="32">
        <v>0</v>
      </c>
      <c r="DF529" s="34">
        <v>11</v>
      </c>
      <c r="DG529" s="32">
        <v>0</v>
      </c>
      <c r="DH529" s="32">
        <v>0</v>
      </c>
      <c r="DI529" s="32">
        <v>0</v>
      </c>
      <c r="DJ529" s="34">
        <v>10</v>
      </c>
      <c r="DK529" s="32" t="s">
        <v>151</v>
      </c>
      <c r="DL529" s="34" t="s">
        <v>151</v>
      </c>
      <c r="DM529" s="32">
        <v>0</v>
      </c>
      <c r="DN529" s="34">
        <v>10</v>
      </c>
      <c r="DO529" s="36">
        <v>2.21</v>
      </c>
      <c r="DP529" s="34">
        <v>68</v>
      </c>
      <c r="DQ529" s="36">
        <v>0</v>
      </c>
      <c r="DR529" s="32">
        <v>0</v>
      </c>
      <c r="DS529" s="36">
        <v>2.21</v>
      </c>
      <c r="DT529" s="34">
        <v>68</v>
      </c>
      <c r="DU529" s="36" t="s">
        <v>151</v>
      </c>
      <c r="DV529" s="34" t="s">
        <v>151</v>
      </c>
      <c r="DW529" s="36">
        <v>2.21</v>
      </c>
      <c r="DX529" s="34">
        <v>68</v>
      </c>
      <c r="DY529" s="31" t="s">
        <v>151</v>
      </c>
      <c r="DZ529" s="35" t="s">
        <v>151</v>
      </c>
      <c r="EA529" s="35" t="s">
        <v>151</v>
      </c>
      <c r="EB529" s="34">
        <v>365</v>
      </c>
      <c r="EC529" s="33">
        <v>63</v>
      </c>
      <c r="ED529" s="32">
        <v>20.86</v>
      </c>
      <c r="EE529" s="34">
        <v>42</v>
      </c>
      <c r="EF529" s="33">
        <v>0</v>
      </c>
      <c r="EG529" s="32">
        <v>0</v>
      </c>
      <c r="EH529" s="29" t="s">
        <v>198</v>
      </c>
      <c r="EI529" s="30" t="s">
        <v>151</v>
      </c>
      <c r="EJ529" s="30" t="s">
        <v>151</v>
      </c>
      <c r="EK529" s="31" t="s">
        <v>151</v>
      </c>
      <c r="EL529" s="31" t="s">
        <v>151</v>
      </c>
      <c r="EM529" s="31" t="s">
        <v>151</v>
      </c>
      <c r="EN529" s="31" t="s">
        <v>151</v>
      </c>
      <c r="EO529" s="31" t="s">
        <v>151</v>
      </c>
      <c r="EP529" s="30" t="s">
        <v>151</v>
      </c>
      <c r="EQ529" s="29" t="s">
        <v>151</v>
      </c>
      <c r="ER529" s="29" t="s">
        <v>151</v>
      </c>
      <c r="ES529" s="4">
        <f>HYPERLINK("https://my.pitchbook.com?c=462486-16","View Company Online")</f>
      </c>
    </row>
    <row r="530">
      <c r="A530" s="17" t="s">
        <v>11093</v>
      </c>
      <c r="B530" s="17" t="s">
        <v>11094</v>
      </c>
      <c r="C530" s="18" t="s">
        <v>151</v>
      </c>
      <c r="D530" s="17" t="s">
        <v>151</v>
      </c>
      <c r="E530" s="17" t="s">
        <v>151</v>
      </c>
      <c r="F530" s="17" t="s">
        <v>11095</v>
      </c>
      <c r="G530" s="17" t="s">
        <v>151</v>
      </c>
      <c r="H530" s="17" t="s">
        <v>151</v>
      </c>
      <c r="I530" s="17" t="s">
        <v>11096</v>
      </c>
      <c r="J530" s="17" t="s">
        <v>11093</v>
      </c>
      <c r="K530" s="17" t="s">
        <v>11097</v>
      </c>
      <c r="L530" s="17" t="s">
        <v>205</v>
      </c>
      <c r="M530" s="17" t="s">
        <v>206</v>
      </c>
      <c r="N530" s="17" t="s">
        <v>269</v>
      </c>
      <c r="O530" s="17" t="s">
        <v>1106</v>
      </c>
      <c r="P530" s="17" t="s">
        <v>1153</v>
      </c>
      <c r="Q530" s="17" t="s">
        <v>11098</v>
      </c>
      <c r="R530" s="17" t="s">
        <v>3431</v>
      </c>
      <c r="S530" s="17" t="s">
        <v>162</v>
      </c>
      <c r="T530" s="24">
        <v>3.6</v>
      </c>
      <c r="U530" s="17" t="s">
        <v>163</v>
      </c>
      <c r="V530" s="17" t="s">
        <v>164</v>
      </c>
      <c r="W530" s="17" t="s">
        <v>165</v>
      </c>
      <c r="X530" s="15" t="s">
        <v>11099</v>
      </c>
      <c r="Y530" s="15" t="s">
        <v>11100</v>
      </c>
      <c r="Z530" s="27">
        <v>6</v>
      </c>
      <c r="AA530" s="17" t="s">
        <v>2825</v>
      </c>
      <c r="AB530" s="17" t="s">
        <v>151</v>
      </c>
      <c r="AC530" s="17" t="s">
        <v>151</v>
      </c>
      <c r="AD530" s="26">
        <v>2022</v>
      </c>
      <c r="AE530" s="17" t="s">
        <v>151</v>
      </c>
      <c r="AF530" s="22">
        <v>45539</v>
      </c>
      <c r="AG530" s="17" t="s">
        <v>151</v>
      </c>
      <c r="AH530" s="17" t="s">
        <v>151</v>
      </c>
      <c r="AI530" s="25" t="s">
        <v>151</v>
      </c>
      <c r="AJ530" s="19" t="s">
        <v>151</v>
      </c>
      <c r="AK530" s="25" t="s">
        <v>151</v>
      </c>
      <c r="AL530" s="25" t="s">
        <v>151</v>
      </c>
      <c r="AM530" s="25" t="s">
        <v>151</v>
      </c>
      <c r="AN530" s="25" t="s">
        <v>151</v>
      </c>
      <c r="AO530" s="25" t="s">
        <v>151</v>
      </c>
      <c r="AP530" s="25" t="s">
        <v>151</v>
      </c>
      <c r="AQ530" s="25" t="s">
        <v>151</v>
      </c>
      <c r="AR530" s="16" t="s">
        <v>151</v>
      </c>
      <c r="AS530" s="17" t="s">
        <v>11101</v>
      </c>
      <c r="AT530" s="17" t="s">
        <v>11102</v>
      </c>
      <c r="AU530" s="18">
        <v>5</v>
      </c>
      <c r="AV530" s="17" t="s">
        <v>151</v>
      </c>
      <c r="AW530" s="17" t="s">
        <v>151</v>
      </c>
      <c r="AX530" s="17" t="s">
        <v>151</v>
      </c>
      <c r="AY530" s="17" t="s">
        <v>11103</v>
      </c>
      <c r="AZ530" s="17" t="s">
        <v>151</v>
      </c>
      <c r="BA530" s="17" t="s">
        <v>151</v>
      </c>
      <c r="BB530" s="17" t="s">
        <v>151</v>
      </c>
      <c r="BC530" s="17" t="s">
        <v>151</v>
      </c>
      <c r="BD530" s="17" t="s">
        <v>11104</v>
      </c>
      <c r="BE530" s="17" t="s">
        <v>11105</v>
      </c>
      <c r="BF530" s="17" t="s">
        <v>2427</v>
      </c>
      <c r="BG530" s="17" t="s">
        <v>11106</v>
      </c>
      <c r="BH530" s="17" t="s">
        <v>11107</v>
      </c>
      <c r="BI530" s="17" t="s">
        <v>764</v>
      </c>
      <c r="BJ530" s="17" t="s">
        <v>11108</v>
      </c>
      <c r="BK530" s="17" t="s">
        <v>11109</v>
      </c>
      <c r="BL530" s="17" t="s">
        <v>767</v>
      </c>
      <c r="BM530" s="17" t="s">
        <v>184</v>
      </c>
      <c r="BN530" s="16" t="s">
        <v>1170</v>
      </c>
      <c r="BO530" s="17" t="s">
        <v>186</v>
      </c>
      <c r="BP530" s="16" t="s">
        <v>11107</v>
      </c>
      <c r="BQ530" s="16" t="s">
        <v>151</v>
      </c>
      <c r="BR530" s="17" t="s">
        <v>11110</v>
      </c>
      <c r="BS530" s="17" t="s">
        <v>187</v>
      </c>
      <c r="BT530" s="17" t="s">
        <v>188</v>
      </c>
      <c r="BU530" s="22">
        <v>44987</v>
      </c>
      <c r="BV530" s="24">
        <v>0.5</v>
      </c>
      <c r="BW530" s="17" t="s">
        <v>192</v>
      </c>
      <c r="BX530" s="24" t="s">
        <v>151</v>
      </c>
      <c r="BY530" s="17" t="s">
        <v>151</v>
      </c>
      <c r="BZ530" s="17" t="s">
        <v>189</v>
      </c>
      <c r="CA530" s="17" t="s">
        <v>151</v>
      </c>
      <c r="CB530" s="17" t="s">
        <v>151</v>
      </c>
      <c r="CC530" s="17" t="s">
        <v>190</v>
      </c>
      <c r="CD530" s="17" t="s">
        <v>151</v>
      </c>
      <c r="CE530" s="17" t="s">
        <v>191</v>
      </c>
      <c r="CF530" s="22">
        <v>45055</v>
      </c>
      <c r="CG530" s="24">
        <v>3.1</v>
      </c>
      <c r="CH530" s="17" t="s">
        <v>192</v>
      </c>
      <c r="CI530" s="24" t="s">
        <v>151</v>
      </c>
      <c r="CJ530" s="17" t="s">
        <v>151</v>
      </c>
      <c r="CK530" s="16" t="s">
        <v>151</v>
      </c>
      <c r="CL530" s="17" t="s">
        <v>231</v>
      </c>
      <c r="CM530" s="17" t="s">
        <v>151</v>
      </c>
      <c r="CN530" s="17" t="s">
        <v>151</v>
      </c>
      <c r="CO530" s="17" t="s">
        <v>165</v>
      </c>
      <c r="CP530" s="22">
        <v>45055</v>
      </c>
      <c r="CQ530" s="24" t="s">
        <v>151</v>
      </c>
      <c r="CR530" s="17" t="s">
        <v>151</v>
      </c>
      <c r="CS530" s="17" t="s">
        <v>191</v>
      </c>
      <c r="CT530" s="16" t="s">
        <v>151</v>
      </c>
      <c r="CU530" s="17" t="s">
        <v>151</v>
      </c>
      <c r="CV530" s="19" t="s">
        <v>151</v>
      </c>
      <c r="CW530" s="19" t="s">
        <v>151</v>
      </c>
      <c r="CX530" s="17" t="s">
        <v>151</v>
      </c>
      <c r="CY530" s="19" t="s">
        <v>151</v>
      </c>
      <c r="CZ530" s="19" t="s">
        <v>151</v>
      </c>
      <c r="DA530" s="24" t="s">
        <v>151</v>
      </c>
      <c r="DB530" s="22" t="s">
        <v>151</v>
      </c>
      <c r="DC530" s="17" t="s">
        <v>151</v>
      </c>
      <c r="DD530" s="16" t="s">
        <v>151</v>
      </c>
      <c r="DE530" s="19">
        <v>1.25</v>
      </c>
      <c r="DF530" s="21">
        <v>97</v>
      </c>
      <c r="DG530" s="19">
        <v>0</v>
      </c>
      <c r="DH530" s="19">
        <v>0</v>
      </c>
      <c r="DI530" s="19">
        <v>0</v>
      </c>
      <c r="DJ530" s="21">
        <v>10</v>
      </c>
      <c r="DK530" s="19" t="s">
        <v>151</v>
      </c>
      <c r="DL530" s="21" t="s">
        <v>151</v>
      </c>
      <c r="DM530" s="19">
        <v>0</v>
      </c>
      <c r="DN530" s="21">
        <v>10</v>
      </c>
      <c r="DO530" s="23">
        <v>2.44</v>
      </c>
      <c r="DP530" s="21">
        <v>71</v>
      </c>
      <c r="DQ530" s="23">
        <v>0</v>
      </c>
      <c r="DR530" s="19">
        <v>0</v>
      </c>
      <c r="DS530" s="23">
        <v>4.42</v>
      </c>
      <c r="DT530" s="21">
        <v>80</v>
      </c>
      <c r="DU530" s="23" t="s">
        <v>151</v>
      </c>
      <c r="DV530" s="21" t="s">
        <v>151</v>
      </c>
      <c r="DW530" s="23">
        <v>4.42</v>
      </c>
      <c r="DX530" s="21">
        <v>80</v>
      </c>
      <c r="DY530" s="18" t="s">
        <v>151</v>
      </c>
      <c r="DZ530" s="22" t="s">
        <v>151</v>
      </c>
      <c r="EA530" s="22" t="s">
        <v>151</v>
      </c>
      <c r="EB530" s="21">
        <v>499</v>
      </c>
      <c r="EC530" s="20">
        <v>-53</v>
      </c>
      <c r="ED530" s="19">
        <v>-9.6</v>
      </c>
      <c r="EE530" s="21">
        <v>84</v>
      </c>
      <c r="EF530" s="20">
        <v>0</v>
      </c>
      <c r="EG530" s="19">
        <v>0</v>
      </c>
      <c r="EH530" s="16" t="s">
        <v>198</v>
      </c>
      <c r="EI530" s="17" t="s">
        <v>151</v>
      </c>
      <c r="EJ530" s="17" t="s">
        <v>151</v>
      </c>
      <c r="EK530" s="18" t="s">
        <v>151</v>
      </c>
      <c r="EL530" s="18" t="s">
        <v>151</v>
      </c>
      <c r="EM530" s="18" t="s">
        <v>151</v>
      </c>
      <c r="EN530" s="18" t="s">
        <v>151</v>
      </c>
      <c r="EO530" s="18" t="s">
        <v>151</v>
      </c>
      <c r="EP530" s="17" t="s">
        <v>151</v>
      </c>
      <c r="EQ530" s="16" t="s">
        <v>151</v>
      </c>
      <c r="ER530" s="16" t="s">
        <v>151</v>
      </c>
      <c r="ES530" s="3">
        <f>HYPERLINK("https://my.pitchbook.com?c=522908-74","View Company Online")</f>
      </c>
    </row>
    <row r="531">
      <c r="A531" s="30" t="s">
        <v>11111</v>
      </c>
      <c r="B531" s="30" t="s">
        <v>11112</v>
      </c>
      <c r="C531" s="31" t="s">
        <v>151</v>
      </c>
      <c r="D531" s="30" t="s">
        <v>151</v>
      </c>
      <c r="E531" s="30" t="s">
        <v>151</v>
      </c>
      <c r="F531" s="30" t="s">
        <v>151</v>
      </c>
      <c r="G531" s="30" t="s">
        <v>151</v>
      </c>
      <c r="H531" s="30" t="s">
        <v>151</v>
      </c>
      <c r="I531" s="30" t="s">
        <v>11113</v>
      </c>
      <c r="J531" s="30" t="s">
        <v>11111</v>
      </c>
      <c r="K531" s="30" t="s">
        <v>11114</v>
      </c>
      <c r="L531" s="30" t="s">
        <v>155</v>
      </c>
      <c r="M531" s="30" t="s">
        <v>2320</v>
      </c>
      <c r="N531" s="30" t="s">
        <v>6367</v>
      </c>
      <c r="O531" s="30" t="s">
        <v>6368</v>
      </c>
      <c r="P531" s="30" t="s">
        <v>11115</v>
      </c>
      <c r="Q531" s="30" t="s">
        <v>11116</v>
      </c>
      <c r="R531" s="30" t="s">
        <v>151</v>
      </c>
      <c r="S531" s="30" t="s">
        <v>162</v>
      </c>
      <c r="T531" s="37">
        <v>20</v>
      </c>
      <c r="U531" s="30" t="s">
        <v>163</v>
      </c>
      <c r="V531" s="30" t="s">
        <v>164</v>
      </c>
      <c r="W531" s="30" t="s">
        <v>165</v>
      </c>
      <c r="X531" s="28" t="s">
        <v>11117</v>
      </c>
      <c r="Y531" s="28" t="s">
        <v>11118</v>
      </c>
      <c r="Z531" s="40">
        <v>24</v>
      </c>
      <c r="AA531" s="30" t="s">
        <v>11119</v>
      </c>
      <c r="AB531" s="30" t="s">
        <v>151</v>
      </c>
      <c r="AC531" s="30" t="s">
        <v>151</v>
      </c>
      <c r="AD531" s="39">
        <v>2018</v>
      </c>
      <c r="AE531" s="30" t="s">
        <v>151</v>
      </c>
      <c r="AF531" s="35">
        <v>45518</v>
      </c>
      <c r="AG531" s="30" t="s">
        <v>151</v>
      </c>
      <c r="AH531" s="30" t="s">
        <v>151</v>
      </c>
      <c r="AI531" s="38" t="s">
        <v>151</v>
      </c>
      <c r="AJ531" s="32" t="s">
        <v>151</v>
      </c>
      <c r="AK531" s="38" t="s">
        <v>151</v>
      </c>
      <c r="AL531" s="38" t="s">
        <v>151</v>
      </c>
      <c r="AM531" s="38" t="s">
        <v>151</v>
      </c>
      <c r="AN531" s="38" t="s">
        <v>151</v>
      </c>
      <c r="AO531" s="38" t="s">
        <v>151</v>
      </c>
      <c r="AP531" s="38" t="s">
        <v>151</v>
      </c>
      <c r="AQ531" s="38" t="s">
        <v>151</v>
      </c>
      <c r="AR531" s="29" t="s">
        <v>151</v>
      </c>
      <c r="AS531" s="30" t="s">
        <v>11120</v>
      </c>
      <c r="AT531" s="30" t="s">
        <v>11121</v>
      </c>
      <c r="AU531" s="31">
        <v>24</v>
      </c>
      <c r="AV531" s="30" t="s">
        <v>151</v>
      </c>
      <c r="AW531" s="30" t="s">
        <v>151</v>
      </c>
      <c r="AX531" s="30" t="s">
        <v>151</v>
      </c>
      <c r="AY531" s="30" t="s">
        <v>11122</v>
      </c>
      <c r="AZ531" s="30" t="s">
        <v>151</v>
      </c>
      <c r="BA531" s="30" t="s">
        <v>151</v>
      </c>
      <c r="BB531" s="30" t="s">
        <v>151</v>
      </c>
      <c r="BC531" s="30" t="s">
        <v>490</v>
      </c>
      <c r="BD531" s="30" t="s">
        <v>11123</v>
      </c>
      <c r="BE531" s="30" t="s">
        <v>11124</v>
      </c>
      <c r="BF531" s="30" t="s">
        <v>221</v>
      </c>
      <c r="BG531" s="30" t="s">
        <v>11125</v>
      </c>
      <c r="BH531" s="30" t="s">
        <v>151</v>
      </c>
      <c r="BI531" s="30" t="s">
        <v>11126</v>
      </c>
      <c r="BJ531" s="30" t="s">
        <v>151</v>
      </c>
      <c r="BK531" s="30" t="s">
        <v>151</v>
      </c>
      <c r="BL531" s="30" t="s">
        <v>11127</v>
      </c>
      <c r="BM531" s="30" t="s">
        <v>823</v>
      </c>
      <c r="BN531" s="29" t="s">
        <v>151</v>
      </c>
      <c r="BO531" s="30" t="s">
        <v>186</v>
      </c>
      <c r="BP531" s="29" t="s">
        <v>151</v>
      </c>
      <c r="BQ531" s="29" t="s">
        <v>151</v>
      </c>
      <c r="BR531" s="30" t="s">
        <v>11128</v>
      </c>
      <c r="BS531" s="30" t="s">
        <v>187</v>
      </c>
      <c r="BT531" s="30" t="s">
        <v>188</v>
      </c>
      <c r="BU531" s="35">
        <v>44431</v>
      </c>
      <c r="BV531" s="37">
        <v>8</v>
      </c>
      <c r="BW531" s="30" t="s">
        <v>192</v>
      </c>
      <c r="BX531" s="37">
        <v>23.52</v>
      </c>
      <c r="BY531" s="30" t="s">
        <v>192</v>
      </c>
      <c r="BZ531" s="30" t="s">
        <v>293</v>
      </c>
      <c r="CA531" s="30" t="s">
        <v>293</v>
      </c>
      <c r="CB531" s="30" t="s">
        <v>151</v>
      </c>
      <c r="CC531" s="30" t="s">
        <v>165</v>
      </c>
      <c r="CD531" s="30" t="s">
        <v>11129</v>
      </c>
      <c r="CE531" s="30" t="s">
        <v>191</v>
      </c>
      <c r="CF531" s="35">
        <v>44784</v>
      </c>
      <c r="CG531" s="37">
        <v>12</v>
      </c>
      <c r="CH531" s="30" t="s">
        <v>192</v>
      </c>
      <c r="CI531" s="37">
        <v>72</v>
      </c>
      <c r="CJ531" s="30" t="s">
        <v>192</v>
      </c>
      <c r="CK531" s="29">
        <v>2.55</v>
      </c>
      <c r="CL531" s="30" t="s">
        <v>231</v>
      </c>
      <c r="CM531" s="30" t="s">
        <v>232</v>
      </c>
      <c r="CN531" s="30" t="s">
        <v>151</v>
      </c>
      <c r="CO531" s="30" t="s">
        <v>165</v>
      </c>
      <c r="CP531" s="35">
        <v>44784</v>
      </c>
      <c r="CQ531" s="37" t="s">
        <v>151</v>
      </c>
      <c r="CR531" s="30" t="s">
        <v>151</v>
      </c>
      <c r="CS531" s="30" t="s">
        <v>191</v>
      </c>
      <c r="CT531" s="29">
        <v>93</v>
      </c>
      <c r="CU531" s="30" t="s">
        <v>196</v>
      </c>
      <c r="CV531" s="32">
        <v>86</v>
      </c>
      <c r="CW531" s="32">
        <v>14</v>
      </c>
      <c r="CX531" s="30" t="s">
        <v>294</v>
      </c>
      <c r="CY531" s="32">
        <v>2</v>
      </c>
      <c r="CZ531" s="32">
        <v>84</v>
      </c>
      <c r="DA531" s="37">
        <v>72</v>
      </c>
      <c r="DB531" s="35">
        <v>44784</v>
      </c>
      <c r="DC531" s="30" t="s">
        <v>231</v>
      </c>
      <c r="DD531" s="29">
        <v>2.55</v>
      </c>
      <c r="DE531" s="32">
        <v>0.12</v>
      </c>
      <c r="DF531" s="34">
        <v>91</v>
      </c>
      <c r="DG531" s="32">
        <v>0</v>
      </c>
      <c r="DH531" s="32">
        <v>0</v>
      </c>
      <c r="DI531" s="32">
        <v>0.12</v>
      </c>
      <c r="DJ531" s="34">
        <v>93</v>
      </c>
      <c r="DK531" s="32" t="s">
        <v>151</v>
      </c>
      <c r="DL531" s="34" t="s">
        <v>151</v>
      </c>
      <c r="DM531" s="32">
        <v>0.12</v>
      </c>
      <c r="DN531" s="34">
        <v>93</v>
      </c>
      <c r="DO531" s="36">
        <v>5.37</v>
      </c>
      <c r="DP531" s="34">
        <v>83</v>
      </c>
      <c r="DQ531" s="36">
        <v>0</v>
      </c>
      <c r="DR531" s="32">
        <v>0</v>
      </c>
      <c r="DS531" s="36">
        <v>5.37</v>
      </c>
      <c r="DT531" s="34">
        <v>83</v>
      </c>
      <c r="DU531" s="36" t="s">
        <v>151</v>
      </c>
      <c r="DV531" s="34" t="s">
        <v>151</v>
      </c>
      <c r="DW531" s="36">
        <v>5.37</v>
      </c>
      <c r="DX531" s="34">
        <v>83</v>
      </c>
      <c r="DY531" s="31" t="s">
        <v>151</v>
      </c>
      <c r="DZ531" s="35" t="s">
        <v>151</v>
      </c>
      <c r="EA531" s="35" t="s">
        <v>151</v>
      </c>
      <c r="EB531" s="34">
        <v>371</v>
      </c>
      <c r="EC531" s="33">
        <v>6</v>
      </c>
      <c r="ED531" s="32">
        <v>1.64</v>
      </c>
      <c r="EE531" s="34">
        <v>102</v>
      </c>
      <c r="EF531" s="33">
        <v>0</v>
      </c>
      <c r="EG531" s="32">
        <v>0</v>
      </c>
      <c r="EH531" s="29" t="s">
        <v>198</v>
      </c>
      <c r="EI531" s="30" t="s">
        <v>151</v>
      </c>
      <c r="EJ531" s="30" t="s">
        <v>151</v>
      </c>
      <c r="EK531" s="31" t="s">
        <v>151</v>
      </c>
      <c r="EL531" s="31" t="s">
        <v>151</v>
      </c>
      <c r="EM531" s="31" t="s">
        <v>151</v>
      </c>
      <c r="EN531" s="31" t="s">
        <v>151</v>
      </c>
      <c r="EO531" s="31" t="s">
        <v>151</v>
      </c>
      <c r="EP531" s="30" t="s">
        <v>151</v>
      </c>
      <c r="EQ531" s="29" t="s">
        <v>151</v>
      </c>
      <c r="ER531" s="29" t="s">
        <v>151</v>
      </c>
      <c r="ES531" s="4">
        <f>HYPERLINK("https://my.pitchbook.com?c=296512-39","View Company Online")</f>
      </c>
    </row>
    <row r="532">
      <c r="A532" s="17" t="s">
        <v>11130</v>
      </c>
      <c r="B532" s="17" t="s">
        <v>11131</v>
      </c>
      <c r="C532" s="18" t="s">
        <v>151</v>
      </c>
      <c r="D532" s="17" t="s">
        <v>11132</v>
      </c>
      <c r="E532" s="17" t="s">
        <v>11133</v>
      </c>
      <c r="F532" s="17" t="s">
        <v>11134</v>
      </c>
      <c r="G532" s="17" t="s">
        <v>151</v>
      </c>
      <c r="H532" s="17" t="s">
        <v>151</v>
      </c>
      <c r="I532" s="17" t="s">
        <v>151</v>
      </c>
      <c r="J532" s="17" t="s">
        <v>11130</v>
      </c>
      <c r="K532" s="17" t="s">
        <v>11135</v>
      </c>
      <c r="L532" s="17" t="s">
        <v>205</v>
      </c>
      <c r="M532" s="17" t="s">
        <v>206</v>
      </c>
      <c r="N532" s="17" t="s">
        <v>269</v>
      </c>
      <c r="O532" s="17" t="s">
        <v>1819</v>
      </c>
      <c r="P532" s="17" t="s">
        <v>151</v>
      </c>
      <c r="Q532" s="17" t="s">
        <v>11136</v>
      </c>
      <c r="R532" s="17" t="s">
        <v>151</v>
      </c>
      <c r="S532" s="17" t="s">
        <v>162</v>
      </c>
      <c r="T532" s="24">
        <v>1.22</v>
      </c>
      <c r="U532" s="17" t="s">
        <v>163</v>
      </c>
      <c r="V532" s="17" t="s">
        <v>164</v>
      </c>
      <c r="W532" s="17" t="s">
        <v>165</v>
      </c>
      <c r="X532" s="15" t="s">
        <v>11137</v>
      </c>
      <c r="Y532" s="15" t="s">
        <v>11138</v>
      </c>
      <c r="Z532" s="27">
        <v>8</v>
      </c>
      <c r="AA532" s="17" t="s">
        <v>11139</v>
      </c>
      <c r="AB532" s="17" t="s">
        <v>151</v>
      </c>
      <c r="AC532" s="17" t="s">
        <v>151</v>
      </c>
      <c r="AD532" s="26">
        <v>2021</v>
      </c>
      <c r="AE532" s="17" t="s">
        <v>151</v>
      </c>
      <c r="AF532" s="22">
        <v>45582</v>
      </c>
      <c r="AG532" s="17" t="s">
        <v>151</v>
      </c>
      <c r="AH532" s="17" t="s">
        <v>151</v>
      </c>
      <c r="AI532" s="25" t="s">
        <v>151</v>
      </c>
      <c r="AJ532" s="19" t="s">
        <v>151</v>
      </c>
      <c r="AK532" s="25" t="s">
        <v>151</v>
      </c>
      <c r="AL532" s="25" t="s">
        <v>151</v>
      </c>
      <c r="AM532" s="25" t="s">
        <v>151</v>
      </c>
      <c r="AN532" s="25" t="s">
        <v>151</v>
      </c>
      <c r="AO532" s="25" t="s">
        <v>151</v>
      </c>
      <c r="AP532" s="25" t="s">
        <v>151</v>
      </c>
      <c r="AQ532" s="25" t="s">
        <v>151</v>
      </c>
      <c r="AR532" s="16" t="s">
        <v>151</v>
      </c>
      <c r="AS532" s="17" t="s">
        <v>11140</v>
      </c>
      <c r="AT532" s="17" t="s">
        <v>11141</v>
      </c>
      <c r="AU532" s="18">
        <v>2</v>
      </c>
      <c r="AV532" s="17" t="s">
        <v>151</v>
      </c>
      <c r="AW532" s="17" t="s">
        <v>151</v>
      </c>
      <c r="AX532" s="17" t="s">
        <v>151</v>
      </c>
      <c r="AY532" s="17" t="s">
        <v>11142</v>
      </c>
      <c r="AZ532" s="17" t="s">
        <v>151</v>
      </c>
      <c r="BA532" s="17" t="s">
        <v>151</v>
      </c>
      <c r="BB532" s="17" t="s">
        <v>151</v>
      </c>
      <c r="BC532" s="17" t="s">
        <v>151</v>
      </c>
      <c r="BD532" s="17" t="s">
        <v>11143</v>
      </c>
      <c r="BE532" s="17" t="s">
        <v>11144</v>
      </c>
      <c r="BF532" s="17" t="s">
        <v>493</v>
      </c>
      <c r="BG532" s="17" t="s">
        <v>151</v>
      </c>
      <c r="BH532" s="17" t="s">
        <v>151</v>
      </c>
      <c r="BI532" s="17" t="s">
        <v>3090</v>
      </c>
      <c r="BJ532" s="17" t="s">
        <v>11145</v>
      </c>
      <c r="BK532" s="17" t="s">
        <v>151</v>
      </c>
      <c r="BL532" s="17" t="s">
        <v>3092</v>
      </c>
      <c r="BM532" s="17" t="s">
        <v>3093</v>
      </c>
      <c r="BN532" s="16" t="s">
        <v>3094</v>
      </c>
      <c r="BO532" s="17" t="s">
        <v>186</v>
      </c>
      <c r="BP532" s="16" t="s">
        <v>151</v>
      </c>
      <c r="BQ532" s="16" t="s">
        <v>151</v>
      </c>
      <c r="BR532" s="17" t="s">
        <v>151</v>
      </c>
      <c r="BS532" s="17" t="s">
        <v>187</v>
      </c>
      <c r="BT532" s="17" t="s">
        <v>188</v>
      </c>
      <c r="BU532" s="22">
        <v>44945</v>
      </c>
      <c r="BV532" s="24">
        <v>0.02</v>
      </c>
      <c r="BW532" s="17" t="s">
        <v>192</v>
      </c>
      <c r="BX532" s="24">
        <v>0.33</v>
      </c>
      <c r="BY532" s="17" t="s">
        <v>192</v>
      </c>
      <c r="BZ532" s="17" t="s">
        <v>189</v>
      </c>
      <c r="CA532" s="17" t="s">
        <v>151</v>
      </c>
      <c r="CB532" s="17" t="s">
        <v>151</v>
      </c>
      <c r="CC532" s="17" t="s">
        <v>190</v>
      </c>
      <c r="CD532" s="17" t="s">
        <v>151</v>
      </c>
      <c r="CE532" s="17" t="s">
        <v>191</v>
      </c>
      <c r="CF532" s="22">
        <v>45379</v>
      </c>
      <c r="CG532" s="24">
        <v>0.4</v>
      </c>
      <c r="CH532" s="17" t="s">
        <v>151</v>
      </c>
      <c r="CI532" s="24" t="s">
        <v>151</v>
      </c>
      <c r="CJ532" s="17" t="s">
        <v>151</v>
      </c>
      <c r="CK532" s="16" t="s">
        <v>151</v>
      </c>
      <c r="CL532" s="17" t="s">
        <v>231</v>
      </c>
      <c r="CM532" s="17" t="s">
        <v>151</v>
      </c>
      <c r="CN532" s="17" t="s">
        <v>151</v>
      </c>
      <c r="CO532" s="17" t="s">
        <v>165</v>
      </c>
      <c r="CP532" s="22">
        <v>45379</v>
      </c>
      <c r="CQ532" s="24" t="s">
        <v>151</v>
      </c>
      <c r="CR532" s="17" t="s">
        <v>151</v>
      </c>
      <c r="CS532" s="17" t="s">
        <v>859</v>
      </c>
      <c r="CT532" s="16" t="s">
        <v>151</v>
      </c>
      <c r="CU532" s="17" t="s">
        <v>151</v>
      </c>
      <c r="CV532" s="19" t="s">
        <v>151</v>
      </c>
      <c r="CW532" s="19" t="s">
        <v>151</v>
      </c>
      <c r="CX532" s="17" t="s">
        <v>151</v>
      </c>
      <c r="CY532" s="19" t="s">
        <v>151</v>
      </c>
      <c r="CZ532" s="19" t="s">
        <v>151</v>
      </c>
      <c r="DA532" s="24">
        <v>0.33</v>
      </c>
      <c r="DB532" s="22">
        <v>44945</v>
      </c>
      <c r="DC532" s="17" t="s">
        <v>189</v>
      </c>
      <c r="DD532" s="16" t="s">
        <v>151</v>
      </c>
      <c r="DE532" s="19">
        <v>-1.39</v>
      </c>
      <c r="DF532" s="21">
        <v>3</v>
      </c>
      <c r="DG532" s="19">
        <v>0</v>
      </c>
      <c r="DH532" s="19">
        <v>0</v>
      </c>
      <c r="DI532" s="19" t="s">
        <v>151</v>
      </c>
      <c r="DJ532" s="21" t="s">
        <v>151</v>
      </c>
      <c r="DK532" s="19" t="s">
        <v>151</v>
      </c>
      <c r="DL532" s="21" t="s">
        <v>151</v>
      </c>
      <c r="DM532" s="19" t="s">
        <v>151</v>
      </c>
      <c r="DN532" s="21" t="s">
        <v>151</v>
      </c>
      <c r="DO532" s="23">
        <v>0.62</v>
      </c>
      <c r="DP532" s="21">
        <v>38</v>
      </c>
      <c r="DQ532" s="23">
        <v>0</v>
      </c>
      <c r="DR532" s="19">
        <v>0</v>
      </c>
      <c r="DS532" s="23" t="s">
        <v>151</v>
      </c>
      <c r="DT532" s="21" t="s">
        <v>151</v>
      </c>
      <c r="DU532" s="23" t="s">
        <v>151</v>
      </c>
      <c r="DV532" s="21" t="s">
        <v>151</v>
      </c>
      <c r="DW532" s="23" t="s">
        <v>151</v>
      </c>
      <c r="DX532" s="21" t="s">
        <v>151</v>
      </c>
      <c r="DY532" s="18" t="s">
        <v>151</v>
      </c>
      <c r="DZ532" s="22" t="s">
        <v>151</v>
      </c>
      <c r="EA532" s="22" t="s">
        <v>151</v>
      </c>
      <c r="EB532" s="21" t="s">
        <v>151</v>
      </c>
      <c r="EC532" s="20" t="s">
        <v>151</v>
      </c>
      <c r="ED532" s="19" t="s">
        <v>151</v>
      </c>
      <c r="EE532" s="21" t="s">
        <v>151</v>
      </c>
      <c r="EF532" s="20" t="s">
        <v>151</v>
      </c>
      <c r="EG532" s="19" t="s">
        <v>151</v>
      </c>
      <c r="EH532" s="16" t="s">
        <v>198</v>
      </c>
      <c r="EI532" s="17" t="s">
        <v>151</v>
      </c>
      <c r="EJ532" s="17" t="s">
        <v>151</v>
      </c>
      <c r="EK532" s="18" t="s">
        <v>151</v>
      </c>
      <c r="EL532" s="18" t="s">
        <v>151</v>
      </c>
      <c r="EM532" s="18" t="s">
        <v>151</v>
      </c>
      <c r="EN532" s="18" t="s">
        <v>151</v>
      </c>
      <c r="EO532" s="18" t="s">
        <v>151</v>
      </c>
      <c r="EP532" s="17" t="s">
        <v>151</v>
      </c>
      <c r="EQ532" s="16" t="s">
        <v>151</v>
      </c>
      <c r="ER532" s="16" t="s">
        <v>151</v>
      </c>
      <c r="ES532" s="3">
        <f>HYPERLINK("https://my.pitchbook.com?c=520584-85","View Company Online")</f>
      </c>
    </row>
    <row r="533">
      <c r="A533" s="30" t="s">
        <v>11146</v>
      </c>
      <c r="B533" s="30" t="s">
        <v>11147</v>
      </c>
      <c r="C533" s="31" t="s">
        <v>151</v>
      </c>
      <c r="D533" s="30" t="s">
        <v>151</v>
      </c>
      <c r="E533" s="30" t="s">
        <v>11148</v>
      </c>
      <c r="F533" s="30" t="s">
        <v>11149</v>
      </c>
      <c r="G533" s="30" t="s">
        <v>151</v>
      </c>
      <c r="H533" s="30" t="s">
        <v>151</v>
      </c>
      <c r="I533" s="30" t="s">
        <v>11150</v>
      </c>
      <c r="J533" s="30" t="s">
        <v>11146</v>
      </c>
      <c r="K533" s="30" t="s">
        <v>11151</v>
      </c>
      <c r="L533" s="30" t="s">
        <v>205</v>
      </c>
      <c r="M533" s="30" t="s">
        <v>206</v>
      </c>
      <c r="N533" s="30" t="s">
        <v>917</v>
      </c>
      <c r="O533" s="30" t="s">
        <v>11152</v>
      </c>
      <c r="P533" s="30" t="s">
        <v>11153</v>
      </c>
      <c r="Q533" s="30" t="s">
        <v>11154</v>
      </c>
      <c r="R533" s="30" t="s">
        <v>151</v>
      </c>
      <c r="S533" s="30" t="s">
        <v>162</v>
      </c>
      <c r="T533" s="37">
        <v>3.5</v>
      </c>
      <c r="U533" s="30" t="s">
        <v>163</v>
      </c>
      <c r="V533" s="30" t="s">
        <v>164</v>
      </c>
      <c r="W533" s="30" t="s">
        <v>165</v>
      </c>
      <c r="X533" s="28" t="s">
        <v>11155</v>
      </c>
      <c r="Y533" s="28" t="s">
        <v>151</v>
      </c>
      <c r="Z533" s="40">
        <v>27</v>
      </c>
      <c r="AA533" s="30" t="s">
        <v>11156</v>
      </c>
      <c r="AB533" s="30" t="s">
        <v>151</v>
      </c>
      <c r="AC533" s="30" t="s">
        <v>151</v>
      </c>
      <c r="AD533" s="39">
        <v>2019</v>
      </c>
      <c r="AE533" s="30" t="s">
        <v>151</v>
      </c>
      <c r="AF533" s="35">
        <v>45439</v>
      </c>
      <c r="AG533" s="30" t="s">
        <v>151</v>
      </c>
      <c r="AH533" s="30" t="s">
        <v>151</v>
      </c>
      <c r="AI533" s="38" t="s">
        <v>151</v>
      </c>
      <c r="AJ533" s="32" t="s">
        <v>151</v>
      </c>
      <c r="AK533" s="38" t="s">
        <v>151</v>
      </c>
      <c r="AL533" s="38" t="s">
        <v>151</v>
      </c>
      <c r="AM533" s="38" t="s">
        <v>151</v>
      </c>
      <c r="AN533" s="38" t="s">
        <v>151</v>
      </c>
      <c r="AO533" s="38" t="s">
        <v>151</v>
      </c>
      <c r="AP533" s="38" t="s">
        <v>151</v>
      </c>
      <c r="AQ533" s="38" t="s">
        <v>151</v>
      </c>
      <c r="AR533" s="29" t="s">
        <v>151</v>
      </c>
      <c r="AS533" s="30" t="s">
        <v>11157</v>
      </c>
      <c r="AT533" s="30" t="s">
        <v>11158</v>
      </c>
      <c r="AU533" s="31">
        <v>13</v>
      </c>
      <c r="AV533" s="30" t="s">
        <v>151</v>
      </c>
      <c r="AW533" s="30" t="s">
        <v>151</v>
      </c>
      <c r="AX533" s="30" t="s">
        <v>151</v>
      </c>
      <c r="AY533" s="30" t="s">
        <v>11159</v>
      </c>
      <c r="AZ533" s="30" t="s">
        <v>151</v>
      </c>
      <c r="BA533" s="30" t="s">
        <v>151</v>
      </c>
      <c r="BB533" s="30" t="s">
        <v>151</v>
      </c>
      <c r="BC533" s="30" t="s">
        <v>490</v>
      </c>
      <c r="BD533" s="30" t="s">
        <v>11160</v>
      </c>
      <c r="BE533" s="30" t="s">
        <v>11161</v>
      </c>
      <c r="BF533" s="30" t="s">
        <v>221</v>
      </c>
      <c r="BG533" s="30" t="s">
        <v>11162</v>
      </c>
      <c r="BH533" s="30" t="s">
        <v>151</v>
      </c>
      <c r="BI533" s="30" t="s">
        <v>764</v>
      </c>
      <c r="BJ533" s="30" t="s">
        <v>11163</v>
      </c>
      <c r="BK533" s="30" t="s">
        <v>11164</v>
      </c>
      <c r="BL533" s="30" t="s">
        <v>767</v>
      </c>
      <c r="BM533" s="30" t="s">
        <v>184</v>
      </c>
      <c r="BN533" s="29" t="s">
        <v>7281</v>
      </c>
      <c r="BO533" s="30" t="s">
        <v>186</v>
      </c>
      <c r="BP533" s="29" t="s">
        <v>151</v>
      </c>
      <c r="BQ533" s="29" t="s">
        <v>151</v>
      </c>
      <c r="BR533" s="30" t="s">
        <v>11165</v>
      </c>
      <c r="BS533" s="30" t="s">
        <v>187</v>
      </c>
      <c r="BT533" s="30" t="s">
        <v>188</v>
      </c>
      <c r="BU533" s="35">
        <v>44253</v>
      </c>
      <c r="BV533" s="37">
        <v>3.5</v>
      </c>
      <c r="BW533" s="30" t="s">
        <v>192</v>
      </c>
      <c r="BX533" s="37" t="s">
        <v>151</v>
      </c>
      <c r="BY533" s="30" t="s">
        <v>151</v>
      </c>
      <c r="BZ533" s="30" t="s">
        <v>293</v>
      </c>
      <c r="CA533" s="30" t="s">
        <v>293</v>
      </c>
      <c r="CB533" s="30" t="s">
        <v>151</v>
      </c>
      <c r="CC533" s="30" t="s">
        <v>165</v>
      </c>
      <c r="CD533" s="30" t="s">
        <v>151</v>
      </c>
      <c r="CE533" s="30" t="s">
        <v>191</v>
      </c>
      <c r="CF533" s="35">
        <v>44253</v>
      </c>
      <c r="CG533" s="37">
        <v>3.5</v>
      </c>
      <c r="CH533" s="30" t="s">
        <v>192</v>
      </c>
      <c r="CI533" s="37" t="s">
        <v>151</v>
      </c>
      <c r="CJ533" s="30" t="s">
        <v>151</v>
      </c>
      <c r="CK533" s="29" t="s">
        <v>151</v>
      </c>
      <c r="CL533" s="30" t="s">
        <v>293</v>
      </c>
      <c r="CM533" s="30" t="s">
        <v>293</v>
      </c>
      <c r="CN533" s="30" t="s">
        <v>151</v>
      </c>
      <c r="CO533" s="30" t="s">
        <v>165</v>
      </c>
      <c r="CP533" s="35">
        <v>44253</v>
      </c>
      <c r="CQ533" s="37" t="s">
        <v>151</v>
      </c>
      <c r="CR533" s="30" t="s">
        <v>151</v>
      </c>
      <c r="CS533" s="30" t="s">
        <v>191</v>
      </c>
      <c r="CT533" s="29" t="s">
        <v>151</v>
      </c>
      <c r="CU533" s="30" t="s">
        <v>151</v>
      </c>
      <c r="CV533" s="32" t="s">
        <v>151</v>
      </c>
      <c r="CW533" s="32" t="s">
        <v>151</v>
      </c>
      <c r="CX533" s="30" t="s">
        <v>151</v>
      </c>
      <c r="CY533" s="32" t="s">
        <v>151</v>
      </c>
      <c r="CZ533" s="32" t="s">
        <v>151</v>
      </c>
      <c r="DA533" s="37" t="s">
        <v>151</v>
      </c>
      <c r="DB533" s="35" t="s">
        <v>151</v>
      </c>
      <c r="DC533" s="30" t="s">
        <v>151</v>
      </c>
      <c r="DD533" s="29" t="s">
        <v>151</v>
      </c>
      <c r="DE533" s="32">
        <v>0</v>
      </c>
      <c r="DF533" s="34">
        <v>11</v>
      </c>
      <c r="DG533" s="32">
        <v>0</v>
      </c>
      <c r="DH533" s="32">
        <v>0</v>
      </c>
      <c r="DI533" s="32">
        <v>0</v>
      </c>
      <c r="DJ533" s="34">
        <v>10</v>
      </c>
      <c r="DK533" s="32" t="s">
        <v>151</v>
      </c>
      <c r="DL533" s="34" t="s">
        <v>151</v>
      </c>
      <c r="DM533" s="32">
        <v>0</v>
      </c>
      <c r="DN533" s="34">
        <v>10</v>
      </c>
      <c r="DO533" s="36">
        <v>0.58</v>
      </c>
      <c r="DP533" s="34">
        <v>36</v>
      </c>
      <c r="DQ533" s="36">
        <v>0</v>
      </c>
      <c r="DR533" s="32">
        <v>0</v>
      </c>
      <c r="DS533" s="36">
        <v>0.58</v>
      </c>
      <c r="DT533" s="34">
        <v>36</v>
      </c>
      <c r="DU533" s="36" t="s">
        <v>151</v>
      </c>
      <c r="DV533" s="34" t="s">
        <v>151</v>
      </c>
      <c r="DW533" s="36">
        <v>0.58</v>
      </c>
      <c r="DX533" s="34">
        <v>36</v>
      </c>
      <c r="DY533" s="31" t="s">
        <v>151</v>
      </c>
      <c r="DZ533" s="35" t="s">
        <v>151</v>
      </c>
      <c r="EA533" s="35" t="s">
        <v>151</v>
      </c>
      <c r="EB533" s="34">
        <v>128</v>
      </c>
      <c r="EC533" s="33">
        <v>-50</v>
      </c>
      <c r="ED533" s="32">
        <v>-28.09</v>
      </c>
      <c r="EE533" s="34">
        <v>11</v>
      </c>
      <c r="EF533" s="33">
        <v>0</v>
      </c>
      <c r="EG533" s="32">
        <v>0</v>
      </c>
      <c r="EH533" s="29" t="s">
        <v>198</v>
      </c>
      <c r="EI533" s="30" t="s">
        <v>151</v>
      </c>
      <c r="EJ533" s="30" t="s">
        <v>151</v>
      </c>
      <c r="EK533" s="31" t="s">
        <v>151</v>
      </c>
      <c r="EL533" s="31" t="s">
        <v>151</v>
      </c>
      <c r="EM533" s="31" t="s">
        <v>151</v>
      </c>
      <c r="EN533" s="31" t="s">
        <v>151</v>
      </c>
      <c r="EO533" s="31" t="s">
        <v>151</v>
      </c>
      <c r="EP533" s="30" t="s">
        <v>151</v>
      </c>
      <c r="EQ533" s="29" t="s">
        <v>151</v>
      </c>
      <c r="ER533" s="29" t="s">
        <v>151</v>
      </c>
      <c r="ES533" s="4">
        <f>HYPERLINK("https://my.pitchbook.com?c=454915-81","View Company Online")</f>
      </c>
    </row>
    <row r="534">
      <c r="A534" s="17" t="s">
        <v>11166</v>
      </c>
      <c r="B534" s="17" t="s">
        <v>11167</v>
      </c>
      <c r="C534" s="18" t="s">
        <v>151</v>
      </c>
      <c r="D534" s="17" t="s">
        <v>151</v>
      </c>
      <c r="E534" s="17" t="s">
        <v>151</v>
      </c>
      <c r="F534" s="17" t="s">
        <v>11168</v>
      </c>
      <c r="G534" s="17" t="s">
        <v>151</v>
      </c>
      <c r="H534" s="17" t="s">
        <v>151</v>
      </c>
      <c r="I534" s="17" t="s">
        <v>151</v>
      </c>
      <c r="J534" s="17" t="s">
        <v>11166</v>
      </c>
      <c r="K534" s="17" t="s">
        <v>11169</v>
      </c>
      <c r="L534" s="17" t="s">
        <v>205</v>
      </c>
      <c r="M534" s="17" t="s">
        <v>206</v>
      </c>
      <c r="N534" s="17" t="s">
        <v>269</v>
      </c>
      <c r="O534" s="17" t="s">
        <v>865</v>
      </c>
      <c r="P534" s="17" t="s">
        <v>1153</v>
      </c>
      <c r="Q534" s="17" t="s">
        <v>11170</v>
      </c>
      <c r="R534" s="17" t="s">
        <v>151</v>
      </c>
      <c r="S534" s="17" t="s">
        <v>162</v>
      </c>
      <c r="T534" s="24">
        <v>4</v>
      </c>
      <c r="U534" s="17" t="s">
        <v>163</v>
      </c>
      <c r="V534" s="17" t="s">
        <v>164</v>
      </c>
      <c r="W534" s="17" t="s">
        <v>165</v>
      </c>
      <c r="X534" s="15" t="s">
        <v>11171</v>
      </c>
      <c r="Y534" s="15" t="s">
        <v>11172</v>
      </c>
      <c r="Z534" s="27">
        <v>12</v>
      </c>
      <c r="AA534" s="17" t="s">
        <v>11173</v>
      </c>
      <c r="AB534" s="17" t="s">
        <v>151</v>
      </c>
      <c r="AC534" s="17" t="s">
        <v>151</v>
      </c>
      <c r="AD534" s="26">
        <v>2020</v>
      </c>
      <c r="AE534" s="17" t="s">
        <v>151</v>
      </c>
      <c r="AF534" s="22">
        <v>45574</v>
      </c>
      <c r="AG534" s="17" t="s">
        <v>151</v>
      </c>
      <c r="AH534" s="17" t="s">
        <v>151</v>
      </c>
      <c r="AI534" s="25" t="s">
        <v>151</v>
      </c>
      <c r="AJ534" s="19" t="s">
        <v>151</v>
      </c>
      <c r="AK534" s="25" t="s">
        <v>151</v>
      </c>
      <c r="AL534" s="25" t="s">
        <v>151</v>
      </c>
      <c r="AM534" s="25" t="s">
        <v>151</v>
      </c>
      <c r="AN534" s="25" t="s">
        <v>151</v>
      </c>
      <c r="AO534" s="25" t="s">
        <v>151</v>
      </c>
      <c r="AP534" s="25" t="s">
        <v>151</v>
      </c>
      <c r="AQ534" s="25" t="s">
        <v>151</v>
      </c>
      <c r="AR534" s="16" t="s">
        <v>151</v>
      </c>
      <c r="AS534" s="17" t="s">
        <v>11174</v>
      </c>
      <c r="AT534" s="17" t="s">
        <v>11175</v>
      </c>
      <c r="AU534" s="18">
        <v>3</v>
      </c>
      <c r="AV534" s="17" t="s">
        <v>151</v>
      </c>
      <c r="AW534" s="17" t="s">
        <v>151</v>
      </c>
      <c r="AX534" s="17" t="s">
        <v>151</v>
      </c>
      <c r="AY534" s="17" t="s">
        <v>11176</v>
      </c>
      <c r="AZ534" s="17" t="s">
        <v>151</v>
      </c>
      <c r="BA534" s="17" t="s">
        <v>151</v>
      </c>
      <c r="BB534" s="17" t="s">
        <v>2424</v>
      </c>
      <c r="BC534" s="17" t="s">
        <v>151</v>
      </c>
      <c r="BD534" s="17" t="s">
        <v>11177</v>
      </c>
      <c r="BE534" s="17" t="s">
        <v>11178</v>
      </c>
      <c r="BF534" s="17" t="s">
        <v>403</v>
      </c>
      <c r="BG534" s="17" t="s">
        <v>151</v>
      </c>
      <c r="BH534" s="17" t="s">
        <v>11179</v>
      </c>
      <c r="BI534" s="17" t="s">
        <v>181</v>
      </c>
      <c r="BJ534" s="17" t="s">
        <v>11180</v>
      </c>
      <c r="BK534" s="17" t="s">
        <v>11181</v>
      </c>
      <c r="BL534" s="17" t="s">
        <v>183</v>
      </c>
      <c r="BM534" s="17" t="s">
        <v>184</v>
      </c>
      <c r="BN534" s="16" t="s">
        <v>2454</v>
      </c>
      <c r="BO534" s="17" t="s">
        <v>186</v>
      </c>
      <c r="BP534" s="16" t="s">
        <v>11179</v>
      </c>
      <c r="BQ534" s="16" t="s">
        <v>151</v>
      </c>
      <c r="BR534" s="17" t="s">
        <v>11182</v>
      </c>
      <c r="BS534" s="17" t="s">
        <v>187</v>
      </c>
      <c r="BT534" s="17" t="s">
        <v>188</v>
      </c>
      <c r="BU534" s="22">
        <v>44033</v>
      </c>
      <c r="BV534" s="24">
        <v>4</v>
      </c>
      <c r="BW534" s="17" t="s">
        <v>192</v>
      </c>
      <c r="BX534" s="24">
        <v>12.5</v>
      </c>
      <c r="BY534" s="17" t="s">
        <v>192</v>
      </c>
      <c r="BZ534" s="17" t="s">
        <v>293</v>
      </c>
      <c r="CA534" s="17" t="s">
        <v>293</v>
      </c>
      <c r="CB534" s="17" t="s">
        <v>151</v>
      </c>
      <c r="CC534" s="17" t="s">
        <v>165</v>
      </c>
      <c r="CD534" s="17" t="s">
        <v>151</v>
      </c>
      <c r="CE534" s="17" t="s">
        <v>191</v>
      </c>
      <c r="CF534" s="22">
        <v>44033</v>
      </c>
      <c r="CG534" s="24">
        <v>4</v>
      </c>
      <c r="CH534" s="17" t="s">
        <v>192</v>
      </c>
      <c r="CI534" s="24">
        <v>12.5</v>
      </c>
      <c r="CJ534" s="17" t="s">
        <v>192</v>
      </c>
      <c r="CK534" s="16" t="s">
        <v>151</v>
      </c>
      <c r="CL534" s="17" t="s">
        <v>293</v>
      </c>
      <c r="CM534" s="17" t="s">
        <v>293</v>
      </c>
      <c r="CN534" s="17" t="s">
        <v>151</v>
      </c>
      <c r="CO534" s="17" t="s">
        <v>165</v>
      </c>
      <c r="CP534" s="22">
        <v>44033</v>
      </c>
      <c r="CQ534" s="24" t="s">
        <v>151</v>
      </c>
      <c r="CR534" s="17" t="s">
        <v>151</v>
      </c>
      <c r="CS534" s="17" t="s">
        <v>191</v>
      </c>
      <c r="CT534" s="16" t="s">
        <v>151</v>
      </c>
      <c r="CU534" s="17" t="s">
        <v>151</v>
      </c>
      <c r="CV534" s="19" t="s">
        <v>151</v>
      </c>
      <c r="CW534" s="19" t="s">
        <v>151</v>
      </c>
      <c r="CX534" s="17" t="s">
        <v>151</v>
      </c>
      <c r="CY534" s="19" t="s">
        <v>151</v>
      </c>
      <c r="CZ534" s="19" t="s">
        <v>151</v>
      </c>
      <c r="DA534" s="24">
        <v>12.5</v>
      </c>
      <c r="DB534" s="22">
        <v>44033</v>
      </c>
      <c r="DC534" s="17" t="s">
        <v>293</v>
      </c>
      <c r="DD534" s="16" t="s">
        <v>151</v>
      </c>
      <c r="DE534" s="19">
        <v>0</v>
      </c>
      <c r="DF534" s="21">
        <v>11</v>
      </c>
      <c r="DG534" s="19">
        <v>0</v>
      </c>
      <c r="DH534" s="19">
        <v>0</v>
      </c>
      <c r="DI534" s="19">
        <v>0</v>
      </c>
      <c r="DJ534" s="21">
        <v>10</v>
      </c>
      <c r="DK534" s="19" t="s">
        <v>151</v>
      </c>
      <c r="DL534" s="21" t="s">
        <v>151</v>
      </c>
      <c r="DM534" s="19">
        <v>0</v>
      </c>
      <c r="DN534" s="21">
        <v>10</v>
      </c>
      <c r="DO534" s="23">
        <v>1.88</v>
      </c>
      <c r="DP534" s="21">
        <v>65</v>
      </c>
      <c r="DQ534" s="23">
        <v>0</v>
      </c>
      <c r="DR534" s="19">
        <v>0</v>
      </c>
      <c r="DS534" s="23">
        <v>2.84</v>
      </c>
      <c r="DT534" s="21">
        <v>73</v>
      </c>
      <c r="DU534" s="23" t="s">
        <v>151</v>
      </c>
      <c r="DV534" s="21" t="s">
        <v>151</v>
      </c>
      <c r="DW534" s="23">
        <v>2.84</v>
      </c>
      <c r="DX534" s="21">
        <v>73</v>
      </c>
      <c r="DY534" s="18" t="s">
        <v>151</v>
      </c>
      <c r="DZ534" s="22" t="s">
        <v>151</v>
      </c>
      <c r="EA534" s="22" t="s">
        <v>151</v>
      </c>
      <c r="EB534" s="21">
        <v>726</v>
      </c>
      <c r="EC534" s="20">
        <v>29</v>
      </c>
      <c r="ED534" s="19">
        <v>4.16</v>
      </c>
      <c r="EE534" s="21">
        <v>54</v>
      </c>
      <c r="EF534" s="20">
        <v>0</v>
      </c>
      <c r="EG534" s="19">
        <v>0</v>
      </c>
      <c r="EH534" s="16" t="s">
        <v>198</v>
      </c>
      <c r="EI534" s="17" t="s">
        <v>151</v>
      </c>
      <c r="EJ534" s="17" t="s">
        <v>151</v>
      </c>
      <c r="EK534" s="18" t="s">
        <v>151</v>
      </c>
      <c r="EL534" s="18" t="s">
        <v>151</v>
      </c>
      <c r="EM534" s="18" t="s">
        <v>151</v>
      </c>
      <c r="EN534" s="18" t="s">
        <v>151</v>
      </c>
      <c r="EO534" s="18" t="s">
        <v>151</v>
      </c>
      <c r="EP534" s="17" t="s">
        <v>151</v>
      </c>
      <c r="EQ534" s="16" t="s">
        <v>151</v>
      </c>
      <c r="ER534" s="16" t="s">
        <v>151</v>
      </c>
      <c r="ES534" s="3">
        <f>HYPERLINK("https://my.pitchbook.com?c=439240-60","View Company Online")</f>
      </c>
    </row>
    <row r="535">
      <c r="A535" s="30" t="s">
        <v>11183</v>
      </c>
      <c r="B535" s="30" t="s">
        <v>11184</v>
      </c>
      <c r="C535" s="31" t="s">
        <v>151</v>
      </c>
      <c r="D535" s="30" t="s">
        <v>151</v>
      </c>
      <c r="E535" s="30" t="s">
        <v>151</v>
      </c>
      <c r="F535" s="30" t="s">
        <v>11185</v>
      </c>
      <c r="G535" s="30" t="s">
        <v>151</v>
      </c>
      <c r="H535" s="30" t="s">
        <v>151</v>
      </c>
      <c r="I535" s="30" t="s">
        <v>151</v>
      </c>
      <c r="J535" s="30" t="s">
        <v>11183</v>
      </c>
      <c r="K535" s="30" t="s">
        <v>11186</v>
      </c>
      <c r="L535" s="30" t="s">
        <v>205</v>
      </c>
      <c r="M535" s="30" t="s">
        <v>206</v>
      </c>
      <c r="N535" s="30" t="s">
        <v>1268</v>
      </c>
      <c r="O535" s="30" t="s">
        <v>2129</v>
      </c>
      <c r="P535" s="30" t="s">
        <v>209</v>
      </c>
      <c r="Q535" s="30" t="s">
        <v>11187</v>
      </c>
      <c r="R535" s="30" t="s">
        <v>151</v>
      </c>
      <c r="S535" s="30" t="s">
        <v>162</v>
      </c>
      <c r="T535" s="37">
        <v>32.08</v>
      </c>
      <c r="U535" s="30" t="s">
        <v>163</v>
      </c>
      <c r="V535" s="30" t="s">
        <v>164</v>
      </c>
      <c r="W535" s="30" t="s">
        <v>165</v>
      </c>
      <c r="X535" s="28" t="s">
        <v>11188</v>
      </c>
      <c r="Y535" s="28" t="s">
        <v>11189</v>
      </c>
      <c r="Z535" s="40">
        <v>19</v>
      </c>
      <c r="AA535" s="30" t="s">
        <v>11190</v>
      </c>
      <c r="AB535" s="30" t="s">
        <v>151</v>
      </c>
      <c r="AC535" s="30" t="s">
        <v>151</v>
      </c>
      <c r="AD535" s="39">
        <v>2018</v>
      </c>
      <c r="AE535" s="30" t="s">
        <v>151</v>
      </c>
      <c r="AF535" s="35">
        <v>45559</v>
      </c>
      <c r="AG535" s="30" t="s">
        <v>151</v>
      </c>
      <c r="AH535" s="30" t="s">
        <v>151</v>
      </c>
      <c r="AI535" s="38" t="s">
        <v>151</v>
      </c>
      <c r="AJ535" s="32" t="s">
        <v>151</v>
      </c>
      <c r="AK535" s="38" t="s">
        <v>151</v>
      </c>
      <c r="AL535" s="38" t="s">
        <v>151</v>
      </c>
      <c r="AM535" s="38" t="s">
        <v>151</v>
      </c>
      <c r="AN535" s="38" t="s">
        <v>151</v>
      </c>
      <c r="AO535" s="38" t="s">
        <v>151</v>
      </c>
      <c r="AP535" s="38" t="s">
        <v>151</v>
      </c>
      <c r="AQ535" s="38" t="s">
        <v>151</v>
      </c>
      <c r="AR535" s="29" t="s">
        <v>151</v>
      </c>
      <c r="AS535" s="30" t="s">
        <v>11191</v>
      </c>
      <c r="AT535" s="30" t="s">
        <v>11192</v>
      </c>
      <c r="AU535" s="31">
        <v>19</v>
      </c>
      <c r="AV535" s="30" t="s">
        <v>151</v>
      </c>
      <c r="AW535" s="30" t="s">
        <v>11193</v>
      </c>
      <c r="AX535" s="30" t="s">
        <v>151</v>
      </c>
      <c r="AY535" s="30" t="s">
        <v>11194</v>
      </c>
      <c r="AZ535" s="30" t="s">
        <v>11195</v>
      </c>
      <c r="BA535" s="30" t="s">
        <v>151</v>
      </c>
      <c r="BB535" s="30" t="s">
        <v>151</v>
      </c>
      <c r="BC535" s="30" t="s">
        <v>151</v>
      </c>
      <c r="BD535" s="30" t="s">
        <v>11196</v>
      </c>
      <c r="BE535" s="30" t="s">
        <v>11197</v>
      </c>
      <c r="BF535" s="30" t="s">
        <v>403</v>
      </c>
      <c r="BG535" s="30" t="s">
        <v>11198</v>
      </c>
      <c r="BH535" s="30" t="s">
        <v>151</v>
      </c>
      <c r="BI535" s="30" t="s">
        <v>764</v>
      </c>
      <c r="BJ535" s="30" t="s">
        <v>11199</v>
      </c>
      <c r="BK535" s="30" t="s">
        <v>11200</v>
      </c>
      <c r="BL535" s="30" t="s">
        <v>767</v>
      </c>
      <c r="BM535" s="30" t="s">
        <v>184</v>
      </c>
      <c r="BN535" s="29" t="s">
        <v>1260</v>
      </c>
      <c r="BO535" s="30" t="s">
        <v>186</v>
      </c>
      <c r="BP535" s="29" t="s">
        <v>151</v>
      </c>
      <c r="BQ535" s="29" t="s">
        <v>151</v>
      </c>
      <c r="BR535" s="30" t="s">
        <v>11201</v>
      </c>
      <c r="BS535" s="30" t="s">
        <v>187</v>
      </c>
      <c r="BT535" s="30" t="s">
        <v>188</v>
      </c>
      <c r="BU535" s="35">
        <v>43895</v>
      </c>
      <c r="BV535" s="37">
        <v>4.48</v>
      </c>
      <c r="BW535" s="30" t="s">
        <v>192</v>
      </c>
      <c r="BX535" s="37">
        <v>29.48</v>
      </c>
      <c r="BY535" s="30" t="s">
        <v>192</v>
      </c>
      <c r="BZ535" s="30" t="s">
        <v>293</v>
      </c>
      <c r="CA535" s="30" t="s">
        <v>293</v>
      </c>
      <c r="CB535" s="30" t="s">
        <v>151</v>
      </c>
      <c r="CC535" s="30" t="s">
        <v>165</v>
      </c>
      <c r="CD535" s="30" t="s">
        <v>151</v>
      </c>
      <c r="CE535" s="30" t="s">
        <v>191</v>
      </c>
      <c r="CF535" s="35" t="s">
        <v>151</v>
      </c>
      <c r="CG535" s="37" t="s">
        <v>151</v>
      </c>
      <c r="CH535" s="30" t="s">
        <v>151</v>
      </c>
      <c r="CI535" s="37" t="s">
        <v>151</v>
      </c>
      <c r="CJ535" s="30" t="s">
        <v>151</v>
      </c>
      <c r="CK535" s="29">
        <v>4.21</v>
      </c>
      <c r="CL535" s="30" t="s">
        <v>911</v>
      </c>
      <c r="CM535" s="30" t="s">
        <v>151</v>
      </c>
      <c r="CN535" s="30" t="s">
        <v>151</v>
      </c>
      <c r="CO535" s="30" t="s">
        <v>165</v>
      </c>
      <c r="CP535" s="35" t="s">
        <v>151</v>
      </c>
      <c r="CQ535" s="37" t="s">
        <v>151</v>
      </c>
      <c r="CR535" s="30" t="s">
        <v>151</v>
      </c>
      <c r="CS535" s="30" t="s">
        <v>191</v>
      </c>
      <c r="CT535" s="29">
        <v>83</v>
      </c>
      <c r="CU535" s="30" t="s">
        <v>196</v>
      </c>
      <c r="CV535" s="32">
        <v>75</v>
      </c>
      <c r="CW535" s="32">
        <v>25</v>
      </c>
      <c r="CX535" s="30" t="s">
        <v>294</v>
      </c>
      <c r="CY535" s="32">
        <v>3</v>
      </c>
      <c r="CZ535" s="32">
        <v>72</v>
      </c>
      <c r="DA535" s="37">
        <v>151.6</v>
      </c>
      <c r="DB535" s="35">
        <v>44530</v>
      </c>
      <c r="DC535" s="30" t="s">
        <v>231</v>
      </c>
      <c r="DD535" s="29">
        <v>4.21</v>
      </c>
      <c r="DE535" s="32">
        <v>0.1</v>
      </c>
      <c r="DF535" s="34">
        <v>90</v>
      </c>
      <c r="DG535" s="32">
        <v>0</v>
      </c>
      <c r="DH535" s="32">
        <v>0</v>
      </c>
      <c r="DI535" s="32">
        <v>0.1</v>
      </c>
      <c r="DJ535" s="34">
        <v>92</v>
      </c>
      <c r="DK535" s="32" t="s">
        <v>151</v>
      </c>
      <c r="DL535" s="34" t="s">
        <v>151</v>
      </c>
      <c r="DM535" s="32">
        <v>0.1</v>
      </c>
      <c r="DN535" s="34">
        <v>93</v>
      </c>
      <c r="DO535" s="36">
        <v>48.32</v>
      </c>
      <c r="DP535" s="34">
        <v>98</v>
      </c>
      <c r="DQ535" s="36">
        <v>0</v>
      </c>
      <c r="DR535" s="32">
        <v>0</v>
      </c>
      <c r="DS535" s="36">
        <v>48.32</v>
      </c>
      <c r="DT535" s="34">
        <v>98</v>
      </c>
      <c r="DU535" s="36" t="s">
        <v>151</v>
      </c>
      <c r="DV535" s="34" t="s">
        <v>151</v>
      </c>
      <c r="DW535" s="36">
        <v>48.32</v>
      </c>
      <c r="DX535" s="34">
        <v>98</v>
      </c>
      <c r="DY535" s="31" t="s">
        <v>151</v>
      </c>
      <c r="DZ535" s="35" t="s">
        <v>151</v>
      </c>
      <c r="EA535" s="35" t="s">
        <v>151</v>
      </c>
      <c r="EB535" s="34">
        <v>7029</v>
      </c>
      <c r="EC535" s="33">
        <v>-422</v>
      </c>
      <c r="ED535" s="32">
        <v>-5.66</v>
      </c>
      <c r="EE535" s="34">
        <v>918</v>
      </c>
      <c r="EF535" s="33">
        <v>0</v>
      </c>
      <c r="EG535" s="32">
        <v>0</v>
      </c>
      <c r="EH535" s="29" t="s">
        <v>198</v>
      </c>
      <c r="EI535" s="30" t="s">
        <v>151</v>
      </c>
      <c r="EJ535" s="30" t="s">
        <v>151</v>
      </c>
      <c r="EK535" s="31" t="s">
        <v>151</v>
      </c>
      <c r="EL535" s="31" t="s">
        <v>151</v>
      </c>
      <c r="EM535" s="31" t="s">
        <v>151</v>
      </c>
      <c r="EN535" s="31" t="s">
        <v>151</v>
      </c>
      <c r="EO535" s="31" t="s">
        <v>151</v>
      </c>
      <c r="EP535" s="30" t="s">
        <v>151</v>
      </c>
      <c r="EQ535" s="29" t="s">
        <v>151</v>
      </c>
      <c r="ER535" s="29" t="s">
        <v>151</v>
      </c>
      <c r="ES535" s="4">
        <f>HYPERLINK("https://my.pitchbook.com?c=224235-19","View Company Online")</f>
      </c>
    </row>
    <row r="536">
      <c r="A536" s="17" t="s">
        <v>11202</v>
      </c>
      <c r="B536" s="17" t="s">
        <v>11203</v>
      </c>
      <c r="C536" s="18" t="s">
        <v>151</v>
      </c>
      <c r="D536" s="17" t="s">
        <v>151</v>
      </c>
      <c r="E536" s="17" t="s">
        <v>11204</v>
      </c>
      <c r="F536" s="17" t="s">
        <v>11205</v>
      </c>
      <c r="G536" s="17" t="s">
        <v>151</v>
      </c>
      <c r="H536" s="17" t="s">
        <v>151</v>
      </c>
      <c r="I536" s="17" t="s">
        <v>151</v>
      </c>
      <c r="J536" s="17" t="s">
        <v>11202</v>
      </c>
      <c r="K536" s="17" t="s">
        <v>11206</v>
      </c>
      <c r="L536" s="17" t="s">
        <v>205</v>
      </c>
      <c r="M536" s="17" t="s">
        <v>206</v>
      </c>
      <c r="N536" s="17" t="s">
        <v>269</v>
      </c>
      <c r="O536" s="17" t="s">
        <v>11207</v>
      </c>
      <c r="P536" s="17" t="s">
        <v>5244</v>
      </c>
      <c r="Q536" s="17" t="s">
        <v>11208</v>
      </c>
      <c r="R536" s="17" t="s">
        <v>151</v>
      </c>
      <c r="S536" s="17" t="s">
        <v>162</v>
      </c>
      <c r="T536" s="24">
        <v>8.55</v>
      </c>
      <c r="U536" s="17" t="s">
        <v>163</v>
      </c>
      <c r="V536" s="17" t="s">
        <v>164</v>
      </c>
      <c r="W536" s="17" t="s">
        <v>165</v>
      </c>
      <c r="X536" s="15" t="s">
        <v>11209</v>
      </c>
      <c r="Y536" s="15" t="s">
        <v>11210</v>
      </c>
      <c r="Z536" s="27">
        <v>2</v>
      </c>
      <c r="AA536" s="17" t="s">
        <v>3480</v>
      </c>
      <c r="AB536" s="17" t="s">
        <v>151</v>
      </c>
      <c r="AC536" s="17" t="s">
        <v>151</v>
      </c>
      <c r="AD536" s="26">
        <v>2021</v>
      </c>
      <c r="AE536" s="17" t="s">
        <v>151</v>
      </c>
      <c r="AF536" s="22">
        <v>45568</v>
      </c>
      <c r="AG536" s="17" t="s">
        <v>151</v>
      </c>
      <c r="AH536" s="17" t="s">
        <v>151</v>
      </c>
      <c r="AI536" s="25" t="s">
        <v>151</v>
      </c>
      <c r="AJ536" s="19" t="s">
        <v>151</v>
      </c>
      <c r="AK536" s="25" t="s">
        <v>151</v>
      </c>
      <c r="AL536" s="25" t="s">
        <v>151</v>
      </c>
      <c r="AM536" s="25" t="s">
        <v>151</v>
      </c>
      <c r="AN536" s="25" t="s">
        <v>151</v>
      </c>
      <c r="AO536" s="25" t="s">
        <v>151</v>
      </c>
      <c r="AP536" s="25" t="s">
        <v>151</v>
      </c>
      <c r="AQ536" s="25" t="s">
        <v>151</v>
      </c>
      <c r="AR536" s="16" t="s">
        <v>151</v>
      </c>
      <c r="AS536" s="17" t="s">
        <v>11211</v>
      </c>
      <c r="AT536" s="17" t="s">
        <v>11212</v>
      </c>
      <c r="AU536" s="18">
        <v>6</v>
      </c>
      <c r="AV536" s="17" t="s">
        <v>151</v>
      </c>
      <c r="AW536" s="17" t="s">
        <v>151</v>
      </c>
      <c r="AX536" s="17" t="s">
        <v>151</v>
      </c>
      <c r="AY536" s="17" t="s">
        <v>11213</v>
      </c>
      <c r="AZ536" s="17" t="s">
        <v>151</v>
      </c>
      <c r="BA536" s="17" t="s">
        <v>151</v>
      </c>
      <c r="BB536" s="17" t="s">
        <v>151</v>
      </c>
      <c r="BC536" s="17" t="s">
        <v>151</v>
      </c>
      <c r="BD536" s="17" t="s">
        <v>11214</v>
      </c>
      <c r="BE536" s="17" t="s">
        <v>11215</v>
      </c>
      <c r="BF536" s="17" t="s">
        <v>221</v>
      </c>
      <c r="BG536" s="17" t="s">
        <v>151</v>
      </c>
      <c r="BH536" s="17" t="s">
        <v>11216</v>
      </c>
      <c r="BI536" s="17" t="s">
        <v>5541</v>
      </c>
      <c r="BJ536" s="17" t="s">
        <v>11217</v>
      </c>
      <c r="BK536" s="17" t="s">
        <v>11218</v>
      </c>
      <c r="BL536" s="17" t="s">
        <v>5544</v>
      </c>
      <c r="BM536" s="17" t="s">
        <v>823</v>
      </c>
      <c r="BN536" s="16" t="s">
        <v>11219</v>
      </c>
      <c r="BO536" s="17" t="s">
        <v>186</v>
      </c>
      <c r="BP536" s="16" t="s">
        <v>11216</v>
      </c>
      <c r="BQ536" s="16" t="s">
        <v>151</v>
      </c>
      <c r="BR536" s="17" t="s">
        <v>151</v>
      </c>
      <c r="BS536" s="17" t="s">
        <v>187</v>
      </c>
      <c r="BT536" s="17" t="s">
        <v>188</v>
      </c>
      <c r="BU536" s="22">
        <v>45013</v>
      </c>
      <c r="BV536" s="24">
        <v>0.05</v>
      </c>
      <c r="BW536" s="17" t="s">
        <v>192</v>
      </c>
      <c r="BX536" s="24" t="s">
        <v>151</v>
      </c>
      <c r="BY536" s="17" t="s">
        <v>151</v>
      </c>
      <c r="BZ536" s="17" t="s">
        <v>189</v>
      </c>
      <c r="CA536" s="17" t="s">
        <v>151</v>
      </c>
      <c r="CB536" s="17" t="s">
        <v>151</v>
      </c>
      <c r="CC536" s="17" t="s">
        <v>190</v>
      </c>
      <c r="CD536" s="17" t="s">
        <v>151</v>
      </c>
      <c r="CE536" s="17" t="s">
        <v>191</v>
      </c>
      <c r="CF536" s="22">
        <v>45482</v>
      </c>
      <c r="CG536" s="24">
        <v>5</v>
      </c>
      <c r="CH536" s="17" t="s">
        <v>192</v>
      </c>
      <c r="CI536" s="24">
        <v>35</v>
      </c>
      <c r="CJ536" s="17" t="s">
        <v>192</v>
      </c>
      <c r="CK536" s="16">
        <v>2.22</v>
      </c>
      <c r="CL536" s="17" t="s">
        <v>293</v>
      </c>
      <c r="CM536" s="17" t="s">
        <v>293</v>
      </c>
      <c r="CN536" s="17" t="s">
        <v>151</v>
      </c>
      <c r="CO536" s="17" t="s">
        <v>165</v>
      </c>
      <c r="CP536" s="22">
        <v>45482</v>
      </c>
      <c r="CQ536" s="24" t="s">
        <v>151</v>
      </c>
      <c r="CR536" s="17" t="s">
        <v>151</v>
      </c>
      <c r="CS536" s="17" t="s">
        <v>191</v>
      </c>
      <c r="CT536" s="16">
        <v>78</v>
      </c>
      <c r="CU536" s="17" t="s">
        <v>196</v>
      </c>
      <c r="CV536" s="19">
        <v>71</v>
      </c>
      <c r="CW536" s="19">
        <v>29</v>
      </c>
      <c r="CX536" s="17" t="s">
        <v>294</v>
      </c>
      <c r="CY536" s="19">
        <v>1</v>
      </c>
      <c r="CZ536" s="19">
        <v>70</v>
      </c>
      <c r="DA536" s="24">
        <v>35</v>
      </c>
      <c r="DB536" s="22">
        <v>45482</v>
      </c>
      <c r="DC536" s="17" t="s">
        <v>293</v>
      </c>
      <c r="DD536" s="16">
        <v>2.22</v>
      </c>
      <c r="DE536" s="19">
        <v>0</v>
      </c>
      <c r="DF536" s="21">
        <v>11</v>
      </c>
      <c r="DG536" s="19">
        <v>0</v>
      </c>
      <c r="DH536" s="19">
        <v>0</v>
      </c>
      <c r="DI536" s="19">
        <v>0</v>
      </c>
      <c r="DJ536" s="21">
        <v>10</v>
      </c>
      <c r="DK536" s="19" t="s">
        <v>151</v>
      </c>
      <c r="DL536" s="21" t="s">
        <v>151</v>
      </c>
      <c r="DM536" s="19">
        <v>0</v>
      </c>
      <c r="DN536" s="21">
        <v>10</v>
      </c>
      <c r="DO536" s="23">
        <v>1.53</v>
      </c>
      <c r="DP536" s="21">
        <v>60</v>
      </c>
      <c r="DQ536" s="23">
        <v>0</v>
      </c>
      <c r="DR536" s="19">
        <v>0</v>
      </c>
      <c r="DS536" s="23">
        <v>1.53</v>
      </c>
      <c r="DT536" s="21">
        <v>60</v>
      </c>
      <c r="DU536" s="23" t="s">
        <v>151</v>
      </c>
      <c r="DV536" s="21" t="s">
        <v>151</v>
      </c>
      <c r="DW536" s="23">
        <v>1.53</v>
      </c>
      <c r="DX536" s="21">
        <v>59</v>
      </c>
      <c r="DY536" s="18" t="s">
        <v>151</v>
      </c>
      <c r="DZ536" s="22" t="s">
        <v>151</v>
      </c>
      <c r="EA536" s="22" t="s">
        <v>151</v>
      </c>
      <c r="EB536" s="21">
        <v>615</v>
      </c>
      <c r="EC536" s="20">
        <v>107</v>
      </c>
      <c r="ED536" s="19">
        <v>21.06</v>
      </c>
      <c r="EE536" s="21">
        <v>29</v>
      </c>
      <c r="EF536" s="20">
        <v>0</v>
      </c>
      <c r="EG536" s="19">
        <v>0</v>
      </c>
      <c r="EH536" s="16" t="s">
        <v>198</v>
      </c>
      <c r="EI536" s="17" t="s">
        <v>151</v>
      </c>
      <c r="EJ536" s="17" t="s">
        <v>151</v>
      </c>
      <c r="EK536" s="18" t="s">
        <v>151</v>
      </c>
      <c r="EL536" s="18" t="s">
        <v>151</v>
      </c>
      <c r="EM536" s="18" t="s">
        <v>151</v>
      </c>
      <c r="EN536" s="18" t="s">
        <v>151</v>
      </c>
      <c r="EO536" s="18" t="s">
        <v>151</v>
      </c>
      <c r="EP536" s="17" t="s">
        <v>151</v>
      </c>
      <c r="EQ536" s="16" t="s">
        <v>151</v>
      </c>
      <c r="ER536" s="16" t="s">
        <v>151</v>
      </c>
      <c r="ES536" s="3">
        <f>HYPERLINK("https://my.pitchbook.com?c=522431-83","View Company Online")</f>
      </c>
    </row>
    <row r="537">
      <c r="A537" s="30" t="s">
        <v>11220</v>
      </c>
      <c r="B537" s="30" t="s">
        <v>11221</v>
      </c>
      <c r="C537" s="31" t="s">
        <v>151</v>
      </c>
      <c r="D537" s="30" t="s">
        <v>151</v>
      </c>
      <c r="E537" s="30" t="s">
        <v>151</v>
      </c>
      <c r="F537" s="30" t="s">
        <v>11222</v>
      </c>
      <c r="G537" s="30" t="s">
        <v>151</v>
      </c>
      <c r="H537" s="30" t="s">
        <v>151</v>
      </c>
      <c r="I537" s="30" t="s">
        <v>151</v>
      </c>
      <c r="J537" s="30" t="s">
        <v>11220</v>
      </c>
      <c r="K537" s="30" t="s">
        <v>11223</v>
      </c>
      <c r="L537" s="30" t="s">
        <v>205</v>
      </c>
      <c r="M537" s="30" t="s">
        <v>206</v>
      </c>
      <c r="N537" s="30" t="s">
        <v>269</v>
      </c>
      <c r="O537" s="30" t="s">
        <v>11224</v>
      </c>
      <c r="P537" s="30" t="s">
        <v>11225</v>
      </c>
      <c r="Q537" s="30" t="s">
        <v>11226</v>
      </c>
      <c r="R537" s="30" t="s">
        <v>151</v>
      </c>
      <c r="S537" s="30" t="s">
        <v>162</v>
      </c>
      <c r="T537" s="37">
        <v>5.25</v>
      </c>
      <c r="U537" s="30" t="s">
        <v>163</v>
      </c>
      <c r="V537" s="30" t="s">
        <v>164</v>
      </c>
      <c r="W537" s="30" t="s">
        <v>420</v>
      </c>
      <c r="X537" s="28" t="s">
        <v>11227</v>
      </c>
      <c r="Y537" s="28" t="s">
        <v>11228</v>
      </c>
      <c r="Z537" s="40">
        <v>48</v>
      </c>
      <c r="AA537" s="30" t="s">
        <v>11229</v>
      </c>
      <c r="AB537" s="30" t="s">
        <v>151</v>
      </c>
      <c r="AC537" s="30" t="s">
        <v>151</v>
      </c>
      <c r="AD537" s="39">
        <v>2012</v>
      </c>
      <c r="AE537" s="30" t="s">
        <v>151</v>
      </c>
      <c r="AF537" s="35">
        <v>45482</v>
      </c>
      <c r="AG537" s="30" t="s">
        <v>151</v>
      </c>
      <c r="AH537" s="30" t="s">
        <v>151</v>
      </c>
      <c r="AI537" s="38" t="s">
        <v>151</v>
      </c>
      <c r="AJ537" s="32" t="s">
        <v>151</v>
      </c>
      <c r="AK537" s="38" t="s">
        <v>151</v>
      </c>
      <c r="AL537" s="38" t="s">
        <v>151</v>
      </c>
      <c r="AM537" s="38" t="s">
        <v>151</v>
      </c>
      <c r="AN537" s="38" t="s">
        <v>151</v>
      </c>
      <c r="AO537" s="38" t="s">
        <v>151</v>
      </c>
      <c r="AP537" s="38" t="s">
        <v>151</v>
      </c>
      <c r="AQ537" s="38" t="s">
        <v>151</v>
      </c>
      <c r="AR537" s="29" t="s">
        <v>151</v>
      </c>
      <c r="AS537" s="30" t="s">
        <v>11230</v>
      </c>
      <c r="AT537" s="30" t="s">
        <v>11231</v>
      </c>
      <c r="AU537" s="31">
        <v>2</v>
      </c>
      <c r="AV537" s="30" t="s">
        <v>151</v>
      </c>
      <c r="AW537" s="30" t="s">
        <v>151</v>
      </c>
      <c r="AX537" s="30" t="s">
        <v>151</v>
      </c>
      <c r="AY537" s="30" t="s">
        <v>11232</v>
      </c>
      <c r="AZ537" s="30" t="s">
        <v>151</v>
      </c>
      <c r="BA537" s="30" t="s">
        <v>151</v>
      </c>
      <c r="BB537" s="30" t="s">
        <v>151</v>
      </c>
      <c r="BC537" s="30" t="s">
        <v>11233</v>
      </c>
      <c r="BD537" s="30" t="s">
        <v>11234</v>
      </c>
      <c r="BE537" s="30" t="s">
        <v>11235</v>
      </c>
      <c r="BF537" s="30" t="s">
        <v>403</v>
      </c>
      <c r="BG537" s="30" t="s">
        <v>11236</v>
      </c>
      <c r="BH537" s="30" t="s">
        <v>11237</v>
      </c>
      <c r="BI537" s="30" t="s">
        <v>10134</v>
      </c>
      <c r="BJ537" s="30" t="s">
        <v>11238</v>
      </c>
      <c r="BK537" s="30" t="s">
        <v>11239</v>
      </c>
      <c r="BL537" s="30" t="s">
        <v>8388</v>
      </c>
      <c r="BM537" s="30" t="s">
        <v>10137</v>
      </c>
      <c r="BN537" s="29" t="s">
        <v>10138</v>
      </c>
      <c r="BO537" s="30" t="s">
        <v>186</v>
      </c>
      <c r="BP537" s="29" t="s">
        <v>11237</v>
      </c>
      <c r="BQ537" s="29" t="s">
        <v>151</v>
      </c>
      <c r="BR537" s="30" t="s">
        <v>11240</v>
      </c>
      <c r="BS537" s="30" t="s">
        <v>187</v>
      </c>
      <c r="BT537" s="30" t="s">
        <v>188</v>
      </c>
      <c r="BU537" s="35">
        <v>44935</v>
      </c>
      <c r="BV537" s="37">
        <v>0.25</v>
      </c>
      <c r="BW537" s="30" t="s">
        <v>192</v>
      </c>
      <c r="BX537" s="37" t="s">
        <v>151</v>
      </c>
      <c r="BY537" s="30" t="s">
        <v>151</v>
      </c>
      <c r="BZ537" s="30" t="s">
        <v>527</v>
      </c>
      <c r="CA537" s="30" t="s">
        <v>151</v>
      </c>
      <c r="CB537" s="30" t="s">
        <v>151</v>
      </c>
      <c r="CC537" s="30" t="s">
        <v>439</v>
      </c>
      <c r="CD537" s="30" t="s">
        <v>11241</v>
      </c>
      <c r="CE537" s="30" t="s">
        <v>191</v>
      </c>
      <c r="CF537" s="35">
        <v>45251</v>
      </c>
      <c r="CG537" s="37">
        <v>5</v>
      </c>
      <c r="CH537" s="30" t="s">
        <v>192</v>
      </c>
      <c r="CI537" s="37" t="s">
        <v>151</v>
      </c>
      <c r="CJ537" s="30" t="s">
        <v>151</v>
      </c>
      <c r="CK537" s="29" t="s">
        <v>151</v>
      </c>
      <c r="CL537" s="30" t="s">
        <v>194</v>
      </c>
      <c r="CM537" s="30" t="s">
        <v>661</v>
      </c>
      <c r="CN537" s="30" t="s">
        <v>151</v>
      </c>
      <c r="CO537" s="30" t="s">
        <v>165</v>
      </c>
      <c r="CP537" s="35">
        <v>45251</v>
      </c>
      <c r="CQ537" s="37" t="s">
        <v>151</v>
      </c>
      <c r="CR537" s="30" t="s">
        <v>151</v>
      </c>
      <c r="CS537" s="30" t="s">
        <v>191</v>
      </c>
      <c r="CT537" s="29" t="s">
        <v>151</v>
      </c>
      <c r="CU537" s="30" t="s">
        <v>151</v>
      </c>
      <c r="CV537" s="32" t="s">
        <v>151</v>
      </c>
      <c r="CW537" s="32" t="s">
        <v>151</v>
      </c>
      <c r="CX537" s="30" t="s">
        <v>151</v>
      </c>
      <c r="CY537" s="32" t="s">
        <v>151</v>
      </c>
      <c r="CZ537" s="32" t="s">
        <v>151</v>
      </c>
      <c r="DA537" s="37" t="s">
        <v>151</v>
      </c>
      <c r="DB537" s="35" t="s">
        <v>151</v>
      </c>
      <c r="DC537" s="30" t="s">
        <v>151</v>
      </c>
      <c r="DD537" s="29" t="s">
        <v>151</v>
      </c>
      <c r="DE537" s="32">
        <v>0</v>
      </c>
      <c r="DF537" s="34">
        <v>11</v>
      </c>
      <c r="DG537" s="32">
        <v>0</v>
      </c>
      <c r="DH537" s="32">
        <v>0</v>
      </c>
      <c r="DI537" s="32">
        <v>0</v>
      </c>
      <c r="DJ537" s="34">
        <v>10</v>
      </c>
      <c r="DK537" s="32" t="s">
        <v>151</v>
      </c>
      <c r="DL537" s="34" t="s">
        <v>151</v>
      </c>
      <c r="DM537" s="32">
        <v>0</v>
      </c>
      <c r="DN537" s="34">
        <v>10</v>
      </c>
      <c r="DO537" s="36">
        <v>2.32</v>
      </c>
      <c r="DP537" s="34">
        <v>69</v>
      </c>
      <c r="DQ537" s="36">
        <v>0</v>
      </c>
      <c r="DR537" s="32">
        <v>0</v>
      </c>
      <c r="DS537" s="36">
        <v>0.95</v>
      </c>
      <c r="DT537" s="34">
        <v>49</v>
      </c>
      <c r="DU537" s="36" t="s">
        <v>151</v>
      </c>
      <c r="DV537" s="34" t="s">
        <v>151</v>
      </c>
      <c r="DW537" s="36">
        <v>0.95</v>
      </c>
      <c r="DX537" s="34">
        <v>48</v>
      </c>
      <c r="DY537" s="31">
        <v>6</v>
      </c>
      <c r="DZ537" s="35">
        <v>45474</v>
      </c>
      <c r="EA537" s="35" t="s">
        <v>151</v>
      </c>
      <c r="EB537" s="34">
        <v>255</v>
      </c>
      <c r="EC537" s="33">
        <v>44</v>
      </c>
      <c r="ED537" s="32">
        <v>20.85</v>
      </c>
      <c r="EE537" s="34">
        <v>18</v>
      </c>
      <c r="EF537" s="33">
        <v>0</v>
      </c>
      <c r="EG537" s="32">
        <v>0</v>
      </c>
      <c r="EH537" s="29" t="s">
        <v>198</v>
      </c>
      <c r="EI537" s="30" t="s">
        <v>151</v>
      </c>
      <c r="EJ537" s="30" t="s">
        <v>151</v>
      </c>
      <c r="EK537" s="31" t="s">
        <v>151</v>
      </c>
      <c r="EL537" s="31" t="s">
        <v>151</v>
      </c>
      <c r="EM537" s="31" t="s">
        <v>151</v>
      </c>
      <c r="EN537" s="31" t="s">
        <v>151</v>
      </c>
      <c r="EO537" s="31" t="s">
        <v>151</v>
      </c>
      <c r="EP537" s="30" t="s">
        <v>151</v>
      </c>
      <c r="EQ537" s="29" t="s">
        <v>151</v>
      </c>
      <c r="ER537" s="29" t="s">
        <v>151</v>
      </c>
      <c r="ES537" s="4">
        <f>HYPERLINK("https://my.pitchbook.com?c=550879-21","View Company Online")</f>
      </c>
    </row>
    <row r="538">
      <c r="A538" s="17" t="s">
        <v>11242</v>
      </c>
      <c r="B538" s="17" t="s">
        <v>11243</v>
      </c>
      <c r="C538" s="18" t="s">
        <v>151</v>
      </c>
      <c r="D538" s="17" t="s">
        <v>151</v>
      </c>
      <c r="E538" s="17" t="s">
        <v>11244</v>
      </c>
      <c r="F538" s="17" t="s">
        <v>11245</v>
      </c>
      <c r="G538" s="17" t="s">
        <v>151</v>
      </c>
      <c r="H538" s="17" t="s">
        <v>151</v>
      </c>
      <c r="I538" s="17" t="s">
        <v>151</v>
      </c>
      <c r="J538" s="17" t="s">
        <v>11242</v>
      </c>
      <c r="K538" s="17" t="s">
        <v>11246</v>
      </c>
      <c r="L538" s="17" t="s">
        <v>205</v>
      </c>
      <c r="M538" s="17" t="s">
        <v>206</v>
      </c>
      <c r="N538" s="17" t="s">
        <v>269</v>
      </c>
      <c r="O538" s="17" t="s">
        <v>563</v>
      </c>
      <c r="P538" s="17" t="s">
        <v>11247</v>
      </c>
      <c r="Q538" s="17" t="s">
        <v>11248</v>
      </c>
      <c r="R538" s="17" t="s">
        <v>151</v>
      </c>
      <c r="S538" s="17" t="s">
        <v>162</v>
      </c>
      <c r="T538" s="24">
        <v>3.14</v>
      </c>
      <c r="U538" s="17" t="s">
        <v>163</v>
      </c>
      <c r="V538" s="17" t="s">
        <v>164</v>
      </c>
      <c r="W538" s="17" t="s">
        <v>165</v>
      </c>
      <c r="X538" s="15" t="s">
        <v>11249</v>
      </c>
      <c r="Y538" s="15" t="s">
        <v>11250</v>
      </c>
      <c r="Z538" s="27" t="s">
        <v>151</v>
      </c>
      <c r="AA538" s="17" t="s">
        <v>151</v>
      </c>
      <c r="AB538" s="17" t="s">
        <v>151</v>
      </c>
      <c r="AC538" s="17" t="s">
        <v>151</v>
      </c>
      <c r="AD538" s="26">
        <v>2020</v>
      </c>
      <c r="AE538" s="17" t="s">
        <v>151</v>
      </c>
      <c r="AF538" s="22">
        <v>45471</v>
      </c>
      <c r="AG538" s="17" t="s">
        <v>151</v>
      </c>
      <c r="AH538" s="17" t="s">
        <v>151</v>
      </c>
      <c r="AI538" s="25" t="s">
        <v>151</v>
      </c>
      <c r="AJ538" s="19" t="s">
        <v>151</v>
      </c>
      <c r="AK538" s="25" t="s">
        <v>151</v>
      </c>
      <c r="AL538" s="25" t="s">
        <v>151</v>
      </c>
      <c r="AM538" s="25" t="s">
        <v>151</v>
      </c>
      <c r="AN538" s="25" t="s">
        <v>151</v>
      </c>
      <c r="AO538" s="25" t="s">
        <v>151</v>
      </c>
      <c r="AP538" s="25" t="s">
        <v>151</v>
      </c>
      <c r="AQ538" s="25" t="s">
        <v>151</v>
      </c>
      <c r="AR538" s="16" t="s">
        <v>151</v>
      </c>
      <c r="AS538" s="17" t="s">
        <v>11251</v>
      </c>
      <c r="AT538" s="17" t="s">
        <v>11252</v>
      </c>
      <c r="AU538" s="18">
        <v>1</v>
      </c>
      <c r="AV538" s="17" t="s">
        <v>151</v>
      </c>
      <c r="AW538" s="17" t="s">
        <v>151</v>
      </c>
      <c r="AX538" s="17" t="s">
        <v>151</v>
      </c>
      <c r="AY538" s="17" t="s">
        <v>11253</v>
      </c>
      <c r="AZ538" s="17" t="s">
        <v>151</v>
      </c>
      <c r="BA538" s="17" t="s">
        <v>151</v>
      </c>
      <c r="BB538" s="17" t="s">
        <v>151</v>
      </c>
      <c r="BC538" s="17" t="s">
        <v>9500</v>
      </c>
      <c r="BD538" s="17" t="s">
        <v>11254</v>
      </c>
      <c r="BE538" s="17" t="s">
        <v>11255</v>
      </c>
      <c r="BF538" s="17" t="s">
        <v>493</v>
      </c>
      <c r="BG538" s="17" t="s">
        <v>11256</v>
      </c>
      <c r="BH538" s="17" t="s">
        <v>11257</v>
      </c>
      <c r="BI538" s="17" t="s">
        <v>11258</v>
      </c>
      <c r="BJ538" s="17" t="s">
        <v>11259</v>
      </c>
      <c r="BK538" s="17" t="s">
        <v>151</v>
      </c>
      <c r="BL538" s="17" t="s">
        <v>11260</v>
      </c>
      <c r="BM538" s="17" t="s">
        <v>855</v>
      </c>
      <c r="BN538" s="16" t="s">
        <v>11261</v>
      </c>
      <c r="BO538" s="17" t="s">
        <v>186</v>
      </c>
      <c r="BP538" s="16" t="s">
        <v>11257</v>
      </c>
      <c r="BQ538" s="16" t="s">
        <v>151</v>
      </c>
      <c r="BR538" s="17" t="s">
        <v>11262</v>
      </c>
      <c r="BS538" s="17" t="s">
        <v>187</v>
      </c>
      <c r="BT538" s="17" t="s">
        <v>188</v>
      </c>
      <c r="BU538" s="22">
        <v>45427</v>
      </c>
      <c r="BV538" s="24">
        <v>3.14</v>
      </c>
      <c r="BW538" s="17" t="s">
        <v>192</v>
      </c>
      <c r="BX538" s="24">
        <v>13.14</v>
      </c>
      <c r="BY538" s="17" t="s">
        <v>192</v>
      </c>
      <c r="BZ538" s="17" t="s">
        <v>231</v>
      </c>
      <c r="CA538" s="17" t="s">
        <v>232</v>
      </c>
      <c r="CB538" s="17" t="s">
        <v>151</v>
      </c>
      <c r="CC538" s="17" t="s">
        <v>165</v>
      </c>
      <c r="CD538" s="17" t="s">
        <v>151</v>
      </c>
      <c r="CE538" s="17" t="s">
        <v>191</v>
      </c>
      <c r="CF538" s="22">
        <v>45427</v>
      </c>
      <c r="CG538" s="24">
        <v>3.14</v>
      </c>
      <c r="CH538" s="17" t="s">
        <v>192</v>
      </c>
      <c r="CI538" s="24">
        <v>13.14</v>
      </c>
      <c r="CJ538" s="17" t="s">
        <v>192</v>
      </c>
      <c r="CK538" s="16" t="s">
        <v>151</v>
      </c>
      <c r="CL538" s="17" t="s">
        <v>231</v>
      </c>
      <c r="CM538" s="17" t="s">
        <v>232</v>
      </c>
      <c r="CN538" s="17" t="s">
        <v>151</v>
      </c>
      <c r="CO538" s="17" t="s">
        <v>165</v>
      </c>
      <c r="CP538" s="22">
        <v>45427</v>
      </c>
      <c r="CQ538" s="24" t="s">
        <v>151</v>
      </c>
      <c r="CR538" s="17" t="s">
        <v>151</v>
      </c>
      <c r="CS538" s="17" t="s">
        <v>191</v>
      </c>
      <c r="CT538" s="16" t="s">
        <v>151</v>
      </c>
      <c r="CU538" s="17" t="s">
        <v>151</v>
      </c>
      <c r="CV538" s="19" t="s">
        <v>151</v>
      </c>
      <c r="CW538" s="19" t="s">
        <v>151</v>
      </c>
      <c r="CX538" s="17" t="s">
        <v>151</v>
      </c>
      <c r="CY538" s="19" t="s">
        <v>151</v>
      </c>
      <c r="CZ538" s="19" t="s">
        <v>151</v>
      </c>
      <c r="DA538" s="24">
        <v>13.14</v>
      </c>
      <c r="DB538" s="22">
        <v>45427</v>
      </c>
      <c r="DC538" s="17" t="s">
        <v>231</v>
      </c>
      <c r="DD538" s="16" t="s">
        <v>151</v>
      </c>
      <c r="DE538" s="19">
        <v>0</v>
      </c>
      <c r="DF538" s="21">
        <v>11</v>
      </c>
      <c r="DG538" s="19">
        <v>0</v>
      </c>
      <c r="DH538" s="19">
        <v>0</v>
      </c>
      <c r="DI538" s="19">
        <v>0</v>
      </c>
      <c r="DJ538" s="21">
        <v>10</v>
      </c>
      <c r="DK538" s="19" t="s">
        <v>151</v>
      </c>
      <c r="DL538" s="21" t="s">
        <v>151</v>
      </c>
      <c r="DM538" s="19">
        <v>0</v>
      </c>
      <c r="DN538" s="21">
        <v>10</v>
      </c>
      <c r="DO538" s="23">
        <v>1.21</v>
      </c>
      <c r="DP538" s="21">
        <v>54</v>
      </c>
      <c r="DQ538" s="23">
        <v>0</v>
      </c>
      <c r="DR538" s="19">
        <v>0</v>
      </c>
      <c r="DS538" s="23">
        <v>1.21</v>
      </c>
      <c r="DT538" s="21">
        <v>54</v>
      </c>
      <c r="DU538" s="23" t="s">
        <v>151</v>
      </c>
      <c r="DV538" s="21" t="s">
        <v>151</v>
      </c>
      <c r="DW538" s="23">
        <v>1.21</v>
      </c>
      <c r="DX538" s="21">
        <v>54</v>
      </c>
      <c r="DY538" s="18" t="s">
        <v>151</v>
      </c>
      <c r="DZ538" s="22" t="s">
        <v>151</v>
      </c>
      <c r="EA538" s="22" t="s">
        <v>151</v>
      </c>
      <c r="EB538" s="21">
        <v>161</v>
      </c>
      <c r="EC538" s="20">
        <v>-24</v>
      </c>
      <c r="ED538" s="19">
        <v>-12.97</v>
      </c>
      <c r="EE538" s="21">
        <v>23</v>
      </c>
      <c r="EF538" s="20">
        <v>0</v>
      </c>
      <c r="EG538" s="19">
        <v>0</v>
      </c>
      <c r="EH538" s="16" t="s">
        <v>198</v>
      </c>
      <c r="EI538" s="17" t="s">
        <v>151</v>
      </c>
      <c r="EJ538" s="17" t="s">
        <v>151</v>
      </c>
      <c r="EK538" s="18" t="s">
        <v>151</v>
      </c>
      <c r="EL538" s="18" t="s">
        <v>151</v>
      </c>
      <c r="EM538" s="18" t="s">
        <v>151</v>
      </c>
      <c r="EN538" s="18" t="s">
        <v>151</v>
      </c>
      <c r="EO538" s="18" t="s">
        <v>151</v>
      </c>
      <c r="EP538" s="17" t="s">
        <v>151</v>
      </c>
      <c r="EQ538" s="16" t="s">
        <v>151</v>
      </c>
      <c r="ER538" s="16" t="s">
        <v>151</v>
      </c>
      <c r="ES538" s="3">
        <f>HYPERLINK("https://my.pitchbook.com?c=437002-75","View Company Online")</f>
      </c>
    </row>
    <row r="539">
      <c r="A539" s="30" t="s">
        <v>11263</v>
      </c>
      <c r="B539" s="30" t="s">
        <v>11264</v>
      </c>
      <c r="C539" s="31" t="s">
        <v>151</v>
      </c>
      <c r="D539" s="30" t="s">
        <v>151</v>
      </c>
      <c r="E539" s="30" t="s">
        <v>151</v>
      </c>
      <c r="F539" s="30" t="s">
        <v>11265</v>
      </c>
      <c r="G539" s="30" t="s">
        <v>151</v>
      </c>
      <c r="H539" s="30" t="s">
        <v>151</v>
      </c>
      <c r="I539" s="30" t="s">
        <v>151</v>
      </c>
      <c r="J539" s="30" t="s">
        <v>11263</v>
      </c>
      <c r="K539" s="30" t="s">
        <v>11266</v>
      </c>
      <c r="L539" s="30" t="s">
        <v>205</v>
      </c>
      <c r="M539" s="30" t="s">
        <v>206</v>
      </c>
      <c r="N539" s="30" t="s">
        <v>3121</v>
      </c>
      <c r="O539" s="30" t="s">
        <v>11267</v>
      </c>
      <c r="P539" s="30" t="s">
        <v>11268</v>
      </c>
      <c r="Q539" s="30" t="s">
        <v>11269</v>
      </c>
      <c r="R539" s="30" t="s">
        <v>151</v>
      </c>
      <c r="S539" s="30" t="s">
        <v>162</v>
      </c>
      <c r="T539" s="37">
        <v>2.4</v>
      </c>
      <c r="U539" s="30" t="s">
        <v>163</v>
      </c>
      <c r="V539" s="30" t="s">
        <v>164</v>
      </c>
      <c r="W539" s="30" t="s">
        <v>165</v>
      </c>
      <c r="X539" s="28" t="s">
        <v>11270</v>
      </c>
      <c r="Y539" s="28" t="s">
        <v>11271</v>
      </c>
      <c r="Z539" s="40">
        <v>8</v>
      </c>
      <c r="AA539" s="30" t="s">
        <v>11272</v>
      </c>
      <c r="AB539" s="30" t="s">
        <v>151</v>
      </c>
      <c r="AC539" s="30" t="s">
        <v>151</v>
      </c>
      <c r="AD539" s="39">
        <v>2020</v>
      </c>
      <c r="AE539" s="30" t="s">
        <v>151</v>
      </c>
      <c r="AF539" s="35">
        <v>45534</v>
      </c>
      <c r="AG539" s="30" t="s">
        <v>151</v>
      </c>
      <c r="AH539" s="30" t="s">
        <v>151</v>
      </c>
      <c r="AI539" s="38" t="s">
        <v>151</v>
      </c>
      <c r="AJ539" s="32" t="s">
        <v>151</v>
      </c>
      <c r="AK539" s="38" t="s">
        <v>151</v>
      </c>
      <c r="AL539" s="38" t="s">
        <v>151</v>
      </c>
      <c r="AM539" s="38" t="s">
        <v>151</v>
      </c>
      <c r="AN539" s="38" t="s">
        <v>151</v>
      </c>
      <c r="AO539" s="38" t="s">
        <v>151</v>
      </c>
      <c r="AP539" s="38" t="s">
        <v>151</v>
      </c>
      <c r="AQ539" s="38" t="s">
        <v>151</v>
      </c>
      <c r="AR539" s="29" t="s">
        <v>151</v>
      </c>
      <c r="AS539" s="30" t="s">
        <v>11273</v>
      </c>
      <c r="AT539" s="30" t="s">
        <v>11274</v>
      </c>
      <c r="AU539" s="31">
        <v>8</v>
      </c>
      <c r="AV539" s="30" t="s">
        <v>151</v>
      </c>
      <c r="AW539" s="30" t="s">
        <v>151</v>
      </c>
      <c r="AX539" s="30" t="s">
        <v>151</v>
      </c>
      <c r="AY539" s="30" t="s">
        <v>11275</v>
      </c>
      <c r="AZ539" s="30" t="s">
        <v>151</v>
      </c>
      <c r="BA539" s="30" t="s">
        <v>151</v>
      </c>
      <c r="BB539" s="30" t="s">
        <v>2424</v>
      </c>
      <c r="BC539" s="30" t="s">
        <v>151</v>
      </c>
      <c r="BD539" s="30" t="s">
        <v>151</v>
      </c>
      <c r="BE539" s="30" t="s">
        <v>151</v>
      </c>
      <c r="BF539" s="30" t="s">
        <v>151</v>
      </c>
      <c r="BG539" s="30" t="s">
        <v>151</v>
      </c>
      <c r="BH539" s="30" t="s">
        <v>151</v>
      </c>
      <c r="BI539" s="30" t="s">
        <v>764</v>
      </c>
      <c r="BJ539" s="30" t="s">
        <v>11276</v>
      </c>
      <c r="BK539" s="30" t="s">
        <v>151</v>
      </c>
      <c r="BL539" s="30" t="s">
        <v>767</v>
      </c>
      <c r="BM539" s="30" t="s">
        <v>184</v>
      </c>
      <c r="BN539" s="29" t="s">
        <v>5006</v>
      </c>
      <c r="BO539" s="30" t="s">
        <v>186</v>
      </c>
      <c r="BP539" s="29" t="s">
        <v>11277</v>
      </c>
      <c r="BQ539" s="29" t="s">
        <v>151</v>
      </c>
      <c r="BR539" s="30" t="s">
        <v>151</v>
      </c>
      <c r="BS539" s="30" t="s">
        <v>187</v>
      </c>
      <c r="BT539" s="30" t="s">
        <v>188</v>
      </c>
      <c r="BU539" s="35">
        <v>44068</v>
      </c>
      <c r="BV539" s="37">
        <v>0.15</v>
      </c>
      <c r="BW539" s="30" t="s">
        <v>192</v>
      </c>
      <c r="BX539" s="37">
        <v>2.14</v>
      </c>
      <c r="BY539" s="30" t="s">
        <v>192</v>
      </c>
      <c r="BZ539" s="30" t="s">
        <v>189</v>
      </c>
      <c r="CA539" s="30" t="s">
        <v>151</v>
      </c>
      <c r="CB539" s="30" t="s">
        <v>151</v>
      </c>
      <c r="CC539" s="30" t="s">
        <v>190</v>
      </c>
      <c r="CD539" s="30" t="s">
        <v>151</v>
      </c>
      <c r="CE539" s="30" t="s">
        <v>191</v>
      </c>
      <c r="CF539" s="35">
        <v>44197</v>
      </c>
      <c r="CG539" s="37">
        <v>2</v>
      </c>
      <c r="CH539" s="30" t="s">
        <v>192</v>
      </c>
      <c r="CI539" s="37" t="s">
        <v>151</v>
      </c>
      <c r="CJ539" s="30" t="s">
        <v>151</v>
      </c>
      <c r="CK539" s="29" t="s">
        <v>151</v>
      </c>
      <c r="CL539" s="30" t="s">
        <v>231</v>
      </c>
      <c r="CM539" s="30" t="s">
        <v>151</v>
      </c>
      <c r="CN539" s="30" t="s">
        <v>151</v>
      </c>
      <c r="CO539" s="30" t="s">
        <v>165</v>
      </c>
      <c r="CP539" s="35">
        <v>44197</v>
      </c>
      <c r="CQ539" s="37" t="s">
        <v>151</v>
      </c>
      <c r="CR539" s="30" t="s">
        <v>151</v>
      </c>
      <c r="CS539" s="30" t="s">
        <v>191</v>
      </c>
      <c r="CT539" s="29" t="s">
        <v>151</v>
      </c>
      <c r="CU539" s="30" t="s">
        <v>151</v>
      </c>
      <c r="CV539" s="32" t="s">
        <v>151</v>
      </c>
      <c r="CW539" s="32" t="s">
        <v>151</v>
      </c>
      <c r="CX539" s="30" t="s">
        <v>151</v>
      </c>
      <c r="CY539" s="32" t="s">
        <v>151</v>
      </c>
      <c r="CZ539" s="32" t="s">
        <v>151</v>
      </c>
      <c r="DA539" s="37">
        <v>4.17</v>
      </c>
      <c r="DB539" s="35">
        <v>44197</v>
      </c>
      <c r="DC539" s="30" t="s">
        <v>189</v>
      </c>
      <c r="DD539" s="29" t="s">
        <v>151</v>
      </c>
      <c r="DE539" s="32">
        <v>-0.79</v>
      </c>
      <c r="DF539" s="34">
        <v>5</v>
      </c>
      <c r="DG539" s="32">
        <v>0</v>
      </c>
      <c r="DH539" s="32">
        <v>0</v>
      </c>
      <c r="DI539" s="32">
        <v>-1.57</v>
      </c>
      <c r="DJ539" s="34">
        <v>3</v>
      </c>
      <c r="DK539" s="32" t="s">
        <v>151</v>
      </c>
      <c r="DL539" s="34" t="s">
        <v>151</v>
      </c>
      <c r="DM539" s="32">
        <v>-1.57</v>
      </c>
      <c r="DN539" s="34">
        <v>3</v>
      </c>
      <c r="DO539" s="36">
        <v>117.41</v>
      </c>
      <c r="DP539" s="34">
        <v>99</v>
      </c>
      <c r="DQ539" s="36">
        <v>0</v>
      </c>
      <c r="DR539" s="32">
        <v>0</v>
      </c>
      <c r="DS539" s="36">
        <v>234.21</v>
      </c>
      <c r="DT539" s="34">
        <v>100</v>
      </c>
      <c r="DU539" s="36" t="s">
        <v>151</v>
      </c>
      <c r="DV539" s="34" t="s">
        <v>151</v>
      </c>
      <c r="DW539" s="36">
        <v>234.21</v>
      </c>
      <c r="DX539" s="34">
        <v>100</v>
      </c>
      <c r="DY539" s="31" t="s">
        <v>151</v>
      </c>
      <c r="DZ539" s="35" t="s">
        <v>151</v>
      </c>
      <c r="EA539" s="35" t="s">
        <v>151</v>
      </c>
      <c r="EB539" s="34">
        <v>9276</v>
      </c>
      <c r="EC539" s="33">
        <v>-577</v>
      </c>
      <c r="ED539" s="32">
        <v>-5.86</v>
      </c>
      <c r="EE539" s="34">
        <v>4450</v>
      </c>
      <c r="EF539" s="33">
        <v>-41</v>
      </c>
      <c r="EG539" s="32">
        <v>-0.91</v>
      </c>
      <c r="EH539" s="29" t="s">
        <v>198</v>
      </c>
      <c r="EI539" s="30" t="s">
        <v>151</v>
      </c>
      <c r="EJ539" s="30" t="s">
        <v>151</v>
      </c>
      <c r="EK539" s="31" t="s">
        <v>151</v>
      </c>
      <c r="EL539" s="31" t="s">
        <v>151</v>
      </c>
      <c r="EM539" s="31" t="s">
        <v>151</v>
      </c>
      <c r="EN539" s="31" t="s">
        <v>151</v>
      </c>
      <c r="EO539" s="31" t="s">
        <v>151</v>
      </c>
      <c r="EP539" s="30" t="s">
        <v>151</v>
      </c>
      <c r="EQ539" s="29" t="s">
        <v>151</v>
      </c>
      <c r="ER539" s="29" t="s">
        <v>151</v>
      </c>
      <c r="ES539" s="4">
        <f>HYPERLINK("https://my.pitchbook.com?c=438328-18","View Company Online")</f>
      </c>
    </row>
    <row r="540">
      <c r="A540" s="17" t="s">
        <v>11278</v>
      </c>
      <c r="B540" s="17" t="s">
        <v>11279</v>
      </c>
      <c r="C540" s="18" t="s">
        <v>151</v>
      </c>
      <c r="D540" s="17" t="s">
        <v>151</v>
      </c>
      <c r="E540" s="17" t="s">
        <v>11280</v>
      </c>
      <c r="F540" s="17" t="s">
        <v>11281</v>
      </c>
      <c r="G540" s="17" t="s">
        <v>151</v>
      </c>
      <c r="H540" s="17" t="s">
        <v>151</v>
      </c>
      <c r="I540" s="17" t="s">
        <v>151</v>
      </c>
      <c r="J540" s="17" t="s">
        <v>11278</v>
      </c>
      <c r="K540" s="17" t="s">
        <v>11282</v>
      </c>
      <c r="L540" s="17" t="s">
        <v>155</v>
      </c>
      <c r="M540" s="17" t="s">
        <v>361</v>
      </c>
      <c r="N540" s="17" t="s">
        <v>3162</v>
      </c>
      <c r="O540" s="17" t="s">
        <v>8993</v>
      </c>
      <c r="P540" s="17" t="s">
        <v>151</v>
      </c>
      <c r="Q540" s="17" t="s">
        <v>11283</v>
      </c>
      <c r="R540" s="17" t="s">
        <v>151</v>
      </c>
      <c r="S540" s="17" t="s">
        <v>162</v>
      </c>
      <c r="T540" s="24">
        <v>3.6</v>
      </c>
      <c r="U540" s="17" t="s">
        <v>163</v>
      </c>
      <c r="V540" s="17" t="s">
        <v>164</v>
      </c>
      <c r="W540" s="17" t="s">
        <v>165</v>
      </c>
      <c r="X540" s="15" t="s">
        <v>11284</v>
      </c>
      <c r="Y540" s="15" t="s">
        <v>11285</v>
      </c>
      <c r="Z540" s="27">
        <v>8</v>
      </c>
      <c r="AA540" s="17" t="s">
        <v>2283</v>
      </c>
      <c r="AB540" s="17" t="s">
        <v>151</v>
      </c>
      <c r="AC540" s="17" t="s">
        <v>151</v>
      </c>
      <c r="AD540" s="26">
        <v>2021</v>
      </c>
      <c r="AE540" s="17" t="s">
        <v>151</v>
      </c>
      <c r="AF540" s="22">
        <v>45565</v>
      </c>
      <c r="AG540" s="17" t="s">
        <v>151</v>
      </c>
      <c r="AH540" s="17" t="s">
        <v>151</v>
      </c>
      <c r="AI540" s="25" t="s">
        <v>151</v>
      </c>
      <c r="AJ540" s="19" t="s">
        <v>151</v>
      </c>
      <c r="AK540" s="25" t="s">
        <v>151</v>
      </c>
      <c r="AL540" s="25" t="s">
        <v>151</v>
      </c>
      <c r="AM540" s="25" t="s">
        <v>151</v>
      </c>
      <c r="AN540" s="25" t="s">
        <v>151</v>
      </c>
      <c r="AO540" s="25" t="s">
        <v>151</v>
      </c>
      <c r="AP540" s="25" t="s">
        <v>151</v>
      </c>
      <c r="AQ540" s="25" t="s">
        <v>151</v>
      </c>
      <c r="AR540" s="16" t="s">
        <v>151</v>
      </c>
      <c r="AS540" s="17" t="s">
        <v>11286</v>
      </c>
      <c r="AT540" s="17" t="s">
        <v>11287</v>
      </c>
      <c r="AU540" s="18">
        <v>11</v>
      </c>
      <c r="AV540" s="17" t="s">
        <v>151</v>
      </c>
      <c r="AW540" s="17" t="s">
        <v>151</v>
      </c>
      <c r="AX540" s="17" t="s">
        <v>151</v>
      </c>
      <c r="AY540" s="17" t="s">
        <v>11288</v>
      </c>
      <c r="AZ540" s="17" t="s">
        <v>151</v>
      </c>
      <c r="BA540" s="17" t="s">
        <v>151</v>
      </c>
      <c r="BB540" s="17" t="s">
        <v>151</v>
      </c>
      <c r="BC540" s="17" t="s">
        <v>151</v>
      </c>
      <c r="BD540" s="17" t="s">
        <v>11289</v>
      </c>
      <c r="BE540" s="17" t="s">
        <v>11290</v>
      </c>
      <c r="BF540" s="17" t="s">
        <v>403</v>
      </c>
      <c r="BG540" s="17" t="s">
        <v>11291</v>
      </c>
      <c r="BH540" s="17" t="s">
        <v>11292</v>
      </c>
      <c r="BI540" s="17" t="s">
        <v>1666</v>
      </c>
      <c r="BJ540" s="17" t="s">
        <v>11293</v>
      </c>
      <c r="BK540" s="17" t="s">
        <v>151</v>
      </c>
      <c r="BL540" s="17" t="s">
        <v>1668</v>
      </c>
      <c r="BM540" s="17" t="s">
        <v>184</v>
      </c>
      <c r="BN540" s="16" t="s">
        <v>11294</v>
      </c>
      <c r="BO540" s="17" t="s">
        <v>186</v>
      </c>
      <c r="BP540" s="16" t="s">
        <v>11295</v>
      </c>
      <c r="BQ540" s="16" t="s">
        <v>151</v>
      </c>
      <c r="BR540" s="17" t="s">
        <v>11296</v>
      </c>
      <c r="BS540" s="17" t="s">
        <v>187</v>
      </c>
      <c r="BT540" s="17" t="s">
        <v>188</v>
      </c>
      <c r="BU540" s="22">
        <v>44501</v>
      </c>
      <c r="BV540" s="24">
        <v>3.6</v>
      </c>
      <c r="BW540" s="17" t="s">
        <v>192</v>
      </c>
      <c r="BX540" s="24" t="s">
        <v>151</v>
      </c>
      <c r="BY540" s="17" t="s">
        <v>151</v>
      </c>
      <c r="BZ540" s="17" t="s">
        <v>293</v>
      </c>
      <c r="CA540" s="17" t="s">
        <v>293</v>
      </c>
      <c r="CB540" s="17" t="s">
        <v>151</v>
      </c>
      <c r="CC540" s="17" t="s">
        <v>165</v>
      </c>
      <c r="CD540" s="17" t="s">
        <v>151</v>
      </c>
      <c r="CE540" s="17" t="s">
        <v>191</v>
      </c>
      <c r="CF540" s="22">
        <v>45352</v>
      </c>
      <c r="CG540" s="24" t="s">
        <v>151</v>
      </c>
      <c r="CH540" s="17" t="s">
        <v>151</v>
      </c>
      <c r="CI540" s="24" t="s">
        <v>151</v>
      </c>
      <c r="CJ540" s="17" t="s">
        <v>151</v>
      </c>
      <c r="CK540" s="16" t="s">
        <v>151</v>
      </c>
      <c r="CL540" s="17" t="s">
        <v>231</v>
      </c>
      <c r="CM540" s="17" t="s">
        <v>151</v>
      </c>
      <c r="CN540" s="17" t="s">
        <v>151</v>
      </c>
      <c r="CO540" s="17" t="s">
        <v>165</v>
      </c>
      <c r="CP540" s="22">
        <v>45352</v>
      </c>
      <c r="CQ540" s="24" t="s">
        <v>151</v>
      </c>
      <c r="CR540" s="17" t="s">
        <v>151</v>
      </c>
      <c r="CS540" s="17" t="s">
        <v>191</v>
      </c>
      <c r="CT540" s="16">
        <v>44</v>
      </c>
      <c r="CU540" s="17" t="s">
        <v>263</v>
      </c>
      <c r="CV540" s="19">
        <v>43</v>
      </c>
      <c r="CW540" s="19">
        <v>57</v>
      </c>
      <c r="CX540" s="17" t="s">
        <v>263</v>
      </c>
      <c r="CY540" s="19">
        <v>1</v>
      </c>
      <c r="CZ540" s="19">
        <v>42</v>
      </c>
      <c r="DA540" s="24" t="s">
        <v>151</v>
      </c>
      <c r="DB540" s="22" t="s">
        <v>151</v>
      </c>
      <c r="DC540" s="17" t="s">
        <v>151</v>
      </c>
      <c r="DD540" s="16" t="s">
        <v>151</v>
      </c>
      <c r="DE540" s="19">
        <v>0</v>
      </c>
      <c r="DF540" s="21">
        <v>11</v>
      </c>
      <c r="DG540" s="19">
        <v>0</v>
      </c>
      <c r="DH540" s="19">
        <v>0</v>
      </c>
      <c r="DI540" s="19">
        <v>0</v>
      </c>
      <c r="DJ540" s="21">
        <v>10</v>
      </c>
      <c r="DK540" s="19" t="s">
        <v>151</v>
      </c>
      <c r="DL540" s="21" t="s">
        <v>151</v>
      </c>
      <c r="DM540" s="19">
        <v>0</v>
      </c>
      <c r="DN540" s="21">
        <v>10</v>
      </c>
      <c r="DO540" s="23">
        <v>2.47</v>
      </c>
      <c r="DP540" s="21">
        <v>71</v>
      </c>
      <c r="DQ540" s="23">
        <v>0</v>
      </c>
      <c r="DR540" s="19">
        <v>0</v>
      </c>
      <c r="DS540" s="23">
        <v>2.47</v>
      </c>
      <c r="DT540" s="21">
        <v>70</v>
      </c>
      <c r="DU540" s="23" t="s">
        <v>151</v>
      </c>
      <c r="DV540" s="21" t="s">
        <v>151</v>
      </c>
      <c r="DW540" s="23">
        <v>2.47</v>
      </c>
      <c r="DX540" s="21">
        <v>70</v>
      </c>
      <c r="DY540" s="18" t="s">
        <v>151</v>
      </c>
      <c r="DZ540" s="22" t="s">
        <v>151</v>
      </c>
      <c r="EA540" s="22" t="s">
        <v>151</v>
      </c>
      <c r="EB540" s="21">
        <v>689</v>
      </c>
      <c r="EC540" s="20">
        <v>111</v>
      </c>
      <c r="ED540" s="19">
        <v>19.2</v>
      </c>
      <c r="EE540" s="21">
        <v>47</v>
      </c>
      <c r="EF540" s="20">
        <v>0</v>
      </c>
      <c r="EG540" s="19">
        <v>0</v>
      </c>
      <c r="EH540" s="16" t="s">
        <v>198</v>
      </c>
      <c r="EI540" s="17" t="s">
        <v>151</v>
      </c>
      <c r="EJ540" s="17" t="s">
        <v>151</v>
      </c>
      <c r="EK540" s="18" t="s">
        <v>151</v>
      </c>
      <c r="EL540" s="18" t="s">
        <v>151</v>
      </c>
      <c r="EM540" s="18" t="s">
        <v>151</v>
      </c>
      <c r="EN540" s="18" t="s">
        <v>151</v>
      </c>
      <c r="EO540" s="18" t="s">
        <v>151</v>
      </c>
      <c r="EP540" s="17" t="s">
        <v>151</v>
      </c>
      <c r="EQ540" s="16" t="s">
        <v>151</v>
      </c>
      <c r="ER540" s="16" t="s">
        <v>151</v>
      </c>
      <c r="ES540" s="3">
        <f>HYPERLINK("https://my.pitchbook.com?c=491726-44","View Company Online")</f>
      </c>
    </row>
    <row r="541">
      <c r="A541" s="30" t="s">
        <v>11297</v>
      </c>
      <c r="B541" s="30" t="s">
        <v>11298</v>
      </c>
      <c r="C541" s="31" t="s">
        <v>151</v>
      </c>
      <c r="D541" s="30" t="s">
        <v>151</v>
      </c>
      <c r="E541" s="30" t="s">
        <v>11299</v>
      </c>
      <c r="F541" s="30" t="s">
        <v>11300</v>
      </c>
      <c r="G541" s="30" t="s">
        <v>151</v>
      </c>
      <c r="H541" s="30" t="s">
        <v>151</v>
      </c>
      <c r="I541" s="30" t="s">
        <v>151</v>
      </c>
      <c r="J541" s="30" t="s">
        <v>11297</v>
      </c>
      <c r="K541" s="30" t="s">
        <v>11301</v>
      </c>
      <c r="L541" s="30" t="s">
        <v>1178</v>
      </c>
      <c r="M541" s="30" t="s">
        <v>1179</v>
      </c>
      <c r="N541" s="30" t="s">
        <v>1179</v>
      </c>
      <c r="O541" s="30" t="s">
        <v>1180</v>
      </c>
      <c r="P541" s="30" t="s">
        <v>209</v>
      </c>
      <c r="Q541" s="30" t="s">
        <v>11302</v>
      </c>
      <c r="R541" s="30" t="s">
        <v>211</v>
      </c>
      <c r="S541" s="30" t="s">
        <v>162</v>
      </c>
      <c r="T541" s="37">
        <v>5</v>
      </c>
      <c r="U541" s="30" t="s">
        <v>163</v>
      </c>
      <c r="V541" s="30" t="s">
        <v>164</v>
      </c>
      <c r="W541" s="30" t="s">
        <v>165</v>
      </c>
      <c r="X541" s="28" t="s">
        <v>11303</v>
      </c>
      <c r="Y541" s="28" t="s">
        <v>11304</v>
      </c>
      <c r="Z541" s="40" t="s">
        <v>151</v>
      </c>
      <c r="AA541" s="30" t="s">
        <v>151</v>
      </c>
      <c r="AB541" s="30" t="s">
        <v>151</v>
      </c>
      <c r="AC541" s="30" t="s">
        <v>151</v>
      </c>
      <c r="AD541" s="39">
        <v>2022</v>
      </c>
      <c r="AE541" s="30" t="s">
        <v>151</v>
      </c>
      <c r="AF541" s="35">
        <v>45525</v>
      </c>
      <c r="AG541" s="30" t="s">
        <v>151</v>
      </c>
      <c r="AH541" s="30" t="s">
        <v>151</v>
      </c>
      <c r="AI541" s="38" t="s">
        <v>151</v>
      </c>
      <c r="AJ541" s="32" t="s">
        <v>151</v>
      </c>
      <c r="AK541" s="38" t="s">
        <v>151</v>
      </c>
      <c r="AL541" s="38" t="s">
        <v>151</v>
      </c>
      <c r="AM541" s="38" t="s">
        <v>151</v>
      </c>
      <c r="AN541" s="38" t="s">
        <v>151</v>
      </c>
      <c r="AO541" s="38" t="s">
        <v>151</v>
      </c>
      <c r="AP541" s="38" t="s">
        <v>151</v>
      </c>
      <c r="AQ541" s="38" t="s">
        <v>151</v>
      </c>
      <c r="AR541" s="29" t="s">
        <v>151</v>
      </c>
      <c r="AS541" s="30" t="s">
        <v>11305</v>
      </c>
      <c r="AT541" s="30" t="s">
        <v>11306</v>
      </c>
      <c r="AU541" s="31">
        <v>1</v>
      </c>
      <c r="AV541" s="30" t="s">
        <v>151</v>
      </c>
      <c r="AW541" s="30" t="s">
        <v>151</v>
      </c>
      <c r="AX541" s="30" t="s">
        <v>151</v>
      </c>
      <c r="AY541" s="30" t="s">
        <v>11307</v>
      </c>
      <c r="AZ541" s="30" t="s">
        <v>151</v>
      </c>
      <c r="BA541" s="30" t="s">
        <v>151</v>
      </c>
      <c r="BB541" s="30" t="s">
        <v>151</v>
      </c>
      <c r="BC541" s="30" t="s">
        <v>151</v>
      </c>
      <c r="BD541" s="30" t="s">
        <v>11308</v>
      </c>
      <c r="BE541" s="30" t="s">
        <v>11309</v>
      </c>
      <c r="BF541" s="30" t="s">
        <v>3087</v>
      </c>
      <c r="BG541" s="30" t="s">
        <v>11310</v>
      </c>
      <c r="BH541" s="30" t="s">
        <v>151</v>
      </c>
      <c r="BI541" s="30" t="s">
        <v>906</v>
      </c>
      <c r="BJ541" s="30" t="s">
        <v>11311</v>
      </c>
      <c r="BK541" s="30" t="s">
        <v>151</v>
      </c>
      <c r="BL541" s="30" t="s">
        <v>259</v>
      </c>
      <c r="BM541" s="30" t="s">
        <v>259</v>
      </c>
      <c r="BN541" s="29" t="s">
        <v>11312</v>
      </c>
      <c r="BO541" s="30" t="s">
        <v>186</v>
      </c>
      <c r="BP541" s="29" t="s">
        <v>151</v>
      </c>
      <c r="BQ541" s="29" t="s">
        <v>151</v>
      </c>
      <c r="BR541" s="30" t="s">
        <v>11313</v>
      </c>
      <c r="BS541" s="30" t="s">
        <v>187</v>
      </c>
      <c r="BT541" s="30" t="s">
        <v>188</v>
      </c>
      <c r="BU541" s="35">
        <v>44707</v>
      </c>
      <c r="BV541" s="37">
        <v>5</v>
      </c>
      <c r="BW541" s="30" t="s">
        <v>192</v>
      </c>
      <c r="BX541" s="37" t="s">
        <v>151</v>
      </c>
      <c r="BY541" s="30" t="s">
        <v>151</v>
      </c>
      <c r="BZ541" s="30" t="s">
        <v>293</v>
      </c>
      <c r="CA541" s="30" t="s">
        <v>293</v>
      </c>
      <c r="CB541" s="30" t="s">
        <v>151</v>
      </c>
      <c r="CC541" s="30" t="s">
        <v>165</v>
      </c>
      <c r="CD541" s="30" t="s">
        <v>151</v>
      </c>
      <c r="CE541" s="30" t="s">
        <v>191</v>
      </c>
      <c r="CF541" s="35">
        <v>44707</v>
      </c>
      <c r="CG541" s="37">
        <v>5</v>
      </c>
      <c r="CH541" s="30" t="s">
        <v>192</v>
      </c>
      <c r="CI541" s="37" t="s">
        <v>151</v>
      </c>
      <c r="CJ541" s="30" t="s">
        <v>151</v>
      </c>
      <c r="CK541" s="29" t="s">
        <v>151</v>
      </c>
      <c r="CL541" s="30" t="s">
        <v>293</v>
      </c>
      <c r="CM541" s="30" t="s">
        <v>293</v>
      </c>
      <c r="CN541" s="30" t="s">
        <v>151</v>
      </c>
      <c r="CO541" s="30" t="s">
        <v>165</v>
      </c>
      <c r="CP541" s="35">
        <v>44707</v>
      </c>
      <c r="CQ541" s="37" t="s">
        <v>151</v>
      </c>
      <c r="CR541" s="30" t="s">
        <v>151</v>
      </c>
      <c r="CS541" s="30" t="s">
        <v>191</v>
      </c>
      <c r="CT541" s="29" t="s">
        <v>151</v>
      </c>
      <c r="CU541" s="30" t="s">
        <v>151</v>
      </c>
      <c r="CV541" s="32" t="s">
        <v>151</v>
      </c>
      <c r="CW541" s="32" t="s">
        <v>151</v>
      </c>
      <c r="CX541" s="30" t="s">
        <v>151</v>
      </c>
      <c r="CY541" s="32" t="s">
        <v>151</v>
      </c>
      <c r="CZ541" s="32" t="s">
        <v>151</v>
      </c>
      <c r="DA541" s="37" t="s">
        <v>151</v>
      </c>
      <c r="DB541" s="35" t="s">
        <v>151</v>
      </c>
      <c r="DC541" s="30" t="s">
        <v>151</v>
      </c>
      <c r="DD541" s="29" t="s">
        <v>151</v>
      </c>
      <c r="DE541" s="32">
        <v>0</v>
      </c>
      <c r="DF541" s="34">
        <v>11</v>
      </c>
      <c r="DG541" s="32">
        <v>0</v>
      </c>
      <c r="DH541" s="32">
        <v>0</v>
      </c>
      <c r="DI541" s="32">
        <v>0</v>
      </c>
      <c r="DJ541" s="34">
        <v>10</v>
      </c>
      <c r="DK541" s="32" t="s">
        <v>151</v>
      </c>
      <c r="DL541" s="34" t="s">
        <v>151</v>
      </c>
      <c r="DM541" s="32">
        <v>0</v>
      </c>
      <c r="DN541" s="34">
        <v>10</v>
      </c>
      <c r="DO541" s="36">
        <v>1.89</v>
      </c>
      <c r="DP541" s="34">
        <v>65</v>
      </c>
      <c r="DQ541" s="36">
        <v>0</v>
      </c>
      <c r="DR541" s="32">
        <v>0</v>
      </c>
      <c r="DS541" s="36">
        <v>1.89</v>
      </c>
      <c r="DT541" s="34">
        <v>65</v>
      </c>
      <c r="DU541" s="36" t="s">
        <v>151</v>
      </c>
      <c r="DV541" s="34" t="s">
        <v>151</v>
      </c>
      <c r="DW541" s="36">
        <v>1.89</v>
      </c>
      <c r="DX541" s="34">
        <v>64</v>
      </c>
      <c r="DY541" s="31" t="s">
        <v>151</v>
      </c>
      <c r="DZ541" s="35" t="s">
        <v>151</v>
      </c>
      <c r="EA541" s="35" t="s">
        <v>151</v>
      </c>
      <c r="EB541" s="34">
        <v>402</v>
      </c>
      <c r="EC541" s="33">
        <v>-65</v>
      </c>
      <c r="ED541" s="32">
        <v>-13.92</v>
      </c>
      <c r="EE541" s="34">
        <v>36</v>
      </c>
      <c r="EF541" s="33">
        <v>0</v>
      </c>
      <c r="EG541" s="32">
        <v>0</v>
      </c>
      <c r="EH541" s="29" t="s">
        <v>198</v>
      </c>
      <c r="EI541" s="30" t="s">
        <v>151</v>
      </c>
      <c r="EJ541" s="30" t="s">
        <v>151</v>
      </c>
      <c r="EK541" s="31" t="s">
        <v>151</v>
      </c>
      <c r="EL541" s="31" t="s">
        <v>151</v>
      </c>
      <c r="EM541" s="31" t="s">
        <v>151</v>
      </c>
      <c r="EN541" s="31" t="s">
        <v>151</v>
      </c>
      <c r="EO541" s="31" t="s">
        <v>151</v>
      </c>
      <c r="EP541" s="30" t="s">
        <v>151</v>
      </c>
      <c r="EQ541" s="29" t="s">
        <v>151</v>
      </c>
      <c r="ER541" s="29" t="s">
        <v>151</v>
      </c>
      <c r="ES541" s="4">
        <f>HYPERLINK("https://my.pitchbook.com?c=497451-52","View Company Online")</f>
      </c>
    </row>
    <row r="542">
      <c r="A542" s="17" t="s">
        <v>11314</v>
      </c>
      <c r="B542" s="17" t="s">
        <v>11315</v>
      </c>
      <c r="C542" s="18" t="s">
        <v>151</v>
      </c>
      <c r="D542" s="17" t="s">
        <v>11316</v>
      </c>
      <c r="E542" s="17" t="s">
        <v>151</v>
      </c>
      <c r="F542" s="17" t="s">
        <v>11317</v>
      </c>
      <c r="G542" s="17" t="s">
        <v>151</v>
      </c>
      <c r="H542" s="17" t="s">
        <v>151</v>
      </c>
      <c r="I542" s="17" t="s">
        <v>151</v>
      </c>
      <c r="J542" s="17" t="s">
        <v>11314</v>
      </c>
      <c r="K542" s="17" t="s">
        <v>11318</v>
      </c>
      <c r="L542" s="17" t="s">
        <v>616</v>
      </c>
      <c r="M542" s="17" t="s">
        <v>834</v>
      </c>
      <c r="N542" s="17" t="s">
        <v>11319</v>
      </c>
      <c r="O542" s="17" t="s">
        <v>11320</v>
      </c>
      <c r="P542" s="17" t="s">
        <v>11321</v>
      </c>
      <c r="Q542" s="17" t="s">
        <v>11322</v>
      </c>
      <c r="R542" s="17" t="s">
        <v>151</v>
      </c>
      <c r="S542" s="17" t="s">
        <v>162</v>
      </c>
      <c r="T542" s="24">
        <v>1.9</v>
      </c>
      <c r="U542" s="17" t="s">
        <v>163</v>
      </c>
      <c r="V542" s="17" t="s">
        <v>164</v>
      </c>
      <c r="W542" s="17" t="s">
        <v>165</v>
      </c>
      <c r="X542" s="15" t="s">
        <v>11323</v>
      </c>
      <c r="Y542" s="15" t="s">
        <v>11324</v>
      </c>
      <c r="Z542" s="27">
        <v>87</v>
      </c>
      <c r="AA542" s="17" t="s">
        <v>11325</v>
      </c>
      <c r="AB542" s="17" t="s">
        <v>151</v>
      </c>
      <c r="AC542" s="17" t="s">
        <v>151</v>
      </c>
      <c r="AD542" s="26">
        <v>2018</v>
      </c>
      <c r="AE542" s="17" t="s">
        <v>151</v>
      </c>
      <c r="AF542" s="22">
        <v>45303</v>
      </c>
      <c r="AG542" s="17" t="s">
        <v>151</v>
      </c>
      <c r="AH542" s="17" t="s">
        <v>151</v>
      </c>
      <c r="AI542" s="25" t="s">
        <v>151</v>
      </c>
      <c r="AJ542" s="19" t="s">
        <v>151</v>
      </c>
      <c r="AK542" s="25" t="s">
        <v>151</v>
      </c>
      <c r="AL542" s="25" t="s">
        <v>151</v>
      </c>
      <c r="AM542" s="25" t="s">
        <v>151</v>
      </c>
      <c r="AN542" s="25" t="s">
        <v>151</v>
      </c>
      <c r="AO542" s="25" t="s">
        <v>151</v>
      </c>
      <c r="AP542" s="25" t="s">
        <v>151</v>
      </c>
      <c r="AQ542" s="25" t="s">
        <v>151</v>
      </c>
      <c r="AR542" s="16" t="s">
        <v>151</v>
      </c>
      <c r="AS542" s="17" t="s">
        <v>11326</v>
      </c>
      <c r="AT542" s="17" t="s">
        <v>11327</v>
      </c>
      <c r="AU542" s="18">
        <v>3</v>
      </c>
      <c r="AV542" s="17" t="s">
        <v>151</v>
      </c>
      <c r="AW542" s="17" t="s">
        <v>151</v>
      </c>
      <c r="AX542" s="17" t="s">
        <v>151</v>
      </c>
      <c r="AY542" s="17" t="s">
        <v>11328</v>
      </c>
      <c r="AZ542" s="17" t="s">
        <v>151</v>
      </c>
      <c r="BA542" s="17" t="s">
        <v>151</v>
      </c>
      <c r="BB542" s="17" t="s">
        <v>151</v>
      </c>
      <c r="BC542" s="17" t="s">
        <v>151</v>
      </c>
      <c r="BD542" s="17" t="s">
        <v>11329</v>
      </c>
      <c r="BE542" s="17" t="s">
        <v>11330</v>
      </c>
      <c r="BF542" s="17" t="s">
        <v>11331</v>
      </c>
      <c r="BG542" s="17" t="s">
        <v>11332</v>
      </c>
      <c r="BH542" s="17" t="s">
        <v>11333</v>
      </c>
      <c r="BI542" s="17" t="s">
        <v>11334</v>
      </c>
      <c r="BJ542" s="17" t="s">
        <v>11335</v>
      </c>
      <c r="BK542" s="17" t="s">
        <v>3134</v>
      </c>
      <c r="BL542" s="17" t="s">
        <v>11336</v>
      </c>
      <c r="BM542" s="17" t="s">
        <v>4379</v>
      </c>
      <c r="BN542" s="16" t="s">
        <v>11337</v>
      </c>
      <c r="BO542" s="17" t="s">
        <v>186</v>
      </c>
      <c r="BP542" s="16" t="s">
        <v>11333</v>
      </c>
      <c r="BQ542" s="16" t="s">
        <v>151</v>
      </c>
      <c r="BR542" s="17" t="s">
        <v>11338</v>
      </c>
      <c r="BS542" s="17" t="s">
        <v>187</v>
      </c>
      <c r="BT542" s="17" t="s">
        <v>188</v>
      </c>
      <c r="BU542" s="22">
        <v>44573</v>
      </c>
      <c r="BV542" s="24">
        <v>1.9</v>
      </c>
      <c r="BW542" s="17" t="s">
        <v>192</v>
      </c>
      <c r="BX542" s="24">
        <v>4.9</v>
      </c>
      <c r="BY542" s="17" t="s">
        <v>192</v>
      </c>
      <c r="BZ542" s="17" t="s">
        <v>293</v>
      </c>
      <c r="CA542" s="17" t="s">
        <v>293</v>
      </c>
      <c r="CB542" s="17" t="s">
        <v>151</v>
      </c>
      <c r="CC542" s="17" t="s">
        <v>165</v>
      </c>
      <c r="CD542" s="17" t="s">
        <v>151</v>
      </c>
      <c r="CE542" s="17" t="s">
        <v>191</v>
      </c>
      <c r="CF542" s="22">
        <v>44573</v>
      </c>
      <c r="CG542" s="24">
        <v>1.9</v>
      </c>
      <c r="CH542" s="17" t="s">
        <v>192</v>
      </c>
      <c r="CI542" s="24">
        <v>4.9</v>
      </c>
      <c r="CJ542" s="17" t="s">
        <v>192</v>
      </c>
      <c r="CK542" s="16" t="s">
        <v>151</v>
      </c>
      <c r="CL542" s="17" t="s">
        <v>293</v>
      </c>
      <c r="CM542" s="17" t="s">
        <v>293</v>
      </c>
      <c r="CN542" s="17" t="s">
        <v>151</v>
      </c>
      <c r="CO542" s="17" t="s">
        <v>165</v>
      </c>
      <c r="CP542" s="22">
        <v>44573</v>
      </c>
      <c r="CQ542" s="24" t="s">
        <v>151</v>
      </c>
      <c r="CR542" s="17" t="s">
        <v>151</v>
      </c>
      <c r="CS542" s="17" t="s">
        <v>191</v>
      </c>
      <c r="CT542" s="16" t="s">
        <v>151</v>
      </c>
      <c r="CU542" s="17" t="s">
        <v>151</v>
      </c>
      <c r="CV542" s="19" t="s">
        <v>151</v>
      </c>
      <c r="CW542" s="19" t="s">
        <v>151</v>
      </c>
      <c r="CX542" s="17" t="s">
        <v>151</v>
      </c>
      <c r="CY542" s="19" t="s">
        <v>151</v>
      </c>
      <c r="CZ542" s="19" t="s">
        <v>151</v>
      </c>
      <c r="DA542" s="24">
        <v>4.9</v>
      </c>
      <c r="DB542" s="22">
        <v>44573</v>
      </c>
      <c r="DC542" s="17" t="s">
        <v>293</v>
      </c>
      <c r="DD542" s="16" t="s">
        <v>151</v>
      </c>
      <c r="DE542" s="19">
        <v>0</v>
      </c>
      <c r="DF542" s="21">
        <v>11</v>
      </c>
      <c r="DG542" s="19">
        <v>0</v>
      </c>
      <c r="DH542" s="19">
        <v>0</v>
      </c>
      <c r="DI542" s="19">
        <v>0</v>
      </c>
      <c r="DJ542" s="21">
        <v>10</v>
      </c>
      <c r="DK542" s="19" t="s">
        <v>151</v>
      </c>
      <c r="DL542" s="21" t="s">
        <v>151</v>
      </c>
      <c r="DM542" s="19">
        <v>0</v>
      </c>
      <c r="DN542" s="21">
        <v>10</v>
      </c>
      <c r="DO542" s="23">
        <v>1.53</v>
      </c>
      <c r="DP542" s="21">
        <v>60</v>
      </c>
      <c r="DQ542" s="23">
        <v>0</v>
      </c>
      <c r="DR542" s="19">
        <v>0</v>
      </c>
      <c r="DS542" s="23">
        <v>1.53</v>
      </c>
      <c r="DT542" s="21">
        <v>60</v>
      </c>
      <c r="DU542" s="23" t="s">
        <v>151</v>
      </c>
      <c r="DV542" s="21" t="s">
        <v>151</v>
      </c>
      <c r="DW542" s="23">
        <v>1.53</v>
      </c>
      <c r="DX542" s="21">
        <v>59</v>
      </c>
      <c r="DY542" s="18" t="s">
        <v>151</v>
      </c>
      <c r="DZ542" s="22" t="s">
        <v>151</v>
      </c>
      <c r="EA542" s="22" t="s">
        <v>151</v>
      </c>
      <c r="EB542" s="21">
        <v>402</v>
      </c>
      <c r="EC542" s="20">
        <v>26</v>
      </c>
      <c r="ED542" s="19">
        <v>6.91</v>
      </c>
      <c r="EE542" s="21">
        <v>29</v>
      </c>
      <c r="EF542" s="20">
        <v>1</v>
      </c>
      <c r="EG542" s="19">
        <v>3.57</v>
      </c>
      <c r="EH542" s="16" t="s">
        <v>198</v>
      </c>
      <c r="EI542" s="17" t="s">
        <v>151</v>
      </c>
      <c r="EJ542" s="17" t="s">
        <v>151</v>
      </c>
      <c r="EK542" s="18" t="s">
        <v>151</v>
      </c>
      <c r="EL542" s="18" t="s">
        <v>151</v>
      </c>
      <c r="EM542" s="18" t="s">
        <v>151</v>
      </c>
      <c r="EN542" s="18" t="s">
        <v>151</v>
      </c>
      <c r="EO542" s="18" t="s">
        <v>151</v>
      </c>
      <c r="EP542" s="17" t="s">
        <v>151</v>
      </c>
      <c r="EQ542" s="16" t="s">
        <v>151</v>
      </c>
      <c r="ER542" s="16" t="s">
        <v>151</v>
      </c>
      <c r="ES542" s="3">
        <f>HYPERLINK("https://my.pitchbook.com?c=490952-53","View Company Online")</f>
      </c>
    </row>
    <row r="543">
      <c r="A543" s="30" t="s">
        <v>11339</v>
      </c>
      <c r="B543" s="30" t="s">
        <v>11340</v>
      </c>
      <c r="C543" s="31" t="s">
        <v>151</v>
      </c>
      <c r="D543" s="30" t="s">
        <v>151</v>
      </c>
      <c r="E543" s="30" t="s">
        <v>151</v>
      </c>
      <c r="F543" s="30" t="s">
        <v>11341</v>
      </c>
      <c r="G543" s="30" t="s">
        <v>151</v>
      </c>
      <c r="H543" s="30" t="s">
        <v>151</v>
      </c>
      <c r="I543" s="30" t="s">
        <v>151</v>
      </c>
      <c r="J543" s="30" t="s">
        <v>11339</v>
      </c>
      <c r="K543" s="30" t="s">
        <v>11342</v>
      </c>
      <c r="L543" s="30" t="s">
        <v>205</v>
      </c>
      <c r="M543" s="30" t="s">
        <v>206</v>
      </c>
      <c r="N543" s="30" t="s">
        <v>1940</v>
      </c>
      <c r="O543" s="30" t="s">
        <v>1941</v>
      </c>
      <c r="P543" s="30" t="s">
        <v>11343</v>
      </c>
      <c r="Q543" s="30" t="s">
        <v>11344</v>
      </c>
      <c r="R543" s="30" t="s">
        <v>151</v>
      </c>
      <c r="S543" s="30" t="s">
        <v>162</v>
      </c>
      <c r="T543" s="37">
        <v>3.45</v>
      </c>
      <c r="U543" s="30" t="s">
        <v>163</v>
      </c>
      <c r="V543" s="30" t="s">
        <v>164</v>
      </c>
      <c r="W543" s="30" t="s">
        <v>165</v>
      </c>
      <c r="X543" s="28" t="s">
        <v>11345</v>
      </c>
      <c r="Y543" s="28" t="s">
        <v>11346</v>
      </c>
      <c r="Z543" s="40">
        <v>10</v>
      </c>
      <c r="AA543" s="30" t="s">
        <v>11347</v>
      </c>
      <c r="AB543" s="30" t="s">
        <v>151</v>
      </c>
      <c r="AC543" s="30" t="s">
        <v>151</v>
      </c>
      <c r="AD543" s="39">
        <v>2018</v>
      </c>
      <c r="AE543" s="30" t="s">
        <v>151</v>
      </c>
      <c r="AF543" s="35">
        <v>45616</v>
      </c>
      <c r="AG543" s="30" t="s">
        <v>151</v>
      </c>
      <c r="AH543" s="30" t="s">
        <v>151</v>
      </c>
      <c r="AI543" s="38" t="s">
        <v>151</v>
      </c>
      <c r="AJ543" s="32" t="s">
        <v>151</v>
      </c>
      <c r="AK543" s="38" t="s">
        <v>151</v>
      </c>
      <c r="AL543" s="38" t="s">
        <v>151</v>
      </c>
      <c r="AM543" s="38" t="s">
        <v>151</v>
      </c>
      <c r="AN543" s="38" t="s">
        <v>151</v>
      </c>
      <c r="AO543" s="38" t="s">
        <v>151</v>
      </c>
      <c r="AP543" s="38" t="s">
        <v>151</v>
      </c>
      <c r="AQ543" s="38" t="s">
        <v>151</v>
      </c>
      <c r="AR543" s="29" t="s">
        <v>151</v>
      </c>
      <c r="AS543" s="30" t="s">
        <v>11348</v>
      </c>
      <c r="AT543" s="30" t="s">
        <v>11349</v>
      </c>
      <c r="AU543" s="31">
        <v>17</v>
      </c>
      <c r="AV543" s="30" t="s">
        <v>151</v>
      </c>
      <c r="AW543" s="30" t="s">
        <v>151</v>
      </c>
      <c r="AX543" s="30" t="s">
        <v>151</v>
      </c>
      <c r="AY543" s="30" t="s">
        <v>11350</v>
      </c>
      <c r="AZ543" s="30" t="s">
        <v>151</v>
      </c>
      <c r="BA543" s="30" t="s">
        <v>151</v>
      </c>
      <c r="BB543" s="30" t="s">
        <v>151</v>
      </c>
      <c r="BC543" s="30" t="s">
        <v>11351</v>
      </c>
      <c r="BD543" s="30" t="s">
        <v>11352</v>
      </c>
      <c r="BE543" s="30" t="s">
        <v>11353</v>
      </c>
      <c r="BF543" s="30" t="s">
        <v>2140</v>
      </c>
      <c r="BG543" s="30" t="s">
        <v>11354</v>
      </c>
      <c r="BH543" s="30" t="s">
        <v>11355</v>
      </c>
      <c r="BI543" s="30" t="s">
        <v>8215</v>
      </c>
      <c r="BJ543" s="30" t="s">
        <v>8216</v>
      </c>
      <c r="BK543" s="30" t="s">
        <v>11356</v>
      </c>
      <c r="BL543" s="30" t="s">
        <v>8218</v>
      </c>
      <c r="BM543" s="30" t="s">
        <v>184</v>
      </c>
      <c r="BN543" s="29" t="s">
        <v>8219</v>
      </c>
      <c r="BO543" s="30" t="s">
        <v>186</v>
      </c>
      <c r="BP543" s="29" t="s">
        <v>11355</v>
      </c>
      <c r="BQ543" s="29" t="s">
        <v>151</v>
      </c>
      <c r="BR543" s="30" t="s">
        <v>11357</v>
      </c>
      <c r="BS543" s="30" t="s">
        <v>187</v>
      </c>
      <c r="BT543" s="30" t="s">
        <v>188</v>
      </c>
      <c r="BU543" s="35">
        <v>43417</v>
      </c>
      <c r="BV543" s="37" t="s">
        <v>151</v>
      </c>
      <c r="BW543" s="30" t="s">
        <v>151</v>
      </c>
      <c r="BX543" s="37" t="s">
        <v>151</v>
      </c>
      <c r="BY543" s="30" t="s">
        <v>151</v>
      </c>
      <c r="BZ543" s="30" t="s">
        <v>189</v>
      </c>
      <c r="CA543" s="30" t="s">
        <v>151</v>
      </c>
      <c r="CB543" s="30" t="s">
        <v>151</v>
      </c>
      <c r="CC543" s="30" t="s">
        <v>190</v>
      </c>
      <c r="CD543" s="30" t="s">
        <v>151</v>
      </c>
      <c r="CE543" s="30" t="s">
        <v>191</v>
      </c>
      <c r="CF543" s="35">
        <v>45408</v>
      </c>
      <c r="CG543" s="37" t="s">
        <v>151</v>
      </c>
      <c r="CH543" s="30" t="s">
        <v>151</v>
      </c>
      <c r="CI543" s="37" t="s">
        <v>151</v>
      </c>
      <c r="CJ543" s="30" t="s">
        <v>151</v>
      </c>
      <c r="CK543" s="29" t="s">
        <v>151</v>
      </c>
      <c r="CL543" s="30" t="s">
        <v>189</v>
      </c>
      <c r="CM543" s="30" t="s">
        <v>151</v>
      </c>
      <c r="CN543" s="30" t="s">
        <v>151</v>
      </c>
      <c r="CO543" s="30" t="s">
        <v>190</v>
      </c>
      <c r="CP543" s="35">
        <v>45408</v>
      </c>
      <c r="CQ543" s="37" t="s">
        <v>151</v>
      </c>
      <c r="CR543" s="30" t="s">
        <v>151</v>
      </c>
      <c r="CS543" s="30" t="s">
        <v>191</v>
      </c>
      <c r="CT543" s="29" t="s">
        <v>151</v>
      </c>
      <c r="CU543" s="30" t="s">
        <v>151</v>
      </c>
      <c r="CV543" s="32" t="s">
        <v>151</v>
      </c>
      <c r="CW543" s="32" t="s">
        <v>151</v>
      </c>
      <c r="CX543" s="30" t="s">
        <v>151</v>
      </c>
      <c r="CY543" s="32" t="s">
        <v>151</v>
      </c>
      <c r="CZ543" s="32" t="s">
        <v>151</v>
      </c>
      <c r="DA543" s="37">
        <v>0.33</v>
      </c>
      <c r="DB543" s="35">
        <v>43857</v>
      </c>
      <c r="DC543" s="30" t="s">
        <v>189</v>
      </c>
      <c r="DD543" s="29" t="s">
        <v>151</v>
      </c>
      <c r="DE543" s="32" t="s">
        <v>151</v>
      </c>
      <c r="DF543" s="34" t="s">
        <v>151</v>
      </c>
      <c r="DG543" s="32" t="s">
        <v>151</v>
      </c>
      <c r="DH543" s="32" t="s">
        <v>151</v>
      </c>
      <c r="DI543" s="32" t="s">
        <v>151</v>
      </c>
      <c r="DJ543" s="34" t="s">
        <v>151</v>
      </c>
      <c r="DK543" s="32" t="s">
        <v>151</v>
      </c>
      <c r="DL543" s="34" t="s">
        <v>151</v>
      </c>
      <c r="DM543" s="32" t="s">
        <v>151</v>
      </c>
      <c r="DN543" s="34" t="s">
        <v>151</v>
      </c>
      <c r="DO543" s="36" t="s">
        <v>151</v>
      </c>
      <c r="DP543" s="34" t="s">
        <v>151</v>
      </c>
      <c r="DQ543" s="36" t="s">
        <v>151</v>
      </c>
      <c r="DR543" s="32" t="s">
        <v>151</v>
      </c>
      <c r="DS543" s="36" t="s">
        <v>151</v>
      </c>
      <c r="DT543" s="34" t="s">
        <v>151</v>
      </c>
      <c r="DU543" s="36" t="s">
        <v>151</v>
      </c>
      <c r="DV543" s="34" t="s">
        <v>151</v>
      </c>
      <c r="DW543" s="36" t="s">
        <v>151</v>
      </c>
      <c r="DX543" s="34" t="s">
        <v>151</v>
      </c>
      <c r="DY543" s="31" t="s">
        <v>151</v>
      </c>
      <c r="DZ543" s="35" t="s">
        <v>151</v>
      </c>
      <c r="EA543" s="35" t="s">
        <v>151</v>
      </c>
      <c r="EB543" s="34" t="s">
        <v>151</v>
      </c>
      <c r="EC543" s="33" t="s">
        <v>151</v>
      </c>
      <c r="ED543" s="32" t="s">
        <v>151</v>
      </c>
      <c r="EE543" s="34" t="s">
        <v>151</v>
      </c>
      <c r="EF543" s="33" t="s">
        <v>151</v>
      </c>
      <c r="EG543" s="32" t="s">
        <v>151</v>
      </c>
      <c r="EH543" s="29" t="s">
        <v>198</v>
      </c>
      <c r="EI543" s="30" t="s">
        <v>151</v>
      </c>
      <c r="EJ543" s="30" t="s">
        <v>151</v>
      </c>
      <c r="EK543" s="31" t="s">
        <v>151</v>
      </c>
      <c r="EL543" s="31" t="s">
        <v>151</v>
      </c>
      <c r="EM543" s="31" t="s">
        <v>151</v>
      </c>
      <c r="EN543" s="31" t="s">
        <v>151</v>
      </c>
      <c r="EO543" s="31" t="s">
        <v>151</v>
      </c>
      <c r="EP543" s="30" t="s">
        <v>151</v>
      </c>
      <c r="EQ543" s="29" t="s">
        <v>151</v>
      </c>
      <c r="ER543" s="29" t="s">
        <v>151</v>
      </c>
      <c r="ES543" s="4">
        <f>HYPERLINK("https://my.pitchbook.com?c=300240-28","View Company Online")</f>
      </c>
    </row>
    <row r="544">
      <c r="A544" s="17" t="s">
        <v>11358</v>
      </c>
      <c r="B544" s="17" t="s">
        <v>11359</v>
      </c>
      <c r="C544" s="18" t="s">
        <v>151</v>
      </c>
      <c r="D544" s="17" t="s">
        <v>151</v>
      </c>
      <c r="E544" s="17" t="s">
        <v>151</v>
      </c>
      <c r="F544" s="17" t="s">
        <v>11360</v>
      </c>
      <c r="G544" s="17" t="s">
        <v>151</v>
      </c>
      <c r="H544" s="17" t="s">
        <v>151</v>
      </c>
      <c r="I544" s="17" t="s">
        <v>11361</v>
      </c>
      <c r="J544" s="17" t="s">
        <v>11358</v>
      </c>
      <c r="K544" s="17" t="s">
        <v>11362</v>
      </c>
      <c r="L544" s="17" t="s">
        <v>205</v>
      </c>
      <c r="M544" s="17" t="s">
        <v>206</v>
      </c>
      <c r="N544" s="17" t="s">
        <v>269</v>
      </c>
      <c r="O544" s="17" t="s">
        <v>563</v>
      </c>
      <c r="P544" s="17" t="s">
        <v>11363</v>
      </c>
      <c r="Q544" s="17" t="s">
        <v>11364</v>
      </c>
      <c r="R544" s="17" t="s">
        <v>151</v>
      </c>
      <c r="S544" s="17" t="s">
        <v>162</v>
      </c>
      <c r="T544" s="24">
        <v>13.5</v>
      </c>
      <c r="U544" s="17" t="s">
        <v>163</v>
      </c>
      <c r="V544" s="17" t="s">
        <v>164</v>
      </c>
      <c r="W544" s="17" t="s">
        <v>165</v>
      </c>
      <c r="X544" s="15" t="s">
        <v>11365</v>
      </c>
      <c r="Y544" s="15" t="s">
        <v>11366</v>
      </c>
      <c r="Z544" s="27">
        <v>17</v>
      </c>
      <c r="AA544" s="17" t="s">
        <v>11367</v>
      </c>
      <c r="AB544" s="17" t="s">
        <v>151</v>
      </c>
      <c r="AC544" s="17" t="s">
        <v>151</v>
      </c>
      <c r="AD544" s="26">
        <v>2017</v>
      </c>
      <c r="AE544" s="17" t="s">
        <v>151</v>
      </c>
      <c r="AF544" s="22">
        <v>45617</v>
      </c>
      <c r="AG544" s="17" t="s">
        <v>169</v>
      </c>
      <c r="AH544" s="17" t="s">
        <v>11368</v>
      </c>
      <c r="AI544" s="25" t="s">
        <v>151</v>
      </c>
      <c r="AJ544" s="19" t="s">
        <v>151</v>
      </c>
      <c r="AK544" s="25" t="s">
        <v>151</v>
      </c>
      <c r="AL544" s="25" t="s">
        <v>151</v>
      </c>
      <c r="AM544" s="25" t="s">
        <v>151</v>
      </c>
      <c r="AN544" s="25" t="s">
        <v>151</v>
      </c>
      <c r="AO544" s="25" t="s">
        <v>151</v>
      </c>
      <c r="AP544" s="25" t="s">
        <v>151</v>
      </c>
      <c r="AQ544" s="25" t="s">
        <v>151</v>
      </c>
      <c r="AR544" s="16" t="s">
        <v>151</v>
      </c>
      <c r="AS544" s="17" t="s">
        <v>11369</v>
      </c>
      <c r="AT544" s="17" t="s">
        <v>11370</v>
      </c>
      <c r="AU544" s="18">
        <v>23</v>
      </c>
      <c r="AV544" s="17" t="s">
        <v>151</v>
      </c>
      <c r="AW544" s="17" t="s">
        <v>151</v>
      </c>
      <c r="AX544" s="17" t="s">
        <v>151</v>
      </c>
      <c r="AY544" s="17" t="s">
        <v>11371</v>
      </c>
      <c r="AZ544" s="17" t="s">
        <v>151</v>
      </c>
      <c r="BA544" s="17" t="s">
        <v>151</v>
      </c>
      <c r="BB544" s="17" t="s">
        <v>151</v>
      </c>
      <c r="BC544" s="17" t="s">
        <v>151</v>
      </c>
      <c r="BD544" s="17" t="s">
        <v>11372</v>
      </c>
      <c r="BE544" s="17" t="s">
        <v>11373</v>
      </c>
      <c r="BF544" s="17" t="s">
        <v>403</v>
      </c>
      <c r="BG544" s="17" t="s">
        <v>11374</v>
      </c>
      <c r="BH544" s="17" t="s">
        <v>11375</v>
      </c>
      <c r="BI544" s="17" t="s">
        <v>906</v>
      </c>
      <c r="BJ544" s="17" t="s">
        <v>11376</v>
      </c>
      <c r="BK544" s="17" t="s">
        <v>259</v>
      </c>
      <c r="BL544" s="17" t="s">
        <v>259</v>
      </c>
      <c r="BM544" s="17" t="s">
        <v>259</v>
      </c>
      <c r="BN544" s="16" t="s">
        <v>1933</v>
      </c>
      <c r="BO544" s="17" t="s">
        <v>186</v>
      </c>
      <c r="BP544" s="16" t="s">
        <v>11375</v>
      </c>
      <c r="BQ544" s="16" t="s">
        <v>151</v>
      </c>
      <c r="BR544" s="17" t="s">
        <v>11377</v>
      </c>
      <c r="BS544" s="17" t="s">
        <v>187</v>
      </c>
      <c r="BT544" s="17" t="s">
        <v>188</v>
      </c>
      <c r="BU544" s="22">
        <v>44874</v>
      </c>
      <c r="BV544" s="24">
        <v>3</v>
      </c>
      <c r="BW544" s="17" t="s">
        <v>192</v>
      </c>
      <c r="BX544" s="24" t="s">
        <v>151</v>
      </c>
      <c r="BY544" s="17" t="s">
        <v>151</v>
      </c>
      <c r="BZ544" s="17" t="s">
        <v>293</v>
      </c>
      <c r="CA544" s="17" t="s">
        <v>293</v>
      </c>
      <c r="CB544" s="17" t="s">
        <v>151</v>
      </c>
      <c r="CC544" s="17" t="s">
        <v>165</v>
      </c>
      <c r="CD544" s="17" t="s">
        <v>151</v>
      </c>
      <c r="CE544" s="17" t="s">
        <v>191</v>
      </c>
      <c r="CF544" s="22">
        <v>45615</v>
      </c>
      <c r="CG544" s="24">
        <v>10.5</v>
      </c>
      <c r="CH544" s="17" t="s">
        <v>192</v>
      </c>
      <c r="CI544" s="24" t="s">
        <v>151</v>
      </c>
      <c r="CJ544" s="17" t="s">
        <v>151</v>
      </c>
      <c r="CK544" s="16" t="s">
        <v>151</v>
      </c>
      <c r="CL544" s="17" t="s">
        <v>293</v>
      </c>
      <c r="CM544" s="17" t="s">
        <v>293</v>
      </c>
      <c r="CN544" s="17" t="s">
        <v>151</v>
      </c>
      <c r="CO544" s="17" t="s">
        <v>165</v>
      </c>
      <c r="CP544" s="22">
        <v>45615</v>
      </c>
      <c r="CQ544" s="24" t="s">
        <v>151</v>
      </c>
      <c r="CR544" s="17" t="s">
        <v>151</v>
      </c>
      <c r="CS544" s="17" t="s">
        <v>191</v>
      </c>
      <c r="CT544" s="16">
        <v>81</v>
      </c>
      <c r="CU544" s="17" t="s">
        <v>196</v>
      </c>
      <c r="CV544" s="19">
        <v>74</v>
      </c>
      <c r="CW544" s="19">
        <v>26</v>
      </c>
      <c r="CX544" s="17" t="s">
        <v>294</v>
      </c>
      <c r="CY544" s="19">
        <v>1</v>
      </c>
      <c r="CZ544" s="19">
        <v>73</v>
      </c>
      <c r="DA544" s="24" t="s">
        <v>151</v>
      </c>
      <c r="DB544" s="22" t="s">
        <v>151</v>
      </c>
      <c r="DC544" s="17" t="s">
        <v>151</v>
      </c>
      <c r="DD544" s="16" t="s">
        <v>151</v>
      </c>
      <c r="DE544" s="19">
        <v>0</v>
      </c>
      <c r="DF544" s="21">
        <v>11</v>
      </c>
      <c r="DG544" s="19">
        <v>0</v>
      </c>
      <c r="DH544" s="19">
        <v>0</v>
      </c>
      <c r="DI544" s="19" t="s">
        <v>151</v>
      </c>
      <c r="DJ544" s="21" t="s">
        <v>151</v>
      </c>
      <c r="DK544" s="19" t="s">
        <v>151</v>
      </c>
      <c r="DL544" s="21" t="s">
        <v>151</v>
      </c>
      <c r="DM544" s="19" t="s">
        <v>151</v>
      </c>
      <c r="DN544" s="21" t="s">
        <v>151</v>
      </c>
      <c r="DO544" s="23">
        <v>1.15</v>
      </c>
      <c r="DP544" s="21">
        <v>53</v>
      </c>
      <c r="DQ544" s="23">
        <v>0</v>
      </c>
      <c r="DR544" s="19">
        <v>0</v>
      </c>
      <c r="DS544" s="23" t="s">
        <v>151</v>
      </c>
      <c r="DT544" s="21" t="s">
        <v>151</v>
      </c>
      <c r="DU544" s="23" t="s">
        <v>151</v>
      </c>
      <c r="DV544" s="21" t="s">
        <v>151</v>
      </c>
      <c r="DW544" s="23" t="s">
        <v>151</v>
      </c>
      <c r="DX544" s="21" t="s">
        <v>151</v>
      </c>
      <c r="DY544" s="18" t="s">
        <v>151</v>
      </c>
      <c r="DZ544" s="22" t="s">
        <v>151</v>
      </c>
      <c r="EA544" s="22" t="s">
        <v>151</v>
      </c>
      <c r="EB544" s="21" t="s">
        <v>151</v>
      </c>
      <c r="EC544" s="20" t="s">
        <v>151</v>
      </c>
      <c r="ED544" s="19" t="s">
        <v>151</v>
      </c>
      <c r="EE544" s="21" t="s">
        <v>151</v>
      </c>
      <c r="EF544" s="20" t="s">
        <v>151</v>
      </c>
      <c r="EG544" s="19" t="s">
        <v>151</v>
      </c>
      <c r="EH544" s="16" t="s">
        <v>198</v>
      </c>
      <c r="EI544" s="17" t="s">
        <v>151</v>
      </c>
      <c r="EJ544" s="17" t="s">
        <v>151</v>
      </c>
      <c r="EK544" s="18" t="s">
        <v>151</v>
      </c>
      <c r="EL544" s="18" t="s">
        <v>151</v>
      </c>
      <c r="EM544" s="18" t="s">
        <v>151</v>
      </c>
      <c r="EN544" s="18" t="s">
        <v>151</v>
      </c>
      <c r="EO544" s="18" t="s">
        <v>151</v>
      </c>
      <c r="EP544" s="17" t="s">
        <v>151</v>
      </c>
      <c r="EQ544" s="16" t="s">
        <v>151</v>
      </c>
      <c r="ER544" s="16" t="s">
        <v>151</v>
      </c>
      <c r="ES544" s="3">
        <f>HYPERLINK("https://my.pitchbook.com?c=513047-89","View Company Online")</f>
      </c>
    </row>
    <row r="545">
      <c r="A545" s="30" t="s">
        <v>11378</v>
      </c>
      <c r="B545" s="30" t="s">
        <v>11379</v>
      </c>
      <c r="C545" s="31" t="s">
        <v>151</v>
      </c>
      <c r="D545" s="30" t="s">
        <v>151</v>
      </c>
      <c r="E545" s="30" t="s">
        <v>151</v>
      </c>
      <c r="F545" s="30" t="s">
        <v>11380</v>
      </c>
      <c r="G545" s="30" t="s">
        <v>151</v>
      </c>
      <c r="H545" s="30" t="s">
        <v>151</v>
      </c>
      <c r="I545" s="30" t="s">
        <v>151</v>
      </c>
      <c r="J545" s="30" t="s">
        <v>11378</v>
      </c>
      <c r="K545" s="30" t="s">
        <v>11381</v>
      </c>
      <c r="L545" s="30" t="s">
        <v>616</v>
      </c>
      <c r="M545" s="30" t="s">
        <v>834</v>
      </c>
      <c r="N545" s="30" t="s">
        <v>835</v>
      </c>
      <c r="O545" s="30" t="s">
        <v>1992</v>
      </c>
      <c r="P545" s="30" t="s">
        <v>7308</v>
      </c>
      <c r="Q545" s="30" t="s">
        <v>11382</v>
      </c>
      <c r="R545" s="30" t="s">
        <v>151</v>
      </c>
      <c r="S545" s="30" t="s">
        <v>162</v>
      </c>
      <c r="T545" s="37">
        <v>3.75</v>
      </c>
      <c r="U545" s="30" t="s">
        <v>163</v>
      </c>
      <c r="V545" s="30" t="s">
        <v>164</v>
      </c>
      <c r="W545" s="30" t="s">
        <v>165</v>
      </c>
      <c r="X545" s="28" t="s">
        <v>11383</v>
      </c>
      <c r="Y545" s="28" t="s">
        <v>11384</v>
      </c>
      <c r="Z545" s="40">
        <v>8</v>
      </c>
      <c r="AA545" s="30" t="s">
        <v>11385</v>
      </c>
      <c r="AB545" s="30" t="s">
        <v>151</v>
      </c>
      <c r="AC545" s="30" t="s">
        <v>151</v>
      </c>
      <c r="AD545" s="39">
        <v>2021</v>
      </c>
      <c r="AE545" s="30" t="s">
        <v>151</v>
      </c>
      <c r="AF545" s="35">
        <v>45337</v>
      </c>
      <c r="AG545" s="30" t="s">
        <v>151</v>
      </c>
      <c r="AH545" s="30" t="s">
        <v>151</v>
      </c>
      <c r="AI545" s="38" t="s">
        <v>151</v>
      </c>
      <c r="AJ545" s="32" t="s">
        <v>151</v>
      </c>
      <c r="AK545" s="38" t="s">
        <v>151</v>
      </c>
      <c r="AL545" s="38" t="s">
        <v>151</v>
      </c>
      <c r="AM545" s="38" t="s">
        <v>151</v>
      </c>
      <c r="AN545" s="38" t="s">
        <v>151</v>
      </c>
      <c r="AO545" s="38" t="s">
        <v>151</v>
      </c>
      <c r="AP545" s="38" t="s">
        <v>151</v>
      </c>
      <c r="AQ545" s="38" t="s">
        <v>151</v>
      </c>
      <c r="AR545" s="29" t="s">
        <v>151</v>
      </c>
      <c r="AS545" s="30" t="s">
        <v>11386</v>
      </c>
      <c r="AT545" s="30" t="s">
        <v>11387</v>
      </c>
      <c r="AU545" s="31">
        <v>2</v>
      </c>
      <c r="AV545" s="30" t="s">
        <v>151</v>
      </c>
      <c r="AW545" s="30" t="s">
        <v>151</v>
      </c>
      <c r="AX545" s="30" t="s">
        <v>151</v>
      </c>
      <c r="AY545" s="30" t="s">
        <v>11388</v>
      </c>
      <c r="AZ545" s="30" t="s">
        <v>151</v>
      </c>
      <c r="BA545" s="30" t="s">
        <v>151</v>
      </c>
      <c r="BB545" s="30" t="s">
        <v>151</v>
      </c>
      <c r="BC545" s="30" t="s">
        <v>151</v>
      </c>
      <c r="BD545" s="30" t="s">
        <v>11389</v>
      </c>
      <c r="BE545" s="30" t="s">
        <v>11390</v>
      </c>
      <c r="BF545" s="30" t="s">
        <v>221</v>
      </c>
      <c r="BG545" s="30" t="s">
        <v>11391</v>
      </c>
      <c r="BH545" s="30" t="s">
        <v>151</v>
      </c>
      <c r="BI545" s="30" t="s">
        <v>906</v>
      </c>
      <c r="BJ545" s="30" t="s">
        <v>151</v>
      </c>
      <c r="BK545" s="30" t="s">
        <v>151</v>
      </c>
      <c r="BL545" s="30" t="s">
        <v>259</v>
      </c>
      <c r="BM545" s="30" t="s">
        <v>259</v>
      </c>
      <c r="BN545" s="29" t="s">
        <v>5051</v>
      </c>
      <c r="BO545" s="30" t="s">
        <v>186</v>
      </c>
      <c r="BP545" s="29" t="s">
        <v>151</v>
      </c>
      <c r="BQ545" s="29" t="s">
        <v>151</v>
      </c>
      <c r="BR545" s="30" t="s">
        <v>11392</v>
      </c>
      <c r="BS545" s="30" t="s">
        <v>187</v>
      </c>
      <c r="BT545" s="30" t="s">
        <v>188</v>
      </c>
      <c r="BU545" s="35">
        <v>44485</v>
      </c>
      <c r="BV545" s="37">
        <v>3.75</v>
      </c>
      <c r="BW545" s="30" t="s">
        <v>192</v>
      </c>
      <c r="BX545" s="37" t="s">
        <v>151</v>
      </c>
      <c r="BY545" s="30" t="s">
        <v>151</v>
      </c>
      <c r="BZ545" s="30" t="s">
        <v>293</v>
      </c>
      <c r="CA545" s="30" t="s">
        <v>293</v>
      </c>
      <c r="CB545" s="30" t="s">
        <v>151</v>
      </c>
      <c r="CC545" s="30" t="s">
        <v>165</v>
      </c>
      <c r="CD545" s="30" t="s">
        <v>151</v>
      </c>
      <c r="CE545" s="30" t="s">
        <v>191</v>
      </c>
      <c r="CF545" s="35">
        <v>44485</v>
      </c>
      <c r="CG545" s="37">
        <v>3.75</v>
      </c>
      <c r="CH545" s="30" t="s">
        <v>192</v>
      </c>
      <c r="CI545" s="37" t="s">
        <v>151</v>
      </c>
      <c r="CJ545" s="30" t="s">
        <v>151</v>
      </c>
      <c r="CK545" s="29" t="s">
        <v>151</v>
      </c>
      <c r="CL545" s="30" t="s">
        <v>293</v>
      </c>
      <c r="CM545" s="30" t="s">
        <v>293</v>
      </c>
      <c r="CN545" s="30" t="s">
        <v>151</v>
      </c>
      <c r="CO545" s="30" t="s">
        <v>165</v>
      </c>
      <c r="CP545" s="35">
        <v>44485</v>
      </c>
      <c r="CQ545" s="37" t="s">
        <v>151</v>
      </c>
      <c r="CR545" s="30" t="s">
        <v>151</v>
      </c>
      <c r="CS545" s="30" t="s">
        <v>191</v>
      </c>
      <c r="CT545" s="29" t="s">
        <v>151</v>
      </c>
      <c r="CU545" s="30" t="s">
        <v>151</v>
      </c>
      <c r="CV545" s="32" t="s">
        <v>151</v>
      </c>
      <c r="CW545" s="32" t="s">
        <v>151</v>
      </c>
      <c r="CX545" s="30" t="s">
        <v>151</v>
      </c>
      <c r="CY545" s="32" t="s">
        <v>151</v>
      </c>
      <c r="CZ545" s="32" t="s">
        <v>151</v>
      </c>
      <c r="DA545" s="37" t="s">
        <v>151</v>
      </c>
      <c r="DB545" s="35" t="s">
        <v>151</v>
      </c>
      <c r="DC545" s="30" t="s">
        <v>151</v>
      </c>
      <c r="DD545" s="29" t="s">
        <v>151</v>
      </c>
      <c r="DE545" s="32">
        <v>-4.56</v>
      </c>
      <c r="DF545" s="34">
        <v>1</v>
      </c>
      <c r="DG545" s="32">
        <v>0</v>
      </c>
      <c r="DH545" s="32">
        <v>0</v>
      </c>
      <c r="DI545" s="32">
        <v>-4.56</v>
      </c>
      <c r="DJ545" s="34">
        <v>1</v>
      </c>
      <c r="DK545" s="32">
        <v>-9.13</v>
      </c>
      <c r="DL545" s="34">
        <v>1</v>
      </c>
      <c r="DM545" s="32">
        <v>0</v>
      </c>
      <c r="DN545" s="34">
        <v>10</v>
      </c>
      <c r="DO545" s="36">
        <v>5.83</v>
      </c>
      <c r="DP545" s="34">
        <v>84</v>
      </c>
      <c r="DQ545" s="36">
        <v>0</v>
      </c>
      <c r="DR545" s="32">
        <v>0</v>
      </c>
      <c r="DS545" s="36">
        <v>5.83</v>
      </c>
      <c r="DT545" s="34">
        <v>84</v>
      </c>
      <c r="DU545" s="36">
        <v>6.87</v>
      </c>
      <c r="DV545" s="34">
        <v>84</v>
      </c>
      <c r="DW545" s="36">
        <v>4.79</v>
      </c>
      <c r="DX545" s="34">
        <v>81</v>
      </c>
      <c r="DY545" s="31" t="s">
        <v>151</v>
      </c>
      <c r="DZ545" s="35" t="s">
        <v>151</v>
      </c>
      <c r="EA545" s="35" t="s">
        <v>151</v>
      </c>
      <c r="EB545" s="34">
        <v>1416</v>
      </c>
      <c r="EC545" s="33">
        <v>-108</v>
      </c>
      <c r="ED545" s="32">
        <v>-7.09</v>
      </c>
      <c r="EE545" s="34">
        <v>91</v>
      </c>
      <c r="EF545" s="33">
        <v>0</v>
      </c>
      <c r="EG545" s="32">
        <v>0</v>
      </c>
      <c r="EH545" s="29" t="s">
        <v>198</v>
      </c>
      <c r="EI545" s="30" t="s">
        <v>151</v>
      </c>
      <c r="EJ545" s="30" t="s">
        <v>151</v>
      </c>
      <c r="EK545" s="31" t="s">
        <v>151</v>
      </c>
      <c r="EL545" s="31" t="s">
        <v>151</v>
      </c>
      <c r="EM545" s="31" t="s">
        <v>151</v>
      </c>
      <c r="EN545" s="31" t="s">
        <v>151</v>
      </c>
      <c r="EO545" s="31" t="s">
        <v>151</v>
      </c>
      <c r="EP545" s="30" t="s">
        <v>151</v>
      </c>
      <c r="EQ545" s="29" t="s">
        <v>151</v>
      </c>
      <c r="ER545" s="29" t="s">
        <v>151</v>
      </c>
      <c r="ES545" s="4">
        <f>HYPERLINK("https://my.pitchbook.com?c=491455-00","View Company Online")</f>
      </c>
    </row>
    <row r="546">
      <c r="A546" s="17" t="s">
        <v>11393</v>
      </c>
      <c r="B546" s="17" t="s">
        <v>11394</v>
      </c>
      <c r="C546" s="18" t="s">
        <v>151</v>
      </c>
      <c r="D546" s="17" t="s">
        <v>151</v>
      </c>
      <c r="E546" s="17" t="s">
        <v>11395</v>
      </c>
      <c r="F546" s="17" t="s">
        <v>11396</v>
      </c>
      <c r="G546" s="17" t="s">
        <v>151</v>
      </c>
      <c r="H546" s="17" t="s">
        <v>151</v>
      </c>
      <c r="I546" s="17" t="s">
        <v>151</v>
      </c>
      <c r="J546" s="17" t="s">
        <v>11393</v>
      </c>
      <c r="K546" s="17" t="s">
        <v>11397</v>
      </c>
      <c r="L546" s="17" t="s">
        <v>205</v>
      </c>
      <c r="M546" s="17" t="s">
        <v>206</v>
      </c>
      <c r="N546" s="17" t="s">
        <v>1082</v>
      </c>
      <c r="O546" s="17" t="s">
        <v>11398</v>
      </c>
      <c r="P546" s="17" t="s">
        <v>1608</v>
      </c>
      <c r="Q546" s="17" t="s">
        <v>11399</v>
      </c>
      <c r="R546" s="17" t="s">
        <v>151</v>
      </c>
      <c r="S546" s="17" t="s">
        <v>162</v>
      </c>
      <c r="T546" s="24">
        <v>0.97</v>
      </c>
      <c r="U546" s="17" t="s">
        <v>163</v>
      </c>
      <c r="V546" s="17" t="s">
        <v>164</v>
      </c>
      <c r="W546" s="17" t="s">
        <v>165</v>
      </c>
      <c r="X546" s="15" t="s">
        <v>11400</v>
      </c>
      <c r="Y546" s="15" t="s">
        <v>11401</v>
      </c>
      <c r="Z546" s="27">
        <v>10</v>
      </c>
      <c r="AA546" s="17" t="s">
        <v>11402</v>
      </c>
      <c r="AB546" s="17" t="s">
        <v>151</v>
      </c>
      <c r="AC546" s="17" t="s">
        <v>151</v>
      </c>
      <c r="AD546" s="26">
        <v>2019</v>
      </c>
      <c r="AE546" s="17" t="s">
        <v>151</v>
      </c>
      <c r="AF546" s="22">
        <v>45527</v>
      </c>
      <c r="AG546" s="17" t="s">
        <v>151</v>
      </c>
      <c r="AH546" s="17" t="s">
        <v>151</v>
      </c>
      <c r="AI546" s="25" t="s">
        <v>151</v>
      </c>
      <c r="AJ546" s="19" t="s">
        <v>151</v>
      </c>
      <c r="AK546" s="25" t="s">
        <v>151</v>
      </c>
      <c r="AL546" s="25" t="s">
        <v>151</v>
      </c>
      <c r="AM546" s="25" t="s">
        <v>151</v>
      </c>
      <c r="AN546" s="25" t="s">
        <v>151</v>
      </c>
      <c r="AO546" s="25" t="s">
        <v>151</v>
      </c>
      <c r="AP546" s="25" t="s">
        <v>151</v>
      </c>
      <c r="AQ546" s="25" t="s">
        <v>151</v>
      </c>
      <c r="AR546" s="16" t="s">
        <v>151</v>
      </c>
      <c r="AS546" s="17" t="s">
        <v>11403</v>
      </c>
      <c r="AT546" s="17" t="s">
        <v>11404</v>
      </c>
      <c r="AU546" s="18">
        <v>8</v>
      </c>
      <c r="AV546" s="17" t="s">
        <v>151</v>
      </c>
      <c r="AW546" s="17" t="s">
        <v>151</v>
      </c>
      <c r="AX546" s="17" t="s">
        <v>151</v>
      </c>
      <c r="AY546" s="17" t="s">
        <v>11405</v>
      </c>
      <c r="AZ546" s="17" t="s">
        <v>151</v>
      </c>
      <c r="BA546" s="17" t="s">
        <v>151</v>
      </c>
      <c r="BB546" s="17" t="s">
        <v>151</v>
      </c>
      <c r="BC546" s="17" t="s">
        <v>151</v>
      </c>
      <c r="BD546" s="17" t="s">
        <v>11406</v>
      </c>
      <c r="BE546" s="17" t="s">
        <v>11407</v>
      </c>
      <c r="BF546" s="17" t="s">
        <v>403</v>
      </c>
      <c r="BG546" s="17" t="s">
        <v>11408</v>
      </c>
      <c r="BH546" s="17" t="s">
        <v>151</v>
      </c>
      <c r="BI546" s="17" t="s">
        <v>578</v>
      </c>
      <c r="BJ546" s="17" t="s">
        <v>11409</v>
      </c>
      <c r="BK546" s="17" t="s">
        <v>151</v>
      </c>
      <c r="BL546" s="17" t="s">
        <v>581</v>
      </c>
      <c r="BM546" s="17" t="s">
        <v>582</v>
      </c>
      <c r="BN546" s="16" t="s">
        <v>11410</v>
      </c>
      <c r="BO546" s="17" t="s">
        <v>186</v>
      </c>
      <c r="BP546" s="16" t="s">
        <v>151</v>
      </c>
      <c r="BQ546" s="16" t="s">
        <v>151</v>
      </c>
      <c r="BR546" s="17" t="s">
        <v>11411</v>
      </c>
      <c r="BS546" s="17" t="s">
        <v>187</v>
      </c>
      <c r="BT546" s="17" t="s">
        <v>188</v>
      </c>
      <c r="BU546" s="22">
        <v>43826</v>
      </c>
      <c r="BV546" s="24">
        <v>0.02</v>
      </c>
      <c r="BW546" s="17" t="s">
        <v>192</v>
      </c>
      <c r="BX546" s="24" t="s">
        <v>151</v>
      </c>
      <c r="BY546" s="17" t="s">
        <v>151</v>
      </c>
      <c r="BZ546" s="17" t="s">
        <v>501</v>
      </c>
      <c r="CA546" s="17" t="s">
        <v>151</v>
      </c>
      <c r="CB546" s="17" t="s">
        <v>151</v>
      </c>
      <c r="CC546" s="17" t="s">
        <v>190</v>
      </c>
      <c r="CD546" s="17" t="s">
        <v>151</v>
      </c>
      <c r="CE546" s="17" t="s">
        <v>191</v>
      </c>
      <c r="CF546" s="22">
        <v>44363</v>
      </c>
      <c r="CG546" s="24">
        <v>0.9</v>
      </c>
      <c r="CH546" s="17" t="s">
        <v>192</v>
      </c>
      <c r="CI546" s="24" t="s">
        <v>151</v>
      </c>
      <c r="CJ546" s="17" t="s">
        <v>151</v>
      </c>
      <c r="CK546" s="16" t="s">
        <v>151</v>
      </c>
      <c r="CL546" s="17" t="s">
        <v>293</v>
      </c>
      <c r="CM546" s="17" t="s">
        <v>293</v>
      </c>
      <c r="CN546" s="17" t="s">
        <v>151</v>
      </c>
      <c r="CO546" s="17" t="s">
        <v>165</v>
      </c>
      <c r="CP546" s="22">
        <v>44363</v>
      </c>
      <c r="CQ546" s="24" t="s">
        <v>151</v>
      </c>
      <c r="CR546" s="17" t="s">
        <v>151</v>
      </c>
      <c r="CS546" s="17" t="s">
        <v>191</v>
      </c>
      <c r="CT546" s="16" t="s">
        <v>151</v>
      </c>
      <c r="CU546" s="17" t="s">
        <v>151</v>
      </c>
      <c r="CV546" s="19" t="s">
        <v>151</v>
      </c>
      <c r="CW546" s="19" t="s">
        <v>151</v>
      </c>
      <c r="CX546" s="17" t="s">
        <v>151</v>
      </c>
      <c r="CY546" s="19" t="s">
        <v>151</v>
      </c>
      <c r="CZ546" s="19" t="s">
        <v>151</v>
      </c>
      <c r="DA546" s="24" t="s">
        <v>151</v>
      </c>
      <c r="DB546" s="22" t="s">
        <v>151</v>
      </c>
      <c r="DC546" s="17" t="s">
        <v>151</v>
      </c>
      <c r="DD546" s="16" t="s">
        <v>151</v>
      </c>
      <c r="DE546" s="19">
        <v>-4.56</v>
      </c>
      <c r="DF546" s="21">
        <v>1</v>
      </c>
      <c r="DG546" s="19">
        <v>0</v>
      </c>
      <c r="DH546" s="19">
        <v>0</v>
      </c>
      <c r="DI546" s="19">
        <v>-9.12</v>
      </c>
      <c r="DJ546" s="21">
        <v>1</v>
      </c>
      <c r="DK546" s="19" t="s">
        <v>151</v>
      </c>
      <c r="DL546" s="21" t="s">
        <v>151</v>
      </c>
      <c r="DM546" s="19">
        <v>-9.12</v>
      </c>
      <c r="DN546" s="21">
        <v>1</v>
      </c>
      <c r="DO546" s="23">
        <v>10.36</v>
      </c>
      <c r="DP546" s="21">
        <v>90</v>
      </c>
      <c r="DQ546" s="23">
        <v>0</v>
      </c>
      <c r="DR546" s="19">
        <v>0</v>
      </c>
      <c r="DS546" s="23">
        <v>19.95</v>
      </c>
      <c r="DT546" s="21">
        <v>95</v>
      </c>
      <c r="DU546" s="23" t="s">
        <v>151</v>
      </c>
      <c r="DV546" s="21" t="s">
        <v>151</v>
      </c>
      <c r="DW546" s="23">
        <v>19.95</v>
      </c>
      <c r="DX546" s="21">
        <v>95</v>
      </c>
      <c r="DY546" s="18" t="s">
        <v>151</v>
      </c>
      <c r="DZ546" s="22" t="s">
        <v>151</v>
      </c>
      <c r="EA546" s="22" t="s">
        <v>151</v>
      </c>
      <c r="EB546" s="21">
        <v>5978</v>
      </c>
      <c r="EC546" s="20">
        <v>479</v>
      </c>
      <c r="ED546" s="19">
        <v>8.71</v>
      </c>
      <c r="EE546" s="21">
        <v>379</v>
      </c>
      <c r="EF546" s="20">
        <v>4</v>
      </c>
      <c r="EG546" s="19">
        <v>1.07</v>
      </c>
      <c r="EH546" s="16" t="s">
        <v>198</v>
      </c>
      <c r="EI546" s="17" t="s">
        <v>151</v>
      </c>
      <c r="EJ546" s="17" t="s">
        <v>151</v>
      </c>
      <c r="EK546" s="18" t="s">
        <v>151</v>
      </c>
      <c r="EL546" s="18" t="s">
        <v>151</v>
      </c>
      <c r="EM546" s="18" t="s">
        <v>151</v>
      </c>
      <c r="EN546" s="18" t="s">
        <v>151</v>
      </c>
      <c r="EO546" s="18" t="s">
        <v>151</v>
      </c>
      <c r="EP546" s="17" t="s">
        <v>151</v>
      </c>
      <c r="EQ546" s="16" t="s">
        <v>151</v>
      </c>
      <c r="ER546" s="16" t="s">
        <v>151</v>
      </c>
      <c r="ES546" s="3">
        <f>HYPERLINK("https://my.pitchbook.com?c=461796-67","View Company Online")</f>
      </c>
    </row>
    <row r="547">
      <c r="A547" s="30" t="s">
        <v>11412</v>
      </c>
      <c r="B547" s="30" t="s">
        <v>11413</v>
      </c>
      <c r="C547" s="31" t="s">
        <v>151</v>
      </c>
      <c r="D547" s="30" t="s">
        <v>151</v>
      </c>
      <c r="E547" s="30" t="s">
        <v>151</v>
      </c>
      <c r="F547" s="30" t="s">
        <v>11414</v>
      </c>
      <c r="G547" s="30" t="s">
        <v>151</v>
      </c>
      <c r="H547" s="30" t="s">
        <v>151</v>
      </c>
      <c r="I547" s="30" t="s">
        <v>151</v>
      </c>
      <c r="J547" s="30" t="s">
        <v>11412</v>
      </c>
      <c r="K547" s="30" t="s">
        <v>11415</v>
      </c>
      <c r="L547" s="30" t="s">
        <v>205</v>
      </c>
      <c r="M547" s="30" t="s">
        <v>206</v>
      </c>
      <c r="N547" s="30" t="s">
        <v>269</v>
      </c>
      <c r="O547" s="30" t="s">
        <v>1819</v>
      </c>
      <c r="P547" s="30" t="s">
        <v>8415</v>
      </c>
      <c r="Q547" s="30" t="s">
        <v>11416</v>
      </c>
      <c r="R547" s="30" t="s">
        <v>3431</v>
      </c>
      <c r="S547" s="30" t="s">
        <v>162</v>
      </c>
      <c r="T547" s="37">
        <v>0.4</v>
      </c>
      <c r="U547" s="30" t="s">
        <v>163</v>
      </c>
      <c r="V547" s="30" t="s">
        <v>164</v>
      </c>
      <c r="W547" s="30" t="s">
        <v>11417</v>
      </c>
      <c r="X547" s="28" t="s">
        <v>11418</v>
      </c>
      <c r="Y547" s="28" t="s">
        <v>11419</v>
      </c>
      <c r="Z547" s="40" t="s">
        <v>151</v>
      </c>
      <c r="AA547" s="30" t="s">
        <v>151</v>
      </c>
      <c r="AB547" s="30" t="s">
        <v>151</v>
      </c>
      <c r="AC547" s="30" t="s">
        <v>151</v>
      </c>
      <c r="AD547" s="39">
        <v>2024</v>
      </c>
      <c r="AE547" s="30" t="s">
        <v>151</v>
      </c>
      <c r="AF547" s="35">
        <v>45580</v>
      </c>
      <c r="AG547" s="30" t="s">
        <v>151</v>
      </c>
      <c r="AH547" s="30" t="s">
        <v>151</v>
      </c>
      <c r="AI547" s="38" t="s">
        <v>151</v>
      </c>
      <c r="AJ547" s="32" t="s">
        <v>151</v>
      </c>
      <c r="AK547" s="38" t="s">
        <v>151</v>
      </c>
      <c r="AL547" s="38" t="s">
        <v>151</v>
      </c>
      <c r="AM547" s="38" t="s">
        <v>151</v>
      </c>
      <c r="AN547" s="38" t="s">
        <v>151</v>
      </c>
      <c r="AO547" s="38" t="s">
        <v>151</v>
      </c>
      <c r="AP547" s="38" t="s">
        <v>151</v>
      </c>
      <c r="AQ547" s="38" t="s">
        <v>151</v>
      </c>
      <c r="AR547" s="29" t="s">
        <v>151</v>
      </c>
      <c r="AS547" s="30" t="s">
        <v>11420</v>
      </c>
      <c r="AT547" s="30" t="s">
        <v>11421</v>
      </c>
      <c r="AU547" s="31">
        <v>1</v>
      </c>
      <c r="AV547" s="30" t="s">
        <v>151</v>
      </c>
      <c r="AW547" s="30" t="s">
        <v>151</v>
      </c>
      <c r="AX547" s="30" t="s">
        <v>151</v>
      </c>
      <c r="AY547" s="30" t="s">
        <v>11422</v>
      </c>
      <c r="AZ547" s="30" t="s">
        <v>151</v>
      </c>
      <c r="BA547" s="30" t="s">
        <v>151</v>
      </c>
      <c r="BB547" s="30" t="s">
        <v>151</v>
      </c>
      <c r="BC547" s="30" t="s">
        <v>151</v>
      </c>
      <c r="BD547" s="30" t="s">
        <v>11423</v>
      </c>
      <c r="BE547" s="30" t="s">
        <v>11424</v>
      </c>
      <c r="BF547" s="30" t="s">
        <v>546</v>
      </c>
      <c r="BG547" s="30" t="s">
        <v>151</v>
      </c>
      <c r="BH547" s="30" t="s">
        <v>11425</v>
      </c>
      <c r="BI547" s="30" t="s">
        <v>10468</v>
      </c>
      <c r="BJ547" s="30" t="s">
        <v>11426</v>
      </c>
      <c r="BK547" s="30" t="s">
        <v>151</v>
      </c>
      <c r="BL547" s="30" t="s">
        <v>10470</v>
      </c>
      <c r="BM547" s="30" t="s">
        <v>9081</v>
      </c>
      <c r="BN547" s="29" t="s">
        <v>11427</v>
      </c>
      <c r="BO547" s="30" t="s">
        <v>186</v>
      </c>
      <c r="BP547" s="29" t="s">
        <v>11428</v>
      </c>
      <c r="BQ547" s="29" t="s">
        <v>151</v>
      </c>
      <c r="BR547" s="30" t="s">
        <v>151</v>
      </c>
      <c r="BS547" s="30" t="s">
        <v>187</v>
      </c>
      <c r="BT547" s="30" t="s">
        <v>188</v>
      </c>
      <c r="BU547" s="35">
        <v>45509</v>
      </c>
      <c r="BV547" s="37">
        <v>0.4</v>
      </c>
      <c r="BW547" s="30" t="s">
        <v>192</v>
      </c>
      <c r="BX547" s="37" t="s">
        <v>151</v>
      </c>
      <c r="BY547" s="30" t="s">
        <v>151</v>
      </c>
      <c r="BZ547" s="30" t="s">
        <v>293</v>
      </c>
      <c r="CA547" s="30" t="s">
        <v>293</v>
      </c>
      <c r="CB547" s="30" t="s">
        <v>151</v>
      </c>
      <c r="CC547" s="30" t="s">
        <v>165</v>
      </c>
      <c r="CD547" s="30" t="s">
        <v>11429</v>
      </c>
      <c r="CE547" s="30" t="s">
        <v>191</v>
      </c>
      <c r="CF547" s="35">
        <v>45509</v>
      </c>
      <c r="CG547" s="37">
        <v>0.4</v>
      </c>
      <c r="CH547" s="30" t="s">
        <v>192</v>
      </c>
      <c r="CI547" s="37" t="s">
        <v>151</v>
      </c>
      <c r="CJ547" s="30" t="s">
        <v>151</v>
      </c>
      <c r="CK547" s="29" t="s">
        <v>151</v>
      </c>
      <c r="CL547" s="30" t="s">
        <v>293</v>
      </c>
      <c r="CM547" s="30" t="s">
        <v>293</v>
      </c>
      <c r="CN547" s="30" t="s">
        <v>151</v>
      </c>
      <c r="CO547" s="30" t="s">
        <v>165</v>
      </c>
      <c r="CP547" s="35">
        <v>45509</v>
      </c>
      <c r="CQ547" s="37">
        <v>0.15</v>
      </c>
      <c r="CR547" s="30" t="s">
        <v>11429</v>
      </c>
      <c r="CS547" s="30" t="s">
        <v>191</v>
      </c>
      <c r="CT547" s="29" t="s">
        <v>151</v>
      </c>
      <c r="CU547" s="30" t="s">
        <v>151</v>
      </c>
      <c r="CV547" s="32" t="s">
        <v>151</v>
      </c>
      <c r="CW547" s="32" t="s">
        <v>151</v>
      </c>
      <c r="CX547" s="30" t="s">
        <v>151</v>
      </c>
      <c r="CY547" s="32" t="s">
        <v>151</v>
      </c>
      <c r="CZ547" s="32" t="s">
        <v>151</v>
      </c>
      <c r="DA547" s="37" t="s">
        <v>151</v>
      </c>
      <c r="DB547" s="35" t="s">
        <v>151</v>
      </c>
      <c r="DC547" s="30" t="s">
        <v>151</v>
      </c>
      <c r="DD547" s="29" t="s">
        <v>151</v>
      </c>
      <c r="DE547" s="32" t="s">
        <v>151</v>
      </c>
      <c r="DF547" s="34" t="s">
        <v>151</v>
      </c>
      <c r="DG547" s="32" t="s">
        <v>151</v>
      </c>
      <c r="DH547" s="32" t="s">
        <v>151</v>
      </c>
      <c r="DI547" s="32" t="s">
        <v>151</v>
      </c>
      <c r="DJ547" s="34" t="s">
        <v>151</v>
      </c>
      <c r="DK547" s="32" t="s">
        <v>151</v>
      </c>
      <c r="DL547" s="34" t="s">
        <v>151</v>
      </c>
      <c r="DM547" s="32" t="s">
        <v>151</v>
      </c>
      <c r="DN547" s="34" t="s">
        <v>151</v>
      </c>
      <c r="DO547" s="36" t="s">
        <v>151</v>
      </c>
      <c r="DP547" s="34" t="s">
        <v>151</v>
      </c>
      <c r="DQ547" s="36" t="s">
        <v>151</v>
      </c>
      <c r="DR547" s="32" t="s">
        <v>151</v>
      </c>
      <c r="DS547" s="36" t="s">
        <v>151</v>
      </c>
      <c r="DT547" s="34" t="s">
        <v>151</v>
      </c>
      <c r="DU547" s="36" t="s">
        <v>151</v>
      </c>
      <c r="DV547" s="34" t="s">
        <v>151</v>
      </c>
      <c r="DW547" s="36" t="s">
        <v>151</v>
      </c>
      <c r="DX547" s="34" t="s">
        <v>151</v>
      </c>
      <c r="DY547" s="31" t="s">
        <v>151</v>
      </c>
      <c r="DZ547" s="35" t="s">
        <v>151</v>
      </c>
      <c r="EA547" s="35" t="s">
        <v>151</v>
      </c>
      <c r="EB547" s="34" t="s">
        <v>151</v>
      </c>
      <c r="EC547" s="33" t="s">
        <v>151</v>
      </c>
      <c r="ED547" s="32" t="s">
        <v>151</v>
      </c>
      <c r="EE547" s="34" t="s">
        <v>151</v>
      </c>
      <c r="EF547" s="33" t="s">
        <v>151</v>
      </c>
      <c r="EG547" s="32" t="s">
        <v>151</v>
      </c>
      <c r="EH547" s="29" t="s">
        <v>198</v>
      </c>
      <c r="EI547" s="30" t="s">
        <v>151</v>
      </c>
      <c r="EJ547" s="30" t="s">
        <v>151</v>
      </c>
      <c r="EK547" s="31" t="s">
        <v>151</v>
      </c>
      <c r="EL547" s="31" t="s">
        <v>151</v>
      </c>
      <c r="EM547" s="31" t="s">
        <v>151</v>
      </c>
      <c r="EN547" s="31" t="s">
        <v>151</v>
      </c>
      <c r="EO547" s="31" t="s">
        <v>151</v>
      </c>
      <c r="EP547" s="30" t="s">
        <v>151</v>
      </c>
      <c r="EQ547" s="29" t="s">
        <v>151</v>
      </c>
      <c r="ER547" s="29" t="s">
        <v>151</v>
      </c>
      <c r="ES547" s="4">
        <f>HYPERLINK("https://my.pitchbook.com?c=690998-05","View Company Online")</f>
      </c>
    </row>
    <row r="548">
      <c r="A548" s="17" t="s">
        <v>11430</v>
      </c>
      <c r="B548" s="17" t="s">
        <v>11431</v>
      </c>
      <c r="C548" s="18" t="s">
        <v>151</v>
      </c>
      <c r="D548" s="17" t="s">
        <v>151</v>
      </c>
      <c r="E548" s="17" t="s">
        <v>151</v>
      </c>
      <c r="F548" s="17" t="s">
        <v>11432</v>
      </c>
      <c r="G548" s="17" t="s">
        <v>151</v>
      </c>
      <c r="H548" s="17" t="s">
        <v>151</v>
      </c>
      <c r="I548" s="17" t="s">
        <v>151</v>
      </c>
      <c r="J548" s="17" t="s">
        <v>11430</v>
      </c>
      <c r="K548" s="17" t="s">
        <v>11433</v>
      </c>
      <c r="L548" s="17" t="s">
        <v>155</v>
      </c>
      <c r="M548" s="17" t="s">
        <v>2320</v>
      </c>
      <c r="N548" s="17" t="s">
        <v>2321</v>
      </c>
      <c r="O548" s="17" t="s">
        <v>11434</v>
      </c>
      <c r="P548" s="17" t="s">
        <v>11435</v>
      </c>
      <c r="Q548" s="17" t="s">
        <v>11436</v>
      </c>
      <c r="R548" s="17" t="s">
        <v>151</v>
      </c>
      <c r="S548" s="17" t="s">
        <v>162</v>
      </c>
      <c r="T548" s="24">
        <v>0.75</v>
      </c>
      <c r="U548" s="17" t="s">
        <v>163</v>
      </c>
      <c r="V548" s="17" t="s">
        <v>164</v>
      </c>
      <c r="W548" s="17" t="s">
        <v>165</v>
      </c>
      <c r="X548" s="15" t="s">
        <v>11437</v>
      </c>
      <c r="Y548" s="15" t="s">
        <v>11438</v>
      </c>
      <c r="Z548" s="27">
        <v>3</v>
      </c>
      <c r="AA548" s="17" t="s">
        <v>11439</v>
      </c>
      <c r="AB548" s="17" t="s">
        <v>151</v>
      </c>
      <c r="AC548" s="17" t="s">
        <v>151</v>
      </c>
      <c r="AD548" s="26">
        <v>2021</v>
      </c>
      <c r="AE548" s="17" t="s">
        <v>151</v>
      </c>
      <c r="AF548" s="22">
        <v>45305</v>
      </c>
      <c r="AG548" s="17" t="s">
        <v>151</v>
      </c>
      <c r="AH548" s="17" t="s">
        <v>151</v>
      </c>
      <c r="AI548" s="25" t="s">
        <v>151</v>
      </c>
      <c r="AJ548" s="19" t="s">
        <v>151</v>
      </c>
      <c r="AK548" s="25" t="s">
        <v>151</v>
      </c>
      <c r="AL548" s="25" t="s">
        <v>151</v>
      </c>
      <c r="AM548" s="25" t="s">
        <v>151</v>
      </c>
      <c r="AN548" s="25" t="s">
        <v>151</v>
      </c>
      <c r="AO548" s="25" t="s">
        <v>151</v>
      </c>
      <c r="AP548" s="25" t="s">
        <v>151</v>
      </c>
      <c r="AQ548" s="25" t="s">
        <v>151</v>
      </c>
      <c r="AR548" s="16" t="s">
        <v>151</v>
      </c>
      <c r="AS548" s="17" t="s">
        <v>11440</v>
      </c>
      <c r="AT548" s="17" t="s">
        <v>11441</v>
      </c>
      <c r="AU548" s="18">
        <v>2</v>
      </c>
      <c r="AV548" s="17" t="s">
        <v>151</v>
      </c>
      <c r="AW548" s="17" t="s">
        <v>151</v>
      </c>
      <c r="AX548" s="17" t="s">
        <v>151</v>
      </c>
      <c r="AY548" s="17" t="s">
        <v>11442</v>
      </c>
      <c r="AZ548" s="17" t="s">
        <v>151</v>
      </c>
      <c r="BA548" s="17" t="s">
        <v>151</v>
      </c>
      <c r="BB548" s="17" t="s">
        <v>151</v>
      </c>
      <c r="BC548" s="17" t="s">
        <v>151</v>
      </c>
      <c r="BD548" s="17" t="s">
        <v>11443</v>
      </c>
      <c r="BE548" s="17" t="s">
        <v>11444</v>
      </c>
      <c r="BF548" s="17" t="s">
        <v>11445</v>
      </c>
      <c r="BG548" s="17" t="s">
        <v>11446</v>
      </c>
      <c r="BH548" s="17" t="s">
        <v>11447</v>
      </c>
      <c r="BI548" s="17" t="s">
        <v>11448</v>
      </c>
      <c r="BJ548" s="17" t="s">
        <v>11449</v>
      </c>
      <c r="BK548" s="17" t="s">
        <v>1014</v>
      </c>
      <c r="BL548" s="17" t="s">
        <v>11450</v>
      </c>
      <c r="BM548" s="17" t="s">
        <v>1388</v>
      </c>
      <c r="BN548" s="16" t="s">
        <v>11451</v>
      </c>
      <c r="BO548" s="17" t="s">
        <v>186</v>
      </c>
      <c r="BP548" s="16" t="s">
        <v>151</v>
      </c>
      <c r="BQ548" s="16" t="s">
        <v>151</v>
      </c>
      <c r="BR548" s="17" t="s">
        <v>11452</v>
      </c>
      <c r="BS548" s="17" t="s">
        <v>187</v>
      </c>
      <c r="BT548" s="17" t="s">
        <v>188</v>
      </c>
      <c r="BU548" s="22">
        <v>44551</v>
      </c>
      <c r="BV548" s="24">
        <v>0.75</v>
      </c>
      <c r="BW548" s="17" t="s">
        <v>192</v>
      </c>
      <c r="BX548" s="24" t="s">
        <v>151</v>
      </c>
      <c r="BY548" s="17" t="s">
        <v>151</v>
      </c>
      <c r="BZ548" s="17" t="s">
        <v>231</v>
      </c>
      <c r="CA548" s="17" t="s">
        <v>151</v>
      </c>
      <c r="CB548" s="17" t="s">
        <v>151</v>
      </c>
      <c r="CC548" s="17" t="s">
        <v>165</v>
      </c>
      <c r="CD548" s="17" t="s">
        <v>151</v>
      </c>
      <c r="CE548" s="17" t="s">
        <v>191</v>
      </c>
      <c r="CF548" s="22">
        <v>44551</v>
      </c>
      <c r="CG548" s="24">
        <v>0.75</v>
      </c>
      <c r="CH548" s="17" t="s">
        <v>192</v>
      </c>
      <c r="CI548" s="24" t="s">
        <v>151</v>
      </c>
      <c r="CJ548" s="17" t="s">
        <v>151</v>
      </c>
      <c r="CK548" s="16" t="s">
        <v>151</v>
      </c>
      <c r="CL548" s="17" t="s">
        <v>231</v>
      </c>
      <c r="CM548" s="17" t="s">
        <v>151</v>
      </c>
      <c r="CN548" s="17" t="s">
        <v>151</v>
      </c>
      <c r="CO548" s="17" t="s">
        <v>165</v>
      </c>
      <c r="CP548" s="22">
        <v>44551</v>
      </c>
      <c r="CQ548" s="24" t="s">
        <v>151</v>
      </c>
      <c r="CR548" s="17" t="s">
        <v>151</v>
      </c>
      <c r="CS548" s="17" t="s">
        <v>191</v>
      </c>
      <c r="CT548" s="16" t="s">
        <v>151</v>
      </c>
      <c r="CU548" s="17" t="s">
        <v>151</v>
      </c>
      <c r="CV548" s="19" t="s">
        <v>151</v>
      </c>
      <c r="CW548" s="19" t="s">
        <v>151</v>
      </c>
      <c r="CX548" s="17" t="s">
        <v>151</v>
      </c>
      <c r="CY548" s="19" t="s">
        <v>151</v>
      </c>
      <c r="CZ548" s="19" t="s">
        <v>151</v>
      </c>
      <c r="DA548" s="24" t="s">
        <v>151</v>
      </c>
      <c r="DB548" s="22" t="s">
        <v>151</v>
      </c>
      <c r="DC548" s="17" t="s">
        <v>151</v>
      </c>
      <c r="DD548" s="16" t="s">
        <v>151</v>
      </c>
      <c r="DE548" s="19">
        <v>-1.56</v>
      </c>
      <c r="DF548" s="21">
        <v>3</v>
      </c>
      <c r="DG548" s="19">
        <v>0</v>
      </c>
      <c r="DH548" s="19">
        <v>0</v>
      </c>
      <c r="DI548" s="19">
        <v>0</v>
      </c>
      <c r="DJ548" s="21">
        <v>10</v>
      </c>
      <c r="DK548" s="19" t="s">
        <v>151</v>
      </c>
      <c r="DL548" s="21" t="s">
        <v>151</v>
      </c>
      <c r="DM548" s="19">
        <v>0</v>
      </c>
      <c r="DN548" s="21">
        <v>10</v>
      </c>
      <c r="DO548" s="23">
        <v>0.4</v>
      </c>
      <c r="DP548" s="21">
        <v>28</v>
      </c>
      <c r="DQ548" s="23">
        <v>0</v>
      </c>
      <c r="DR548" s="19">
        <v>0</v>
      </c>
      <c r="DS548" s="23">
        <v>0.58</v>
      </c>
      <c r="DT548" s="21">
        <v>36</v>
      </c>
      <c r="DU548" s="23" t="s">
        <v>151</v>
      </c>
      <c r="DV548" s="21" t="s">
        <v>151</v>
      </c>
      <c r="DW548" s="23">
        <v>0.58</v>
      </c>
      <c r="DX548" s="21">
        <v>36</v>
      </c>
      <c r="DY548" s="18" t="s">
        <v>151</v>
      </c>
      <c r="DZ548" s="22" t="s">
        <v>151</v>
      </c>
      <c r="EA548" s="22" t="s">
        <v>151</v>
      </c>
      <c r="EB548" s="21">
        <v>0</v>
      </c>
      <c r="EC548" s="20">
        <v>0</v>
      </c>
      <c r="ED548" s="19">
        <v>0</v>
      </c>
      <c r="EE548" s="21">
        <v>11</v>
      </c>
      <c r="EF548" s="20">
        <v>0</v>
      </c>
      <c r="EG548" s="19">
        <v>0</v>
      </c>
      <c r="EH548" s="16" t="s">
        <v>198</v>
      </c>
      <c r="EI548" s="17" t="s">
        <v>151</v>
      </c>
      <c r="EJ548" s="17" t="s">
        <v>151</v>
      </c>
      <c r="EK548" s="18" t="s">
        <v>151</v>
      </c>
      <c r="EL548" s="18" t="s">
        <v>151</v>
      </c>
      <c r="EM548" s="18" t="s">
        <v>151</v>
      </c>
      <c r="EN548" s="18" t="s">
        <v>151</v>
      </c>
      <c r="EO548" s="18" t="s">
        <v>151</v>
      </c>
      <c r="EP548" s="17" t="s">
        <v>151</v>
      </c>
      <c r="EQ548" s="16" t="s">
        <v>151</v>
      </c>
      <c r="ER548" s="16" t="s">
        <v>151</v>
      </c>
      <c r="ES548" s="3">
        <f>HYPERLINK("https://my.pitchbook.com?c=492741-64","View Company Online")</f>
      </c>
    </row>
    <row r="549">
      <c r="A549" s="30" t="s">
        <v>11453</v>
      </c>
      <c r="B549" s="30" t="s">
        <v>11454</v>
      </c>
      <c r="C549" s="31" t="s">
        <v>151</v>
      </c>
      <c r="D549" s="30" t="s">
        <v>151</v>
      </c>
      <c r="E549" s="30" t="s">
        <v>151</v>
      </c>
      <c r="F549" s="30" t="s">
        <v>11455</v>
      </c>
      <c r="G549" s="30" t="s">
        <v>151</v>
      </c>
      <c r="H549" s="30" t="s">
        <v>151</v>
      </c>
      <c r="I549" s="30" t="s">
        <v>11456</v>
      </c>
      <c r="J549" s="30" t="s">
        <v>11453</v>
      </c>
      <c r="K549" s="30" t="s">
        <v>11457</v>
      </c>
      <c r="L549" s="30" t="s">
        <v>155</v>
      </c>
      <c r="M549" s="30" t="s">
        <v>361</v>
      </c>
      <c r="N549" s="30" t="s">
        <v>3162</v>
      </c>
      <c r="O549" s="30" t="s">
        <v>11458</v>
      </c>
      <c r="P549" s="30" t="s">
        <v>1346</v>
      </c>
      <c r="Q549" s="30" t="s">
        <v>11459</v>
      </c>
      <c r="R549" s="30" t="s">
        <v>151</v>
      </c>
      <c r="S549" s="30" t="s">
        <v>162</v>
      </c>
      <c r="T549" s="37">
        <v>1</v>
      </c>
      <c r="U549" s="30" t="s">
        <v>163</v>
      </c>
      <c r="V549" s="30" t="s">
        <v>164</v>
      </c>
      <c r="W549" s="30" t="s">
        <v>165</v>
      </c>
      <c r="X549" s="28" t="s">
        <v>11460</v>
      </c>
      <c r="Y549" s="28" t="s">
        <v>11461</v>
      </c>
      <c r="Z549" s="40">
        <v>9</v>
      </c>
      <c r="AA549" s="30" t="s">
        <v>5557</v>
      </c>
      <c r="AB549" s="30" t="s">
        <v>151</v>
      </c>
      <c r="AC549" s="30" t="s">
        <v>151</v>
      </c>
      <c r="AD549" s="39">
        <v>2022</v>
      </c>
      <c r="AE549" s="30" t="s">
        <v>151</v>
      </c>
      <c r="AF549" s="35">
        <v>45569</v>
      </c>
      <c r="AG549" s="30" t="s">
        <v>151</v>
      </c>
      <c r="AH549" s="30" t="s">
        <v>151</v>
      </c>
      <c r="AI549" s="38" t="s">
        <v>151</v>
      </c>
      <c r="AJ549" s="32" t="s">
        <v>151</v>
      </c>
      <c r="AK549" s="38" t="s">
        <v>151</v>
      </c>
      <c r="AL549" s="38" t="s">
        <v>151</v>
      </c>
      <c r="AM549" s="38" t="s">
        <v>151</v>
      </c>
      <c r="AN549" s="38" t="s">
        <v>151</v>
      </c>
      <c r="AO549" s="38" t="s">
        <v>151</v>
      </c>
      <c r="AP549" s="38" t="s">
        <v>151</v>
      </c>
      <c r="AQ549" s="38" t="s">
        <v>151</v>
      </c>
      <c r="AR549" s="29" t="s">
        <v>151</v>
      </c>
      <c r="AS549" s="30" t="s">
        <v>11462</v>
      </c>
      <c r="AT549" s="30" t="s">
        <v>11463</v>
      </c>
      <c r="AU549" s="31">
        <v>10</v>
      </c>
      <c r="AV549" s="30" t="s">
        <v>151</v>
      </c>
      <c r="AW549" s="30" t="s">
        <v>151</v>
      </c>
      <c r="AX549" s="30" t="s">
        <v>151</v>
      </c>
      <c r="AY549" s="30" t="s">
        <v>11464</v>
      </c>
      <c r="AZ549" s="30" t="s">
        <v>151</v>
      </c>
      <c r="BA549" s="30" t="s">
        <v>151</v>
      </c>
      <c r="BB549" s="30" t="s">
        <v>151</v>
      </c>
      <c r="BC549" s="30" t="s">
        <v>151</v>
      </c>
      <c r="BD549" s="30" t="s">
        <v>11465</v>
      </c>
      <c r="BE549" s="30" t="s">
        <v>11466</v>
      </c>
      <c r="BF549" s="30" t="s">
        <v>221</v>
      </c>
      <c r="BG549" s="30" t="s">
        <v>11467</v>
      </c>
      <c r="BH549" s="30" t="s">
        <v>11468</v>
      </c>
      <c r="BI549" s="30" t="s">
        <v>578</v>
      </c>
      <c r="BJ549" s="30" t="s">
        <v>11469</v>
      </c>
      <c r="BK549" s="30" t="s">
        <v>11470</v>
      </c>
      <c r="BL549" s="30" t="s">
        <v>581</v>
      </c>
      <c r="BM549" s="30" t="s">
        <v>582</v>
      </c>
      <c r="BN549" s="29" t="s">
        <v>151</v>
      </c>
      <c r="BO549" s="30" t="s">
        <v>186</v>
      </c>
      <c r="BP549" s="29" t="s">
        <v>11468</v>
      </c>
      <c r="BQ549" s="29" t="s">
        <v>151</v>
      </c>
      <c r="BR549" s="30" t="s">
        <v>11471</v>
      </c>
      <c r="BS549" s="30" t="s">
        <v>187</v>
      </c>
      <c r="BT549" s="30" t="s">
        <v>188</v>
      </c>
      <c r="BU549" s="35">
        <v>45379</v>
      </c>
      <c r="BV549" s="37">
        <v>1</v>
      </c>
      <c r="BW549" s="30" t="s">
        <v>192</v>
      </c>
      <c r="BX549" s="37" t="s">
        <v>151</v>
      </c>
      <c r="BY549" s="30" t="s">
        <v>151</v>
      </c>
      <c r="BZ549" s="30" t="s">
        <v>293</v>
      </c>
      <c r="CA549" s="30" t="s">
        <v>293</v>
      </c>
      <c r="CB549" s="30" t="s">
        <v>151</v>
      </c>
      <c r="CC549" s="30" t="s">
        <v>165</v>
      </c>
      <c r="CD549" s="30" t="s">
        <v>151</v>
      </c>
      <c r="CE549" s="30" t="s">
        <v>191</v>
      </c>
      <c r="CF549" s="35">
        <v>45379</v>
      </c>
      <c r="CG549" s="37">
        <v>1</v>
      </c>
      <c r="CH549" s="30" t="s">
        <v>192</v>
      </c>
      <c r="CI549" s="37" t="s">
        <v>151</v>
      </c>
      <c r="CJ549" s="30" t="s">
        <v>151</v>
      </c>
      <c r="CK549" s="29" t="s">
        <v>151</v>
      </c>
      <c r="CL549" s="30" t="s">
        <v>293</v>
      </c>
      <c r="CM549" s="30" t="s">
        <v>293</v>
      </c>
      <c r="CN549" s="30" t="s">
        <v>151</v>
      </c>
      <c r="CO549" s="30" t="s">
        <v>165</v>
      </c>
      <c r="CP549" s="35">
        <v>45379</v>
      </c>
      <c r="CQ549" s="37" t="s">
        <v>151</v>
      </c>
      <c r="CR549" s="30" t="s">
        <v>151</v>
      </c>
      <c r="CS549" s="30" t="s">
        <v>191</v>
      </c>
      <c r="CT549" s="29" t="s">
        <v>151</v>
      </c>
      <c r="CU549" s="30" t="s">
        <v>151</v>
      </c>
      <c r="CV549" s="32" t="s">
        <v>151</v>
      </c>
      <c r="CW549" s="32" t="s">
        <v>151</v>
      </c>
      <c r="CX549" s="30" t="s">
        <v>151</v>
      </c>
      <c r="CY549" s="32" t="s">
        <v>151</v>
      </c>
      <c r="CZ549" s="32" t="s">
        <v>151</v>
      </c>
      <c r="DA549" s="37" t="s">
        <v>151</v>
      </c>
      <c r="DB549" s="35" t="s">
        <v>151</v>
      </c>
      <c r="DC549" s="30" t="s">
        <v>151</v>
      </c>
      <c r="DD549" s="29" t="s">
        <v>151</v>
      </c>
      <c r="DE549" s="32">
        <v>1.27</v>
      </c>
      <c r="DF549" s="34">
        <v>97</v>
      </c>
      <c r="DG549" s="32">
        <v>0</v>
      </c>
      <c r="DH549" s="32">
        <v>0</v>
      </c>
      <c r="DI549" s="32">
        <v>-0.8</v>
      </c>
      <c r="DJ549" s="34">
        <v>5</v>
      </c>
      <c r="DK549" s="32" t="s">
        <v>151</v>
      </c>
      <c r="DL549" s="34" t="s">
        <v>151</v>
      </c>
      <c r="DM549" s="32">
        <v>-0.8</v>
      </c>
      <c r="DN549" s="34">
        <v>5</v>
      </c>
      <c r="DO549" s="36">
        <v>3.5</v>
      </c>
      <c r="DP549" s="34">
        <v>77</v>
      </c>
      <c r="DQ549" s="36">
        <v>0</v>
      </c>
      <c r="DR549" s="32">
        <v>0</v>
      </c>
      <c r="DS549" s="36">
        <v>6.32</v>
      </c>
      <c r="DT549" s="34">
        <v>85</v>
      </c>
      <c r="DU549" s="36" t="s">
        <v>151</v>
      </c>
      <c r="DV549" s="34" t="s">
        <v>151</v>
      </c>
      <c r="DW549" s="36">
        <v>6.32</v>
      </c>
      <c r="DX549" s="34">
        <v>85</v>
      </c>
      <c r="DY549" s="31" t="s">
        <v>151</v>
      </c>
      <c r="DZ549" s="35" t="s">
        <v>151</v>
      </c>
      <c r="EA549" s="35" t="s">
        <v>151</v>
      </c>
      <c r="EB549" s="34">
        <v>5430</v>
      </c>
      <c r="EC549" s="33">
        <v>441</v>
      </c>
      <c r="ED549" s="32">
        <v>8.84</v>
      </c>
      <c r="EE549" s="34">
        <v>120</v>
      </c>
      <c r="EF549" s="33">
        <v>0</v>
      </c>
      <c r="EG549" s="32">
        <v>0</v>
      </c>
      <c r="EH549" s="29" t="s">
        <v>198</v>
      </c>
      <c r="EI549" s="30" t="s">
        <v>151</v>
      </c>
      <c r="EJ549" s="30" t="s">
        <v>151</v>
      </c>
      <c r="EK549" s="31" t="s">
        <v>151</v>
      </c>
      <c r="EL549" s="31" t="s">
        <v>151</v>
      </c>
      <c r="EM549" s="31" t="s">
        <v>151</v>
      </c>
      <c r="EN549" s="31" t="s">
        <v>151</v>
      </c>
      <c r="EO549" s="31" t="s">
        <v>151</v>
      </c>
      <c r="EP549" s="30" t="s">
        <v>151</v>
      </c>
      <c r="EQ549" s="29" t="s">
        <v>151</v>
      </c>
      <c r="ER549" s="29" t="s">
        <v>151</v>
      </c>
      <c r="ES549" s="4">
        <f>HYPERLINK("https://my.pitchbook.com?c=535158-37","View Company Online")</f>
      </c>
    </row>
    <row r="550">
      <c r="A550" s="17" t="s">
        <v>11472</v>
      </c>
      <c r="B550" s="17" t="s">
        <v>11473</v>
      </c>
      <c r="C550" s="18" t="s">
        <v>151</v>
      </c>
      <c r="D550" s="17" t="s">
        <v>151</v>
      </c>
      <c r="E550" s="17" t="s">
        <v>151</v>
      </c>
      <c r="F550" s="17" t="s">
        <v>11474</v>
      </c>
      <c r="G550" s="17" t="s">
        <v>151</v>
      </c>
      <c r="H550" s="17" t="s">
        <v>151</v>
      </c>
      <c r="I550" s="17" t="s">
        <v>11475</v>
      </c>
      <c r="J550" s="17" t="s">
        <v>11472</v>
      </c>
      <c r="K550" s="17" t="s">
        <v>11476</v>
      </c>
      <c r="L550" s="17" t="s">
        <v>205</v>
      </c>
      <c r="M550" s="17" t="s">
        <v>206</v>
      </c>
      <c r="N550" s="17" t="s">
        <v>1268</v>
      </c>
      <c r="O550" s="17" t="s">
        <v>11477</v>
      </c>
      <c r="P550" s="17" t="s">
        <v>2130</v>
      </c>
      <c r="Q550" s="17" t="s">
        <v>11478</v>
      </c>
      <c r="R550" s="17" t="s">
        <v>151</v>
      </c>
      <c r="S550" s="17" t="s">
        <v>162</v>
      </c>
      <c r="T550" s="24">
        <v>42.5</v>
      </c>
      <c r="U550" s="17" t="s">
        <v>163</v>
      </c>
      <c r="V550" s="17" t="s">
        <v>164</v>
      </c>
      <c r="W550" s="17" t="s">
        <v>165</v>
      </c>
      <c r="X550" s="15" t="s">
        <v>11479</v>
      </c>
      <c r="Y550" s="15" t="s">
        <v>11480</v>
      </c>
      <c r="Z550" s="27">
        <v>110</v>
      </c>
      <c r="AA550" s="17" t="s">
        <v>11481</v>
      </c>
      <c r="AB550" s="17" t="s">
        <v>151</v>
      </c>
      <c r="AC550" s="17" t="s">
        <v>151</v>
      </c>
      <c r="AD550" s="26">
        <v>2019</v>
      </c>
      <c r="AE550" s="17" t="s">
        <v>151</v>
      </c>
      <c r="AF550" s="22">
        <v>45495</v>
      </c>
      <c r="AG550" s="17" t="s">
        <v>151</v>
      </c>
      <c r="AH550" s="17" t="s">
        <v>151</v>
      </c>
      <c r="AI550" s="25" t="s">
        <v>151</v>
      </c>
      <c r="AJ550" s="19" t="s">
        <v>151</v>
      </c>
      <c r="AK550" s="25" t="s">
        <v>151</v>
      </c>
      <c r="AL550" s="25" t="s">
        <v>151</v>
      </c>
      <c r="AM550" s="25" t="s">
        <v>151</v>
      </c>
      <c r="AN550" s="25" t="s">
        <v>151</v>
      </c>
      <c r="AO550" s="25" t="s">
        <v>151</v>
      </c>
      <c r="AP550" s="25" t="s">
        <v>151</v>
      </c>
      <c r="AQ550" s="25" t="s">
        <v>151</v>
      </c>
      <c r="AR550" s="16" t="s">
        <v>151</v>
      </c>
      <c r="AS550" s="17" t="s">
        <v>11482</v>
      </c>
      <c r="AT550" s="17" t="s">
        <v>11483</v>
      </c>
      <c r="AU550" s="18">
        <v>11</v>
      </c>
      <c r="AV550" s="17" t="s">
        <v>151</v>
      </c>
      <c r="AW550" s="17" t="s">
        <v>151</v>
      </c>
      <c r="AX550" s="17" t="s">
        <v>151</v>
      </c>
      <c r="AY550" s="17" t="s">
        <v>11484</v>
      </c>
      <c r="AZ550" s="17" t="s">
        <v>151</v>
      </c>
      <c r="BA550" s="17" t="s">
        <v>151</v>
      </c>
      <c r="BB550" s="17" t="s">
        <v>11485</v>
      </c>
      <c r="BC550" s="17" t="s">
        <v>343</v>
      </c>
      <c r="BD550" s="17" t="s">
        <v>11486</v>
      </c>
      <c r="BE550" s="17" t="s">
        <v>11487</v>
      </c>
      <c r="BF550" s="17" t="s">
        <v>11488</v>
      </c>
      <c r="BG550" s="17" t="s">
        <v>11489</v>
      </c>
      <c r="BH550" s="17" t="s">
        <v>11490</v>
      </c>
      <c r="BI550" s="17" t="s">
        <v>764</v>
      </c>
      <c r="BJ550" s="17" t="s">
        <v>11491</v>
      </c>
      <c r="BK550" s="17" t="s">
        <v>11492</v>
      </c>
      <c r="BL550" s="17" t="s">
        <v>767</v>
      </c>
      <c r="BM550" s="17" t="s">
        <v>184</v>
      </c>
      <c r="BN550" s="16" t="s">
        <v>10913</v>
      </c>
      <c r="BO550" s="17" t="s">
        <v>186</v>
      </c>
      <c r="BP550" s="16" t="s">
        <v>11490</v>
      </c>
      <c r="BQ550" s="16" t="s">
        <v>151</v>
      </c>
      <c r="BR550" s="17" t="s">
        <v>11493</v>
      </c>
      <c r="BS550" s="17" t="s">
        <v>187</v>
      </c>
      <c r="BT550" s="17" t="s">
        <v>188</v>
      </c>
      <c r="BU550" s="22">
        <v>44033</v>
      </c>
      <c r="BV550" s="24">
        <v>12.5</v>
      </c>
      <c r="BW550" s="17" t="s">
        <v>192</v>
      </c>
      <c r="BX550" s="24">
        <v>42.5</v>
      </c>
      <c r="BY550" s="17" t="s">
        <v>192</v>
      </c>
      <c r="BZ550" s="17" t="s">
        <v>231</v>
      </c>
      <c r="CA550" s="17" t="s">
        <v>232</v>
      </c>
      <c r="CB550" s="17" t="s">
        <v>151</v>
      </c>
      <c r="CC550" s="17" t="s">
        <v>165</v>
      </c>
      <c r="CD550" s="17" t="s">
        <v>151</v>
      </c>
      <c r="CE550" s="17" t="s">
        <v>191</v>
      </c>
      <c r="CF550" s="22">
        <v>44357</v>
      </c>
      <c r="CG550" s="24">
        <v>30</v>
      </c>
      <c r="CH550" s="17" t="s">
        <v>192</v>
      </c>
      <c r="CI550" s="24">
        <v>175</v>
      </c>
      <c r="CJ550" s="17" t="s">
        <v>192</v>
      </c>
      <c r="CK550" s="16">
        <v>3.41</v>
      </c>
      <c r="CL550" s="17" t="s">
        <v>231</v>
      </c>
      <c r="CM550" s="17" t="s">
        <v>151</v>
      </c>
      <c r="CN550" s="17" t="s">
        <v>151</v>
      </c>
      <c r="CO550" s="17" t="s">
        <v>165</v>
      </c>
      <c r="CP550" s="22">
        <v>44357</v>
      </c>
      <c r="CQ550" s="24" t="s">
        <v>151</v>
      </c>
      <c r="CR550" s="17" t="s">
        <v>151</v>
      </c>
      <c r="CS550" s="17" t="s">
        <v>191</v>
      </c>
      <c r="CT550" s="16">
        <v>69</v>
      </c>
      <c r="CU550" s="17" t="s">
        <v>196</v>
      </c>
      <c r="CV550" s="19">
        <v>80</v>
      </c>
      <c r="CW550" s="19">
        <v>20</v>
      </c>
      <c r="CX550" s="17" t="s">
        <v>294</v>
      </c>
      <c r="CY550" s="19">
        <v>1</v>
      </c>
      <c r="CZ550" s="19">
        <v>79</v>
      </c>
      <c r="DA550" s="24">
        <v>175</v>
      </c>
      <c r="DB550" s="22">
        <v>44357</v>
      </c>
      <c r="DC550" s="17" t="s">
        <v>231</v>
      </c>
      <c r="DD550" s="16">
        <v>3.41</v>
      </c>
      <c r="DE550" s="19">
        <v>0.78</v>
      </c>
      <c r="DF550" s="21">
        <v>95</v>
      </c>
      <c r="DG550" s="19">
        <v>0</v>
      </c>
      <c r="DH550" s="19">
        <v>-0.26</v>
      </c>
      <c r="DI550" s="19">
        <v>0.83</v>
      </c>
      <c r="DJ550" s="21">
        <v>96</v>
      </c>
      <c r="DK550" s="19" t="s">
        <v>151</v>
      </c>
      <c r="DL550" s="21" t="s">
        <v>151</v>
      </c>
      <c r="DM550" s="19">
        <v>0.83</v>
      </c>
      <c r="DN550" s="21">
        <v>96</v>
      </c>
      <c r="DO550" s="23">
        <v>1618.27</v>
      </c>
      <c r="DP550" s="21">
        <v>100</v>
      </c>
      <c r="DQ550" s="23">
        <v>14.69</v>
      </c>
      <c r="DR550" s="19">
        <v>0.92</v>
      </c>
      <c r="DS550" s="23">
        <v>34.58</v>
      </c>
      <c r="DT550" s="21">
        <v>97</v>
      </c>
      <c r="DU550" s="23" t="s">
        <v>151</v>
      </c>
      <c r="DV550" s="21" t="s">
        <v>151</v>
      </c>
      <c r="DW550" s="23">
        <v>34.58</v>
      </c>
      <c r="DX550" s="21">
        <v>97</v>
      </c>
      <c r="DY550" s="18" t="s">
        <v>151</v>
      </c>
      <c r="DZ550" s="22" t="s">
        <v>151</v>
      </c>
      <c r="EA550" s="22" t="s">
        <v>151</v>
      </c>
      <c r="EB550" s="21">
        <v>61037</v>
      </c>
      <c r="EC550" s="20">
        <v>2162</v>
      </c>
      <c r="ED550" s="19">
        <v>3.67</v>
      </c>
      <c r="EE550" s="21">
        <v>657</v>
      </c>
      <c r="EF550" s="20">
        <v>3</v>
      </c>
      <c r="EG550" s="19">
        <v>0.46</v>
      </c>
      <c r="EH550" s="16" t="s">
        <v>198</v>
      </c>
      <c r="EI550" s="17" t="s">
        <v>151</v>
      </c>
      <c r="EJ550" s="17" t="s">
        <v>151</v>
      </c>
      <c r="EK550" s="18" t="s">
        <v>151</v>
      </c>
      <c r="EL550" s="18" t="s">
        <v>151</v>
      </c>
      <c r="EM550" s="18" t="s">
        <v>151</v>
      </c>
      <c r="EN550" s="18" t="s">
        <v>151</v>
      </c>
      <c r="EO550" s="18" t="s">
        <v>151</v>
      </c>
      <c r="EP550" s="17" t="s">
        <v>151</v>
      </c>
      <c r="EQ550" s="16" t="s">
        <v>151</v>
      </c>
      <c r="ER550" s="16" t="s">
        <v>151</v>
      </c>
      <c r="ES550" s="3">
        <f>HYPERLINK("https://my.pitchbook.com?c=434261-17","View Company Online")</f>
      </c>
    </row>
    <row r="551">
      <c r="A551" s="30" t="s">
        <v>11494</v>
      </c>
      <c r="B551" s="30" t="s">
        <v>11495</v>
      </c>
      <c r="C551" s="31" t="s">
        <v>151</v>
      </c>
      <c r="D551" s="30" t="s">
        <v>151</v>
      </c>
      <c r="E551" s="30" t="s">
        <v>151</v>
      </c>
      <c r="F551" s="30" t="s">
        <v>11496</v>
      </c>
      <c r="G551" s="30" t="s">
        <v>151</v>
      </c>
      <c r="H551" s="30" t="s">
        <v>151</v>
      </c>
      <c r="I551" s="30" t="s">
        <v>11497</v>
      </c>
      <c r="J551" s="30" t="s">
        <v>11494</v>
      </c>
      <c r="K551" s="30" t="s">
        <v>11498</v>
      </c>
      <c r="L551" s="30" t="s">
        <v>205</v>
      </c>
      <c r="M551" s="30" t="s">
        <v>206</v>
      </c>
      <c r="N551" s="30" t="s">
        <v>269</v>
      </c>
      <c r="O551" s="30" t="s">
        <v>4123</v>
      </c>
      <c r="P551" s="30" t="s">
        <v>11499</v>
      </c>
      <c r="Q551" s="30" t="s">
        <v>11500</v>
      </c>
      <c r="R551" s="30" t="s">
        <v>151</v>
      </c>
      <c r="S551" s="30" t="s">
        <v>162</v>
      </c>
      <c r="T551" s="37">
        <v>1.51</v>
      </c>
      <c r="U551" s="30" t="s">
        <v>163</v>
      </c>
      <c r="V551" s="30" t="s">
        <v>164</v>
      </c>
      <c r="W551" s="30" t="s">
        <v>165</v>
      </c>
      <c r="X551" s="28" t="s">
        <v>11501</v>
      </c>
      <c r="Y551" s="28" t="s">
        <v>11502</v>
      </c>
      <c r="Z551" s="40">
        <v>8</v>
      </c>
      <c r="AA551" s="30" t="s">
        <v>6155</v>
      </c>
      <c r="AB551" s="30" t="s">
        <v>151</v>
      </c>
      <c r="AC551" s="30" t="s">
        <v>151</v>
      </c>
      <c r="AD551" s="39">
        <v>2020</v>
      </c>
      <c r="AE551" s="30" t="s">
        <v>151</v>
      </c>
      <c r="AF551" s="35">
        <v>45526</v>
      </c>
      <c r="AG551" s="30" t="s">
        <v>151</v>
      </c>
      <c r="AH551" s="30" t="s">
        <v>151</v>
      </c>
      <c r="AI551" s="38" t="s">
        <v>151</v>
      </c>
      <c r="AJ551" s="32" t="s">
        <v>151</v>
      </c>
      <c r="AK551" s="38" t="s">
        <v>151</v>
      </c>
      <c r="AL551" s="38" t="s">
        <v>151</v>
      </c>
      <c r="AM551" s="38" t="s">
        <v>151</v>
      </c>
      <c r="AN551" s="38" t="s">
        <v>151</v>
      </c>
      <c r="AO551" s="38" t="s">
        <v>151</v>
      </c>
      <c r="AP551" s="38" t="s">
        <v>151</v>
      </c>
      <c r="AQ551" s="38" t="s">
        <v>151</v>
      </c>
      <c r="AR551" s="29" t="s">
        <v>151</v>
      </c>
      <c r="AS551" s="30" t="s">
        <v>11503</v>
      </c>
      <c r="AT551" s="30" t="s">
        <v>11504</v>
      </c>
      <c r="AU551" s="31">
        <v>6</v>
      </c>
      <c r="AV551" s="30" t="s">
        <v>151</v>
      </c>
      <c r="AW551" s="30" t="s">
        <v>151</v>
      </c>
      <c r="AX551" s="30" t="s">
        <v>151</v>
      </c>
      <c r="AY551" s="30" t="s">
        <v>11505</v>
      </c>
      <c r="AZ551" s="30" t="s">
        <v>151</v>
      </c>
      <c r="BA551" s="30" t="s">
        <v>151</v>
      </c>
      <c r="BB551" s="30" t="s">
        <v>151</v>
      </c>
      <c r="BC551" s="30" t="s">
        <v>151</v>
      </c>
      <c r="BD551" s="30" t="s">
        <v>11506</v>
      </c>
      <c r="BE551" s="30" t="s">
        <v>11507</v>
      </c>
      <c r="BF551" s="30" t="s">
        <v>221</v>
      </c>
      <c r="BG551" s="30" t="s">
        <v>11508</v>
      </c>
      <c r="BH551" s="30" t="s">
        <v>151</v>
      </c>
      <c r="BI551" s="30" t="s">
        <v>549</v>
      </c>
      <c r="BJ551" s="30" t="s">
        <v>151</v>
      </c>
      <c r="BK551" s="30" t="s">
        <v>151</v>
      </c>
      <c r="BL551" s="30" t="s">
        <v>552</v>
      </c>
      <c r="BM551" s="30" t="s">
        <v>322</v>
      </c>
      <c r="BN551" s="29" t="s">
        <v>151</v>
      </c>
      <c r="BO551" s="30" t="s">
        <v>186</v>
      </c>
      <c r="BP551" s="29" t="s">
        <v>151</v>
      </c>
      <c r="BQ551" s="29" t="s">
        <v>151</v>
      </c>
      <c r="BR551" s="30" t="s">
        <v>151</v>
      </c>
      <c r="BS551" s="30" t="s">
        <v>187</v>
      </c>
      <c r="BT551" s="30" t="s">
        <v>188</v>
      </c>
      <c r="BU551" s="35">
        <v>44354</v>
      </c>
      <c r="BV551" s="37">
        <v>0.01</v>
      </c>
      <c r="BW551" s="30" t="s">
        <v>192</v>
      </c>
      <c r="BX551" s="37" t="s">
        <v>151</v>
      </c>
      <c r="BY551" s="30" t="s">
        <v>151</v>
      </c>
      <c r="BZ551" s="30" t="s">
        <v>189</v>
      </c>
      <c r="CA551" s="30" t="s">
        <v>151</v>
      </c>
      <c r="CB551" s="30" t="s">
        <v>151</v>
      </c>
      <c r="CC551" s="30" t="s">
        <v>190</v>
      </c>
      <c r="CD551" s="30" t="s">
        <v>151</v>
      </c>
      <c r="CE551" s="30" t="s">
        <v>191</v>
      </c>
      <c r="CF551" s="35">
        <v>44876</v>
      </c>
      <c r="CG551" s="37">
        <v>1.5</v>
      </c>
      <c r="CH551" s="30" t="s">
        <v>192</v>
      </c>
      <c r="CI551" s="37">
        <v>6.5</v>
      </c>
      <c r="CJ551" s="30" t="s">
        <v>192</v>
      </c>
      <c r="CK551" s="29" t="s">
        <v>151</v>
      </c>
      <c r="CL551" s="30" t="s">
        <v>293</v>
      </c>
      <c r="CM551" s="30" t="s">
        <v>293</v>
      </c>
      <c r="CN551" s="30" t="s">
        <v>151</v>
      </c>
      <c r="CO551" s="30" t="s">
        <v>165</v>
      </c>
      <c r="CP551" s="35">
        <v>44876</v>
      </c>
      <c r="CQ551" s="37" t="s">
        <v>151</v>
      </c>
      <c r="CR551" s="30" t="s">
        <v>151</v>
      </c>
      <c r="CS551" s="30" t="s">
        <v>191</v>
      </c>
      <c r="CT551" s="29" t="s">
        <v>151</v>
      </c>
      <c r="CU551" s="30" t="s">
        <v>151</v>
      </c>
      <c r="CV551" s="32" t="s">
        <v>151</v>
      </c>
      <c r="CW551" s="32" t="s">
        <v>151</v>
      </c>
      <c r="CX551" s="30" t="s">
        <v>151</v>
      </c>
      <c r="CY551" s="32" t="s">
        <v>151</v>
      </c>
      <c r="CZ551" s="32" t="s">
        <v>151</v>
      </c>
      <c r="DA551" s="37">
        <v>6.5</v>
      </c>
      <c r="DB551" s="35">
        <v>44876</v>
      </c>
      <c r="DC551" s="30" t="s">
        <v>293</v>
      </c>
      <c r="DD551" s="29" t="s">
        <v>151</v>
      </c>
      <c r="DE551" s="32">
        <v>0</v>
      </c>
      <c r="DF551" s="34">
        <v>11</v>
      </c>
      <c r="DG551" s="32">
        <v>0</v>
      </c>
      <c r="DH551" s="32">
        <v>0</v>
      </c>
      <c r="DI551" s="32">
        <v>0</v>
      </c>
      <c r="DJ551" s="34">
        <v>10</v>
      </c>
      <c r="DK551" s="32" t="s">
        <v>151</v>
      </c>
      <c r="DL551" s="34" t="s">
        <v>151</v>
      </c>
      <c r="DM551" s="32">
        <v>0</v>
      </c>
      <c r="DN551" s="34">
        <v>10</v>
      </c>
      <c r="DO551" s="36">
        <v>2.05</v>
      </c>
      <c r="DP551" s="34">
        <v>67</v>
      </c>
      <c r="DQ551" s="36">
        <v>0</v>
      </c>
      <c r="DR551" s="32">
        <v>0</v>
      </c>
      <c r="DS551" s="36">
        <v>2.05</v>
      </c>
      <c r="DT551" s="34">
        <v>67</v>
      </c>
      <c r="DU551" s="36" t="s">
        <v>151</v>
      </c>
      <c r="DV551" s="34" t="s">
        <v>151</v>
      </c>
      <c r="DW551" s="36">
        <v>2.05</v>
      </c>
      <c r="DX551" s="34">
        <v>66</v>
      </c>
      <c r="DY551" s="31" t="s">
        <v>151</v>
      </c>
      <c r="DZ551" s="35" t="s">
        <v>151</v>
      </c>
      <c r="EA551" s="35" t="s">
        <v>151</v>
      </c>
      <c r="EB551" s="34">
        <v>192</v>
      </c>
      <c r="EC551" s="33">
        <v>7</v>
      </c>
      <c r="ED551" s="32">
        <v>3.78</v>
      </c>
      <c r="EE551" s="34">
        <v>39</v>
      </c>
      <c r="EF551" s="33">
        <v>0</v>
      </c>
      <c r="EG551" s="32">
        <v>0</v>
      </c>
      <c r="EH551" s="29" t="s">
        <v>198</v>
      </c>
      <c r="EI551" s="30" t="s">
        <v>151</v>
      </c>
      <c r="EJ551" s="30" t="s">
        <v>151</v>
      </c>
      <c r="EK551" s="31" t="s">
        <v>151</v>
      </c>
      <c r="EL551" s="31" t="s">
        <v>151</v>
      </c>
      <c r="EM551" s="31" t="s">
        <v>151</v>
      </c>
      <c r="EN551" s="31" t="s">
        <v>151</v>
      </c>
      <c r="EO551" s="31" t="s">
        <v>151</v>
      </c>
      <c r="EP551" s="30" t="s">
        <v>151</v>
      </c>
      <c r="EQ551" s="29" t="s">
        <v>151</v>
      </c>
      <c r="ER551" s="29" t="s">
        <v>151</v>
      </c>
      <c r="ES551" s="4">
        <f>HYPERLINK("https://my.pitchbook.com?c=492763-78","View Company Online")</f>
      </c>
    </row>
    <row r="552">
      <c r="A552" s="17" t="s">
        <v>11509</v>
      </c>
      <c r="B552" s="17" t="s">
        <v>11510</v>
      </c>
      <c r="C552" s="18" t="s">
        <v>151</v>
      </c>
      <c r="D552" s="17" t="s">
        <v>11511</v>
      </c>
      <c r="E552" s="17" t="s">
        <v>151</v>
      </c>
      <c r="F552" s="17" t="s">
        <v>11512</v>
      </c>
      <c r="G552" s="17" t="s">
        <v>151</v>
      </c>
      <c r="H552" s="17" t="s">
        <v>151</v>
      </c>
      <c r="I552" s="17" t="s">
        <v>151</v>
      </c>
      <c r="J552" s="17" t="s">
        <v>11509</v>
      </c>
      <c r="K552" s="17" t="s">
        <v>11513</v>
      </c>
      <c r="L552" s="17" t="s">
        <v>616</v>
      </c>
      <c r="M552" s="17" t="s">
        <v>834</v>
      </c>
      <c r="N552" s="17" t="s">
        <v>3076</v>
      </c>
      <c r="O552" s="17" t="s">
        <v>5651</v>
      </c>
      <c r="P552" s="17" t="s">
        <v>1652</v>
      </c>
      <c r="Q552" s="17" t="s">
        <v>11514</v>
      </c>
      <c r="R552" s="17" t="s">
        <v>151</v>
      </c>
      <c r="S552" s="17" t="s">
        <v>162</v>
      </c>
      <c r="T552" s="24">
        <v>0.6</v>
      </c>
      <c r="U552" s="17" t="s">
        <v>163</v>
      </c>
      <c r="V552" s="17" t="s">
        <v>164</v>
      </c>
      <c r="W552" s="17" t="s">
        <v>165</v>
      </c>
      <c r="X552" s="15" t="s">
        <v>11515</v>
      </c>
      <c r="Y552" s="15" t="s">
        <v>11516</v>
      </c>
      <c r="Z552" s="27">
        <v>3</v>
      </c>
      <c r="AA552" s="17" t="s">
        <v>11517</v>
      </c>
      <c r="AB552" s="17" t="s">
        <v>151</v>
      </c>
      <c r="AC552" s="17" t="s">
        <v>151</v>
      </c>
      <c r="AD552" s="26">
        <v>2016</v>
      </c>
      <c r="AE552" s="17" t="s">
        <v>151</v>
      </c>
      <c r="AF552" s="22">
        <v>45476</v>
      </c>
      <c r="AG552" s="17" t="s">
        <v>151</v>
      </c>
      <c r="AH552" s="17" t="s">
        <v>151</v>
      </c>
      <c r="AI552" s="25" t="s">
        <v>151</v>
      </c>
      <c r="AJ552" s="19" t="s">
        <v>151</v>
      </c>
      <c r="AK552" s="25" t="s">
        <v>151</v>
      </c>
      <c r="AL552" s="25" t="s">
        <v>151</v>
      </c>
      <c r="AM552" s="25" t="s">
        <v>151</v>
      </c>
      <c r="AN552" s="25" t="s">
        <v>151</v>
      </c>
      <c r="AO552" s="25" t="s">
        <v>151</v>
      </c>
      <c r="AP552" s="25" t="s">
        <v>151</v>
      </c>
      <c r="AQ552" s="25" t="s">
        <v>151</v>
      </c>
      <c r="AR552" s="16" t="s">
        <v>151</v>
      </c>
      <c r="AS552" s="17" t="s">
        <v>11518</v>
      </c>
      <c r="AT552" s="17" t="s">
        <v>11519</v>
      </c>
      <c r="AU552" s="18">
        <v>6</v>
      </c>
      <c r="AV552" s="17" t="s">
        <v>151</v>
      </c>
      <c r="AW552" s="17" t="s">
        <v>151</v>
      </c>
      <c r="AX552" s="17" t="s">
        <v>151</v>
      </c>
      <c r="AY552" s="17" t="s">
        <v>11520</v>
      </c>
      <c r="AZ552" s="17" t="s">
        <v>151</v>
      </c>
      <c r="BA552" s="17" t="s">
        <v>151</v>
      </c>
      <c r="BB552" s="17" t="s">
        <v>151</v>
      </c>
      <c r="BC552" s="17" t="s">
        <v>151</v>
      </c>
      <c r="BD552" s="17" t="s">
        <v>11521</v>
      </c>
      <c r="BE552" s="17" t="s">
        <v>11522</v>
      </c>
      <c r="BF552" s="17" t="s">
        <v>221</v>
      </c>
      <c r="BG552" s="17" t="s">
        <v>11523</v>
      </c>
      <c r="BH552" s="17" t="s">
        <v>11524</v>
      </c>
      <c r="BI552" s="17" t="s">
        <v>1068</v>
      </c>
      <c r="BJ552" s="17" t="s">
        <v>11525</v>
      </c>
      <c r="BK552" s="17" t="s">
        <v>151</v>
      </c>
      <c r="BL552" s="17" t="s">
        <v>1071</v>
      </c>
      <c r="BM552" s="17" t="s">
        <v>1072</v>
      </c>
      <c r="BN552" s="16" t="s">
        <v>11526</v>
      </c>
      <c r="BO552" s="17" t="s">
        <v>186</v>
      </c>
      <c r="BP552" s="16" t="s">
        <v>11524</v>
      </c>
      <c r="BQ552" s="16" t="s">
        <v>151</v>
      </c>
      <c r="BR552" s="17" t="s">
        <v>11527</v>
      </c>
      <c r="BS552" s="17" t="s">
        <v>187</v>
      </c>
      <c r="BT552" s="17" t="s">
        <v>188</v>
      </c>
      <c r="BU552" s="22">
        <v>42370</v>
      </c>
      <c r="BV552" s="24" t="s">
        <v>151</v>
      </c>
      <c r="BW552" s="17" t="s">
        <v>151</v>
      </c>
      <c r="BX552" s="24" t="s">
        <v>151</v>
      </c>
      <c r="BY552" s="17" t="s">
        <v>151</v>
      </c>
      <c r="BZ552" s="17" t="s">
        <v>189</v>
      </c>
      <c r="CA552" s="17" t="s">
        <v>151</v>
      </c>
      <c r="CB552" s="17" t="s">
        <v>151</v>
      </c>
      <c r="CC552" s="17" t="s">
        <v>190</v>
      </c>
      <c r="CD552" s="17" t="s">
        <v>151</v>
      </c>
      <c r="CE552" s="17" t="s">
        <v>191</v>
      </c>
      <c r="CF552" s="22" t="s">
        <v>151</v>
      </c>
      <c r="CG552" s="24" t="s">
        <v>151</v>
      </c>
      <c r="CH552" s="17" t="s">
        <v>151</v>
      </c>
      <c r="CI552" s="24" t="s">
        <v>151</v>
      </c>
      <c r="CJ552" s="17" t="s">
        <v>151</v>
      </c>
      <c r="CK552" s="16" t="s">
        <v>151</v>
      </c>
      <c r="CL552" s="17" t="s">
        <v>189</v>
      </c>
      <c r="CM552" s="17" t="s">
        <v>151</v>
      </c>
      <c r="CN552" s="17" t="s">
        <v>151</v>
      </c>
      <c r="CO552" s="17" t="s">
        <v>190</v>
      </c>
      <c r="CP552" s="22" t="s">
        <v>151</v>
      </c>
      <c r="CQ552" s="24" t="s">
        <v>151</v>
      </c>
      <c r="CR552" s="17" t="s">
        <v>151</v>
      </c>
      <c r="CS552" s="17" t="s">
        <v>191</v>
      </c>
      <c r="CT552" s="16" t="s">
        <v>151</v>
      </c>
      <c r="CU552" s="17" t="s">
        <v>151</v>
      </c>
      <c r="CV552" s="19" t="s">
        <v>151</v>
      </c>
      <c r="CW552" s="19" t="s">
        <v>151</v>
      </c>
      <c r="CX552" s="17" t="s">
        <v>151</v>
      </c>
      <c r="CY552" s="19" t="s">
        <v>151</v>
      </c>
      <c r="CZ552" s="19" t="s">
        <v>151</v>
      </c>
      <c r="DA552" s="24" t="s">
        <v>151</v>
      </c>
      <c r="DB552" s="22" t="s">
        <v>151</v>
      </c>
      <c r="DC552" s="17" t="s">
        <v>151</v>
      </c>
      <c r="DD552" s="16" t="s">
        <v>151</v>
      </c>
      <c r="DE552" s="19">
        <v>0</v>
      </c>
      <c r="DF552" s="21">
        <v>11</v>
      </c>
      <c r="DG552" s="19">
        <v>0</v>
      </c>
      <c r="DH552" s="19">
        <v>0</v>
      </c>
      <c r="DI552" s="19" t="s">
        <v>151</v>
      </c>
      <c r="DJ552" s="21" t="s">
        <v>151</v>
      </c>
      <c r="DK552" s="19" t="s">
        <v>151</v>
      </c>
      <c r="DL552" s="21" t="s">
        <v>151</v>
      </c>
      <c r="DM552" s="19" t="s">
        <v>151</v>
      </c>
      <c r="DN552" s="21" t="s">
        <v>151</v>
      </c>
      <c r="DO552" s="23">
        <v>0.23</v>
      </c>
      <c r="DP552" s="21">
        <v>17</v>
      </c>
      <c r="DQ552" s="23">
        <v>0</v>
      </c>
      <c r="DR552" s="19">
        <v>0</v>
      </c>
      <c r="DS552" s="23" t="s">
        <v>151</v>
      </c>
      <c r="DT552" s="21" t="s">
        <v>151</v>
      </c>
      <c r="DU552" s="23" t="s">
        <v>151</v>
      </c>
      <c r="DV552" s="21" t="s">
        <v>151</v>
      </c>
      <c r="DW552" s="23" t="s">
        <v>151</v>
      </c>
      <c r="DX552" s="21" t="s">
        <v>151</v>
      </c>
      <c r="DY552" s="18" t="s">
        <v>151</v>
      </c>
      <c r="DZ552" s="22" t="s">
        <v>151</v>
      </c>
      <c r="EA552" s="22" t="s">
        <v>151</v>
      </c>
      <c r="EB552" s="21" t="s">
        <v>151</v>
      </c>
      <c r="EC552" s="20" t="s">
        <v>151</v>
      </c>
      <c r="ED552" s="19" t="s">
        <v>151</v>
      </c>
      <c r="EE552" s="21" t="s">
        <v>151</v>
      </c>
      <c r="EF552" s="20" t="s">
        <v>151</v>
      </c>
      <c r="EG552" s="19" t="s">
        <v>151</v>
      </c>
      <c r="EH552" s="16" t="s">
        <v>198</v>
      </c>
      <c r="EI552" s="17" t="s">
        <v>151</v>
      </c>
      <c r="EJ552" s="17" t="s">
        <v>151</v>
      </c>
      <c r="EK552" s="18" t="s">
        <v>151</v>
      </c>
      <c r="EL552" s="18" t="s">
        <v>151</v>
      </c>
      <c r="EM552" s="18" t="s">
        <v>151</v>
      </c>
      <c r="EN552" s="18" t="s">
        <v>151</v>
      </c>
      <c r="EO552" s="18" t="s">
        <v>151</v>
      </c>
      <c r="EP552" s="17" t="s">
        <v>151</v>
      </c>
      <c r="EQ552" s="16" t="s">
        <v>151</v>
      </c>
      <c r="ER552" s="16" t="s">
        <v>151</v>
      </c>
      <c r="ES552" s="3">
        <f>HYPERLINK("https://my.pitchbook.com?c=223652-62","View Company Online")</f>
      </c>
    </row>
    <row r="553">
      <c r="A553" s="30" t="s">
        <v>11528</v>
      </c>
      <c r="B553" s="30" t="s">
        <v>11529</v>
      </c>
      <c r="C553" s="31" t="s">
        <v>151</v>
      </c>
      <c r="D553" s="30" t="s">
        <v>151</v>
      </c>
      <c r="E553" s="30" t="s">
        <v>151</v>
      </c>
      <c r="F553" s="30" t="s">
        <v>11530</v>
      </c>
      <c r="G553" s="30" t="s">
        <v>151</v>
      </c>
      <c r="H553" s="30" t="s">
        <v>151</v>
      </c>
      <c r="I553" s="30" t="s">
        <v>151</v>
      </c>
      <c r="J553" s="30" t="s">
        <v>11528</v>
      </c>
      <c r="K553" s="30" t="s">
        <v>11531</v>
      </c>
      <c r="L553" s="30" t="s">
        <v>205</v>
      </c>
      <c r="M553" s="30" t="s">
        <v>206</v>
      </c>
      <c r="N553" s="30" t="s">
        <v>1268</v>
      </c>
      <c r="O553" s="30" t="s">
        <v>2129</v>
      </c>
      <c r="P553" s="30" t="s">
        <v>892</v>
      </c>
      <c r="Q553" s="30" t="s">
        <v>11532</v>
      </c>
      <c r="R553" s="30" t="s">
        <v>151</v>
      </c>
      <c r="S553" s="30" t="s">
        <v>162</v>
      </c>
      <c r="T553" s="37">
        <v>0.5</v>
      </c>
      <c r="U553" s="30" t="s">
        <v>163</v>
      </c>
      <c r="V553" s="30" t="s">
        <v>164</v>
      </c>
      <c r="W553" s="30" t="s">
        <v>165</v>
      </c>
      <c r="X553" s="28" t="s">
        <v>11533</v>
      </c>
      <c r="Y553" s="28" t="s">
        <v>11534</v>
      </c>
      <c r="Z553" s="40">
        <v>3</v>
      </c>
      <c r="AA553" s="30" t="s">
        <v>4888</v>
      </c>
      <c r="AB553" s="30" t="s">
        <v>151</v>
      </c>
      <c r="AC553" s="30" t="s">
        <v>151</v>
      </c>
      <c r="AD553" s="39">
        <v>2023</v>
      </c>
      <c r="AE553" s="30" t="s">
        <v>151</v>
      </c>
      <c r="AF553" s="35">
        <v>45595</v>
      </c>
      <c r="AG553" s="30" t="s">
        <v>151</v>
      </c>
      <c r="AH553" s="30" t="s">
        <v>151</v>
      </c>
      <c r="AI553" s="38" t="s">
        <v>151</v>
      </c>
      <c r="AJ553" s="32" t="s">
        <v>151</v>
      </c>
      <c r="AK553" s="38" t="s">
        <v>151</v>
      </c>
      <c r="AL553" s="38" t="s">
        <v>151</v>
      </c>
      <c r="AM553" s="38" t="s">
        <v>151</v>
      </c>
      <c r="AN553" s="38" t="s">
        <v>151</v>
      </c>
      <c r="AO553" s="38" t="s">
        <v>151</v>
      </c>
      <c r="AP553" s="38" t="s">
        <v>151</v>
      </c>
      <c r="AQ553" s="38" t="s">
        <v>151</v>
      </c>
      <c r="AR553" s="29" t="s">
        <v>151</v>
      </c>
      <c r="AS553" s="30" t="s">
        <v>11535</v>
      </c>
      <c r="AT553" s="30" t="s">
        <v>11536</v>
      </c>
      <c r="AU553" s="31">
        <v>2</v>
      </c>
      <c r="AV553" s="30" t="s">
        <v>151</v>
      </c>
      <c r="AW553" s="30" t="s">
        <v>11537</v>
      </c>
      <c r="AX553" s="30" t="s">
        <v>151</v>
      </c>
      <c r="AY553" s="30" t="s">
        <v>11538</v>
      </c>
      <c r="AZ553" s="30" t="s">
        <v>11539</v>
      </c>
      <c r="BA553" s="30" t="s">
        <v>151</v>
      </c>
      <c r="BB553" s="30" t="s">
        <v>151</v>
      </c>
      <c r="BC553" s="30" t="s">
        <v>151</v>
      </c>
      <c r="BD553" s="30" t="s">
        <v>11540</v>
      </c>
      <c r="BE553" s="30" t="s">
        <v>11541</v>
      </c>
      <c r="BF553" s="30" t="s">
        <v>403</v>
      </c>
      <c r="BG553" s="30" t="s">
        <v>11542</v>
      </c>
      <c r="BH553" s="30" t="s">
        <v>151</v>
      </c>
      <c r="BI553" s="30" t="s">
        <v>2720</v>
      </c>
      <c r="BJ553" s="30" t="s">
        <v>151</v>
      </c>
      <c r="BK553" s="30" t="s">
        <v>151</v>
      </c>
      <c r="BL553" s="30" t="s">
        <v>2722</v>
      </c>
      <c r="BM553" s="30" t="s">
        <v>184</v>
      </c>
      <c r="BN553" s="29" t="s">
        <v>151</v>
      </c>
      <c r="BO553" s="30" t="s">
        <v>186</v>
      </c>
      <c r="BP553" s="29" t="s">
        <v>151</v>
      </c>
      <c r="BQ553" s="29" t="s">
        <v>151</v>
      </c>
      <c r="BR553" s="30" t="s">
        <v>11543</v>
      </c>
      <c r="BS553" s="30" t="s">
        <v>187</v>
      </c>
      <c r="BT553" s="30" t="s">
        <v>188</v>
      </c>
      <c r="BU553" s="35" t="s">
        <v>151</v>
      </c>
      <c r="BV553" s="37" t="s">
        <v>151</v>
      </c>
      <c r="BW553" s="30" t="s">
        <v>151</v>
      </c>
      <c r="BX553" s="37" t="s">
        <v>151</v>
      </c>
      <c r="BY553" s="30" t="s">
        <v>151</v>
      </c>
      <c r="BZ553" s="30" t="s">
        <v>189</v>
      </c>
      <c r="CA553" s="30" t="s">
        <v>151</v>
      </c>
      <c r="CB553" s="30" t="s">
        <v>151</v>
      </c>
      <c r="CC553" s="30" t="s">
        <v>190</v>
      </c>
      <c r="CD553" s="30" t="s">
        <v>151</v>
      </c>
      <c r="CE553" s="30" t="s">
        <v>191</v>
      </c>
      <c r="CF553" s="35" t="s">
        <v>151</v>
      </c>
      <c r="CG553" s="37" t="s">
        <v>151</v>
      </c>
      <c r="CH553" s="30" t="s">
        <v>151</v>
      </c>
      <c r="CI553" s="37" t="s">
        <v>151</v>
      </c>
      <c r="CJ553" s="30" t="s">
        <v>151</v>
      </c>
      <c r="CK553" s="29" t="s">
        <v>151</v>
      </c>
      <c r="CL553" s="30" t="s">
        <v>911</v>
      </c>
      <c r="CM553" s="30" t="s">
        <v>151</v>
      </c>
      <c r="CN553" s="30" t="s">
        <v>151</v>
      </c>
      <c r="CO553" s="30" t="s">
        <v>165</v>
      </c>
      <c r="CP553" s="35" t="s">
        <v>151</v>
      </c>
      <c r="CQ553" s="37" t="s">
        <v>151</v>
      </c>
      <c r="CR553" s="30" t="s">
        <v>151</v>
      </c>
      <c r="CS553" s="30" t="s">
        <v>191</v>
      </c>
      <c r="CT553" s="29" t="s">
        <v>151</v>
      </c>
      <c r="CU553" s="30" t="s">
        <v>151</v>
      </c>
      <c r="CV553" s="32" t="s">
        <v>151</v>
      </c>
      <c r="CW553" s="32" t="s">
        <v>151</v>
      </c>
      <c r="CX553" s="30" t="s">
        <v>151</v>
      </c>
      <c r="CY553" s="32" t="s">
        <v>151</v>
      </c>
      <c r="CZ553" s="32" t="s">
        <v>151</v>
      </c>
      <c r="DA553" s="37">
        <v>5</v>
      </c>
      <c r="DB553" s="35">
        <v>45392</v>
      </c>
      <c r="DC553" s="30" t="s">
        <v>231</v>
      </c>
      <c r="DD553" s="29" t="s">
        <v>151</v>
      </c>
      <c r="DE553" s="32">
        <v>-2.81</v>
      </c>
      <c r="DF553" s="34">
        <v>1</v>
      </c>
      <c r="DG553" s="32">
        <v>0</v>
      </c>
      <c r="DH553" s="32">
        <v>0</v>
      </c>
      <c r="DI553" s="32">
        <v>0</v>
      </c>
      <c r="DJ553" s="34">
        <v>10</v>
      </c>
      <c r="DK553" s="32" t="s">
        <v>151</v>
      </c>
      <c r="DL553" s="34" t="s">
        <v>151</v>
      </c>
      <c r="DM553" s="32">
        <v>0</v>
      </c>
      <c r="DN553" s="34">
        <v>10</v>
      </c>
      <c r="DO553" s="36">
        <v>0.43</v>
      </c>
      <c r="DP553" s="34">
        <v>30</v>
      </c>
      <c r="DQ553" s="36">
        <v>0</v>
      </c>
      <c r="DR553" s="32">
        <v>0</v>
      </c>
      <c r="DS553" s="36">
        <v>0.63</v>
      </c>
      <c r="DT553" s="34">
        <v>39</v>
      </c>
      <c r="DU553" s="36" t="s">
        <v>151</v>
      </c>
      <c r="DV553" s="34" t="s">
        <v>151</v>
      </c>
      <c r="DW553" s="36">
        <v>0.63</v>
      </c>
      <c r="DX553" s="34">
        <v>38</v>
      </c>
      <c r="DY553" s="31" t="s">
        <v>151</v>
      </c>
      <c r="DZ553" s="35" t="s">
        <v>151</v>
      </c>
      <c r="EA553" s="35" t="s">
        <v>151</v>
      </c>
      <c r="EB553" s="34">
        <v>16</v>
      </c>
      <c r="EC553" s="33">
        <v>-83</v>
      </c>
      <c r="ED553" s="32">
        <v>-83.84</v>
      </c>
      <c r="EE553" s="34">
        <v>12</v>
      </c>
      <c r="EF553" s="33">
        <v>0</v>
      </c>
      <c r="EG553" s="32">
        <v>0</v>
      </c>
      <c r="EH553" s="29" t="s">
        <v>198</v>
      </c>
      <c r="EI553" s="30" t="s">
        <v>151</v>
      </c>
      <c r="EJ553" s="30" t="s">
        <v>151</v>
      </c>
      <c r="EK553" s="31" t="s">
        <v>151</v>
      </c>
      <c r="EL553" s="31" t="s">
        <v>151</v>
      </c>
      <c r="EM553" s="31" t="s">
        <v>151</v>
      </c>
      <c r="EN553" s="31" t="s">
        <v>151</v>
      </c>
      <c r="EO553" s="31" t="s">
        <v>151</v>
      </c>
      <c r="EP553" s="30" t="s">
        <v>151</v>
      </c>
      <c r="EQ553" s="29" t="s">
        <v>151</v>
      </c>
      <c r="ER553" s="29" t="s">
        <v>151</v>
      </c>
      <c r="ES553" s="4">
        <f>HYPERLINK("https://my.pitchbook.com?c=528259-15","View Company Online")</f>
      </c>
    </row>
    <row r="554">
      <c r="A554" s="17" t="s">
        <v>11544</v>
      </c>
      <c r="B554" s="17" t="s">
        <v>11545</v>
      </c>
      <c r="C554" s="18" t="s">
        <v>151</v>
      </c>
      <c r="D554" s="17" t="s">
        <v>151</v>
      </c>
      <c r="E554" s="17" t="s">
        <v>151</v>
      </c>
      <c r="F554" s="17" t="s">
        <v>11546</v>
      </c>
      <c r="G554" s="17" t="s">
        <v>151</v>
      </c>
      <c r="H554" s="17" t="s">
        <v>151</v>
      </c>
      <c r="I554" s="17" t="s">
        <v>151</v>
      </c>
      <c r="J554" s="17" t="s">
        <v>11544</v>
      </c>
      <c r="K554" s="17" t="s">
        <v>11547</v>
      </c>
      <c r="L554" s="17" t="s">
        <v>205</v>
      </c>
      <c r="M554" s="17" t="s">
        <v>206</v>
      </c>
      <c r="N554" s="17" t="s">
        <v>269</v>
      </c>
      <c r="O554" s="17" t="s">
        <v>11548</v>
      </c>
      <c r="P554" s="17" t="s">
        <v>304</v>
      </c>
      <c r="Q554" s="17" t="s">
        <v>11549</v>
      </c>
      <c r="R554" s="17" t="s">
        <v>151</v>
      </c>
      <c r="S554" s="17" t="s">
        <v>162</v>
      </c>
      <c r="T554" s="24">
        <v>2.5</v>
      </c>
      <c r="U554" s="17" t="s">
        <v>163</v>
      </c>
      <c r="V554" s="17" t="s">
        <v>164</v>
      </c>
      <c r="W554" s="17" t="s">
        <v>165</v>
      </c>
      <c r="X554" s="15" t="s">
        <v>11550</v>
      </c>
      <c r="Y554" s="15" t="s">
        <v>11551</v>
      </c>
      <c r="Z554" s="27">
        <v>9</v>
      </c>
      <c r="AA554" s="17" t="s">
        <v>11552</v>
      </c>
      <c r="AB554" s="17" t="s">
        <v>151</v>
      </c>
      <c r="AC554" s="17" t="s">
        <v>151</v>
      </c>
      <c r="AD554" s="26">
        <v>2022</v>
      </c>
      <c r="AE554" s="17" t="s">
        <v>151</v>
      </c>
      <c r="AF554" s="22">
        <v>45616</v>
      </c>
      <c r="AG554" s="17" t="s">
        <v>151</v>
      </c>
      <c r="AH554" s="17" t="s">
        <v>151</v>
      </c>
      <c r="AI554" s="25" t="s">
        <v>151</v>
      </c>
      <c r="AJ554" s="19" t="s">
        <v>151</v>
      </c>
      <c r="AK554" s="25" t="s">
        <v>151</v>
      </c>
      <c r="AL554" s="25" t="s">
        <v>151</v>
      </c>
      <c r="AM554" s="25" t="s">
        <v>151</v>
      </c>
      <c r="AN554" s="25" t="s">
        <v>151</v>
      </c>
      <c r="AO554" s="25" t="s">
        <v>151</v>
      </c>
      <c r="AP554" s="25" t="s">
        <v>151</v>
      </c>
      <c r="AQ554" s="25" t="s">
        <v>151</v>
      </c>
      <c r="AR554" s="16" t="s">
        <v>151</v>
      </c>
      <c r="AS554" s="17" t="s">
        <v>11553</v>
      </c>
      <c r="AT554" s="17" t="s">
        <v>11554</v>
      </c>
      <c r="AU554" s="18">
        <v>17</v>
      </c>
      <c r="AV554" s="17" t="s">
        <v>151</v>
      </c>
      <c r="AW554" s="17" t="s">
        <v>151</v>
      </c>
      <c r="AX554" s="17" t="s">
        <v>151</v>
      </c>
      <c r="AY554" s="17" t="s">
        <v>11555</v>
      </c>
      <c r="AZ554" s="17" t="s">
        <v>151</v>
      </c>
      <c r="BA554" s="17" t="s">
        <v>151</v>
      </c>
      <c r="BB554" s="17" t="s">
        <v>343</v>
      </c>
      <c r="BC554" s="17" t="s">
        <v>151</v>
      </c>
      <c r="BD554" s="17" t="s">
        <v>11556</v>
      </c>
      <c r="BE554" s="17" t="s">
        <v>11557</v>
      </c>
      <c r="BF554" s="17" t="s">
        <v>2427</v>
      </c>
      <c r="BG554" s="17" t="s">
        <v>11558</v>
      </c>
      <c r="BH554" s="17" t="s">
        <v>151</v>
      </c>
      <c r="BI554" s="17" t="s">
        <v>764</v>
      </c>
      <c r="BJ554" s="17" t="s">
        <v>11559</v>
      </c>
      <c r="BK554" s="17" t="s">
        <v>320</v>
      </c>
      <c r="BL554" s="17" t="s">
        <v>767</v>
      </c>
      <c r="BM554" s="17" t="s">
        <v>184</v>
      </c>
      <c r="BN554" s="16" t="s">
        <v>3001</v>
      </c>
      <c r="BO554" s="17" t="s">
        <v>186</v>
      </c>
      <c r="BP554" s="16" t="s">
        <v>151</v>
      </c>
      <c r="BQ554" s="16" t="s">
        <v>151</v>
      </c>
      <c r="BR554" s="17" t="s">
        <v>151</v>
      </c>
      <c r="BS554" s="17" t="s">
        <v>187</v>
      </c>
      <c r="BT554" s="17" t="s">
        <v>188</v>
      </c>
      <c r="BU554" s="22">
        <v>44769</v>
      </c>
      <c r="BV554" s="24">
        <v>0.5</v>
      </c>
      <c r="BW554" s="17" t="s">
        <v>192</v>
      </c>
      <c r="BX554" s="24" t="s">
        <v>151</v>
      </c>
      <c r="BY554" s="17" t="s">
        <v>151</v>
      </c>
      <c r="BZ554" s="17" t="s">
        <v>189</v>
      </c>
      <c r="CA554" s="17" t="s">
        <v>151</v>
      </c>
      <c r="CB554" s="17" t="s">
        <v>151</v>
      </c>
      <c r="CC554" s="17" t="s">
        <v>190</v>
      </c>
      <c r="CD554" s="17" t="s">
        <v>151</v>
      </c>
      <c r="CE554" s="17" t="s">
        <v>191</v>
      </c>
      <c r="CF554" s="22">
        <v>45292</v>
      </c>
      <c r="CG554" s="24" t="s">
        <v>151</v>
      </c>
      <c r="CH554" s="17" t="s">
        <v>151</v>
      </c>
      <c r="CI554" s="24" t="s">
        <v>151</v>
      </c>
      <c r="CJ554" s="17" t="s">
        <v>151</v>
      </c>
      <c r="CK554" s="16" t="s">
        <v>151</v>
      </c>
      <c r="CL554" s="17" t="s">
        <v>189</v>
      </c>
      <c r="CM554" s="17" t="s">
        <v>151</v>
      </c>
      <c r="CN554" s="17" t="s">
        <v>151</v>
      </c>
      <c r="CO554" s="17" t="s">
        <v>190</v>
      </c>
      <c r="CP554" s="22">
        <v>45292</v>
      </c>
      <c r="CQ554" s="24" t="s">
        <v>151</v>
      </c>
      <c r="CR554" s="17" t="s">
        <v>151</v>
      </c>
      <c r="CS554" s="17" t="s">
        <v>191</v>
      </c>
      <c r="CT554" s="16" t="s">
        <v>151</v>
      </c>
      <c r="CU554" s="17" t="s">
        <v>151</v>
      </c>
      <c r="CV554" s="19" t="s">
        <v>151</v>
      </c>
      <c r="CW554" s="19" t="s">
        <v>151</v>
      </c>
      <c r="CX554" s="17" t="s">
        <v>151</v>
      </c>
      <c r="CY554" s="19" t="s">
        <v>151</v>
      </c>
      <c r="CZ554" s="19" t="s">
        <v>151</v>
      </c>
      <c r="DA554" s="24">
        <v>20</v>
      </c>
      <c r="DB554" s="22">
        <v>44847</v>
      </c>
      <c r="DC554" s="17" t="s">
        <v>231</v>
      </c>
      <c r="DD554" s="16" t="s">
        <v>151</v>
      </c>
      <c r="DE554" s="19">
        <v>5.43</v>
      </c>
      <c r="DF554" s="21">
        <v>100</v>
      </c>
      <c r="DG554" s="19">
        <v>0</v>
      </c>
      <c r="DH554" s="19">
        <v>0</v>
      </c>
      <c r="DI554" s="19" t="s">
        <v>151</v>
      </c>
      <c r="DJ554" s="21" t="s">
        <v>151</v>
      </c>
      <c r="DK554" s="19" t="s">
        <v>151</v>
      </c>
      <c r="DL554" s="21" t="s">
        <v>151</v>
      </c>
      <c r="DM554" s="19" t="s">
        <v>151</v>
      </c>
      <c r="DN554" s="21" t="s">
        <v>151</v>
      </c>
      <c r="DO554" s="23">
        <v>0.69</v>
      </c>
      <c r="DP554" s="21">
        <v>42</v>
      </c>
      <c r="DQ554" s="23">
        <v>0</v>
      </c>
      <c r="DR554" s="19">
        <v>0</v>
      </c>
      <c r="DS554" s="23" t="s">
        <v>151</v>
      </c>
      <c r="DT554" s="21" t="s">
        <v>151</v>
      </c>
      <c r="DU554" s="23" t="s">
        <v>151</v>
      </c>
      <c r="DV554" s="21" t="s">
        <v>151</v>
      </c>
      <c r="DW554" s="23" t="s">
        <v>151</v>
      </c>
      <c r="DX554" s="21" t="s">
        <v>151</v>
      </c>
      <c r="DY554" s="18" t="s">
        <v>151</v>
      </c>
      <c r="DZ554" s="22" t="s">
        <v>151</v>
      </c>
      <c r="EA554" s="22" t="s">
        <v>151</v>
      </c>
      <c r="EB554" s="21">
        <v>1714</v>
      </c>
      <c r="EC554" s="20">
        <v>217</v>
      </c>
      <c r="ED554" s="19">
        <v>14.5</v>
      </c>
      <c r="EE554" s="21" t="s">
        <v>151</v>
      </c>
      <c r="EF554" s="20" t="s">
        <v>151</v>
      </c>
      <c r="EG554" s="19" t="s">
        <v>151</v>
      </c>
      <c r="EH554" s="16" t="s">
        <v>198</v>
      </c>
      <c r="EI554" s="17" t="s">
        <v>151</v>
      </c>
      <c r="EJ554" s="17" t="s">
        <v>151</v>
      </c>
      <c r="EK554" s="18" t="s">
        <v>151</v>
      </c>
      <c r="EL554" s="18" t="s">
        <v>151</v>
      </c>
      <c r="EM554" s="18" t="s">
        <v>151</v>
      </c>
      <c r="EN554" s="18" t="s">
        <v>151</v>
      </c>
      <c r="EO554" s="18" t="s">
        <v>151</v>
      </c>
      <c r="EP554" s="17" t="s">
        <v>151</v>
      </c>
      <c r="EQ554" s="16" t="s">
        <v>151</v>
      </c>
      <c r="ER554" s="16" t="s">
        <v>151</v>
      </c>
      <c r="ES554" s="3">
        <f>HYPERLINK("https://my.pitchbook.com?c=502720-12","View Company Online")</f>
      </c>
    </row>
    <row r="555">
      <c r="A555" s="30" t="s">
        <v>11560</v>
      </c>
      <c r="B555" s="30" t="s">
        <v>11561</v>
      </c>
      <c r="C555" s="31" t="s">
        <v>151</v>
      </c>
      <c r="D555" s="30" t="s">
        <v>151</v>
      </c>
      <c r="E555" s="30" t="s">
        <v>151</v>
      </c>
      <c r="F555" s="30" t="s">
        <v>151</v>
      </c>
      <c r="G555" s="30" t="s">
        <v>151</v>
      </c>
      <c r="H555" s="30" t="s">
        <v>151</v>
      </c>
      <c r="I555" s="30" t="s">
        <v>151</v>
      </c>
      <c r="J555" s="30" t="s">
        <v>11560</v>
      </c>
      <c r="K555" s="30" t="s">
        <v>11562</v>
      </c>
      <c r="L555" s="30" t="s">
        <v>205</v>
      </c>
      <c r="M555" s="30" t="s">
        <v>206</v>
      </c>
      <c r="N555" s="30" t="s">
        <v>1082</v>
      </c>
      <c r="O555" s="30" t="s">
        <v>1607</v>
      </c>
      <c r="P555" s="30" t="s">
        <v>8415</v>
      </c>
      <c r="Q555" s="30" t="s">
        <v>11563</v>
      </c>
      <c r="R555" s="30" t="s">
        <v>780</v>
      </c>
      <c r="S555" s="30" t="s">
        <v>162</v>
      </c>
      <c r="T555" s="37">
        <v>1.66</v>
      </c>
      <c r="U555" s="30" t="s">
        <v>163</v>
      </c>
      <c r="V555" s="30" t="s">
        <v>164</v>
      </c>
      <c r="W555" s="30" t="s">
        <v>165</v>
      </c>
      <c r="X555" s="28" t="s">
        <v>11564</v>
      </c>
      <c r="Y555" s="28" t="s">
        <v>11565</v>
      </c>
      <c r="Z555" s="40">
        <v>2</v>
      </c>
      <c r="AA555" s="30" t="s">
        <v>3618</v>
      </c>
      <c r="AB555" s="30" t="s">
        <v>151</v>
      </c>
      <c r="AC555" s="30" t="s">
        <v>151</v>
      </c>
      <c r="AD555" s="39">
        <v>2023</v>
      </c>
      <c r="AE555" s="30" t="s">
        <v>151</v>
      </c>
      <c r="AF555" s="35">
        <v>45322</v>
      </c>
      <c r="AG555" s="30" t="s">
        <v>151</v>
      </c>
      <c r="AH555" s="30" t="s">
        <v>151</v>
      </c>
      <c r="AI555" s="38" t="s">
        <v>151</v>
      </c>
      <c r="AJ555" s="32" t="s">
        <v>151</v>
      </c>
      <c r="AK555" s="38" t="s">
        <v>151</v>
      </c>
      <c r="AL555" s="38" t="s">
        <v>151</v>
      </c>
      <c r="AM555" s="38" t="s">
        <v>151</v>
      </c>
      <c r="AN555" s="38" t="s">
        <v>151</v>
      </c>
      <c r="AO555" s="38" t="s">
        <v>151</v>
      </c>
      <c r="AP555" s="38" t="s">
        <v>151</v>
      </c>
      <c r="AQ555" s="38" t="s">
        <v>151</v>
      </c>
      <c r="AR555" s="29" t="s">
        <v>151</v>
      </c>
      <c r="AS555" s="30" t="s">
        <v>11566</v>
      </c>
      <c r="AT555" s="30" t="s">
        <v>11567</v>
      </c>
      <c r="AU555" s="31">
        <v>19</v>
      </c>
      <c r="AV555" s="30" t="s">
        <v>151</v>
      </c>
      <c r="AW555" s="30" t="s">
        <v>151</v>
      </c>
      <c r="AX555" s="30" t="s">
        <v>151</v>
      </c>
      <c r="AY555" s="30" t="s">
        <v>11568</v>
      </c>
      <c r="AZ555" s="30" t="s">
        <v>151</v>
      </c>
      <c r="BA555" s="30" t="s">
        <v>151</v>
      </c>
      <c r="BB555" s="30" t="s">
        <v>151</v>
      </c>
      <c r="BC555" s="30" t="s">
        <v>151</v>
      </c>
      <c r="BD555" s="30" t="s">
        <v>11569</v>
      </c>
      <c r="BE555" s="30" t="s">
        <v>11570</v>
      </c>
      <c r="BF555" s="30" t="s">
        <v>221</v>
      </c>
      <c r="BG555" s="30" t="s">
        <v>151</v>
      </c>
      <c r="BH555" s="30" t="s">
        <v>151</v>
      </c>
      <c r="BI555" s="30" t="s">
        <v>906</v>
      </c>
      <c r="BJ555" s="30" t="s">
        <v>151</v>
      </c>
      <c r="BK555" s="30" t="s">
        <v>151</v>
      </c>
      <c r="BL555" s="30" t="s">
        <v>259</v>
      </c>
      <c r="BM555" s="30" t="s">
        <v>259</v>
      </c>
      <c r="BN555" s="29" t="s">
        <v>151</v>
      </c>
      <c r="BO555" s="30" t="s">
        <v>186</v>
      </c>
      <c r="BP555" s="29" t="s">
        <v>151</v>
      </c>
      <c r="BQ555" s="29" t="s">
        <v>151</v>
      </c>
      <c r="BR555" s="30" t="s">
        <v>11571</v>
      </c>
      <c r="BS555" s="30" t="s">
        <v>187</v>
      </c>
      <c r="BT555" s="30" t="s">
        <v>188</v>
      </c>
      <c r="BU555" s="35">
        <v>45112</v>
      </c>
      <c r="BV555" s="37">
        <v>0.13</v>
      </c>
      <c r="BW555" s="30" t="s">
        <v>192</v>
      </c>
      <c r="BX555" s="37" t="s">
        <v>151</v>
      </c>
      <c r="BY555" s="30" t="s">
        <v>151</v>
      </c>
      <c r="BZ555" s="30" t="s">
        <v>189</v>
      </c>
      <c r="CA555" s="30" t="s">
        <v>151</v>
      </c>
      <c r="CB555" s="30" t="s">
        <v>151</v>
      </c>
      <c r="CC555" s="30" t="s">
        <v>190</v>
      </c>
      <c r="CD555" s="30" t="s">
        <v>151</v>
      </c>
      <c r="CE555" s="30" t="s">
        <v>191</v>
      </c>
      <c r="CF555" s="35">
        <v>45200</v>
      </c>
      <c r="CG555" s="37">
        <v>1.53</v>
      </c>
      <c r="CH555" s="30" t="s">
        <v>192</v>
      </c>
      <c r="CI555" s="37">
        <v>18</v>
      </c>
      <c r="CJ555" s="30" t="s">
        <v>192</v>
      </c>
      <c r="CK555" s="29" t="s">
        <v>151</v>
      </c>
      <c r="CL555" s="30" t="s">
        <v>293</v>
      </c>
      <c r="CM555" s="30" t="s">
        <v>293</v>
      </c>
      <c r="CN555" s="30" t="s">
        <v>151</v>
      </c>
      <c r="CO555" s="30" t="s">
        <v>165</v>
      </c>
      <c r="CP555" s="35">
        <v>45200</v>
      </c>
      <c r="CQ555" s="37" t="s">
        <v>151</v>
      </c>
      <c r="CR555" s="30" t="s">
        <v>151</v>
      </c>
      <c r="CS555" s="30" t="s">
        <v>191</v>
      </c>
      <c r="CT555" s="29" t="s">
        <v>151</v>
      </c>
      <c r="CU555" s="30" t="s">
        <v>151</v>
      </c>
      <c r="CV555" s="32" t="s">
        <v>151</v>
      </c>
      <c r="CW555" s="32" t="s">
        <v>151</v>
      </c>
      <c r="CX555" s="30" t="s">
        <v>151</v>
      </c>
      <c r="CY555" s="32" t="s">
        <v>151</v>
      </c>
      <c r="CZ555" s="32" t="s">
        <v>151</v>
      </c>
      <c r="DA555" s="37">
        <v>18</v>
      </c>
      <c r="DB555" s="35">
        <v>45200</v>
      </c>
      <c r="DC555" s="30" t="s">
        <v>293</v>
      </c>
      <c r="DD555" s="29" t="s">
        <v>151</v>
      </c>
      <c r="DE555" s="32">
        <v>0</v>
      </c>
      <c r="DF555" s="34">
        <v>11</v>
      </c>
      <c r="DG555" s="32">
        <v>0</v>
      </c>
      <c r="DH555" s="32">
        <v>0</v>
      </c>
      <c r="DI555" s="32">
        <v>0</v>
      </c>
      <c r="DJ555" s="34">
        <v>10</v>
      </c>
      <c r="DK555" s="32" t="s">
        <v>151</v>
      </c>
      <c r="DL555" s="34" t="s">
        <v>151</v>
      </c>
      <c r="DM555" s="32">
        <v>0</v>
      </c>
      <c r="DN555" s="34">
        <v>10</v>
      </c>
      <c r="DO555" s="36">
        <v>1.13</v>
      </c>
      <c r="DP555" s="34">
        <v>53</v>
      </c>
      <c r="DQ555" s="36">
        <v>0</v>
      </c>
      <c r="DR555" s="32">
        <v>0</v>
      </c>
      <c r="DS555" s="36">
        <v>2.11</v>
      </c>
      <c r="DT555" s="34">
        <v>67</v>
      </c>
      <c r="DU555" s="36" t="s">
        <v>151</v>
      </c>
      <c r="DV555" s="34" t="s">
        <v>151</v>
      </c>
      <c r="DW555" s="36">
        <v>2.11</v>
      </c>
      <c r="DX555" s="34">
        <v>67</v>
      </c>
      <c r="DY555" s="31" t="s">
        <v>151</v>
      </c>
      <c r="DZ555" s="35" t="s">
        <v>151</v>
      </c>
      <c r="EA555" s="35" t="s">
        <v>151</v>
      </c>
      <c r="EB555" s="34">
        <v>651</v>
      </c>
      <c r="EC555" s="33">
        <v>101</v>
      </c>
      <c r="ED555" s="32">
        <v>18.36</v>
      </c>
      <c r="EE555" s="34">
        <v>40</v>
      </c>
      <c r="EF555" s="33">
        <v>1</v>
      </c>
      <c r="EG555" s="32">
        <v>2.56</v>
      </c>
      <c r="EH555" s="29" t="s">
        <v>198</v>
      </c>
      <c r="EI555" s="30" t="s">
        <v>151</v>
      </c>
      <c r="EJ555" s="30" t="s">
        <v>151</v>
      </c>
      <c r="EK555" s="31" t="s">
        <v>151</v>
      </c>
      <c r="EL555" s="31" t="s">
        <v>151</v>
      </c>
      <c r="EM555" s="31" t="s">
        <v>151</v>
      </c>
      <c r="EN555" s="31" t="s">
        <v>151</v>
      </c>
      <c r="EO555" s="31" t="s">
        <v>151</v>
      </c>
      <c r="EP555" s="30" t="s">
        <v>151</v>
      </c>
      <c r="EQ555" s="29" t="s">
        <v>151</v>
      </c>
      <c r="ER555" s="29" t="s">
        <v>151</v>
      </c>
      <c r="ES555" s="4">
        <f>HYPERLINK("https://my.pitchbook.com?c=533004-40","View Company Online")</f>
      </c>
    </row>
    <row r="556">
      <c r="A556" s="17" t="s">
        <v>11572</v>
      </c>
      <c r="B556" s="17" t="s">
        <v>11573</v>
      </c>
      <c r="C556" s="18" t="s">
        <v>151</v>
      </c>
      <c r="D556" s="17" t="s">
        <v>151</v>
      </c>
      <c r="E556" s="17" t="s">
        <v>11574</v>
      </c>
      <c r="F556" s="17" t="s">
        <v>11575</v>
      </c>
      <c r="G556" s="17" t="s">
        <v>151</v>
      </c>
      <c r="H556" s="17" t="s">
        <v>151</v>
      </c>
      <c r="I556" s="17" t="s">
        <v>11576</v>
      </c>
      <c r="J556" s="17" t="s">
        <v>11572</v>
      </c>
      <c r="K556" s="17" t="s">
        <v>11577</v>
      </c>
      <c r="L556" s="17" t="s">
        <v>1792</v>
      </c>
      <c r="M556" s="17" t="s">
        <v>2199</v>
      </c>
      <c r="N556" s="17" t="s">
        <v>6554</v>
      </c>
      <c r="O556" s="17" t="s">
        <v>11578</v>
      </c>
      <c r="P556" s="17" t="s">
        <v>6284</v>
      </c>
      <c r="Q556" s="17" t="s">
        <v>11579</v>
      </c>
      <c r="R556" s="17" t="s">
        <v>151</v>
      </c>
      <c r="S556" s="17" t="s">
        <v>162</v>
      </c>
      <c r="T556" s="24">
        <v>4.05</v>
      </c>
      <c r="U556" s="17" t="s">
        <v>163</v>
      </c>
      <c r="V556" s="17" t="s">
        <v>164</v>
      </c>
      <c r="W556" s="17" t="s">
        <v>165</v>
      </c>
      <c r="X556" s="15" t="s">
        <v>11580</v>
      </c>
      <c r="Y556" s="15" t="s">
        <v>11581</v>
      </c>
      <c r="Z556" s="27">
        <v>23</v>
      </c>
      <c r="AA556" s="17" t="s">
        <v>11582</v>
      </c>
      <c r="AB556" s="17" t="s">
        <v>151</v>
      </c>
      <c r="AC556" s="17" t="s">
        <v>151</v>
      </c>
      <c r="AD556" s="26">
        <v>2020</v>
      </c>
      <c r="AE556" s="17" t="s">
        <v>151</v>
      </c>
      <c r="AF556" s="22">
        <v>45595</v>
      </c>
      <c r="AG556" s="17" t="s">
        <v>151</v>
      </c>
      <c r="AH556" s="17" t="s">
        <v>151</v>
      </c>
      <c r="AI556" s="25" t="s">
        <v>151</v>
      </c>
      <c r="AJ556" s="19" t="s">
        <v>151</v>
      </c>
      <c r="AK556" s="25" t="s">
        <v>151</v>
      </c>
      <c r="AL556" s="25" t="s">
        <v>151</v>
      </c>
      <c r="AM556" s="25" t="s">
        <v>151</v>
      </c>
      <c r="AN556" s="25" t="s">
        <v>151</v>
      </c>
      <c r="AO556" s="25" t="s">
        <v>151</v>
      </c>
      <c r="AP556" s="25" t="s">
        <v>151</v>
      </c>
      <c r="AQ556" s="25" t="s">
        <v>151</v>
      </c>
      <c r="AR556" s="16" t="s">
        <v>151</v>
      </c>
      <c r="AS556" s="17" t="s">
        <v>11583</v>
      </c>
      <c r="AT556" s="17" t="s">
        <v>11584</v>
      </c>
      <c r="AU556" s="18">
        <v>17</v>
      </c>
      <c r="AV556" s="17" t="s">
        <v>151</v>
      </c>
      <c r="AW556" s="17" t="s">
        <v>151</v>
      </c>
      <c r="AX556" s="17" t="s">
        <v>151</v>
      </c>
      <c r="AY556" s="17" t="s">
        <v>11585</v>
      </c>
      <c r="AZ556" s="17" t="s">
        <v>151</v>
      </c>
      <c r="BA556" s="17" t="s">
        <v>151</v>
      </c>
      <c r="BB556" s="17" t="s">
        <v>3948</v>
      </c>
      <c r="BC556" s="17" t="s">
        <v>11586</v>
      </c>
      <c r="BD556" s="17" t="s">
        <v>11587</v>
      </c>
      <c r="BE556" s="17" t="s">
        <v>11588</v>
      </c>
      <c r="BF556" s="17" t="s">
        <v>221</v>
      </c>
      <c r="BG556" s="17" t="s">
        <v>11589</v>
      </c>
      <c r="BH556" s="17" t="s">
        <v>11590</v>
      </c>
      <c r="BI556" s="17" t="s">
        <v>2289</v>
      </c>
      <c r="BJ556" s="17" t="s">
        <v>11591</v>
      </c>
      <c r="BK556" s="17" t="s">
        <v>151</v>
      </c>
      <c r="BL556" s="17" t="s">
        <v>2291</v>
      </c>
      <c r="BM556" s="17" t="s">
        <v>1043</v>
      </c>
      <c r="BN556" s="16" t="s">
        <v>11592</v>
      </c>
      <c r="BO556" s="17" t="s">
        <v>186</v>
      </c>
      <c r="BP556" s="16" t="s">
        <v>11590</v>
      </c>
      <c r="BQ556" s="16" t="s">
        <v>151</v>
      </c>
      <c r="BR556" s="17" t="s">
        <v>11593</v>
      </c>
      <c r="BS556" s="17" t="s">
        <v>187</v>
      </c>
      <c r="BT556" s="17" t="s">
        <v>188</v>
      </c>
      <c r="BU556" s="22">
        <v>44074</v>
      </c>
      <c r="BV556" s="24">
        <v>0.02</v>
      </c>
      <c r="BW556" s="17" t="s">
        <v>192</v>
      </c>
      <c r="BX556" s="24">
        <v>0.33</v>
      </c>
      <c r="BY556" s="17" t="s">
        <v>192</v>
      </c>
      <c r="BZ556" s="17" t="s">
        <v>189</v>
      </c>
      <c r="CA556" s="17" t="s">
        <v>151</v>
      </c>
      <c r="CB556" s="17" t="s">
        <v>151</v>
      </c>
      <c r="CC556" s="17" t="s">
        <v>190</v>
      </c>
      <c r="CD556" s="17" t="s">
        <v>151</v>
      </c>
      <c r="CE556" s="17" t="s">
        <v>191</v>
      </c>
      <c r="CF556" s="22">
        <v>45440</v>
      </c>
      <c r="CG556" s="24" t="s">
        <v>151</v>
      </c>
      <c r="CH556" s="17" t="s">
        <v>151</v>
      </c>
      <c r="CI556" s="24" t="s">
        <v>151</v>
      </c>
      <c r="CJ556" s="17" t="s">
        <v>151</v>
      </c>
      <c r="CK556" s="16" t="s">
        <v>151</v>
      </c>
      <c r="CL556" s="17" t="s">
        <v>293</v>
      </c>
      <c r="CM556" s="17" t="s">
        <v>293</v>
      </c>
      <c r="CN556" s="17" t="s">
        <v>151</v>
      </c>
      <c r="CO556" s="17" t="s">
        <v>165</v>
      </c>
      <c r="CP556" s="22">
        <v>45440</v>
      </c>
      <c r="CQ556" s="24" t="s">
        <v>151</v>
      </c>
      <c r="CR556" s="17" t="s">
        <v>151</v>
      </c>
      <c r="CS556" s="17" t="s">
        <v>191</v>
      </c>
      <c r="CT556" s="16">
        <v>94</v>
      </c>
      <c r="CU556" s="17" t="s">
        <v>196</v>
      </c>
      <c r="CV556" s="19">
        <v>87</v>
      </c>
      <c r="CW556" s="19">
        <v>13</v>
      </c>
      <c r="CX556" s="17" t="s">
        <v>294</v>
      </c>
      <c r="CY556" s="19">
        <v>1</v>
      </c>
      <c r="CZ556" s="19">
        <v>86</v>
      </c>
      <c r="DA556" s="24">
        <v>15.5</v>
      </c>
      <c r="DB556" s="22">
        <v>44599</v>
      </c>
      <c r="DC556" s="17" t="s">
        <v>293</v>
      </c>
      <c r="DD556" s="16" t="s">
        <v>151</v>
      </c>
      <c r="DE556" s="19">
        <v>0.28</v>
      </c>
      <c r="DF556" s="21">
        <v>92</v>
      </c>
      <c r="DG556" s="19">
        <v>-0.3</v>
      </c>
      <c r="DH556" s="19">
        <v>-51.16</v>
      </c>
      <c r="DI556" s="19">
        <v>0</v>
      </c>
      <c r="DJ556" s="21">
        <v>10</v>
      </c>
      <c r="DK556" s="19" t="s">
        <v>151</v>
      </c>
      <c r="DL556" s="21" t="s">
        <v>151</v>
      </c>
      <c r="DM556" s="19">
        <v>0</v>
      </c>
      <c r="DN556" s="21">
        <v>10</v>
      </c>
      <c r="DO556" s="23">
        <v>2.49</v>
      </c>
      <c r="DP556" s="21">
        <v>71</v>
      </c>
      <c r="DQ556" s="23">
        <v>0</v>
      </c>
      <c r="DR556" s="19">
        <v>0</v>
      </c>
      <c r="DS556" s="23">
        <v>3.21</v>
      </c>
      <c r="DT556" s="21">
        <v>75</v>
      </c>
      <c r="DU556" s="23" t="s">
        <v>151</v>
      </c>
      <c r="DV556" s="21" t="s">
        <v>151</v>
      </c>
      <c r="DW556" s="23">
        <v>3.21</v>
      </c>
      <c r="DX556" s="21">
        <v>75</v>
      </c>
      <c r="DY556" s="18" t="s">
        <v>151</v>
      </c>
      <c r="DZ556" s="22" t="s">
        <v>151</v>
      </c>
      <c r="EA556" s="22" t="s">
        <v>151</v>
      </c>
      <c r="EB556" s="21">
        <v>324</v>
      </c>
      <c r="EC556" s="20">
        <v>-20</v>
      </c>
      <c r="ED556" s="19">
        <v>-5.81</v>
      </c>
      <c r="EE556" s="21">
        <v>61</v>
      </c>
      <c r="EF556" s="20">
        <v>1</v>
      </c>
      <c r="EG556" s="19">
        <v>1.67</v>
      </c>
      <c r="EH556" s="16" t="s">
        <v>198</v>
      </c>
      <c r="EI556" s="17" t="s">
        <v>151</v>
      </c>
      <c r="EJ556" s="17" t="s">
        <v>151</v>
      </c>
      <c r="EK556" s="18" t="s">
        <v>151</v>
      </c>
      <c r="EL556" s="18" t="s">
        <v>151</v>
      </c>
      <c r="EM556" s="18" t="s">
        <v>151</v>
      </c>
      <c r="EN556" s="18" t="s">
        <v>151</v>
      </c>
      <c r="EO556" s="18" t="s">
        <v>151</v>
      </c>
      <c r="EP556" s="17" t="s">
        <v>151</v>
      </c>
      <c r="EQ556" s="16" t="s">
        <v>151</v>
      </c>
      <c r="ER556" s="16" t="s">
        <v>151</v>
      </c>
      <c r="ES556" s="3">
        <f>HYPERLINK("https://my.pitchbook.com?c=439419-25","View Company Online")</f>
      </c>
    </row>
    <row r="557">
      <c r="A557" s="30" t="s">
        <v>11594</v>
      </c>
      <c r="B557" s="30" t="s">
        <v>11595</v>
      </c>
      <c r="C557" s="31" t="s">
        <v>151</v>
      </c>
      <c r="D557" s="30" t="s">
        <v>11596</v>
      </c>
      <c r="E557" s="30" t="s">
        <v>11597</v>
      </c>
      <c r="F557" s="30" t="s">
        <v>11598</v>
      </c>
      <c r="G557" s="30" t="s">
        <v>151</v>
      </c>
      <c r="H557" s="30" t="s">
        <v>151</v>
      </c>
      <c r="I557" s="30" t="s">
        <v>11599</v>
      </c>
      <c r="J557" s="30" t="s">
        <v>11594</v>
      </c>
      <c r="K557" s="30" t="s">
        <v>11600</v>
      </c>
      <c r="L557" s="30" t="s">
        <v>205</v>
      </c>
      <c r="M557" s="30" t="s">
        <v>206</v>
      </c>
      <c r="N557" s="30" t="s">
        <v>269</v>
      </c>
      <c r="O557" s="30" t="s">
        <v>2965</v>
      </c>
      <c r="P557" s="30" t="s">
        <v>11601</v>
      </c>
      <c r="Q557" s="30" t="s">
        <v>11602</v>
      </c>
      <c r="R557" s="30" t="s">
        <v>151</v>
      </c>
      <c r="S557" s="30" t="s">
        <v>162</v>
      </c>
      <c r="T557" s="37">
        <v>78.95</v>
      </c>
      <c r="U557" s="30" t="s">
        <v>163</v>
      </c>
      <c r="V557" s="30" t="s">
        <v>164</v>
      </c>
      <c r="W557" s="30" t="s">
        <v>165</v>
      </c>
      <c r="X557" s="28" t="s">
        <v>11603</v>
      </c>
      <c r="Y557" s="28" t="s">
        <v>11604</v>
      </c>
      <c r="Z557" s="40">
        <v>139</v>
      </c>
      <c r="AA557" s="30" t="s">
        <v>11605</v>
      </c>
      <c r="AB557" s="30" t="s">
        <v>151</v>
      </c>
      <c r="AC557" s="30" t="s">
        <v>151</v>
      </c>
      <c r="AD557" s="39">
        <v>2018</v>
      </c>
      <c r="AE557" s="30" t="s">
        <v>151</v>
      </c>
      <c r="AF557" s="35">
        <v>45504</v>
      </c>
      <c r="AG557" s="30" t="s">
        <v>151</v>
      </c>
      <c r="AH557" s="30" t="s">
        <v>151</v>
      </c>
      <c r="AI557" s="38" t="s">
        <v>151</v>
      </c>
      <c r="AJ557" s="32" t="s">
        <v>151</v>
      </c>
      <c r="AK557" s="38" t="s">
        <v>151</v>
      </c>
      <c r="AL557" s="38" t="s">
        <v>151</v>
      </c>
      <c r="AM557" s="38" t="s">
        <v>151</v>
      </c>
      <c r="AN557" s="38" t="s">
        <v>151</v>
      </c>
      <c r="AO557" s="38" t="s">
        <v>151</v>
      </c>
      <c r="AP557" s="38" t="s">
        <v>151</v>
      </c>
      <c r="AQ557" s="38" t="s">
        <v>151</v>
      </c>
      <c r="AR557" s="29" t="s">
        <v>151</v>
      </c>
      <c r="AS557" s="30" t="s">
        <v>11606</v>
      </c>
      <c r="AT557" s="30" t="s">
        <v>11607</v>
      </c>
      <c r="AU557" s="31">
        <v>27</v>
      </c>
      <c r="AV557" s="30" t="s">
        <v>151</v>
      </c>
      <c r="AW557" s="30" t="s">
        <v>151</v>
      </c>
      <c r="AX557" s="30" t="s">
        <v>151</v>
      </c>
      <c r="AY557" s="30" t="s">
        <v>11608</v>
      </c>
      <c r="AZ557" s="30" t="s">
        <v>151</v>
      </c>
      <c r="BA557" s="30" t="s">
        <v>151</v>
      </c>
      <c r="BB557" s="30" t="s">
        <v>151</v>
      </c>
      <c r="BC557" s="30" t="s">
        <v>374</v>
      </c>
      <c r="BD557" s="30" t="s">
        <v>11609</v>
      </c>
      <c r="BE557" s="30" t="s">
        <v>11610</v>
      </c>
      <c r="BF557" s="30" t="s">
        <v>11611</v>
      </c>
      <c r="BG557" s="30" t="s">
        <v>11612</v>
      </c>
      <c r="BH557" s="30" t="s">
        <v>11613</v>
      </c>
      <c r="BI557" s="30" t="s">
        <v>8215</v>
      </c>
      <c r="BJ557" s="30" t="s">
        <v>8216</v>
      </c>
      <c r="BK557" s="30" t="s">
        <v>11614</v>
      </c>
      <c r="BL557" s="30" t="s">
        <v>8218</v>
      </c>
      <c r="BM557" s="30" t="s">
        <v>184</v>
      </c>
      <c r="BN557" s="29" t="s">
        <v>8219</v>
      </c>
      <c r="BO557" s="30" t="s">
        <v>186</v>
      </c>
      <c r="BP557" s="29" t="s">
        <v>11613</v>
      </c>
      <c r="BQ557" s="29" t="s">
        <v>151</v>
      </c>
      <c r="BR557" s="30" t="s">
        <v>11615</v>
      </c>
      <c r="BS557" s="30" t="s">
        <v>187</v>
      </c>
      <c r="BT557" s="30" t="s">
        <v>188</v>
      </c>
      <c r="BU557" s="35">
        <v>44134</v>
      </c>
      <c r="BV557" s="37">
        <v>7</v>
      </c>
      <c r="BW557" s="30" t="s">
        <v>192</v>
      </c>
      <c r="BX557" s="37">
        <v>24</v>
      </c>
      <c r="BY557" s="30" t="s">
        <v>192</v>
      </c>
      <c r="BZ557" s="30" t="s">
        <v>231</v>
      </c>
      <c r="CA557" s="30" t="s">
        <v>232</v>
      </c>
      <c r="CB557" s="30" t="s">
        <v>151</v>
      </c>
      <c r="CC557" s="30" t="s">
        <v>165</v>
      </c>
      <c r="CD557" s="30" t="s">
        <v>151</v>
      </c>
      <c r="CE557" s="30" t="s">
        <v>191</v>
      </c>
      <c r="CF557" s="35">
        <v>45287</v>
      </c>
      <c r="CG557" s="37" t="s">
        <v>151</v>
      </c>
      <c r="CH557" s="30" t="s">
        <v>151</v>
      </c>
      <c r="CI557" s="37" t="s">
        <v>151</v>
      </c>
      <c r="CJ557" s="30" t="s">
        <v>151</v>
      </c>
      <c r="CK557" s="29" t="s">
        <v>151</v>
      </c>
      <c r="CL557" s="30" t="s">
        <v>194</v>
      </c>
      <c r="CM557" s="30" t="s">
        <v>232</v>
      </c>
      <c r="CN557" s="30" t="s">
        <v>151</v>
      </c>
      <c r="CO557" s="30" t="s">
        <v>165</v>
      </c>
      <c r="CP557" s="35">
        <v>45287</v>
      </c>
      <c r="CQ557" s="37" t="s">
        <v>151</v>
      </c>
      <c r="CR557" s="30" t="s">
        <v>151</v>
      </c>
      <c r="CS557" s="30" t="s">
        <v>191</v>
      </c>
      <c r="CT557" s="29">
        <v>81</v>
      </c>
      <c r="CU557" s="30" t="s">
        <v>196</v>
      </c>
      <c r="CV557" s="32">
        <v>98</v>
      </c>
      <c r="CW557" s="32">
        <v>2</v>
      </c>
      <c r="CX557" s="30" t="s">
        <v>294</v>
      </c>
      <c r="CY557" s="32">
        <v>26</v>
      </c>
      <c r="CZ557" s="32">
        <v>72</v>
      </c>
      <c r="DA557" s="37">
        <v>278.95</v>
      </c>
      <c r="DB557" s="35">
        <v>44818</v>
      </c>
      <c r="DC557" s="30" t="s">
        <v>194</v>
      </c>
      <c r="DD557" s="29">
        <v>1.18</v>
      </c>
      <c r="DE557" s="32">
        <v>-0.64</v>
      </c>
      <c r="DF557" s="34">
        <v>6</v>
      </c>
      <c r="DG557" s="32">
        <v>0</v>
      </c>
      <c r="DH557" s="32">
        <v>0</v>
      </c>
      <c r="DI557" s="32">
        <v>-0.93</v>
      </c>
      <c r="DJ557" s="34">
        <v>4</v>
      </c>
      <c r="DK557" s="32" t="s">
        <v>151</v>
      </c>
      <c r="DL557" s="34" t="s">
        <v>151</v>
      </c>
      <c r="DM557" s="32">
        <v>-0.93</v>
      </c>
      <c r="DN557" s="34">
        <v>4</v>
      </c>
      <c r="DO557" s="36">
        <v>13.03</v>
      </c>
      <c r="DP557" s="34">
        <v>92</v>
      </c>
      <c r="DQ557" s="36">
        <v>0</v>
      </c>
      <c r="DR557" s="32">
        <v>0</v>
      </c>
      <c r="DS557" s="36">
        <v>15.37</v>
      </c>
      <c r="DT557" s="34">
        <v>93</v>
      </c>
      <c r="DU557" s="36" t="s">
        <v>151</v>
      </c>
      <c r="DV557" s="34" t="s">
        <v>151</v>
      </c>
      <c r="DW557" s="36">
        <v>15.37</v>
      </c>
      <c r="DX557" s="34">
        <v>93</v>
      </c>
      <c r="DY557" s="31">
        <v>1</v>
      </c>
      <c r="DZ557" s="35">
        <v>44844</v>
      </c>
      <c r="EA557" s="35" t="s">
        <v>11616</v>
      </c>
      <c r="EB557" s="34">
        <v>10882</v>
      </c>
      <c r="EC557" s="33">
        <v>-220</v>
      </c>
      <c r="ED557" s="32">
        <v>-1.98</v>
      </c>
      <c r="EE557" s="34">
        <v>292</v>
      </c>
      <c r="EF557" s="33">
        <v>2</v>
      </c>
      <c r="EG557" s="32">
        <v>0.69</v>
      </c>
      <c r="EH557" s="29" t="s">
        <v>198</v>
      </c>
      <c r="EI557" s="30" t="s">
        <v>151</v>
      </c>
      <c r="EJ557" s="30" t="s">
        <v>151</v>
      </c>
      <c r="EK557" s="31" t="s">
        <v>151</v>
      </c>
      <c r="EL557" s="31" t="s">
        <v>151</v>
      </c>
      <c r="EM557" s="31" t="s">
        <v>151</v>
      </c>
      <c r="EN557" s="31" t="s">
        <v>151</v>
      </c>
      <c r="EO557" s="31" t="s">
        <v>151</v>
      </c>
      <c r="EP557" s="30" t="s">
        <v>151</v>
      </c>
      <c r="EQ557" s="29" t="s">
        <v>151</v>
      </c>
      <c r="ER557" s="29" t="s">
        <v>151</v>
      </c>
      <c r="ES557" s="4">
        <f>HYPERLINK("https://my.pitchbook.com?c=234144-01","View Company Online")</f>
      </c>
    </row>
    <row r="558">
      <c r="A558" s="17" t="s">
        <v>11617</v>
      </c>
      <c r="B558" s="17" t="s">
        <v>11618</v>
      </c>
      <c r="C558" s="18" t="s">
        <v>151</v>
      </c>
      <c r="D558" s="17" t="s">
        <v>11619</v>
      </c>
      <c r="E558" s="17" t="s">
        <v>11620</v>
      </c>
      <c r="F558" s="17" t="s">
        <v>11621</v>
      </c>
      <c r="G558" s="17" t="s">
        <v>151</v>
      </c>
      <c r="H558" s="17" t="s">
        <v>151</v>
      </c>
      <c r="I558" s="17" t="s">
        <v>151</v>
      </c>
      <c r="J558" s="17" t="s">
        <v>11617</v>
      </c>
      <c r="K558" s="17" t="s">
        <v>11622</v>
      </c>
      <c r="L558" s="17" t="s">
        <v>205</v>
      </c>
      <c r="M558" s="17" t="s">
        <v>206</v>
      </c>
      <c r="N558" s="17" t="s">
        <v>917</v>
      </c>
      <c r="O558" s="17" t="s">
        <v>11623</v>
      </c>
      <c r="P558" s="17" t="s">
        <v>209</v>
      </c>
      <c r="Q558" s="17" t="s">
        <v>11624</v>
      </c>
      <c r="R558" s="17" t="s">
        <v>211</v>
      </c>
      <c r="S558" s="17" t="s">
        <v>162</v>
      </c>
      <c r="T558" s="24">
        <v>6.19</v>
      </c>
      <c r="U558" s="17" t="s">
        <v>1727</v>
      </c>
      <c r="V558" s="17" t="s">
        <v>164</v>
      </c>
      <c r="W558" s="17" t="s">
        <v>165</v>
      </c>
      <c r="X558" s="15" t="s">
        <v>11625</v>
      </c>
      <c r="Y558" s="15" t="s">
        <v>151</v>
      </c>
      <c r="Z558" s="27">
        <v>3</v>
      </c>
      <c r="AA558" s="17" t="s">
        <v>11626</v>
      </c>
      <c r="AB558" s="17" t="s">
        <v>151</v>
      </c>
      <c r="AC558" s="17" t="s">
        <v>151</v>
      </c>
      <c r="AD558" s="26">
        <v>2022</v>
      </c>
      <c r="AE558" s="17" t="s">
        <v>151</v>
      </c>
      <c r="AF558" s="22">
        <v>45615</v>
      </c>
      <c r="AG558" s="17" t="s">
        <v>151</v>
      </c>
      <c r="AH558" s="17" t="s">
        <v>151</v>
      </c>
      <c r="AI558" s="25" t="s">
        <v>151</v>
      </c>
      <c r="AJ558" s="19" t="s">
        <v>151</v>
      </c>
      <c r="AK558" s="25" t="s">
        <v>151</v>
      </c>
      <c r="AL558" s="25" t="s">
        <v>151</v>
      </c>
      <c r="AM558" s="25" t="s">
        <v>151</v>
      </c>
      <c r="AN558" s="25" t="s">
        <v>151</v>
      </c>
      <c r="AO558" s="25" t="s">
        <v>151</v>
      </c>
      <c r="AP558" s="25" t="s">
        <v>151</v>
      </c>
      <c r="AQ558" s="25" t="s">
        <v>151</v>
      </c>
      <c r="AR558" s="16" t="s">
        <v>151</v>
      </c>
      <c r="AS558" s="17" t="s">
        <v>11627</v>
      </c>
      <c r="AT558" s="17" t="s">
        <v>151</v>
      </c>
      <c r="AU558" s="18" t="s">
        <v>151</v>
      </c>
      <c r="AV558" s="17" t="s">
        <v>151</v>
      </c>
      <c r="AW558" s="17" t="s">
        <v>11628</v>
      </c>
      <c r="AX558" s="17" t="s">
        <v>151</v>
      </c>
      <c r="AY558" s="17" t="s">
        <v>151</v>
      </c>
      <c r="AZ558" s="17" t="s">
        <v>11629</v>
      </c>
      <c r="BA558" s="17" t="s">
        <v>151</v>
      </c>
      <c r="BB558" s="17" t="s">
        <v>151</v>
      </c>
      <c r="BC558" s="17" t="s">
        <v>601</v>
      </c>
      <c r="BD558" s="17" t="s">
        <v>151</v>
      </c>
      <c r="BE558" s="17" t="s">
        <v>151</v>
      </c>
      <c r="BF558" s="17" t="s">
        <v>151</v>
      </c>
      <c r="BG558" s="17" t="s">
        <v>151</v>
      </c>
      <c r="BH558" s="17" t="s">
        <v>151</v>
      </c>
      <c r="BI558" s="17" t="s">
        <v>906</v>
      </c>
      <c r="BJ558" s="17" t="s">
        <v>4138</v>
      </c>
      <c r="BK558" s="17" t="s">
        <v>11630</v>
      </c>
      <c r="BL558" s="17" t="s">
        <v>259</v>
      </c>
      <c r="BM558" s="17" t="s">
        <v>259</v>
      </c>
      <c r="BN558" s="16" t="s">
        <v>4140</v>
      </c>
      <c r="BO558" s="17" t="s">
        <v>186</v>
      </c>
      <c r="BP558" s="16" t="s">
        <v>151</v>
      </c>
      <c r="BQ558" s="16" t="s">
        <v>151</v>
      </c>
      <c r="BR558" s="17" t="s">
        <v>151</v>
      </c>
      <c r="BS558" s="17" t="s">
        <v>187</v>
      </c>
      <c r="BT558" s="17" t="s">
        <v>188</v>
      </c>
      <c r="BU558" s="22">
        <v>44847</v>
      </c>
      <c r="BV558" s="24">
        <v>6.19</v>
      </c>
      <c r="BW558" s="17" t="s">
        <v>151</v>
      </c>
      <c r="BX558" s="24" t="s">
        <v>151</v>
      </c>
      <c r="BY558" s="17" t="s">
        <v>151</v>
      </c>
      <c r="BZ558" s="17" t="s">
        <v>293</v>
      </c>
      <c r="CA558" s="17" t="s">
        <v>293</v>
      </c>
      <c r="CB558" s="17" t="s">
        <v>151</v>
      </c>
      <c r="CC558" s="17" t="s">
        <v>165</v>
      </c>
      <c r="CD558" s="17" t="s">
        <v>151</v>
      </c>
      <c r="CE558" s="17" t="s">
        <v>191</v>
      </c>
      <c r="CF558" s="22">
        <v>44847</v>
      </c>
      <c r="CG558" s="24">
        <v>6.19</v>
      </c>
      <c r="CH558" s="17" t="s">
        <v>151</v>
      </c>
      <c r="CI558" s="24" t="s">
        <v>151</v>
      </c>
      <c r="CJ558" s="17" t="s">
        <v>151</v>
      </c>
      <c r="CK558" s="16" t="s">
        <v>151</v>
      </c>
      <c r="CL558" s="17" t="s">
        <v>293</v>
      </c>
      <c r="CM558" s="17" t="s">
        <v>293</v>
      </c>
      <c r="CN558" s="17" t="s">
        <v>151</v>
      </c>
      <c r="CO558" s="17" t="s">
        <v>165</v>
      </c>
      <c r="CP558" s="22">
        <v>44847</v>
      </c>
      <c r="CQ558" s="24" t="s">
        <v>151</v>
      </c>
      <c r="CR558" s="17" t="s">
        <v>151</v>
      </c>
      <c r="CS558" s="17" t="s">
        <v>191</v>
      </c>
      <c r="CT558" s="16" t="s">
        <v>151</v>
      </c>
      <c r="CU558" s="17" t="s">
        <v>151</v>
      </c>
      <c r="CV558" s="19" t="s">
        <v>151</v>
      </c>
      <c r="CW558" s="19" t="s">
        <v>151</v>
      </c>
      <c r="CX558" s="17" t="s">
        <v>151</v>
      </c>
      <c r="CY558" s="19" t="s">
        <v>151</v>
      </c>
      <c r="CZ558" s="19" t="s">
        <v>151</v>
      </c>
      <c r="DA558" s="24" t="s">
        <v>151</v>
      </c>
      <c r="DB558" s="22" t="s">
        <v>151</v>
      </c>
      <c r="DC558" s="17" t="s">
        <v>151</v>
      </c>
      <c r="DD558" s="16" t="s">
        <v>151</v>
      </c>
      <c r="DE558" s="19">
        <v>-1.56</v>
      </c>
      <c r="DF558" s="21">
        <v>3</v>
      </c>
      <c r="DG558" s="19">
        <v>0</v>
      </c>
      <c r="DH558" s="19">
        <v>0</v>
      </c>
      <c r="DI558" s="19">
        <v>0</v>
      </c>
      <c r="DJ558" s="21">
        <v>10</v>
      </c>
      <c r="DK558" s="19" t="s">
        <v>151</v>
      </c>
      <c r="DL558" s="21" t="s">
        <v>151</v>
      </c>
      <c r="DM558" s="19">
        <v>0</v>
      </c>
      <c r="DN558" s="21">
        <v>10</v>
      </c>
      <c r="DO558" s="23">
        <v>1.64</v>
      </c>
      <c r="DP558" s="21">
        <v>62</v>
      </c>
      <c r="DQ558" s="23">
        <v>0</v>
      </c>
      <c r="DR558" s="19">
        <v>0</v>
      </c>
      <c r="DS558" s="23">
        <v>3.05</v>
      </c>
      <c r="DT558" s="21">
        <v>74</v>
      </c>
      <c r="DU558" s="23" t="s">
        <v>151</v>
      </c>
      <c r="DV558" s="21" t="s">
        <v>151</v>
      </c>
      <c r="DW558" s="23">
        <v>3.05</v>
      </c>
      <c r="DX558" s="21">
        <v>74</v>
      </c>
      <c r="DY558" s="18" t="s">
        <v>151</v>
      </c>
      <c r="DZ558" s="22" t="s">
        <v>151</v>
      </c>
      <c r="EA558" s="22" t="s">
        <v>151</v>
      </c>
      <c r="EB558" s="21">
        <v>171</v>
      </c>
      <c r="EC558" s="20">
        <v>-27</v>
      </c>
      <c r="ED558" s="19">
        <v>-13.64</v>
      </c>
      <c r="EE558" s="21">
        <v>58</v>
      </c>
      <c r="EF558" s="20">
        <v>0</v>
      </c>
      <c r="EG558" s="19">
        <v>0</v>
      </c>
      <c r="EH558" s="16" t="s">
        <v>198</v>
      </c>
      <c r="EI558" s="17" t="s">
        <v>151</v>
      </c>
      <c r="EJ558" s="17" t="s">
        <v>151</v>
      </c>
      <c r="EK558" s="18" t="s">
        <v>151</v>
      </c>
      <c r="EL558" s="18" t="s">
        <v>151</v>
      </c>
      <c r="EM558" s="18" t="s">
        <v>151</v>
      </c>
      <c r="EN558" s="18" t="s">
        <v>151</v>
      </c>
      <c r="EO558" s="18" t="s">
        <v>151</v>
      </c>
      <c r="EP558" s="17" t="s">
        <v>151</v>
      </c>
      <c r="EQ558" s="16" t="s">
        <v>151</v>
      </c>
      <c r="ER558" s="16" t="s">
        <v>151</v>
      </c>
      <c r="ES558" s="3">
        <f>HYPERLINK("https://my.pitchbook.com?c=493896-16","View Company Online")</f>
      </c>
    </row>
    <row r="559">
      <c r="A559" s="30" t="s">
        <v>11631</v>
      </c>
      <c r="B559" s="30" t="s">
        <v>11632</v>
      </c>
      <c r="C559" s="31" t="s">
        <v>151</v>
      </c>
      <c r="D559" s="30" t="s">
        <v>151</v>
      </c>
      <c r="E559" s="30" t="s">
        <v>151</v>
      </c>
      <c r="F559" s="30" t="s">
        <v>11633</v>
      </c>
      <c r="G559" s="30" t="s">
        <v>151</v>
      </c>
      <c r="H559" s="30" t="s">
        <v>151</v>
      </c>
      <c r="I559" s="30" t="s">
        <v>11634</v>
      </c>
      <c r="J559" s="30" t="s">
        <v>11631</v>
      </c>
      <c r="K559" s="30" t="s">
        <v>11635</v>
      </c>
      <c r="L559" s="30" t="s">
        <v>205</v>
      </c>
      <c r="M559" s="30" t="s">
        <v>206</v>
      </c>
      <c r="N559" s="30" t="s">
        <v>269</v>
      </c>
      <c r="O559" s="30" t="s">
        <v>11636</v>
      </c>
      <c r="P559" s="30" t="s">
        <v>803</v>
      </c>
      <c r="Q559" s="30" t="s">
        <v>11637</v>
      </c>
      <c r="R559" s="30" t="s">
        <v>151</v>
      </c>
      <c r="S559" s="30" t="s">
        <v>162</v>
      </c>
      <c r="T559" s="37">
        <v>3.13</v>
      </c>
      <c r="U559" s="30" t="s">
        <v>163</v>
      </c>
      <c r="V559" s="30" t="s">
        <v>164</v>
      </c>
      <c r="W559" s="30" t="s">
        <v>165</v>
      </c>
      <c r="X559" s="28" t="s">
        <v>11638</v>
      </c>
      <c r="Y559" s="28" t="s">
        <v>11639</v>
      </c>
      <c r="Z559" s="40">
        <v>10</v>
      </c>
      <c r="AA559" s="30" t="s">
        <v>11640</v>
      </c>
      <c r="AB559" s="30" t="s">
        <v>151</v>
      </c>
      <c r="AC559" s="30" t="s">
        <v>151</v>
      </c>
      <c r="AD559" s="39">
        <v>2019</v>
      </c>
      <c r="AE559" s="30" t="s">
        <v>151</v>
      </c>
      <c r="AF559" s="35">
        <v>45545</v>
      </c>
      <c r="AG559" s="30" t="s">
        <v>151</v>
      </c>
      <c r="AH559" s="30" t="s">
        <v>151</v>
      </c>
      <c r="AI559" s="38">
        <v>0.28</v>
      </c>
      <c r="AJ559" s="32" t="s">
        <v>151</v>
      </c>
      <c r="AK559" s="38" t="s">
        <v>151</v>
      </c>
      <c r="AL559" s="38" t="s">
        <v>151</v>
      </c>
      <c r="AM559" s="38" t="s">
        <v>151</v>
      </c>
      <c r="AN559" s="38" t="s">
        <v>151</v>
      </c>
      <c r="AO559" s="38" t="s">
        <v>151</v>
      </c>
      <c r="AP559" s="38" t="s">
        <v>151</v>
      </c>
      <c r="AQ559" s="38" t="s">
        <v>151</v>
      </c>
      <c r="AR559" s="29" t="s">
        <v>810</v>
      </c>
      <c r="AS559" s="30" t="s">
        <v>11641</v>
      </c>
      <c r="AT559" s="30" t="s">
        <v>11642</v>
      </c>
      <c r="AU559" s="31">
        <v>43</v>
      </c>
      <c r="AV559" s="30" t="s">
        <v>151</v>
      </c>
      <c r="AW559" s="30" t="s">
        <v>151</v>
      </c>
      <c r="AX559" s="30" t="s">
        <v>151</v>
      </c>
      <c r="AY559" s="30" t="s">
        <v>11643</v>
      </c>
      <c r="AZ559" s="30" t="s">
        <v>151</v>
      </c>
      <c r="BA559" s="30" t="s">
        <v>151</v>
      </c>
      <c r="BB559" s="30" t="s">
        <v>151</v>
      </c>
      <c r="BC559" s="30" t="s">
        <v>151</v>
      </c>
      <c r="BD559" s="30" t="s">
        <v>11644</v>
      </c>
      <c r="BE559" s="30" t="s">
        <v>11645</v>
      </c>
      <c r="BF559" s="30" t="s">
        <v>5299</v>
      </c>
      <c r="BG559" s="30" t="s">
        <v>11646</v>
      </c>
      <c r="BH559" s="30" t="s">
        <v>11647</v>
      </c>
      <c r="BI559" s="30" t="s">
        <v>764</v>
      </c>
      <c r="BJ559" s="30" t="s">
        <v>3969</v>
      </c>
      <c r="BK559" s="30" t="s">
        <v>11648</v>
      </c>
      <c r="BL559" s="30" t="s">
        <v>767</v>
      </c>
      <c r="BM559" s="30" t="s">
        <v>184</v>
      </c>
      <c r="BN559" s="29" t="s">
        <v>768</v>
      </c>
      <c r="BO559" s="30" t="s">
        <v>186</v>
      </c>
      <c r="BP559" s="29" t="s">
        <v>11647</v>
      </c>
      <c r="BQ559" s="29" t="s">
        <v>151</v>
      </c>
      <c r="BR559" s="30" t="s">
        <v>11649</v>
      </c>
      <c r="BS559" s="30" t="s">
        <v>187</v>
      </c>
      <c r="BT559" s="30" t="s">
        <v>188</v>
      </c>
      <c r="BU559" s="35">
        <v>43698</v>
      </c>
      <c r="BV559" s="37">
        <v>0.13</v>
      </c>
      <c r="BW559" s="30" t="s">
        <v>192</v>
      </c>
      <c r="BX559" s="37">
        <v>1.79</v>
      </c>
      <c r="BY559" s="30" t="s">
        <v>192</v>
      </c>
      <c r="BZ559" s="30" t="s">
        <v>189</v>
      </c>
      <c r="CA559" s="30" t="s">
        <v>151</v>
      </c>
      <c r="CB559" s="30" t="s">
        <v>151</v>
      </c>
      <c r="CC559" s="30" t="s">
        <v>190</v>
      </c>
      <c r="CD559" s="30" t="s">
        <v>151</v>
      </c>
      <c r="CE559" s="30" t="s">
        <v>191</v>
      </c>
      <c r="CF559" s="35" t="s">
        <v>151</v>
      </c>
      <c r="CG559" s="37" t="s">
        <v>151</v>
      </c>
      <c r="CH559" s="30" t="s">
        <v>151</v>
      </c>
      <c r="CI559" s="37" t="s">
        <v>151</v>
      </c>
      <c r="CJ559" s="30" t="s">
        <v>151</v>
      </c>
      <c r="CK559" s="29" t="s">
        <v>151</v>
      </c>
      <c r="CL559" s="30" t="s">
        <v>231</v>
      </c>
      <c r="CM559" s="30" t="s">
        <v>151</v>
      </c>
      <c r="CN559" s="30" t="s">
        <v>151</v>
      </c>
      <c r="CO559" s="30" t="s">
        <v>165</v>
      </c>
      <c r="CP559" s="35" t="s">
        <v>151</v>
      </c>
      <c r="CQ559" s="37" t="s">
        <v>151</v>
      </c>
      <c r="CR559" s="30" t="s">
        <v>151</v>
      </c>
      <c r="CS559" s="30" t="s">
        <v>191</v>
      </c>
      <c r="CT559" s="29">
        <v>79</v>
      </c>
      <c r="CU559" s="30" t="s">
        <v>196</v>
      </c>
      <c r="CV559" s="32">
        <v>73</v>
      </c>
      <c r="CW559" s="32">
        <v>27</v>
      </c>
      <c r="CX559" s="30" t="s">
        <v>294</v>
      </c>
      <c r="CY559" s="32">
        <v>1</v>
      </c>
      <c r="CZ559" s="32">
        <v>72</v>
      </c>
      <c r="DA559" s="37">
        <v>1.79</v>
      </c>
      <c r="DB559" s="35">
        <v>43698</v>
      </c>
      <c r="DC559" s="30" t="s">
        <v>189</v>
      </c>
      <c r="DD559" s="29" t="s">
        <v>151</v>
      </c>
      <c r="DE559" s="32">
        <v>0.52</v>
      </c>
      <c r="DF559" s="34">
        <v>94</v>
      </c>
      <c r="DG559" s="32">
        <v>0</v>
      </c>
      <c r="DH559" s="32">
        <v>0</v>
      </c>
      <c r="DI559" s="32">
        <v>0.52</v>
      </c>
      <c r="DJ559" s="34">
        <v>95</v>
      </c>
      <c r="DK559" s="32" t="s">
        <v>151</v>
      </c>
      <c r="DL559" s="34" t="s">
        <v>151</v>
      </c>
      <c r="DM559" s="32">
        <v>0.52</v>
      </c>
      <c r="DN559" s="34">
        <v>95</v>
      </c>
      <c r="DO559" s="36">
        <v>28.42</v>
      </c>
      <c r="DP559" s="34">
        <v>96</v>
      </c>
      <c r="DQ559" s="36">
        <v>0</v>
      </c>
      <c r="DR559" s="32">
        <v>0</v>
      </c>
      <c r="DS559" s="36">
        <v>28.42</v>
      </c>
      <c r="DT559" s="34">
        <v>96</v>
      </c>
      <c r="DU559" s="36" t="s">
        <v>151</v>
      </c>
      <c r="DV559" s="34" t="s">
        <v>151</v>
      </c>
      <c r="DW559" s="36">
        <v>28.42</v>
      </c>
      <c r="DX559" s="34">
        <v>96</v>
      </c>
      <c r="DY559" s="31" t="s">
        <v>151</v>
      </c>
      <c r="DZ559" s="35" t="s">
        <v>151</v>
      </c>
      <c r="EA559" s="35" t="s">
        <v>151</v>
      </c>
      <c r="EB559" s="34" t="s">
        <v>151</v>
      </c>
      <c r="EC559" s="33" t="s">
        <v>151</v>
      </c>
      <c r="ED559" s="32" t="s">
        <v>151</v>
      </c>
      <c r="EE559" s="34">
        <v>540</v>
      </c>
      <c r="EF559" s="33">
        <v>2</v>
      </c>
      <c r="EG559" s="32">
        <v>0.37</v>
      </c>
      <c r="EH559" s="29" t="s">
        <v>198</v>
      </c>
      <c r="EI559" s="30" t="s">
        <v>151</v>
      </c>
      <c r="EJ559" s="30" t="s">
        <v>151</v>
      </c>
      <c r="EK559" s="31" t="s">
        <v>151</v>
      </c>
      <c r="EL559" s="31" t="s">
        <v>151</v>
      </c>
      <c r="EM559" s="31" t="s">
        <v>151</v>
      </c>
      <c r="EN559" s="31" t="s">
        <v>151</v>
      </c>
      <c r="EO559" s="31" t="s">
        <v>151</v>
      </c>
      <c r="EP559" s="30" t="s">
        <v>151</v>
      </c>
      <c r="EQ559" s="29" t="s">
        <v>151</v>
      </c>
      <c r="ER559" s="29" t="s">
        <v>151</v>
      </c>
      <c r="ES559" s="4">
        <f>HYPERLINK("https://my.pitchbook.com?c=279546-94","View Company Online")</f>
      </c>
    </row>
    <row r="560">
      <c r="A560" s="17" t="s">
        <v>11650</v>
      </c>
      <c r="B560" s="17" t="s">
        <v>11651</v>
      </c>
      <c r="C560" s="18" t="s">
        <v>151</v>
      </c>
      <c r="D560" s="17" t="s">
        <v>151</v>
      </c>
      <c r="E560" s="17" t="s">
        <v>151</v>
      </c>
      <c r="F560" s="17" t="s">
        <v>11652</v>
      </c>
      <c r="G560" s="17" t="s">
        <v>151</v>
      </c>
      <c r="H560" s="17" t="s">
        <v>151</v>
      </c>
      <c r="I560" s="17" t="s">
        <v>151</v>
      </c>
      <c r="J560" s="17" t="s">
        <v>11650</v>
      </c>
      <c r="K560" s="17" t="s">
        <v>11653</v>
      </c>
      <c r="L560" s="17" t="s">
        <v>205</v>
      </c>
      <c r="M560" s="17" t="s">
        <v>206</v>
      </c>
      <c r="N560" s="17" t="s">
        <v>207</v>
      </c>
      <c r="O560" s="17" t="s">
        <v>11654</v>
      </c>
      <c r="P560" s="17" t="s">
        <v>919</v>
      </c>
      <c r="Q560" s="17" t="s">
        <v>11655</v>
      </c>
      <c r="R560" s="17" t="s">
        <v>151</v>
      </c>
      <c r="S560" s="17" t="s">
        <v>162</v>
      </c>
      <c r="T560" s="24">
        <v>0.62</v>
      </c>
      <c r="U560" s="17" t="s">
        <v>163</v>
      </c>
      <c r="V560" s="17" t="s">
        <v>164</v>
      </c>
      <c r="W560" s="17" t="s">
        <v>165</v>
      </c>
      <c r="X560" s="15" t="s">
        <v>11656</v>
      </c>
      <c r="Y560" s="15" t="s">
        <v>11657</v>
      </c>
      <c r="Z560" s="27">
        <v>17</v>
      </c>
      <c r="AA560" s="17" t="s">
        <v>11658</v>
      </c>
      <c r="AB560" s="17" t="s">
        <v>151</v>
      </c>
      <c r="AC560" s="17" t="s">
        <v>151</v>
      </c>
      <c r="AD560" s="26">
        <v>2015</v>
      </c>
      <c r="AE560" s="17" t="s">
        <v>151</v>
      </c>
      <c r="AF560" s="22">
        <v>45595</v>
      </c>
      <c r="AG560" s="17" t="s">
        <v>151</v>
      </c>
      <c r="AH560" s="17" t="s">
        <v>151</v>
      </c>
      <c r="AI560" s="25">
        <v>0.8</v>
      </c>
      <c r="AJ560" s="19">
        <v>384.85</v>
      </c>
      <c r="AK560" s="25" t="s">
        <v>151</v>
      </c>
      <c r="AL560" s="25" t="s">
        <v>151</v>
      </c>
      <c r="AM560" s="25" t="s">
        <v>151</v>
      </c>
      <c r="AN560" s="25" t="s">
        <v>151</v>
      </c>
      <c r="AO560" s="25" t="s">
        <v>151</v>
      </c>
      <c r="AP560" s="25" t="s">
        <v>151</v>
      </c>
      <c r="AQ560" s="25" t="s">
        <v>151</v>
      </c>
      <c r="AR560" s="16" t="s">
        <v>810</v>
      </c>
      <c r="AS560" s="17" t="s">
        <v>11659</v>
      </c>
      <c r="AT560" s="17" t="s">
        <v>11660</v>
      </c>
      <c r="AU560" s="18">
        <v>9</v>
      </c>
      <c r="AV560" s="17" t="s">
        <v>151</v>
      </c>
      <c r="AW560" s="17" t="s">
        <v>151</v>
      </c>
      <c r="AX560" s="17" t="s">
        <v>151</v>
      </c>
      <c r="AY560" s="17" t="s">
        <v>11661</v>
      </c>
      <c r="AZ560" s="17" t="s">
        <v>151</v>
      </c>
      <c r="BA560" s="17" t="s">
        <v>151</v>
      </c>
      <c r="BB560" s="17" t="s">
        <v>151</v>
      </c>
      <c r="BC560" s="17" t="s">
        <v>11662</v>
      </c>
      <c r="BD560" s="17" t="s">
        <v>11663</v>
      </c>
      <c r="BE560" s="17" t="s">
        <v>11664</v>
      </c>
      <c r="BF560" s="17" t="s">
        <v>403</v>
      </c>
      <c r="BG560" s="17" t="s">
        <v>11665</v>
      </c>
      <c r="BH560" s="17" t="s">
        <v>11666</v>
      </c>
      <c r="BI560" s="17" t="s">
        <v>2162</v>
      </c>
      <c r="BJ560" s="17" t="s">
        <v>11667</v>
      </c>
      <c r="BK560" s="17" t="s">
        <v>151</v>
      </c>
      <c r="BL560" s="17" t="s">
        <v>289</v>
      </c>
      <c r="BM560" s="17" t="s">
        <v>2165</v>
      </c>
      <c r="BN560" s="16" t="s">
        <v>11668</v>
      </c>
      <c r="BO560" s="17" t="s">
        <v>186</v>
      </c>
      <c r="BP560" s="16" t="s">
        <v>11666</v>
      </c>
      <c r="BQ560" s="16" t="s">
        <v>151</v>
      </c>
      <c r="BR560" s="17" t="s">
        <v>11669</v>
      </c>
      <c r="BS560" s="17" t="s">
        <v>187</v>
      </c>
      <c r="BT560" s="17" t="s">
        <v>188</v>
      </c>
      <c r="BU560" s="22">
        <v>42351</v>
      </c>
      <c r="BV560" s="24">
        <v>0.01</v>
      </c>
      <c r="BW560" s="17" t="s">
        <v>192</v>
      </c>
      <c r="BX560" s="24" t="s">
        <v>151</v>
      </c>
      <c r="BY560" s="17" t="s">
        <v>151</v>
      </c>
      <c r="BZ560" s="17" t="s">
        <v>858</v>
      </c>
      <c r="CA560" s="17" t="s">
        <v>151</v>
      </c>
      <c r="CB560" s="17" t="s">
        <v>151</v>
      </c>
      <c r="CC560" s="17" t="s">
        <v>585</v>
      </c>
      <c r="CD560" s="17" t="s">
        <v>151</v>
      </c>
      <c r="CE560" s="17" t="s">
        <v>191</v>
      </c>
      <c r="CF560" s="22">
        <v>45175</v>
      </c>
      <c r="CG560" s="24">
        <v>0.18</v>
      </c>
      <c r="CH560" s="17" t="s">
        <v>192</v>
      </c>
      <c r="CI560" s="24" t="s">
        <v>151</v>
      </c>
      <c r="CJ560" s="17" t="s">
        <v>151</v>
      </c>
      <c r="CK560" s="16" t="s">
        <v>151</v>
      </c>
      <c r="CL560" s="17" t="s">
        <v>189</v>
      </c>
      <c r="CM560" s="17" t="s">
        <v>151</v>
      </c>
      <c r="CN560" s="17" t="s">
        <v>151</v>
      </c>
      <c r="CO560" s="17" t="s">
        <v>190</v>
      </c>
      <c r="CP560" s="22">
        <v>45175</v>
      </c>
      <c r="CQ560" s="24" t="s">
        <v>151</v>
      </c>
      <c r="CR560" s="17" t="s">
        <v>151</v>
      </c>
      <c r="CS560" s="17" t="s">
        <v>191</v>
      </c>
      <c r="CT560" s="16">
        <v>53</v>
      </c>
      <c r="CU560" s="17" t="s">
        <v>196</v>
      </c>
      <c r="CV560" s="19">
        <v>51</v>
      </c>
      <c r="CW560" s="19">
        <v>49</v>
      </c>
      <c r="CX560" s="17" t="s">
        <v>294</v>
      </c>
      <c r="CY560" s="19">
        <v>1</v>
      </c>
      <c r="CZ560" s="19">
        <v>50</v>
      </c>
      <c r="DA560" s="24">
        <v>7.5</v>
      </c>
      <c r="DB560" s="22">
        <v>44682</v>
      </c>
      <c r="DC560" s="17" t="s">
        <v>1363</v>
      </c>
      <c r="DD560" s="16" t="s">
        <v>151</v>
      </c>
      <c r="DE560" s="19">
        <v>1.43</v>
      </c>
      <c r="DF560" s="21">
        <v>97</v>
      </c>
      <c r="DG560" s="19">
        <v>0</v>
      </c>
      <c r="DH560" s="19">
        <v>0</v>
      </c>
      <c r="DI560" s="19">
        <v>1.43</v>
      </c>
      <c r="DJ560" s="21">
        <v>97</v>
      </c>
      <c r="DK560" s="19" t="s">
        <v>151</v>
      </c>
      <c r="DL560" s="21" t="s">
        <v>151</v>
      </c>
      <c r="DM560" s="19">
        <v>1.43</v>
      </c>
      <c r="DN560" s="21">
        <v>97</v>
      </c>
      <c r="DO560" s="23">
        <v>26.53</v>
      </c>
      <c r="DP560" s="21">
        <v>96</v>
      </c>
      <c r="DQ560" s="23">
        <v>0</v>
      </c>
      <c r="DR560" s="19">
        <v>0</v>
      </c>
      <c r="DS560" s="23">
        <v>26.53</v>
      </c>
      <c r="DT560" s="21">
        <v>96</v>
      </c>
      <c r="DU560" s="23" t="s">
        <v>151</v>
      </c>
      <c r="DV560" s="21" t="s">
        <v>151</v>
      </c>
      <c r="DW560" s="23">
        <v>26.53</v>
      </c>
      <c r="DX560" s="21">
        <v>96</v>
      </c>
      <c r="DY560" s="18" t="s">
        <v>151</v>
      </c>
      <c r="DZ560" s="22" t="s">
        <v>151</v>
      </c>
      <c r="EA560" s="22" t="s">
        <v>151</v>
      </c>
      <c r="EB560" s="21">
        <v>1387</v>
      </c>
      <c r="EC560" s="20">
        <v>-27</v>
      </c>
      <c r="ED560" s="19">
        <v>-1.91</v>
      </c>
      <c r="EE560" s="21">
        <v>504</v>
      </c>
      <c r="EF560" s="20">
        <v>3</v>
      </c>
      <c r="EG560" s="19">
        <v>0.6</v>
      </c>
      <c r="EH560" s="16" t="s">
        <v>198</v>
      </c>
      <c r="EI560" s="17" t="s">
        <v>151</v>
      </c>
      <c r="EJ560" s="17" t="s">
        <v>151</v>
      </c>
      <c r="EK560" s="18" t="s">
        <v>151</v>
      </c>
      <c r="EL560" s="18" t="s">
        <v>151</v>
      </c>
      <c r="EM560" s="18" t="s">
        <v>151</v>
      </c>
      <c r="EN560" s="18" t="s">
        <v>151</v>
      </c>
      <c r="EO560" s="18" t="s">
        <v>151</v>
      </c>
      <c r="EP560" s="17" t="s">
        <v>151</v>
      </c>
      <c r="EQ560" s="16" t="s">
        <v>151</v>
      </c>
      <c r="ER560" s="16" t="s">
        <v>151</v>
      </c>
      <c r="ES560" s="3">
        <f>HYPERLINK("https://my.pitchbook.com?c=458022-07","View Company Online")</f>
      </c>
    </row>
    <row r="561">
      <c r="A561" s="30" t="s">
        <v>11670</v>
      </c>
      <c r="B561" s="30" t="s">
        <v>11671</v>
      </c>
      <c r="C561" s="31" t="s">
        <v>151</v>
      </c>
      <c r="D561" s="30" t="s">
        <v>151</v>
      </c>
      <c r="E561" s="30" t="s">
        <v>11672</v>
      </c>
      <c r="F561" s="30" t="s">
        <v>11673</v>
      </c>
      <c r="G561" s="30" t="s">
        <v>151</v>
      </c>
      <c r="H561" s="30" t="s">
        <v>151</v>
      </c>
      <c r="I561" s="30" t="s">
        <v>151</v>
      </c>
      <c r="J561" s="30" t="s">
        <v>11670</v>
      </c>
      <c r="K561" s="30" t="s">
        <v>11674</v>
      </c>
      <c r="L561" s="30" t="s">
        <v>205</v>
      </c>
      <c r="M561" s="30" t="s">
        <v>206</v>
      </c>
      <c r="N561" s="30" t="s">
        <v>1940</v>
      </c>
      <c r="O561" s="30" t="s">
        <v>5396</v>
      </c>
      <c r="P561" s="30" t="s">
        <v>4922</v>
      </c>
      <c r="Q561" s="30" t="s">
        <v>11675</v>
      </c>
      <c r="R561" s="30" t="s">
        <v>151</v>
      </c>
      <c r="S561" s="30" t="s">
        <v>162</v>
      </c>
      <c r="T561" s="37">
        <v>2.3</v>
      </c>
      <c r="U561" s="30" t="s">
        <v>163</v>
      </c>
      <c r="V561" s="30" t="s">
        <v>164</v>
      </c>
      <c r="W561" s="30" t="s">
        <v>165</v>
      </c>
      <c r="X561" s="28" t="s">
        <v>11676</v>
      </c>
      <c r="Y561" s="28" t="s">
        <v>11677</v>
      </c>
      <c r="Z561" s="40">
        <v>44</v>
      </c>
      <c r="AA561" s="30" t="s">
        <v>11678</v>
      </c>
      <c r="AB561" s="30" t="s">
        <v>151</v>
      </c>
      <c r="AC561" s="30" t="s">
        <v>151</v>
      </c>
      <c r="AD561" s="39">
        <v>2021</v>
      </c>
      <c r="AE561" s="30" t="s">
        <v>151</v>
      </c>
      <c r="AF561" s="35">
        <v>45603</v>
      </c>
      <c r="AG561" s="30" t="s">
        <v>151</v>
      </c>
      <c r="AH561" s="30" t="s">
        <v>151</v>
      </c>
      <c r="AI561" s="38" t="s">
        <v>151</v>
      </c>
      <c r="AJ561" s="32" t="s">
        <v>151</v>
      </c>
      <c r="AK561" s="38" t="s">
        <v>151</v>
      </c>
      <c r="AL561" s="38" t="s">
        <v>151</v>
      </c>
      <c r="AM561" s="38" t="s">
        <v>151</v>
      </c>
      <c r="AN561" s="38" t="s">
        <v>151</v>
      </c>
      <c r="AO561" s="38" t="s">
        <v>151</v>
      </c>
      <c r="AP561" s="38" t="s">
        <v>151</v>
      </c>
      <c r="AQ561" s="38" t="s">
        <v>151</v>
      </c>
      <c r="AR561" s="29" t="s">
        <v>151</v>
      </c>
      <c r="AS561" s="30" t="s">
        <v>11679</v>
      </c>
      <c r="AT561" s="30" t="s">
        <v>11680</v>
      </c>
      <c r="AU561" s="31">
        <v>3</v>
      </c>
      <c r="AV561" s="30" t="s">
        <v>151</v>
      </c>
      <c r="AW561" s="30" t="s">
        <v>151</v>
      </c>
      <c r="AX561" s="30" t="s">
        <v>151</v>
      </c>
      <c r="AY561" s="30" t="s">
        <v>11681</v>
      </c>
      <c r="AZ561" s="30" t="s">
        <v>151</v>
      </c>
      <c r="BA561" s="30" t="s">
        <v>151</v>
      </c>
      <c r="BB561" s="30" t="s">
        <v>151</v>
      </c>
      <c r="BC561" s="30" t="s">
        <v>151</v>
      </c>
      <c r="BD561" s="30" t="s">
        <v>11682</v>
      </c>
      <c r="BE561" s="30" t="s">
        <v>11683</v>
      </c>
      <c r="BF561" s="30" t="s">
        <v>221</v>
      </c>
      <c r="BG561" s="30" t="s">
        <v>11684</v>
      </c>
      <c r="BH561" s="30" t="s">
        <v>11685</v>
      </c>
      <c r="BI561" s="30" t="s">
        <v>6124</v>
      </c>
      <c r="BJ561" s="30" t="s">
        <v>8930</v>
      </c>
      <c r="BK561" s="30" t="s">
        <v>4300</v>
      </c>
      <c r="BL561" s="30" t="s">
        <v>6127</v>
      </c>
      <c r="BM561" s="30" t="s">
        <v>1388</v>
      </c>
      <c r="BN561" s="29" t="s">
        <v>8931</v>
      </c>
      <c r="BO561" s="30" t="s">
        <v>186</v>
      </c>
      <c r="BP561" s="29" t="s">
        <v>11685</v>
      </c>
      <c r="BQ561" s="29" t="s">
        <v>151</v>
      </c>
      <c r="BR561" s="30" t="s">
        <v>11686</v>
      </c>
      <c r="BS561" s="30" t="s">
        <v>187</v>
      </c>
      <c r="BT561" s="30" t="s">
        <v>188</v>
      </c>
      <c r="BU561" s="35">
        <v>44286</v>
      </c>
      <c r="BV561" s="37">
        <v>2.3</v>
      </c>
      <c r="BW561" s="30" t="s">
        <v>192</v>
      </c>
      <c r="BX561" s="37" t="s">
        <v>151</v>
      </c>
      <c r="BY561" s="30" t="s">
        <v>151</v>
      </c>
      <c r="BZ561" s="30" t="s">
        <v>293</v>
      </c>
      <c r="CA561" s="30" t="s">
        <v>293</v>
      </c>
      <c r="CB561" s="30" t="s">
        <v>151</v>
      </c>
      <c r="CC561" s="30" t="s">
        <v>165</v>
      </c>
      <c r="CD561" s="30" t="s">
        <v>151</v>
      </c>
      <c r="CE561" s="30" t="s">
        <v>191</v>
      </c>
      <c r="CF561" s="35">
        <v>44840</v>
      </c>
      <c r="CG561" s="37" t="s">
        <v>151</v>
      </c>
      <c r="CH561" s="30" t="s">
        <v>151</v>
      </c>
      <c r="CI561" s="37" t="s">
        <v>151</v>
      </c>
      <c r="CJ561" s="30" t="s">
        <v>151</v>
      </c>
      <c r="CK561" s="29" t="s">
        <v>151</v>
      </c>
      <c r="CL561" s="30" t="s">
        <v>189</v>
      </c>
      <c r="CM561" s="30" t="s">
        <v>151</v>
      </c>
      <c r="CN561" s="30" t="s">
        <v>151</v>
      </c>
      <c r="CO561" s="30" t="s">
        <v>190</v>
      </c>
      <c r="CP561" s="35">
        <v>44840</v>
      </c>
      <c r="CQ561" s="37" t="s">
        <v>151</v>
      </c>
      <c r="CR561" s="30" t="s">
        <v>151</v>
      </c>
      <c r="CS561" s="30" t="s">
        <v>191</v>
      </c>
      <c r="CT561" s="29" t="s">
        <v>151</v>
      </c>
      <c r="CU561" s="30" t="s">
        <v>151</v>
      </c>
      <c r="CV561" s="32" t="s">
        <v>151</v>
      </c>
      <c r="CW561" s="32" t="s">
        <v>151</v>
      </c>
      <c r="CX561" s="30" t="s">
        <v>151</v>
      </c>
      <c r="CY561" s="32" t="s">
        <v>151</v>
      </c>
      <c r="CZ561" s="32" t="s">
        <v>151</v>
      </c>
      <c r="DA561" s="37" t="s">
        <v>151</v>
      </c>
      <c r="DB561" s="35" t="s">
        <v>151</v>
      </c>
      <c r="DC561" s="30" t="s">
        <v>151</v>
      </c>
      <c r="DD561" s="29" t="s">
        <v>151</v>
      </c>
      <c r="DE561" s="32">
        <v>0</v>
      </c>
      <c r="DF561" s="34">
        <v>11</v>
      </c>
      <c r="DG561" s="32">
        <v>0</v>
      </c>
      <c r="DH561" s="32">
        <v>0</v>
      </c>
      <c r="DI561" s="32">
        <v>0</v>
      </c>
      <c r="DJ561" s="34">
        <v>10</v>
      </c>
      <c r="DK561" s="32" t="s">
        <v>151</v>
      </c>
      <c r="DL561" s="34" t="s">
        <v>151</v>
      </c>
      <c r="DM561" s="32">
        <v>0</v>
      </c>
      <c r="DN561" s="34">
        <v>10</v>
      </c>
      <c r="DO561" s="36">
        <v>2.16</v>
      </c>
      <c r="DP561" s="34">
        <v>68</v>
      </c>
      <c r="DQ561" s="36">
        <v>0</v>
      </c>
      <c r="DR561" s="32">
        <v>0</v>
      </c>
      <c r="DS561" s="36">
        <v>2.16</v>
      </c>
      <c r="DT561" s="34">
        <v>68</v>
      </c>
      <c r="DU561" s="36" t="s">
        <v>151</v>
      </c>
      <c r="DV561" s="34" t="s">
        <v>151</v>
      </c>
      <c r="DW561" s="36">
        <v>2.16</v>
      </c>
      <c r="DX561" s="34">
        <v>67</v>
      </c>
      <c r="DY561" s="31" t="s">
        <v>151</v>
      </c>
      <c r="DZ561" s="35" t="s">
        <v>151</v>
      </c>
      <c r="EA561" s="35" t="s">
        <v>151</v>
      </c>
      <c r="EB561" s="34">
        <v>8610</v>
      </c>
      <c r="EC561" s="33">
        <v>-25</v>
      </c>
      <c r="ED561" s="32">
        <v>-0.29</v>
      </c>
      <c r="EE561" s="34">
        <v>41</v>
      </c>
      <c r="EF561" s="33">
        <v>0</v>
      </c>
      <c r="EG561" s="32">
        <v>0</v>
      </c>
      <c r="EH561" s="29" t="s">
        <v>198</v>
      </c>
      <c r="EI561" s="30" t="s">
        <v>151</v>
      </c>
      <c r="EJ561" s="30" t="s">
        <v>151</v>
      </c>
      <c r="EK561" s="31" t="s">
        <v>151</v>
      </c>
      <c r="EL561" s="31" t="s">
        <v>151</v>
      </c>
      <c r="EM561" s="31" t="s">
        <v>151</v>
      </c>
      <c r="EN561" s="31" t="s">
        <v>151</v>
      </c>
      <c r="EO561" s="31" t="s">
        <v>151</v>
      </c>
      <c r="EP561" s="30" t="s">
        <v>151</v>
      </c>
      <c r="EQ561" s="29" t="s">
        <v>151</v>
      </c>
      <c r="ER561" s="29" t="s">
        <v>151</v>
      </c>
      <c r="ES561" s="4">
        <f>HYPERLINK("https://my.pitchbook.com?c=465946-03","View Company Online")</f>
      </c>
    </row>
    <row r="562">
      <c r="A562" s="17" t="s">
        <v>11687</v>
      </c>
      <c r="B562" s="17" t="s">
        <v>11688</v>
      </c>
      <c r="C562" s="18" t="s">
        <v>151</v>
      </c>
      <c r="D562" s="17" t="s">
        <v>151</v>
      </c>
      <c r="E562" s="17" t="s">
        <v>11689</v>
      </c>
      <c r="F562" s="17" t="s">
        <v>11690</v>
      </c>
      <c r="G562" s="17" t="s">
        <v>151</v>
      </c>
      <c r="H562" s="17" t="s">
        <v>151</v>
      </c>
      <c r="I562" s="17" t="s">
        <v>11691</v>
      </c>
      <c r="J562" s="17" t="s">
        <v>11687</v>
      </c>
      <c r="K562" s="17" t="s">
        <v>11692</v>
      </c>
      <c r="L562" s="17" t="s">
        <v>205</v>
      </c>
      <c r="M562" s="17" t="s">
        <v>206</v>
      </c>
      <c r="N562" s="17" t="s">
        <v>269</v>
      </c>
      <c r="O562" s="17" t="s">
        <v>865</v>
      </c>
      <c r="P562" s="17" t="s">
        <v>919</v>
      </c>
      <c r="Q562" s="17" t="s">
        <v>11693</v>
      </c>
      <c r="R562" s="17" t="s">
        <v>151</v>
      </c>
      <c r="S562" s="17" t="s">
        <v>162</v>
      </c>
      <c r="T562" s="24">
        <v>22.13</v>
      </c>
      <c r="U562" s="17" t="s">
        <v>163</v>
      </c>
      <c r="V562" s="17" t="s">
        <v>164</v>
      </c>
      <c r="W562" s="17" t="s">
        <v>165</v>
      </c>
      <c r="X562" s="15" t="s">
        <v>11694</v>
      </c>
      <c r="Y562" s="15" t="s">
        <v>11695</v>
      </c>
      <c r="Z562" s="27">
        <v>40</v>
      </c>
      <c r="AA562" s="17" t="s">
        <v>11696</v>
      </c>
      <c r="AB562" s="17" t="s">
        <v>151</v>
      </c>
      <c r="AC562" s="17" t="s">
        <v>151</v>
      </c>
      <c r="AD562" s="26">
        <v>2021</v>
      </c>
      <c r="AE562" s="17" t="s">
        <v>151</v>
      </c>
      <c r="AF562" s="22">
        <v>45400</v>
      </c>
      <c r="AG562" s="17" t="s">
        <v>151</v>
      </c>
      <c r="AH562" s="17" t="s">
        <v>151</v>
      </c>
      <c r="AI562" s="25" t="s">
        <v>151</v>
      </c>
      <c r="AJ562" s="19" t="s">
        <v>151</v>
      </c>
      <c r="AK562" s="25" t="s">
        <v>151</v>
      </c>
      <c r="AL562" s="25" t="s">
        <v>151</v>
      </c>
      <c r="AM562" s="25" t="s">
        <v>151</v>
      </c>
      <c r="AN562" s="25" t="s">
        <v>151</v>
      </c>
      <c r="AO562" s="25" t="s">
        <v>151</v>
      </c>
      <c r="AP562" s="25" t="s">
        <v>151</v>
      </c>
      <c r="AQ562" s="25" t="s">
        <v>151</v>
      </c>
      <c r="AR562" s="16" t="s">
        <v>151</v>
      </c>
      <c r="AS562" s="17" t="s">
        <v>11697</v>
      </c>
      <c r="AT562" s="17" t="s">
        <v>11698</v>
      </c>
      <c r="AU562" s="18">
        <v>23</v>
      </c>
      <c r="AV562" s="17" t="s">
        <v>151</v>
      </c>
      <c r="AW562" s="17" t="s">
        <v>151</v>
      </c>
      <c r="AX562" s="17" t="s">
        <v>151</v>
      </c>
      <c r="AY562" s="17" t="s">
        <v>11699</v>
      </c>
      <c r="AZ562" s="17" t="s">
        <v>151</v>
      </c>
      <c r="BA562" s="17" t="s">
        <v>151</v>
      </c>
      <c r="BB562" s="17" t="s">
        <v>151</v>
      </c>
      <c r="BC562" s="17" t="s">
        <v>490</v>
      </c>
      <c r="BD562" s="17" t="s">
        <v>11700</v>
      </c>
      <c r="BE562" s="17" t="s">
        <v>11701</v>
      </c>
      <c r="BF562" s="17" t="s">
        <v>11702</v>
      </c>
      <c r="BG562" s="17" t="s">
        <v>11703</v>
      </c>
      <c r="BH562" s="17" t="s">
        <v>151</v>
      </c>
      <c r="BI562" s="17" t="s">
        <v>6124</v>
      </c>
      <c r="BJ562" s="17" t="s">
        <v>8930</v>
      </c>
      <c r="BK562" s="17" t="s">
        <v>11704</v>
      </c>
      <c r="BL562" s="17" t="s">
        <v>6127</v>
      </c>
      <c r="BM562" s="17" t="s">
        <v>1388</v>
      </c>
      <c r="BN562" s="16" t="s">
        <v>8931</v>
      </c>
      <c r="BO562" s="17" t="s">
        <v>186</v>
      </c>
      <c r="BP562" s="16" t="s">
        <v>151</v>
      </c>
      <c r="BQ562" s="16" t="s">
        <v>151</v>
      </c>
      <c r="BR562" s="17" t="s">
        <v>11705</v>
      </c>
      <c r="BS562" s="17" t="s">
        <v>187</v>
      </c>
      <c r="BT562" s="17" t="s">
        <v>188</v>
      </c>
      <c r="BU562" s="22">
        <v>44409</v>
      </c>
      <c r="BV562" s="24">
        <v>0.13</v>
      </c>
      <c r="BW562" s="17" t="s">
        <v>192</v>
      </c>
      <c r="BX562" s="24">
        <v>1.13</v>
      </c>
      <c r="BY562" s="17" t="s">
        <v>192</v>
      </c>
      <c r="BZ562" s="17" t="s">
        <v>189</v>
      </c>
      <c r="CA562" s="17" t="s">
        <v>151</v>
      </c>
      <c r="CB562" s="17" t="s">
        <v>151</v>
      </c>
      <c r="CC562" s="17" t="s">
        <v>190</v>
      </c>
      <c r="CD562" s="17" t="s">
        <v>151</v>
      </c>
      <c r="CE562" s="17" t="s">
        <v>191</v>
      </c>
      <c r="CF562" s="22">
        <v>45365</v>
      </c>
      <c r="CG562" s="24">
        <v>22</v>
      </c>
      <c r="CH562" s="17" t="s">
        <v>192</v>
      </c>
      <c r="CI562" s="24">
        <v>75</v>
      </c>
      <c r="CJ562" s="17" t="s">
        <v>192</v>
      </c>
      <c r="CK562" s="16" t="s">
        <v>151</v>
      </c>
      <c r="CL562" s="17" t="s">
        <v>231</v>
      </c>
      <c r="CM562" s="17" t="s">
        <v>232</v>
      </c>
      <c r="CN562" s="17" t="s">
        <v>151</v>
      </c>
      <c r="CO562" s="17" t="s">
        <v>165</v>
      </c>
      <c r="CP562" s="22">
        <v>45365</v>
      </c>
      <c r="CQ562" s="24">
        <v>1.91</v>
      </c>
      <c r="CR562" s="17" t="s">
        <v>11706</v>
      </c>
      <c r="CS562" s="17" t="s">
        <v>191</v>
      </c>
      <c r="CT562" s="16" t="s">
        <v>151</v>
      </c>
      <c r="CU562" s="17" t="s">
        <v>151</v>
      </c>
      <c r="CV562" s="19" t="s">
        <v>151</v>
      </c>
      <c r="CW562" s="19" t="s">
        <v>151</v>
      </c>
      <c r="CX562" s="17" t="s">
        <v>151</v>
      </c>
      <c r="CY562" s="19" t="s">
        <v>151</v>
      </c>
      <c r="CZ562" s="19" t="s">
        <v>151</v>
      </c>
      <c r="DA562" s="24">
        <v>75</v>
      </c>
      <c r="DB562" s="22">
        <v>45365</v>
      </c>
      <c r="DC562" s="17" t="s">
        <v>231</v>
      </c>
      <c r="DD562" s="16" t="s">
        <v>151</v>
      </c>
      <c r="DE562" s="19">
        <v>-0.76</v>
      </c>
      <c r="DF562" s="21">
        <v>5</v>
      </c>
      <c r="DG562" s="19">
        <v>0</v>
      </c>
      <c r="DH562" s="19">
        <v>0</v>
      </c>
      <c r="DI562" s="19">
        <v>-0.76</v>
      </c>
      <c r="DJ562" s="21">
        <v>5</v>
      </c>
      <c r="DK562" s="19" t="s">
        <v>151</v>
      </c>
      <c r="DL562" s="21" t="s">
        <v>151</v>
      </c>
      <c r="DM562" s="19">
        <v>-0.76</v>
      </c>
      <c r="DN562" s="21">
        <v>5</v>
      </c>
      <c r="DO562" s="23">
        <v>22.58</v>
      </c>
      <c r="DP562" s="21">
        <v>95</v>
      </c>
      <c r="DQ562" s="23">
        <v>0</v>
      </c>
      <c r="DR562" s="19">
        <v>0</v>
      </c>
      <c r="DS562" s="23">
        <v>22.58</v>
      </c>
      <c r="DT562" s="21">
        <v>95</v>
      </c>
      <c r="DU562" s="23" t="s">
        <v>151</v>
      </c>
      <c r="DV562" s="21" t="s">
        <v>151</v>
      </c>
      <c r="DW562" s="23">
        <v>22.58</v>
      </c>
      <c r="DX562" s="21">
        <v>95</v>
      </c>
      <c r="DY562" s="18" t="s">
        <v>151</v>
      </c>
      <c r="DZ562" s="22" t="s">
        <v>151</v>
      </c>
      <c r="EA562" s="22" t="s">
        <v>151</v>
      </c>
      <c r="EB562" s="21">
        <v>5999</v>
      </c>
      <c r="EC562" s="20">
        <v>-907</v>
      </c>
      <c r="ED562" s="19">
        <v>-13.13</v>
      </c>
      <c r="EE562" s="21">
        <v>429</v>
      </c>
      <c r="EF562" s="20">
        <v>-1</v>
      </c>
      <c r="EG562" s="19">
        <v>-0.23</v>
      </c>
      <c r="EH562" s="16" t="s">
        <v>198</v>
      </c>
      <c r="EI562" s="17" t="s">
        <v>151</v>
      </c>
      <c r="EJ562" s="17" t="s">
        <v>151</v>
      </c>
      <c r="EK562" s="18" t="s">
        <v>151</v>
      </c>
      <c r="EL562" s="18" t="s">
        <v>151</v>
      </c>
      <c r="EM562" s="18" t="s">
        <v>151</v>
      </c>
      <c r="EN562" s="18" t="s">
        <v>151</v>
      </c>
      <c r="EO562" s="18" t="s">
        <v>151</v>
      </c>
      <c r="EP562" s="17" t="s">
        <v>151</v>
      </c>
      <c r="EQ562" s="16" t="s">
        <v>151</v>
      </c>
      <c r="ER562" s="16" t="s">
        <v>151</v>
      </c>
      <c r="ES562" s="3">
        <f>HYPERLINK("https://my.pitchbook.com?c=465681-79","View Company Online")</f>
      </c>
    </row>
    <row r="563">
      <c r="A563" s="30" t="s">
        <v>11707</v>
      </c>
      <c r="B563" s="30" t="s">
        <v>11708</v>
      </c>
      <c r="C563" s="31" t="s">
        <v>151</v>
      </c>
      <c r="D563" s="30" t="s">
        <v>11709</v>
      </c>
      <c r="E563" s="30" t="s">
        <v>151</v>
      </c>
      <c r="F563" s="30" t="s">
        <v>11710</v>
      </c>
      <c r="G563" s="30" t="s">
        <v>151</v>
      </c>
      <c r="H563" s="30" t="s">
        <v>151</v>
      </c>
      <c r="I563" s="30" t="s">
        <v>11711</v>
      </c>
      <c r="J563" s="30" t="s">
        <v>11707</v>
      </c>
      <c r="K563" s="30" t="s">
        <v>11712</v>
      </c>
      <c r="L563" s="30" t="s">
        <v>205</v>
      </c>
      <c r="M563" s="30" t="s">
        <v>206</v>
      </c>
      <c r="N563" s="30" t="s">
        <v>1130</v>
      </c>
      <c r="O563" s="30" t="s">
        <v>1131</v>
      </c>
      <c r="P563" s="30" t="s">
        <v>1000</v>
      </c>
      <c r="Q563" s="30" t="s">
        <v>11713</v>
      </c>
      <c r="R563" s="30" t="s">
        <v>151</v>
      </c>
      <c r="S563" s="30" t="s">
        <v>162</v>
      </c>
      <c r="T563" s="37">
        <v>31</v>
      </c>
      <c r="U563" s="30" t="s">
        <v>163</v>
      </c>
      <c r="V563" s="30" t="s">
        <v>164</v>
      </c>
      <c r="W563" s="30" t="s">
        <v>165</v>
      </c>
      <c r="X563" s="28" t="s">
        <v>11714</v>
      </c>
      <c r="Y563" s="28" t="s">
        <v>11715</v>
      </c>
      <c r="Z563" s="40">
        <v>29</v>
      </c>
      <c r="AA563" s="30" t="s">
        <v>11716</v>
      </c>
      <c r="AB563" s="30" t="s">
        <v>151</v>
      </c>
      <c r="AC563" s="30" t="s">
        <v>151</v>
      </c>
      <c r="AD563" s="39">
        <v>2020</v>
      </c>
      <c r="AE563" s="30" t="s">
        <v>151</v>
      </c>
      <c r="AF563" s="35">
        <v>45440</v>
      </c>
      <c r="AG563" s="30" t="s">
        <v>151</v>
      </c>
      <c r="AH563" s="30" t="s">
        <v>3061</v>
      </c>
      <c r="AI563" s="38" t="s">
        <v>151</v>
      </c>
      <c r="AJ563" s="32" t="s">
        <v>151</v>
      </c>
      <c r="AK563" s="38" t="s">
        <v>151</v>
      </c>
      <c r="AL563" s="38" t="s">
        <v>151</v>
      </c>
      <c r="AM563" s="38" t="s">
        <v>151</v>
      </c>
      <c r="AN563" s="38" t="s">
        <v>151</v>
      </c>
      <c r="AO563" s="38" t="s">
        <v>151</v>
      </c>
      <c r="AP563" s="38" t="s">
        <v>151</v>
      </c>
      <c r="AQ563" s="38" t="s">
        <v>151</v>
      </c>
      <c r="AR563" s="29" t="s">
        <v>151</v>
      </c>
      <c r="AS563" s="30" t="s">
        <v>11717</v>
      </c>
      <c r="AT563" s="30" t="s">
        <v>11718</v>
      </c>
      <c r="AU563" s="31">
        <v>5</v>
      </c>
      <c r="AV563" s="30" t="s">
        <v>151</v>
      </c>
      <c r="AW563" s="30" t="s">
        <v>151</v>
      </c>
      <c r="AX563" s="30" t="s">
        <v>151</v>
      </c>
      <c r="AY563" s="30" t="s">
        <v>11719</v>
      </c>
      <c r="AZ563" s="30" t="s">
        <v>151</v>
      </c>
      <c r="BA563" s="30" t="s">
        <v>151</v>
      </c>
      <c r="BB563" s="30" t="s">
        <v>151</v>
      </c>
      <c r="BC563" s="30" t="s">
        <v>151</v>
      </c>
      <c r="BD563" s="30" t="s">
        <v>11720</v>
      </c>
      <c r="BE563" s="30" t="s">
        <v>11721</v>
      </c>
      <c r="BF563" s="30" t="s">
        <v>221</v>
      </c>
      <c r="BG563" s="30" t="s">
        <v>11722</v>
      </c>
      <c r="BH563" s="30" t="s">
        <v>11723</v>
      </c>
      <c r="BI563" s="30" t="s">
        <v>707</v>
      </c>
      <c r="BJ563" s="30" t="s">
        <v>11724</v>
      </c>
      <c r="BK563" s="30" t="s">
        <v>11725</v>
      </c>
      <c r="BL563" s="30" t="s">
        <v>709</v>
      </c>
      <c r="BM563" s="30" t="s">
        <v>184</v>
      </c>
      <c r="BN563" s="29" t="s">
        <v>1237</v>
      </c>
      <c r="BO563" s="30" t="s">
        <v>186</v>
      </c>
      <c r="BP563" s="29" t="s">
        <v>151</v>
      </c>
      <c r="BQ563" s="29" t="s">
        <v>151</v>
      </c>
      <c r="BR563" s="30" t="s">
        <v>11726</v>
      </c>
      <c r="BS563" s="30" t="s">
        <v>187</v>
      </c>
      <c r="BT563" s="30" t="s">
        <v>188</v>
      </c>
      <c r="BU563" s="35">
        <v>43831</v>
      </c>
      <c r="BV563" s="37">
        <v>8</v>
      </c>
      <c r="BW563" s="30" t="s">
        <v>192</v>
      </c>
      <c r="BX563" s="37" t="s">
        <v>151</v>
      </c>
      <c r="BY563" s="30" t="s">
        <v>151</v>
      </c>
      <c r="BZ563" s="30" t="s">
        <v>293</v>
      </c>
      <c r="CA563" s="30" t="s">
        <v>293</v>
      </c>
      <c r="CB563" s="30" t="s">
        <v>151</v>
      </c>
      <c r="CC563" s="30" t="s">
        <v>165</v>
      </c>
      <c r="CD563" s="30" t="s">
        <v>151</v>
      </c>
      <c r="CE563" s="30" t="s">
        <v>191</v>
      </c>
      <c r="CF563" s="35">
        <v>44405</v>
      </c>
      <c r="CG563" s="37">
        <v>23</v>
      </c>
      <c r="CH563" s="30" t="s">
        <v>192</v>
      </c>
      <c r="CI563" s="37" t="s">
        <v>151</v>
      </c>
      <c r="CJ563" s="30" t="s">
        <v>151</v>
      </c>
      <c r="CK563" s="29" t="s">
        <v>151</v>
      </c>
      <c r="CL563" s="30" t="s">
        <v>231</v>
      </c>
      <c r="CM563" s="30" t="s">
        <v>232</v>
      </c>
      <c r="CN563" s="30" t="s">
        <v>151</v>
      </c>
      <c r="CO563" s="30" t="s">
        <v>165</v>
      </c>
      <c r="CP563" s="35">
        <v>44405</v>
      </c>
      <c r="CQ563" s="37" t="s">
        <v>151</v>
      </c>
      <c r="CR563" s="30" t="s">
        <v>151</v>
      </c>
      <c r="CS563" s="30" t="s">
        <v>191</v>
      </c>
      <c r="CT563" s="29">
        <v>75</v>
      </c>
      <c r="CU563" s="30" t="s">
        <v>196</v>
      </c>
      <c r="CV563" s="32">
        <v>69</v>
      </c>
      <c r="CW563" s="32">
        <v>31</v>
      </c>
      <c r="CX563" s="30" t="s">
        <v>294</v>
      </c>
      <c r="CY563" s="32">
        <v>1</v>
      </c>
      <c r="CZ563" s="32">
        <v>68</v>
      </c>
      <c r="DA563" s="37" t="s">
        <v>151</v>
      </c>
      <c r="DB563" s="35" t="s">
        <v>151</v>
      </c>
      <c r="DC563" s="30" t="s">
        <v>151</v>
      </c>
      <c r="DD563" s="29" t="s">
        <v>151</v>
      </c>
      <c r="DE563" s="32">
        <v>0.33</v>
      </c>
      <c r="DF563" s="34">
        <v>93</v>
      </c>
      <c r="DG563" s="32">
        <v>0</v>
      </c>
      <c r="DH563" s="32">
        <v>0</v>
      </c>
      <c r="DI563" s="32">
        <v>0.21</v>
      </c>
      <c r="DJ563" s="34">
        <v>93</v>
      </c>
      <c r="DK563" s="32" t="s">
        <v>151</v>
      </c>
      <c r="DL563" s="34" t="s">
        <v>151</v>
      </c>
      <c r="DM563" s="32">
        <v>0.21</v>
      </c>
      <c r="DN563" s="34">
        <v>93</v>
      </c>
      <c r="DO563" s="36">
        <v>14.01</v>
      </c>
      <c r="DP563" s="34">
        <v>93</v>
      </c>
      <c r="DQ563" s="36">
        <v>0</v>
      </c>
      <c r="DR563" s="32">
        <v>0</v>
      </c>
      <c r="DS563" s="36">
        <v>25.79</v>
      </c>
      <c r="DT563" s="34">
        <v>96</v>
      </c>
      <c r="DU563" s="36" t="s">
        <v>151</v>
      </c>
      <c r="DV563" s="34" t="s">
        <v>151</v>
      </c>
      <c r="DW563" s="36">
        <v>25.79</v>
      </c>
      <c r="DX563" s="34">
        <v>96</v>
      </c>
      <c r="DY563" s="31" t="s">
        <v>151</v>
      </c>
      <c r="DZ563" s="35" t="s">
        <v>151</v>
      </c>
      <c r="EA563" s="35" t="s">
        <v>151</v>
      </c>
      <c r="EB563" s="34">
        <v>13850</v>
      </c>
      <c r="EC563" s="33">
        <v>-484</v>
      </c>
      <c r="ED563" s="32">
        <v>-3.38</v>
      </c>
      <c r="EE563" s="34">
        <v>490</v>
      </c>
      <c r="EF563" s="33">
        <v>1</v>
      </c>
      <c r="EG563" s="32">
        <v>0.2</v>
      </c>
      <c r="EH563" s="29" t="s">
        <v>198</v>
      </c>
      <c r="EI563" s="30" t="s">
        <v>151</v>
      </c>
      <c r="EJ563" s="30" t="s">
        <v>151</v>
      </c>
      <c r="EK563" s="31" t="s">
        <v>151</v>
      </c>
      <c r="EL563" s="31" t="s">
        <v>151</v>
      </c>
      <c r="EM563" s="31" t="s">
        <v>151</v>
      </c>
      <c r="EN563" s="31" t="s">
        <v>151</v>
      </c>
      <c r="EO563" s="31" t="s">
        <v>151</v>
      </c>
      <c r="EP563" s="30" t="s">
        <v>151</v>
      </c>
      <c r="EQ563" s="29" t="s">
        <v>151</v>
      </c>
      <c r="ER563" s="29" t="s">
        <v>151</v>
      </c>
      <c r="ES563" s="4">
        <f>HYPERLINK("https://my.pitchbook.com?c=470831-05","View Company Online")</f>
      </c>
    </row>
    <row r="564">
      <c r="A564" s="17" t="s">
        <v>11727</v>
      </c>
      <c r="B564" s="17" t="s">
        <v>11728</v>
      </c>
      <c r="C564" s="18" t="s">
        <v>151</v>
      </c>
      <c r="D564" s="17" t="s">
        <v>151</v>
      </c>
      <c r="E564" s="17" t="s">
        <v>151</v>
      </c>
      <c r="F564" s="17" t="s">
        <v>11729</v>
      </c>
      <c r="G564" s="17" t="s">
        <v>151</v>
      </c>
      <c r="H564" s="17" t="s">
        <v>151</v>
      </c>
      <c r="I564" s="17" t="s">
        <v>11730</v>
      </c>
      <c r="J564" s="17" t="s">
        <v>11727</v>
      </c>
      <c r="K564" s="17" t="s">
        <v>11731</v>
      </c>
      <c r="L564" s="17" t="s">
        <v>205</v>
      </c>
      <c r="M564" s="17" t="s">
        <v>206</v>
      </c>
      <c r="N564" s="17" t="s">
        <v>269</v>
      </c>
      <c r="O564" s="17" t="s">
        <v>4166</v>
      </c>
      <c r="P564" s="17" t="s">
        <v>1153</v>
      </c>
      <c r="Q564" s="17" t="s">
        <v>11732</v>
      </c>
      <c r="R564" s="17" t="s">
        <v>780</v>
      </c>
      <c r="S564" s="17" t="s">
        <v>162</v>
      </c>
      <c r="T564" s="24">
        <v>24.83</v>
      </c>
      <c r="U564" s="17" t="s">
        <v>163</v>
      </c>
      <c r="V564" s="17" t="s">
        <v>164</v>
      </c>
      <c r="W564" s="17" t="s">
        <v>165</v>
      </c>
      <c r="X564" s="15" t="s">
        <v>11733</v>
      </c>
      <c r="Y564" s="15" t="s">
        <v>11734</v>
      </c>
      <c r="Z564" s="27">
        <v>23</v>
      </c>
      <c r="AA564" s="17" t="s">
        <v>11735</v>
      </c>
      <c r="AB564" s="17" t="s">
        <v>151</v>
      </c>
      <c r="AC564" s="17" t="s">
        <v>151</v>
      </c>
      <c r="AD564" s="26">
        <v>2022</v>
      </c>
      <c r="AE564" s="17" t="s">
        <v>151</v>
      </c>
      <c r="AF564" s="22">
        <v>45555</v>
      </c>
      <c r="AG564" s="17" t="s">
        <v>151</v>
      </c>
      <c r="AH564" s="17" t="s">
        <v>151</v>
      </c>
      <c r="AI564" s="25" t="s">
        <v>151</v>
      </c>
      <c r="AJ564" s="19" t="s">
        <v>151</v>
      </c>
      <c r="AK564" s="25" t="s">
        <v>151</v>
      </c>
      <c r="AL564" s="25" t="s">
        <v>151</v>
      </c>
      <c r="AM564" s="25" t="s">
        <v>151</v>
      </c>
      <c r="AN564" s="25" t="s">
        <v>151</v>
      </c>
      <c r="AO564" s="25" t="s">
        <v>151</v>
      </c>
      <c r="AP564" s="25" t="s">
        <v>151</v>
      </c>
      <c r="AQ564" s="25" t="s">
        <v>151</v>
      </c>
      <c r="AR564" s="16" t="s">
        <v>151</v>
      </c>
      <c r="AS564" s="17" t="s">
        <v>11736</v>
      </c>
      <c r="AT564" s="17" t="s">
        <v>11737</v>
      </c>
      <c r="AU564" s="18">
        <v>17</v>
      </c>
      <c r="AV564" s="17" t="s">
        <v>151</v>
      </c>
      <c r="AW564" s="17" t="s">
        <v>151</v>
      </c>
      <c r="AX564" s="17" t="s">
        <v>151</v>
      </c>
      <c r="AY564" s="17" t="s">
        <v>11738</v>
      </c>
      <c r="AZ564" s="17" t="s">
        <v>151</v>
      </c>
      <c r="BA564" s="17" t="s">
        <v>151</v>
      </c>
      <c r="BB564" s="17" t="s">
        <v>151</v>
      </c>
      <c r="BC564" s="17" t="s">
        <v>343</v>
      </c>
      <c r="BD564" s="17" t="s">
        <v>11739</v>
      </c>
      <c r="BE564" s="17" t="s">
        <v>11740</v>
      </c>
      <c r="BF564" s="17" t="s">
        <v>493</v>
      </c>
      <c r="BG564" s="17" t="s">
        <v>11741</v>
      </c>
      <c r="BH564" s="17" t="s">
        <v>11742</v>
      </c>
      <c r="BI564" s="17" t="s">
        <v>707</v>
      </c>
      <c r="BJ564" s="17" t="s">
        <v>11743</v>
      </c>
      <c r="BK564" s="17" t="s">
        <v>151</v>
      </c>
      <c r="BL564" s="17" t="s">
        <v>709</v>
      </c>
      <c r="BM564" s="17" t="s">
        <v>184</v>
      </c>
      <c r="BN564" s="16" t="s">
        <v>1237</v>
      </c>
      <c r="BO564" s="17" t="s">
        <v>186</v>
      </c>
      <c r="BP564" s="16" t="s">
        <v>11742</v>
      </c>
      <c r="BQ564" s="16" t="s">
        <v>151</v>
      </c>
      <c r="BR564" s="17" t="s">
        <v>11744</v>
      </c>
      <c r="BS564" s="17" t="s">
        <v>187</v>
      </c>
      <c r="BT564" s="17" t="s">
        <v>188</v>
      </c>
      <c r="BU564" s="22">
        <v>45383</v>
      </c>
      <c r="BV564" s="24">
        <v>24.83</v>
      </c>
      <c r="BW564" s="17" t="s">
        <v>192</v>
      </c>
      <c r="BX564" s="24">
        <v>124.83</v>
      </c>
      <c r="BY564" s="17" t="s">
        <v>192</v>
      </c>
      <c r="BZ564" s="17" t="s">
        <v>231</v>
      </c>
      <c r="CA564" s="17" t="s">
        <v>232</v>
      </c>
      <c r="CB564" s="17" t="s">
        <v>151</v>
      </c>
      <c r="CC564" s="17" t="s">
        <v>165</v>
      </c>
      <c r="CD564" s="17" t="s">
        <v>151</v>
      </c>
      <c r="CE564" s="17" t="s">
        <v>191</v>
      </c>
      <c r="CF564" s="22">
        <v>45386</v>
      </c>
      <c r="CG564" s="24" t="s">
        <v>151</v>
      </c>
      <c r="CH564" s="17" t="s">
        <v>151</v>
      </c>
      <c r="CI564" s="24" t="s">
        <v>151</v>
      </c>
      <c r="CJ564" s="17" t="s">
        <v>151</v>
      </c>
      <c r="CK564" s="16" t="s">
        <v>151</v>
      </c>
      <c r="CL564" s="17" t="s">
        <v>189</v>
      </c>
      <c r="CM564" s="17" t="s">
        <v>151</v>
      </c>
      <c r="CN564" s="17" t="s">
        <v>151</v>
      </c>
      <c r="CO564" s="17" t="s">
        <v>190</v>
      </c>
      <c r="CP564" s="22">
        <v>45386</v>
      </c>
      <c r="CQ564" s="24" t="s">
        <v>151</v>
      </c>
      <c r="CR564" s="17" t="s">
        <v>151</v>
      </c>
      <c r="CS564" s="17" t="s">
        <v>191</v>
      </c>
      <c r="CT564" s="16" t="s">
        <v>151</v>
      </c>
      <c r="CU564" s="17" t="s">
        <v>151</v>
      </c>
      <c r="CV564" s="19" t="s">
        <v>151</v>
      </c>
      <c r="CW564" s="19" t="s">
        <v>151</v>
      </c>
      <c r="CX564" s="17" t="s">
        <v>151</v>
      </c>
      <c r="CY564" s="19" t="s">
        <v>151</v>
      </c>
      <c r="CZ564" s="19" t="s">
        <v>151</v>
      </c>
      <c r="DA564" s="24">
        <v>124.83</v>
      </c>
      <c r="DB564" s="22">
        <v>45383</v>
      </c>
      <c r="DC564" s="17" t="s">
        <v>231</v>
      </c>
      <c r="DD564" s="16" t="s">
        <v>151</v>
      </c>
      <c r="DE564" s="19">
        <v>1.83</v>
      </c>
      <c r="DF564" s="21">
        <v>98</v>
      </c>
      <c r="DG564" s="19">
        <v>0</v>
      </c>
      <c r="DH564" s="19">
        <v>0</v>
      </c>
      <c r="DI564" s="19">
        <v>-0.22</v>
      </c>
      <c r="DJ564" s="21">
        <v>9</v>
      </c>
      <c r="DK564" s="19" t="s">
        <v>151</v>
      </c>
      <c r="DL564" s="21" t="s">
        <v>151</v>
      </c>
      <c r="DM564" s="19">
        <v>-0.22</v>
      </c>
      <c r="DN564" s="21">
        <v>9</v>
      </c>
      <c r="DO564" s="23">
        <v>18.57</v>
      </c>
      <c r="DP564" s="21">
        <v>95</v>
      </c>
      <c r="DQ564" s="23">
        <v>0</v>
      </c>
      <c r="DR564" s="19">
        <v>0</v>
      </c>
      <c r="DS564" s="23">
        <v>35.37</v>
      </c>
      <c r="DT564" s="21">
        <v>97</v>
      </c>
      <c r="DU564" s="23" t="s">
        <v>151</v>
      </c>
      <c r="DV564" s="21" t="s">
        <v>151</v>
      </c>
      <c r="DW564" s="23">
        <v>35.37</v>
      </c>
      <c r="DX564" s="21">
        <v>97</v>
      </c>
      <c r="DY564" s="18" t="s">
        <v>151</v>
      </c>
      <c r="DZ564" s="22" t="s">
        <v>151</v>
      </c>
      <c r="EA564" s="22" t="s">
        <v>151</v>
      </c>
      <c r="EB564" s="21">
        <v>9874</v>
      </c>
      <c r="EC564" s="20">
        <v>326</v>
      </c>
      <c r="ED564" s="19">
        <v>3.41</v>
      </c>
      <c r="EE564" s="21">
        <v>672</v>
      </c>
      <c r="EF564" s="20">
        <v>-1</v>
      </c>
      <c r="EG564" s="19">
        <v>-0.15</v>
      </c>
      <c r="EH564" s="16" t="s">
        <v>198</v>
      </c>
      <c r="EI564" s="17" t="s">
        <v>151</v>
      </c>
      <c r="EJ564" s="17" t="s">
        <v>151</v>
      </c>
      <c r="EK564" s="18" t="s">
        <v>151</v>
      </c>
      <c r="EL564" s="18" t="s">
        <v>151</v>
      </c>
      <c r="EM564" s="18" t="s">
        <v>151</v>
      </c>
      <c r="EN564" s="18" t="s">
        <v>151</v>
      </c>
      <c r="EO564" s="18" t="s">
        <v>151</v>
      </c>
      <c r="EP564" s="17" t="s">
        <v>151</v>
      </c>
      <c r="EQ564" s="16" t="s">
        <v>151</v>
      </c>
      <c r="ER564" s="16" t="s">
        <v>151</v>
      </c>
      <c r="ES564" s="3">
        <f>HYPERLINK("https://my.pitchbook.com?c=507138-94","View Company Online")</f>
      </c>
    </row>
    <row r="565">
      <c r="A565" s="30" t="s">
        <v>11745</v>
      </c>
      <c r="B565" s="30" t="s">
        <v>11746</v>
      </c>
      <c r="C565" s="31" t="s">
        <v>151</v>
      </c>
      <c r="D565" s="30" t="s">
        <v>151</v>
      </c>
      <c r="E565" s="30" t="s">
        <v>11747</v>
      </c>
      <c r="F565" s="30" t="s">
        <v>11748</v>
      </c>
      <c r="G565" s="30" t="s">
        <v>151</v>
      </c>
      <c r="H565" s="30" t="s">
        <v>151</v>
      </c>
      <c r="I565" s="30" t="s">
        <v>11749</v>
      </c>
      <c r="J565" s="30" t="s">
        <v>11745</v>
      </c>
      <c r="K565" s="30" t="s">
        <v>11750</v>
      </c>
      <c r="L565" s="30" t="s">
        <v>155</v>
      </c>
      <c r="M565" s="30" t="s">
        <v>2320</v>
      </c>
      <c r="N565" s="30" t="s">
        <v>3427</v>
      </c>
      <c r="O565" s="30" t="s">
        <v>11751</v>
      </c>
      <c r="P565" s="30" t="s">
        <v>11752</v>
      </c>
      <c r="Q565" s="30" t="s">
        <v>11753</v>
      </c>
      <c r="R565" s="30" t="s">
        <v>151</v>
      </c>
      <c r="S565" s="30" t="s">
        <v>162</v>
      </c>
      <c r="T565" s="37">
        <v>2.5</v>
      </c>
      <c r="U565" s="30" t="s">
        <v>163</v>
      </c>
      <c r="V565" s="30" t="s">
        <v>164</v>
      </c>
      <c r="W565" s="30" t="s">
        <v>165</v>
      </c>
      <c r="X565" s="28" t="s">
        <v>11754</v>
      </c>
      <c r="Y565" s="28" t="s">
        <v>11755</v>
      </c>
      <c r="Z565" s="40">
        <v>39</v>
      </c>
      <c r="AA565" s="30" t="s">
        <v>11756</v>
      </c>
      <c r="AB565" s="30" t="s">
        <v>151</v>
      </c>
      <c r="AC565" s="30" t="s">
        <v>151</v>
      </c>
      <c r="AD565" s="39">
        <v>2019</v>
      </c>
      <c r="AE565" s="30" t="s">
        <v>151</v>
      </c>
      <c r="AF565" s="35">
        <v>45467</v>
      </c>
      <c r="AG565" s="30" t="s">
        <v>151</v>
      </c>
      <c r="AH565" s="30" t="s">
        <v>151</v>
      </c>
      <c r="AI565" s="38" t="s">
        <v>151</v>
      </c>
      <c r="AJ565" s="32" t="s">
        <v>151</v>
      </c>
      <c r="AK565" s="38" t="s">
        <v>151</v>
      </c>
      <c r="AL565" s="38" t="s">
        <v>151</v>
      </c>
      <c r="AM565" s="38" t="s">
        <v>151</v>
      </c>
      <c r="AN565" s="38" t="s">
        <v>151</v>
      </c>
      <c r="AO565" s="38" t="s">
        <v>151</v>
      </c>
      <c r="AP565" s="38" t="s">
        <v>151</v>
      </c>
      <c r="AQ565" s="38" t="s">
        <v>151</v>
      </c>
      <c r="AR565" s="29" t="s">
        <v>151</v>
      </c>
      <c r="AS565" s="30" t="s">
        <v>11757</v>
      </c>
      <c r="AT565" s="30" t="s">
        <v>11758</v>
      </c>
      <c r="AU565" s="31">
        <v>9</v>
      </c>
      <c r="AV565" s="30" t="s">
        <v>151</v>
      </c>
      <c r="AW565" s="30" t="s">
        <v>151</v>
      </c>
      <c r="AX565" s="30" t="s">
        <v>151</v>
      </c>
      <c r="AY565" s="30" t="s">
        <v>11759</v>
      </c>
      <c r="AZ565" s="30" t="s">
        <v>151</v>
      </c>
      <c r="BA565" s="30" t="s">
        <v>151</v>
      </c>
      <c r="BB565" s="30" t="s">
        <v>151</v>
      </c>
      <c r="BC565" s="30" t="s">
        <v>343</v>
      </c>
      <c r="BD565" s="30" t="s">
        <v>11760</v>
      </c>
      <c r="BE565" s="30" t="s">
        <v>11761</v>
      </c>
      <c r="BF565" s="30" t="s">
        <v>221</v>
      </c>
      <c r="BG565" s="30" t="s">
        <v>11762</v>
      </c>
      <c r="BH565" s="30" t="s">
        <v>151</v>
      </c>
      <c r="BI565" s="30" t="s">
        <v>764</v>
      </c>
      <c r="BJ565" s="30" t="s">
        <v>3969</v>
      </c>
      <c r="BK565" s="30" t="s">
        <v>11763</v>
      </c>
      <c r="BL565" s="30" t="s">
        <v>767</v>
      </c>
      <c r="BM565" s="30" t="s">
        <v>184</v>
      </c>
      <c r="BN565" s="29" t="s">
        <v>794</v>
      </c>
      <c r="BO565" s="30" t="s">
        <v>186</v>
      </c>
      <c r="BP565" s="29" t="s">
        <v>151</v>
      </c>
      <c r="BQ565" s="29" t="s">
        <v>151</v>
      </c>
      <c r="BR565" s="30" t="s">
        <v>11764</v>
      </c>
      <c r="BS565" s="30" t="s">
        <v>187</v>
      </c>
      <c r="BT565" s="30" t="s">
        <v>188</v>
      </c>
      <c r="BU565" s="35">
        <v>44252</v>
      </c>
      <c r="BV565" s="37">
        <v>2.5</v>
      </c>
      <c r="BW565" s="30" t="s">
        <v>192</v>
      </c>
      <c r="BX565" s="37">
        <v>8.5</v>
      </c>
      <c r="BY565" s="30" t="s">
        <v>192</v>
      </c>
      <c r="BZ565" s="30" t="s">
        <v>293</v>
      </c>
      <c r="CA565" s="30" t="s">
        <v>293</v>
      </c>
      <c r="CB565" s="30" t="s">
        <v>151</v>
      </c>
      <c r="CC565" s="30" t="s">
        <v>165</v>
      </c>
      <c r="CD565" s="30" t="s">
        <v>151</v>
      </c>
      <c r="CE565" s="30" t="s">
        <v>191</v>
      </c>
      <c r="CF565" s="35">
        <v>44252</v>
      </c>
      <c r="CG565" s="37">
        <v>2.5</v>
      </c>
      <c r="CH565" s="30" t="s">
        <v>192</v>
      </c>
      <c r="CI565" s="37">
        <v>8.5</v>
      </c>
      <c r="CJ565" s="30" t="s">
        <v>192</v>
      </c>
      <c r="CK565" s="29" t="s">
        <v>151</v>
      </c>
      <c r="CL565" s="30" t="s">
        <v>293</v>
      </c>
      <c r="CM565" s="30" t="s">
        <v>293</v>
      </c>
      <c r="CN565" s="30" t="s">
        <v>151</v>
      </c>
      <c r="CO565" s="30" t="s">
        <v>165</v>
      </c>
      <c r="CP565" s="35">
        <v>44252</v>
      </c>
      <c r="CQ565" s="37" t="s">
        <v>151</v>
      </c>
      <c r="CR565" s="30" t="s">
        <v>151</v>
      </c>
      <c r="CS565" s="30" t="s">
        <v>191</v>
      </c>
      <c r="CT565" s="29" t="s">
        <v>151</v>
      </c>
      <c r="CU565" s="30" t="s">
        <v>151</v>
      </c>
      <c r="CV565" s="32" t="s">
        <v>151</v>
      </c>
      <c r="CW565" s="32" t="s">
        <v>151</v>
      </c>
      <c r="CX565" s="30" t="s">
        <v>151</v>
      </c>
      <c r="CY565" s="32" t="s">
        <v>151</v>
      </c>
      <c r="CZ565" s="32" t="s">
        <v>151</v>
      </c>
      <c r="DA565" s="37">
        <v>8.5</v>
      </c>
      <c r="DB565" s="35">
        <v>44252</v>
      </c>
      <c r="DC565" s="30" t="s">
        <v>293</v>
      </c>
      <c r="DD565" s="29" t="s">
        <v>151</v>
      </c>
      <c r="DE565" s="32">
        <v>-0.87</v>
      </c>
      <c r="DF565" s="34">
        <v>5</v>
      </c>
      <c r="DG565" s="32">
        <v>0</v>
      </c>
      <c r="DH565" s="32">
        <v>0</v>
      </c>
      <c r="DI565" s="32">
        <v>-0.87</v>
      </c>
      <c r="DJ565" s="34">
        <v>5</v>
      </c>
      <c r="DK565" s="32">
        <v>-3.67</v>
      </c>
      <c r="DL565" s="34">
        <v>4</v>
      </c>
      <c r="DM565" s="32">
        <v>1.94</v>
      </c>
      <c r="DN565" s="34">
        <v>98</v>
      </c>
      <c r="DO565" s="36">
        <v>32.56</v>
      </c>
      <c r="DP565" s="34">
        <v>97</v>
      </c>
      <c r="DQ565" s="36">
        <v>0</v>
      </c>
      <c r="DR565" s="32">
        <v>0</v>
      </c>
      <c r="DS565" s="36">
        <v>32.56</v>
      </c>
      <c r="DT565" s="34">
        <v>97</v>
      </c>
      <c r="DU565" s="36">
        <v>53.22</v>
      </c>
      <c r="DV565" s="34">
        <v>95</v>
      </c>
      <c r="DW565" s="36">
        <v>11.89</v>
      </c>
      <c r="DX565" s="34">
        <v>91</v>
      </c>
      <c r="DY565" s="31" t="s">
        <v>151</v>
      </c>
      <c r="DZ565" s="35" t="s">
        <v>151</v>
      </c>
      <c r="EA565" s="35" t="s">
        <v>151</v>
      </c>
      <c r="EB565" s="34">
        <v>11034</v>
      </c>
      <c r="EC565" s="33">
        <v>-630</v>
      </c>
      <c r="ED565" s="32">
        <v>-5.4</v>
      </c>
      <c r="EE565" s="34">
        <v>226</v>
      </c>
      <c r="EF565" s="33">
        <v>1</v>
      </c>
      <c r="EG565" s="32">
        <v>0.44</v>
      </c>
      <c r="EH565" s="29" t="s">
        <v>198</v>
      </c>
      <c r="EI565" s="30" t="s">
        <v>151</v>
      </c>
      <c r="EJ565" s="30" t="s">
        <v>151</v>
      </c>
      <c r="EK565" s="31" t="s">
        <v>151</v>
      </c>
      <c r="EL565" s="31" t="s">
        <v>151</v>
      </c>
      <c r="EM565" s="31" t="s">
        <v>151</v>
      </c>
      <c r="EN565" s="31" t="s">
        <v>151</v>
      </c>
      <c r="EO565" s="31" t="s">
        <v>151</v>
      </c>
      <c r="EP565" s="30" t="s">
        <v>151</v>
      </c>
      <c r="EQ565" s="29" t="s">
        <v>151</v>
      </c>
      <c r="ER565" s="29" t="s">
        <v>151</v>
      </c>
      <c r="ES565" s="4">
        <f>HYPERLINK("https://my.pitchbook.com?c=439176-25","View Company Online")</f>
      </c>
    </row>
    <row r="566">
      <c r="A566" s="17" t="s">
        <v>11765</v>
      </c>
      <c r="B566" s="17" t="s">
        <v>11766</v>
      </c>
      <c r="C566" s="18" t="s">
        <v>151</v>
      </c>
      <c r="D566" s="17" t="s">
        <v>151</v>
      </c>
      <c r="E566" s="17" t="s">
        <v>11767</v>
      </c>
      <c r="F566" s="17" t="s">
        <v>11768</v>
      </c>
      <c r="G566" s="17" t="s">
        <v>151</v>
      </c>
      <c r="H566" s="17" t="s">
        <v>151</v>
      </c>
      <c r="I566" s="17" t="s">
        <v>11769</v>
      </c>
      <c r="J566" s="17" t="s">
        <v>11765</v>
      </c>
      <c r="K566" s="17" t="s">
        <v>11770</v>
      </c>
      <c r="L566" s="17" t="s">
        <v>205</v>
      </c>
      <c r="M566" s="17" t="s">
        <v>206</v>
      </c>
      <c r="N566" s="17" t="s">
        <v>269</v>
      </c>
      <c r="O566" s="17" t="s">
        <v>1819</v>
      </c>
      <c r="P566" s="17" t="s">
        <v>1107</v>
      </c>
      <c r="Q566" s="17" t="s">
        <v>11771</v>
      </c>
      <c r="R566" s="17" t="s">
        <v>151</v>
      </c>
      <c r="S566" s="17" t="s">
        <v>162</v>
      </c>
      <c r="T566" s="24">
        <v>25</v>
      </c>
      <c r="U566" s="17" t="s">
        <v>4993</v>
      </c>
      <c r="V566" s="17" t="s">
        <v>164</v>
      </c>
      <c r="W566" s="17" t="s">
        <v>420</v>
      </c>
      <c r="X566" s="15" t="s">
        <v>11772</v>
      </c>
      <c r="Y566" s="15" t="s">
        <v>11773</v>
      </c>
      <c r="Z566" s="27">
        <v>63</v>
      </c>
      <c r="AA566" s="17" t="s">
        <v>11774</v>
      </c>
      <c r="AB566" s="17" t="s">
        <v>151</v>
      </c>
      <c r="AC566" s="17" t="s">
        <v>151</v>
      </c>
      <c r="AD566" s="26">
        <v>2011</v>
      </c>
      <c r="AE566" s="17" t="s">
        <v>151</v>
      </c>
      <c r="AF566" s="22">
        <v>45587</v>
      </c>
      <c r="AG566" s="17" t="s">
        <v>151</v>
      </c>
      <c r="AH566" s="17" t="s">
        <v>151</v>
      </c>
      <c r="AI566" s="25" t="s">
        <v>151</v>
      </c>
      <c r="AJ566" s="19" t="s">
        <v>151</v>
      </c>
      <c r="AK566" s="25" t="s">
        <v>151</v>
      </c>
      <c r="AL566" s="25" t="s">
        <v>151</v>
      </c>
      <c r="AM566" s="25" t="s">
        <v>151</v>
      </c>
      <c r="AN566" s="25" t="s">
        <v>151</v>
      </c>
      <c r="AO566" s="25" t="s">
        <v>151</v>
      </c>
      <c r="AP566" s="25" t="s">
        <v>151</v>
      </c>
      <c r="AQ566" s="25" t="s">
        <v>151</v>
      </c>
      <c r="AR566" s="16" t="s">
        <v>151</v>
      </c>
      <c r="AS566" s="17" t="s">
        <v>11775</v>
      </c>
      <c r="AT566" s="17" t="s">
        <v>11776</v>
      </c>
      <c r="AU566" s="18">
        <v>16</v>
      </c>
      <c r="AV566" s="17" t="s">
        <v>151</v>
      </c>
      <c r="AW566" s="17" t="s">
        <v>151</v>
      </c>
      <c r="AX566" s="17" t="s">
        <v>151</v>
      </c>
      <c r="AY566" s="17" t="s">
        <v>11777</v>
      </c>
      <c r="AZ566" s="17" t="s">
        <v>151</v>
      </c>
      <c r="BA566" s="17" t="s">
        <v>151</v>
      </c>
      <c r="BB566" s="17" t="s">
        <v>11778</v>
      </c>
      <c r="BC566" s="17" t="s">
        <v>11778</v>
      </c>
      <c r="BD566" s="17" t="s">
        <v>11779</v>
      </c>
      <c r="BE566" s="17" t="s">
        <v>11780</v>
      </c>
      <c r="BF566" s="17" t="s">
        <v>493</v>
      </c>
      <c r="BG566" s="17" t="s">
        <v>11781</v>
      </c>
      <c r="BH566" s="17" t="s">
        <v>11782</v>
      </c>
      <c r="BI566" s="17" t="s">
        <v>11783</v>
      </c>
      <c r="BJ566" s="17" t="s">
        <v>11784</v>
      </c>
      <c r="BK566" s="17" t="s">
        <v>11785</v>
      </c>
      <c r="BL566" s="17" t="s">
        <v>11786</v>
      </c>
      <c r="BM566" s="17" t="s">
        <v>11787</v>
      </c>
      <c r="BN566" s="16" t="s">
        <v>11788</v>
      </c>
      <c r="BO566" s="17" t="s">
        <v>186</v>
      </c>
      <c r="BP566" s="16" t="s">
        <v>11782</v>
      </c>
      <c r="BQ566" s="16" t="s">
        <v>151</v>
      </c>
      <c r="BR566" s="17" t="s">
        <v>11789</v>
      </c>
      <c r="BS566" s="17" t="s">
        <v>187</v>
      </c>
      <c r="BT566" s="17" t="s">
        <v>188</v>
      </c>
      <c r="BU566" s="22">
        <v>41640</v>
      </c>
      <c r="BV566" s="24" t="s">
        <v>151</v>
      </c>
      <c r="BW566" s="17" t="s">
        <v>151</v>
      </c>
      <c r="BX566" s="24" t="s">
        <v>151</v>
      </c>
      <c r="BY566" s="17" t="s">
        <v>151</v>
      </c>
      <c r="BZ566" s="17" t="s">
        <v>1075</v>
      </c>
      <c r="CA566" s="17" t="s">
        <v>1075</v>
      </c>
      <c r="CB566" s="17" t="s">
        <v>151</v>
      </c>
      <c r="CC566" s="17" t="s">
        <v>585</v>
      </c>
      <c r="CD566" s="17" t="s">
        <v>151</v>
      </c>
      <c r="CE566" s="17" t="s">
        <v>191</v>
      </c>
      <c r="CF566" s="22">
        <v>45495</v>
      </c>
      <c r="CG566" s="24">
        <v>5</v>
      </c>
      <c r="CH566" s="17" t="s">
        <v>192</v>
      </c>
      <c r="CI566" s="24">
        <v>54</v>
      </c>
      <c r="CJ566" s="17" t="s">
        <v>192</v>
      </c>
      <c r="CK566" s="16">
        <v>1.22</v>
      </c>
      <c r="CL566" s="17" t="s">
        <v>194</v>
      </c>
      <c r="CM566" s="17" t="s">
        <v>11790</v>
      </c>
      <c r="CN566" s="17" t="s">
        <v>151</v>
      </c>
      <c r="CO566" s="17" t="s">
        <v>165</v>
      </c>
      <c r="CP566" s="22">
        <v>45495</v>
      </c>
      <c r="CQ566" s="24" t="s">
        <v>151</v>
      </c>
      <c r="CR566" s="17" t="s">
        <v>151</v>
      </c>
      <c r="CS566" s="17" t="s">
        <v>191</v>
      </c>
      <c r="CT566" s="16">
        <v>53</v>
      </c>
      <c r="CU566" s="17" t="s">
        <v>196</v>
      </c>
      <c r="CV566" s="19">
        <v>97</v>
      </c>
      <c r="CW566" s="19">
        <v>3</v>
      </c>
      <c r="CX566" s="17" t="s">
        <v>294</v>
      </c>
      <c r="CY566" s="19">
        <v>2</v>
      </c>
      <c r="CZ566" s="19">
        <v>95</v>
      </c>
      <c r="DA566" s="24">
        <v>54</v>
      </c>
      <c r="DB566" s="22">
        <v>45495</v>
      </c>
      <c r="DC566" s="17" t="s">
        <v>194</v>
      </c>
      <c r="DD566" s="16">
        <v>1.22</v>
      </c>
      <c r="DE566" s="19">
        <v>0.13</v>
      </c>
      <c r="DF566" s="21">
        <v>91</v>
      </c>
      <c r="DG566" s="19">
        <v>0</v>
      </c>
      <c r="DH566" s="19">
        <v>0</v>
      </c>
      <c r="DI566" s="19">
        <v>-0.15</v>
      </c>
      <c r="DJ566" s="21">
        <v>9</v>
      </c>
      <c r="DK566" s="19" t="s">
        <v>151</v>
      </c>
      <c r="DL566" s="21" t="s">
        <v>151</v>
      </c>
      <c r="DM566" s="19">
        <v>-0.15</v>
      </c>
      <c r="DN566" s="21">
        <v>9</v>
      </c>
      <c r="DO566" s="23">
        <v>9.16</v>
      </c>
      <c r="DP566" s="21">
        <v>89</v>
      </c>
      <c r="DQ566" s="23">
        <v>0</v>
      </c>
      <c r="DR566" s="19">
        <v>0</v>
      </c>
      <c r="DS566" s="23">
        <v>13.47</v>
      </c>
      <c r="DT566" s="21">
        <v>92</v>
      </c>
      <c r="DU566" s="23" t="s">
        <v>151</v>
      </c>
      <c r="DV566" s="21" t="s">
        <v>151</v>
      </c>
      <c r="DW566" s="23">
        <v>13.47</v>
      </c>
      <c r="DX566" s="21">
        <v>92</v>
      </c>
      <c r="DY566" s="18">
        <v>1</v>
      </c>
      <c r="DZ566" s="22">
        <v>43005</v>
      </c>
      <c r="EA566" s="22" t="s">
        <v>151</v>
      </c>
      <c r="EB566" s="21" t="s">
        <v>151</v>
      </c>
      <c r="EC566" s="20" t="s">
        <v>151</v>
      </c>
      <c r="ED566" s="19" t="s">
        <v>151</v>
      </c>
      <c r="EE566" s="21">
        <v>256</v>
      </c>
      <c r="EF566" s="20">
        <v>0</v>
      </c>
      <c r="EG566" s="19">
        <v>0</v>
      </c>
      <c r="EH566" s="16" t="s">
        <v>198</v>
      </c>
      <c r="EI566" s="17" t="s">
        <v>151</v>
      </c>
      <c r="EJ566" s="17" t="s">
        <v>151</v>
      </c>
      <c r="EK566" s="18" t="s">
        <v>151</v>
      </c>
      <c r="EL566" s="18" t="s">
        <v>151</v>
      </c>
      <c r="EM566" s="18" t="s">
        <v>151</v>
      </c>
      <c r="EN566" s="18" t="s">
        <v>151</v>
      </c>
      <c r="EO566" s="18" t="s">
        <v>151</v>
      </c>
      <c r="EP566" s="17" t="s">
        <v>151</v>
      </c>
      <c r="EQ566" s="16" t="s">
        <v>151</v>
      </c>
      <c r="ER566" s="16" t="s">
        <v>151</v>
      </c>
      <c r="ES566" s="3">
        <f>HYPERLINK("https://my.pitchbook.com?c=225244-81","View Company Online")</f>
      </c>
    </row>
    <row r="567">
      <c r="A567" s="30" t="s">
        <v>11791</v>
      </c>
      <c r="B567" s="30" t="s">
        <v>11792</v>
      </c>
      <c r="C567" s="31" t="s">
        <v>151</v>
      </c>
      <c r="D567" s="30" t="s">
        <v>11793</v>
      </c>
      <c r="E567" s="30" t="s">
        <v>151</v>
      </c>
      <c r="F567" s="30" t="s">
        <v>11794</v>
      </c>
      <c r="G567" s="30" t="s">
        <v>151</v>
      </c>
      <c r="H567" s="30" t="s">
        <v>151</v>
      </c>
      <c r="I567" s="30" t="s">
        <v>11795</v>
      </c>
      <c r="J567" s="30" t="s">
        <v>11791</v>
      </c>
      <c r="K567" s="30" t="s">
        <v>11796</v>
      </c>
      <c r="L567" s="30" t="s">
        <v>616</v>
      </c>
      <c r="M567" s="30" t="s">
        <v>834</v>
      </c>
      <c r="N567" s="30" t="s">
        <v>835</v>
      </c>
      <c r="O567" s="30" t="s">
        <v>11797</v>
      </c>
      <c r="P567" s="30" t="s">
        <v>7308</v>
      </c>
      <c r="Q567" s="30" t="s">
        <v>11798</v>
      </c>
      <c r="R567" s="30" t="s">
        <v>151</v>
      </c>
      <c r="S567" s="30" t="s">
        <v>162</v>
      </c>
      <c r="T567" s="37">
        <v>3.08</v>
      </c>
      <c r="U567" s="30" t="s">
        <v>163</v>
      </c>
      <c r="V567" s="30" t="s">
        <v>164</v>
      </c>
      <c r="W567" s="30" t="s">
        <v>165</v>
      </c>
      <c r="X567" s="28" t="s">
        <v>11799</v>
      </c>
      <c r="Y567" s="28" t="s">
        <v>11800</v>
      </c>
      <c r="Z567" s="40">
        <v>10</v>
      </c>
      <c r="AA567" s="30" t="s">
        <v>6945</v>
      </c>
      <c r="AB567" s="30" t="s">
        <v>151</v>
      </c>
      <c r="AC567" s="30" t="s">
        <v>151</v>
      </c>
      <c r="AD567" s="39">
        <v>2018</v>
      </c>
      <c r="AE567" s="30" t="s">
        <v>151</v>
      </c>
      <c r="AF567" s="35">
        <v>45478</v>
      </c>
      <c r="AG567" s="30" t="s">
        <v>151</v>
      </c>
      <c r="AH567" s="30" t="s">
        <v>151</v>
      </c>
      <c r="AI567" s="38" t="s">
        <v>151</v>
      </c>
      <c r="AJ567" s="32" t="s">
        <v>151</v>
      </c>
      <c r="AK567" s="38" t="s">
        <v>151</v>
      </c>
      <c r="AL567" s="38" t="s">
        <v>151</v>
      </c>
      <c r="AM567" s="38" t="s">
        <v>151</v>
      </c>
      <c r="AN567" s="38" t="s">
        <v>151</v>
      </c>
      <c r="AO567" s="38" t="s">
        <v>151</v>
      </c>
      <c r="AP567" s="38" t="s">
        <v>151</v>
      </c>
      <c r="AQ567" s="38" t="s">
        <v>151</v>
      </c>
      <c r="AR567" s="29" t="s">
        <v>151</v>
      </c>
      <c r="AS567" s="30" t="s">
        <v>11801</v>
      </c>
      <c r="AT567" s="30" t="s">
        <v>11802</v>
      </c>
      <c r="AU567" s="31">
        <v>19</v>
      </c>
      <c r="AV567" s="30" t="s">
        <v>151</v>
      </c>
      <c r="AW567" s="30" t="s">
        <v>151</v>
      </c>
      <c r="AX567" s="30" t="s">
        <v>151</v>
      </c>
      <c r="AY567" s="30" t="s">
        <v>11803</v>
      </c>
      <c r="AZ567" s="30" t="s">
        <v>151</v>
      </c>
      <c r="BA567" s="30" t="s">
        <v>151</v>
      </c>
      <c r="BB567" s="30" t="s">
        <v>151</v>
      </c>
      <c r="BC567" s="30" t="s">
        <v>151</v>
      </c>
      <c r="BD567" s="30" t="s">
        <v>11804</v>
      </c>
      <c r="BE567" s="30" t="s">
        <v>11805</v>
      </c>
      <c r="BF567" s="30" t="s">
        <v>11806</v>
      </c>
      <c r="BG567" s="30" t="s">
        <v>11807</v>
      </c>
      <c r="BH567" s="30" t="s">
        <v>11808</v>
      </c>
      <c r="BI567" s="30" t="s">
        <v>2162</v>
      </c>
      <c r="BJ567" s="30" t="s">
        <v>11809</v>
      </c>
      <c r="BK567" s="30" t="s">
        <v>11810</v>
      </c>
      <c r="BL567" s="30" t="s">
        <v>289</v>
      </c>
      <c r="BM567" s="30" t="s">
        <v>2165</v>
      </c>
      <c r="BN567" s="29" t="s">
        <v>6066</v>
      </c>
      <c r="BO567" s="30" t="s">
        <v>186</v>
      </c>
      <c r="BP567" s="29" t="s">
        <v>11808</v>
      </c>
      <c r="BQ567" s="29" t="s">
        <v>151</v>
      </c>
      <c r="BR567" s="30" t="s">
        <v>11811</v>
      </c>
      <c r="BS567" s="30" t="s">
        <v>187</v>
      </c>
      <c r="BT567" s="30" t="s">
        <v>188</v>
      </c>
      <c r="BU567" s="35">
        <v>44197</v>
      </c>
      <c r="BV567" s="37">
        <v>0.13</v>
      </c>
      <c r="BW567" s="30" t="s">
        <v>192</v>
      </c>
      <c r="BX567" s="37" t="s">
        <v>151</v>
      </c>
      <c r="BY567" s="30" t="s">
        <v>151</v>
      </c>
      <c r="BZ567" s="30" t="s">
        <v>189</v>
      </c>
      <c r="CA567" s="30" t="s">
        <v>151</v>
      </c>
      <c r="CB567" s="30" t="s">
        <v>151</v>
      </c>
      <c r="CC567" s="30" t="s">
        <v>190</v>
      </c>
      <c r="CD567" s="30" t="s">
        <v>151</v>
      </c>
      <c r="CE567" s="30" t="s">
        <v>191</v>
      </c>
      <c r="CF567" s="35">
        <v>44476</v>
      </c>
      <c r="CG567" s="37">
        <v>2.95</v>
      </c>
      <c r="CH567" s="30" t="s">
        <v>192</v>
      </c>
      <c r="CI567" s="37" t="s">
        <v>151</v>
      </c>
      <c r="CJ567" s="30" t="s">
        <v>151</v>
      </c>
      <c r="CK567" s="29" t="s">
        <v>151</v>
      </c>
      <c r="CL567" s="30" t="s">
        <v>293</v>
      </c>
      <c r="CM567" s="30" t="s">
        <v>293</v>
      </c>
      <c r="CN567" s="30" t="s">
        <v>151</v>
      </c>
      <c r="CO567" s="30" t="s">
        <v>165</v>
      </c>
      <c r="CP567" s="35">
        <v>44476</v>
      </c>
      <c r="CQ567" s="37" t="s">
        <v>151</v>
      </c>
      <c r="CR567" s="30" t="s">
        <v>151</v>
      </c>
      <c r="CS567" s="30" t="s">
        <v>191</v>
      </c>
      <c r="CT567" s="29" t="s">
        <v>151</v>
      </c>
      <c r="CU567" s="30" t="s">
        <v>151</v>
      </c>
      <c r="CV567" s="32" t="s">
        <v>151</v>
      </c>
      <c r="CW567" s="32" t="s">
        <v>151</v>
      </c>
      <c r="CX567" s="30" t="s">
        <v>151</v>
      </c>
      <c r="CY567" s="32" t="s">
        <v>151</v>
      </c>
      <c r="CZ567" s="32" t="s">
        <v>151</v>
      </c>
      <c r="DA567" s="37" t="s">
        <v>151</v>
      </c>
      <c r="DB567" s="35" t="s">
        <v>151</v>
      </c>
      <c r="DC567" s="30" t="s">
        <v>151</v>
      </c>
      <c r="DD567" s="29" t="s">
        <v>151</v>
      </c>
      <c r="DE567" s="32">
        <v>-0.11</v>
      </c>
      <c r="DF567" s="34">
        <v>10</v>
      </c>
      <c r="DG567" s="32">
        <v>0</v>
      </c>
      <c r="DH567" s="32">
        <v>0</v>
      </c>
      <c r="DI567" s="32">
        <v>-0.11</v>
      </c>
      <c r="DJ567" s="34">
        <v>10</v>
      </c>
      <c r="DK567" s="32">
        <v>-0.11</v>
      </c>
      <c r="DL567" s="34">
        <v>11</v>
      </c>
      <c r="DM567" s="32" t="s">
        <v>151</v>
      </c>
      <c r="DN567" s="34" t="s">
        <v>151</v>
      </c>
      <c r="DO567" s="36">
        <v>1.27</v>
      </c>
      <c r="DP567" s="34">
        <v>56</v>
      </c>
      <c r="DQ567" s="36">
        <v>0</v>
      </c>
      <c r="DR567" s="32">
        <v>0</v>
      </c>
      <c r="DS567" s="36">
        <v>1.27</v>
      </c>
      <c r="DT567" s="34">
        <v>56</v>
      </c>
      <c r="DU567" s="36">
        <v>1.27</v>
      </c>
      <c r="DV567" s="34">
        <v>61</v>
      </c>
      <c r="DW567" s="36" t="s">
        <v>151</v>
      </c>
      <c r="DX567" s="34" t="s">
        <v>151</v>
      </c>
      <c r="DY567" s="31" t="s">
        <v>151</v>
      </c>
      <c r="DZ567" s="35" t="s">
        <v>151</v>
      </c>
      <c r="EA567" s="35" t="s">
        <v>151</v>
      </c>
      <c r="EB567" s="34">
        <v>262</v>
      </c>
      <c r="EC567" s="33">
        <v>-55</v>
      </c>
      <c r="ED567" s="32">
        <v>-17.35</v>
      </c>
      <c r="EE567" s="34" t="s">
        <v>151</v>
      </c>
      <c r="EF567" s="33" t="s">
        <v>151</v>
      </c>
      <c r="EG567" s="32" t="s">
        <v>151</v>
      </c>
      <c r="EH567" s="29" t="s">
        <v>198</v>
      </c>
      <c r="EI567" s="30" t="s">
        <v>151</v>
      </c>
      <c r="EJ567" s="30" t="s">
        <v>151</v>
      </c>
      <c r="EK567" s="31" t="s">
        <v>151</v>
      </c>
      <c r="EL567" s="31" t="s">
        <v>151</v>
      </c>
      <c r="EM567" s="31" t="s">
        <v>151</v>
      </c>
      <c r="EN567" s="31" t="s">
        <v>151</v>
      </c>
      <c r="EO567" s="31" t="s">
        <v>151</v>
      </c>
      <c r="EP567" s="30" t="s">
        <v>151</v>
      </c>
      <c r="EQ567" s="29" t="s">
        <v>151</v>
      </c>
      <c r="ER567" s="29" t="s">
        <v>151</v>
      </c>
      <c r="ES567" s="4">
        <f>HYPERLINK("https://my.pitchbook.com?c=268394-14","View Company Online")</f>
      </c>
    </row>
    <row r="568">
      <c r="A568" s="17" t="s">
        <v>11812</v>
      </c>
      <c r="B568" s="17" t="s">
        <v>11813</v>
      </c>
      <c r="C568" s="18" t="s">
        <v>151</v>
      </c>
      <c r="D568" s="17" t="s">
        <v>11814</v>
      </c>
      <c r="E568" s="17" t="s">
        <v>11815</v>
      </c>
      <c r="F568" s="17" t="s">
        <v>11816</v>
      </c>
      <c r="G568" s="17" t="s">
        <v>151</v>
      </c>
      <c r="H568" s="17" t="s">
        <v>151</v>
      </c>
      <c r="I568" s="17" t="s">
        <v>151</v>
      </c>
      <c r="J568" s="17" t="s">
        <v>11812</v>
      </c>
      <c r="K568" s="17" t="s">
        <v>11817</v>
      </c>
      <c r="L568" s="17" t="s">
        <v>205</v>
      </c>
      <c r="M568" s="17" t="s">
        <v>206</v>
      </c>
      <c r="N568" s="17" t="s">
        <v>269</v>
      </c>
      <c r="O568" s="17" t="s">
        <v>563</v>
      </c>
      <c r="P568" s="17" t="s">
        <v>11818</v>
      </c>
      <c r="Q568" s="17" t="s">
        <v>11819</v>
      </c>
      <c r="R568" s="17" t="s">
        <v>151</v>
      </c>
      <c r="S568" s="17" t="s">
        <v>162</v>
      </c>
      <c r="T568" s="24">
        <v>0.63</v>
      </c>
      <c r="U568" s="17" t="s">
        <v>163</v>
      </c>
      <c r="V568" s="17" t="s">
        <v>164</v>
      </c>
      <c r="W568" s="17" t="s">
        <v>165</v>
      </c>
      <c r="X568" s="15" t="s">
        <v>11820</v>
      </c>
      <c r="Y568" s="15" t="s">
        <v>11821</v>
      </c>
      <c r="Z568" s="27">
        <v>5</v>
      </c>
      <c r="AA568" s="17" t="s">
        <v>11822</v>
      </c>
      <c r="AB568" s="17" t="s">
        <v>151</v>
      </c>
      <c r="AC568" s="17" t="s">
        <v>151</v>
      </c>
      <c r="AD568" s="26">
        <v>2023</v>
      </c>
      <c r="AE568" s="17" t="s">
        <v>151</v>
      </c>
      <c r="AF568" s="22">
        <v>45481</v>
      </c>
      <c r="AG568" s="17" t="s">
        <v>151</v>
      </c>
      <c r="AH568" s="17" t="s">
        <v>151</v>
      </c>
      <c r="AI568" s="25" t="s">
        <v>151</v>
      </c>
      <c r="AJ568" s="19" t="s">
        <v>151</v>
      </c>
      <c r="AK568" s="25" t="s">
        <v>151</v>
      </c>
      <c r="AL568" s="25" t="s">
        <v>151</v>
      </c>
      <c r="AM568" s="25" t="s">
        <v>151</v>
      </c>
      <c r="AN568" s="25" t="s">
        <v>151</v>
      </c>
      <c r="AO568" s="25" t="s">
        <v>151</v>
      </c>
      <c r="AP568" s="25" t="s">
        <v>151</v>
      </c>
      <c r="AQ568" s="25" t="s">
        <v>151</v>
      </c>
      <c r="AR568" s="16" t="s">
        <v>151</v>
      </c>
      <c r="AS568" s="17" t="s">
        <v>11823</v>
      </c>
      <c r="AT568" s="17" t="s">
        <v>11824</v>
      </c>
      <c r="AU568" s="18">
        <v>1</v>
      </c>
      <c r="AV568" s="17" t="s">
        <v>151</v>
      </c>
      <c r="AW568" s="17" t="s">
        <v>151</v>
      </c>
      <c r="AX568" s="17" t="s">
        <v>151</v>
      </c>
      <c r="AY568" s="17" t="s">
        <v>11825</v>
      </c>
      <c r="AZ568" s="17" t="s">
        <v>151</v>
      </c>
      <c r="BA568" s="17" t="s">
        <v>151</v>
      </c>
      <c r="BB568" s="17" t="s">
        <v>151</v>
      </c>
      <c r="BC568" s="17" t="s">
        <v>151</v>
      </c>
      <c r="BD568" s="17" t="s">
        <v>11826</v>
      </c>
      <c r="BE568" s="17" t="s">
        <v>11827</v>
      </c>
      <c r="BF568" s="17" t="s">
        <v>221</v>
      </c>
      <c r="BG568" s="17" t="s">
        <v>11828</v>
      </c>
      <c r="BH568" s="17" t="s">
        <v>151</v>
      </c>
      <c r="BI568" s="17" t="s">
        <v>906</v>
      </c>
      <c r="BJ568" s="17" t="s">
        <v>11829</v>
      </c>
      <c r="BK568" s="17" t="s">
        <v>151</v>
      </c>
      <c r="BL568" s="17" t="s">
        <v>259</v>
      </c>
      <c r="BM568" s="17" t="s">
        <v>259</v>
      </c>
      <c r="BN568" s="16" t="s">
        <v>4180</v>
      </c>
      <c r="BO568" s="17" t="s">
        <v>186</v>
      </c>
      <c r="BP568" s="16" t="s">
        <v>151</v>
      </c>
      <c r="BQ568" s="16" t="s">
        <v>151</v>
      </c>
      <c r="BR568" s="17" t="s">
        <v>11830</v>
      </c>
      <c r="BS568" s="17" t="s">
        <v>187</v>
      </c>
      <c r="BT568" s="17" t="s">
        <v>188</v>
      </c>
      <c r="BU568" s="22">
        <v>45108</v>
      </c>
      <c r="BV568" s="24">
        <v>0.63</v>
      </c>
      <c r="BW568" s="17" t="s">
        <v>192</v>
      </c>
      <c r="BX568" s="24" t="s">
        <v>151</v>
      </c>
      <c r="BY568" s="17" t="s">
        <v>151</v>
      </c>
      <c r="BZ568" s="17" t="s">
        <v>231</v>
      </c>
      <c r="CA568" s="17" t="s">
        <v>151</v>
      </c>
      <c r="CB568" s="17" t="s">
        <v>151</v>
      </c>
      <c r="CC568" s="17" t="s">
        <v>165</v>
      </c>
      <c r="CD568" s="17" t="s">
        <v>151</v>
      </c>
      <c r="CE568" s="17" t="s">
        <v>191</v>
      </c>
      <c r="CF568" s="22">
        <v>45108</v>
      </c>
      <c r="CG568" s="24">
        <v>0.63</v>
      </c>
      <c r="CH568" s="17" t="s">
        <v>192</v>
      </c>
      <c r="CI568" s="24" t="s">
        <v>151</v>
      </c>
      <c r="CJ568" s="17" t="s">
        <v>151</v>
      </c>
      <c r="CK568" s="16" t="s">
        <v>151</v>
      </c>
      <c r="CL568" s="17" t="s">
        <v>231</v>
      </c>
      <c r="CM568" s="17" t="s">
        <v>151</v>
      </c>
      <c r="CN568" s="17" t="s">
        <v>151</v>
      </c>
      <c r="CO568" s="17" t="s">
        <v>165</v>
      </c>
      <c r="CP568" s="22">
        <v>45108</v>
      </c>
      <c r="CQ568" s="24" t="s">
        <v>151</v>
      </c>
      <c r="CR568" s="17" t="s">
        <v>151</v>
      </c>
      <c r="CS568" s="17" t="s">
        <v>191</v>
      </c>
      <c r="CT568" s="16" t="s">
        <v>151</v>
      </c>
      <c r="CU568" s="17" t="s">
        <v>151</v>
      </c>
      <c r="CV568" s="19" t="s">
        <v>151</v>
      </c>
      <c r="CW568" s="19" t="s">
        <v>151</v>
      </c>
      <c r="CX568" s="17" t="s">
        <v>151</v>
      </c>
      <c r="CY568" s="19" t="s">
        <v>151</v>
      </c>
      <c r="CZ568" s="19" t="s">
        <v>151</v>
      </c>
      <c r="DA568" s="24" t="s">
        <v>151</v>
      </c>
      <c r="DB568" s="22" t="s">
        <v>151</v>
      </c>
      <c r="DC568" s="17" t="s">
        <v>151</v>
      </c>
      <c r="DD568" s="16" t="s">
        <v>151</v>
      </c>
      <c r="DE568" s="19">
        <v>3.13</v>
      </c>
      <c r="DF568" s="21">
        <v>99</v>
      </c>
      <c r="DG568" s="19">
        <v>0</v>
      </c>
      <c r="DH568" s="19">
        <v>0</v>
      </c>
      <c r="DI568" s="19" t="s">
        <v>151</v>
      </c>
      <c r="DJ568" s="21" t="s">
        <v>151</v>
      </c>
      <c r="DK568" s="19" t="s">
        <v>151</v>
      </c>
      <c r="DL568" s="21" t="s">
        <v>151</v>
      </c>
      <c r="DM568" s="19" t="s">
        <v>151</v>
      </c>
      <c r="DN568" s="21" t="s">
        <v>151</v>
      </c>
      <c r="DO568" s="23">
        <v>0.38</v>
      </c>
      <c r="DP568" s="21">
        <v>27</v>
      </c>
      <c r="DQ568" s="23">
        <v>0</v>
      </c>
      <c r="DR568" s="19">
        <v>0</v>
      </c>
      <c r="DS568" s="23" t="s">
        <v>151</v>
      </c>
      <c r="DT568" s="21" t="s">
        <v>151</v>
      </c>
      <c r="DU568" s="23" t="s">
        <v>151</v>
      </c>
      <c r="DV568" s="21" t="s">
        <v>151</v>
      </c>
      <c r="DW568" s="23" t="s">
        <v>151</v>
      </c>
      <c r="DX568" s="21" t="s">
        <v>151</v>
      </c>
      <c r="DY568" s="18" t="s">
        <v>151</v>
      </c>
      <c r="DZ568" s="22" t="s">
        <v>151</v>
      </c>
      <c r="EA568" s="22" t="s">
        <v>151</v>
      </c>
      <c r="EB568" s="21">
        <v>0</v>
      </c>
      <c r="EC568" s="20">
        <v>0</v>
      </c>
      <c r="ED568" s="19">
        <v>0</v>
      </c>
      <c r="EE568" s="21" t="s">
        <v>151</v>
      </c>
      <c r="EF568" s="20" t="s">
        <v>151</v>
      </c>
      <c r="EG568" s="19" t="s">
        <v>151</v>
      </c>
      <c r="EH568" s="16" t="s">
        <v>198</v>
      </c>
      <c r="EI568" s="17" t="s">
        <v>151</v>
      </c>
      <c r="EJ568" s="17" t="s">
        <v>151</v>
      </c>
      <c r="EK568" s="18" t="s">
        <v>151</v>
      </c>
      <c r="EL568" s="18" t="s">
        <v>151</v>
      </c>
      <c r="EM568" s="18" t="s">
        <v>151</v>
      </c>
      <c r="EN568" s="18" t="s">
        <v>151</v>
      </c>
      <c r="EO568" s="18" t="s">
        <v>151</v>
      </c>
      <c r="EP568" s="17" t="s">
        <v>151</v>
      </c>
      <c r="EQ568" s="16" t="s">
        <v>151</v>
      </c>
      <c r="ER568" s="16" t="s">
        <v>151</v>
      </c>
      <c r="ES568" s="3">
        <f>HYPERLINK("https://my.pitchbook.com?c=532497-88","View Company Online")</f>
      </c>
    </row>
    <row r="569">
      <c r="A569" s="30" t="s">
        <v>11831</v>
      </c>
      <c r="B569" s="30" t="s">
        <v>11832</v>
      </c>
      <c r="C569" s="31" t="s">
        <v>151</v>
      </c>
      <c r="D569" s="30" t="s">
        <v>151</v>
      </c>
      <c r="E569" s="30" t="s">
        <v>151</v>
      </c>
      <c r="F569" s="30" t="s">
        <v>11833</v>
      </c>
      <c r="G569" s="30" t="s">
        <v>151</v>
      </c>
      <c r="H569" s="30" t="s">
        <v>151</v>
      </c>
      <c r="I569" s="30" t="s">
        <v>151</v>
      </c>
      <c r="J569" s="30" t="s">
        <v>11831</v>
      </c>
      <c r="K569" s="30" t="s">
        <v>11834</v>
      </c>
      <c r="L569" s="30" t="s">
        <v>616</v>
      </c>
      <c r="M569" s="30" t="s">
        <v>834</v>
      </c>
      <c r="N569" s="30" t="s">
        <v>835</v>
      </c>
      <c r="O569" s="30" t="s">
        <v>11835</v>
      </c>
      <c r="P569" s="30" t="s">
        <v>151</v>
      </c>
      <c r="Q569" s="30" t="s">
        <v>11836</v>
      </c>
      <c r="R569" s="30" t="s">
        <v>151</v>
      </c>
      <c r="S569" s="30" t="s">
        <v>162</v>
      </c>
      <c r="T569" s="37">
        <v>1.75</v>
      </c>
      <c r="U569" s="30" t="s">
        <v>1727</v>
      </c>
      <c r="V569" s="30" t="s">
        <v>164</v>
      </c>
      <c r="W569" s="30" t="s">
        <v>165</v>
      </c>
      <c r="X569" s="28" t="s">
        <v>11837</v>
      </c>
      <c r="Y569" s="28" t="s">
        <v>151</v>
      </c>
      <c r="Z569" s="40">
        <v>25</v>
      </c>
      <c r="AA569" s="30" t="s">
        <v>11838</v>
      </c>
      <c r="AB569" s="30" t="s">
        <v>151</v>
      </c>
      <c r="AC569" s="30" t="s">
        <v>151</v>
      </c>
      <c r="AD569" s="39">
        <v>2022</v>
      </c>
      <c r="AE569" s="30" t="s">
        <v>151</v>
      </c>
      <c r="AF569" s="35">
        <v>45464</v>
      </c>
      <c r="AG569" s="30" t="s">
        <v>151</v>
      </c>
      <c r="AH569" s="30" t="s">
        <v>151</v>
      </c>
      <c r="AI569" s="38" t="s">
        <v>151</v>
      </c>
      <c r="AJ569" s="32" t="s">
        <v>151</v>
      </c>
      <c r="AK569" s="38" t="s">
        <v>151</v>
      </c>
      <c r="AL569" s="38" t="s">
        <v>151</v>
      </c>
      <c r="AM569" s="38" t="s">
        <v>151</v>
      </c>
      <c r="AN569" s="38" t="s">
        <v>151</v>
      </c>
      <c r="AO569" s="38" t="s">
        <v>151</v>
      </c>
      <c r="AP569" s="38" t="s">
        <v>151</v>
      </c>
      <c r="AQ569" s="38" t="s">
        <v>151</v>
      </c>
      <c r="AR569" s="29" t="s">
        <v>151</v>
      </c>
      <c r="AS569" s="30" t="s">
        <v>11839</v>
      </c>
      <c r="AT569" s="30" t="s">
        <v>11840</v>
      </c>
      <c r="AU569" s="31">
        <v>1</v>
      </c>
      <c r="AV569" s="30" t="s">
        <v>151</v>
      </c>
      <c r="AW569" s="30" t="s">
        <v>151</v>
      </c>
      <c r="AX569" s="30" t="s">
        <v>151</v>
      </c>
      <c r="AY569" s="30" t="s">
        <v>11841</v>
      </c>
      <c r="AZ569" s="30" t="s">
        <v>151</v>
      </c>
      <c r="BA569" s="30" t="s">
        <v>151</v>
      </c>
      <c r="BB569" s="30" t="s">
        <v>11842</v>
      </c>
      <c r="BC569" s="30" t="s">
        <v>151</v>
      </c>
      <c r="BD569" s="30" t="s">
        <v>11843</v>
      </c>
      <c r="BE569" s="30" t="s">
        <v>11844</v>
      </c>
      <c r="BF569" s="30" t="s">
        <v>11845</v>
      </c>
      <c r="BG569" s="30" t="s">
        <v>11846</v>
      </c>
      <c r="BH569" s="30" t="s">
        <v>11847</v>
      </c>
      <c r="BI569" s="30" t="s">
        <v>349</v>
      </c>
      <c r="BJ569" s="30" t="s">
        <v>11848</v>
      </c>
      <c r="BK569" s="30" t="s">
        <v>11849</v>
      </c>
      <c r="BL569" s="30" t="s">
        <v>352</v>
      </c>
      <c r="BM569" s="30" t="s">
        <v>353</v>
      </c>
      <c r="BN569" s="29" t="s">
        <v>11850</v>
      </c>
      <c r="BO569" s="30" t="s">
        <v>186</v>
      </c>
      <c r="BP569" s="29" t="s">
        <v>11847</v>
      </c>
      <c r="BQ569" s="29" t="s">
        <v>151</v>
      </c>
      <c r="BR569" s="30" t="s">
        <v>11851</v>
      </c>
      <c r="BS569" s="30" t="s">
        <v>187</v>
      </c>
      <c r="BT569" s="30" t="s">
        <v>188</v>
      </c>
      <c r="BU569" s="35">
        <v>44774</v>
      </c>
      <c r="BV569" s="37">
        <v>1.75</v>
      </c>
      <c r="BW569" s="30" t="s">
        <v>192</v>
      </c>
      <c r="BX569" s="37">
        <v>36.75</v>
      </c>
      <c r="BY569" s="30" t="s">
        <v>192</v>
      </c>
      <c r="BZ569" s="30" t="s">
        <v>231</v>
      </c>
      <c r="CA569" s="30" t="s">
        <v>151</v>
      </c>
      <c r="CB569" s="30" t="s">
        <v>151</v>
      </c>
      <c r="CC569" s="30" t="s">
        <v>165</v>
      </c>
      <c r="CD569" s="30" t="s">
        <v>151</v>
      </c>
      <c r="CE569" s="30" t="s">
        <v>191</v>
      </c>
      <c r="CF569" s="35">
        <v>44774</v>
      </c>
      <c r="CG569" s="37">
        <v>1.75</v>
      </c>
      <c r="CH569" s="30" t="s">
        <v>192</v>
      </c>
      <c r="CI569" s="37">
        <v>36.75</v>
      </c>
      <c r="CJ569" s="30" t="s">
        <v>192</v>
      </c>
      <c r="CK569" s="29" t="s">
        <v>151</v>
      </c>
      <c r="CL569" s="30" t="s">
        <v>231</v>
      </c>
      <c r="CM569" s="30" t="s">
        <v>151</v>
      </c>
      <c r="CN569" s="30" t="s">
        <v>151</v>
      </c>
      <c r="CO569" s="30" t="s">
        <v>165</v>
      </c>
      <c r="CP569" s="35">
        <v>44774</v>
      </c>
      <c r="CQ569" s="37" t="s">
        <v>151</v>
      </c>
      <c r="CR569" s="30" t="s">
        <v>151</v>
      </c>
      <c r="CS569" s="30" t="s">
        <v>191</v>
      </c>
      <c r="CT569" s="29" t="s">
        <v>151</v>
      </c>
      <c r="CU569" s="30" t="s">
        <v>151</v>
      </c>
      <c r="CV569" s="32" t="s">
        <v>151</v>
      </c>
      <c r="CW569" s="32" t="s">
        <v>151</v>
      </c>
      <c r="CX569" s="30" t="s">
        <v>151</v>
      </c>
      <c r="CY569" s="32" t="s">
        <v>151</v>
      </c>
      <c r="CZ569" s="32" t="s">
        <v>151</v>
      </c>
      <c r="DA569" s="37">
        <v>36.75</v>
      </c>
      <c r="DB569" s="35">
        <v>44774</v>
      </c>
      <c r="DC569" s="30" t="s">
        <v>231</v>
      </c>
      <c r="DD569" s="29" t="s">
        <v>151</v>
      </c>
      <c r="DE569" s="32">
        <v>0</v>
      </c>
      <c r="DF569" s="34">
        <v>11</v>
      </c>
      <c r="DG569" s="32">
        <v>0</v>
      </c>
      <c r="DH569" s="32">
        <v>0</v>
      </c>
      <c r="DI569" s="32">
        <v>0</v>
      </c>
      <c r="DJ569" s="34">
        <v>10</v>
      </c>
      <c r="DK569" s="32">
        <v>0</v>
      </c>
      <c r="DL569" s="34">
        <v>11</v>
      </c>
      <c r="DM569" s="32">
        <v>0</v>
      </c>
      <c r="DN569" s="34">
        <v>10</v>
      </c>
      <c r="DO569" s="36">
        <v>2.2</v>
      </c>
      <c r="DP569" s="34">
        <v>68</v>
      </c>
      <c r="DQ569" s="36">
        <v>0</v>
      </c>
      <c r="DR569" s="32">
        <v>0</v>
      </c>
      <c r="DS569" s="36">
        <v>2.2</v>
      </c>
      <c r="DT569" s="34">
        <v>68</v>
      </c>
      <c r="DU569" s="36">
        <v>0.03</v>
      </c>
      <c r="DV569" s="34">
        <v>15</v>
      </c>
      <c r="DW569" s="36">
        <v>4.37</v>
      </c>
      <c r="DX569" s="34">
        <v>80</v>
      </c>
      <c r="DY569" s="31" t="s">
        <v>151</v>
      </c>
      <c r="DZ569" s="35" t="s">
        <v>151</v>
      </c>
      <c r="EA569" s="35" t="s">
        <v>151</v>
      </c>
      <c r="EB569" s="34">
        <v>0</v>
      </c>
      <c r="EC569" s="33">
        <v>0</v>
      </c>
      <c r="ED569" s="32">
        <v>0</v>
      </c>
      <c r="EE569" s="34">
        <v>83</v>
      </c>
      <c r="EF569" s="33">
        <v>-1</v>
      </c>
      <c r="EG569" s="32">
        <v>-1.19</v>
      </c>
      <c r="EH569" s="29" t="s">
        <v>198</v>
      </c>
      <c r="EI569" s="30" t="s">
        <v>151</v>
      </c>
      <c r="EJ569" s="30" t="s">
        <v>151</v>
      </c>
      <c r="EK569" s="31" t="s">
        <v>151</v>
      </c>
      <c r="EL569" s="31" t="s">
        <v>151</v>
      </c>
      <c r="EM569" s="31" t="s">
        <v>151</v>
      </c>
      <c r="EN569" s="31" t="s">
        <v>151</v>
      </c>
      <c r="EO569" s="31" t="s">
        <v>151</v>
      </c>
      <c r="EP569" s="30" t="s">
        <v>151</v>
      </c>
      <c r="EQ569" s="29" t="s">
        <v>151</v>
      </c>
      <c r="ER569" s="29" t="s">
        <v>151</v>
      </c>
      <c r="ES569" s="4">
        <f>HYPERLINK("https://my.pitchbook.com?c=509354-83","View Company Online")</f>
      </c>
    </row>
    <row r="570">
      <c r="A570" s="17" t="s">
        <v>11852</v>
      </c>
      <c r="B570" s="17" t="s">
        <v>11853</v>
      </c>
      <c r="C570" s="18" t="s">
        <v>151</v>
      </c>
      <c r="D570" s="17" t="s">
        <v>151</v>
      </c>
      <c r="E570" s="17" t="s">
        <v>151</v>
      </c>
      <c r="F570" s="17" t="s">
        <v>11854</v>
      </c>
      <c r="G570" s="17" t="s">
        <v>151</v>
      </c>
      <c r="H570" s="17" t="s">
        <v>151</v>
      </c>
      <c r="I570" s="17" t="s">
        <v>151</v>
      </c>
      <c r="J570" s="17" t="s">
        <v>11852</v>
      </c>
      <c r="K570" s="17" t="s">
        <v>11855</v>
      </c>
      <c r="L570" s="17" t="s">
        <v>1178</v>
      </c>
      <c r="M570" s="17" t="s">
        <v>1179</v>
      </c>
      <c r="N570" s="17" t="s">
        <v>1179</v>
      </c>
      <c r="O570" s="17" t="s">
        <v>1180</v>
      </c>
      <c r="P570" s="17" t="s">
        <v>209</v>
      </c>
      <c r="Q570" s="17" t="s">
        <v>11856</v>
      </c>
      <c r="R570" s="17" t="s">
        <v>11857</v>
      </c>
      <c r="S570" s="17" t="s">
        <v>162</v>
      </c>
      <c r="T570" s="24">
        <v>20.58</v>
      </c>
      <c r="U570" s="17" t="s">
        <v>163</v>
      </c>
      <c r="V570" s="17" t="s">
        <v>164</v>
      </c>
      <c r="W570" s="17" t="s">
        <v>165</v>
      </c>
      <c r="X570" s="15" t="s">
        <v>11858</v>
      </c>
      <c r="Y570" s="15" t="s">
        <v>11859</v>
      </c>
      <c r="Z570" s="27">
        <v>24</v>
      </c>
      <c r="AA570" s="17" t="s">
        <v>11860</v>
      </c>
      <c r="AB570" s="17" t="s">
        <v>151</v>
      </c>
      <c r="AC570" s="17" t="s">
        <v>151</v>
      </c>
      <c r="AD570" s="26">
        <v>2021</v>
      </c>
      <c r="AE570" s="17" t="s">
        <v>151</v>
      </c>
      <c r="AF570" s="22">
        <v>45565</v>
      </c>
      <c r="AG570" s="17" t="s">
        <v>151</v>
      </c>
      <c r="AH570" s="17" t="s">
        <v>151</v>
      </c>
      <c r="AI570" s="25" t="s">
        <v>151</v>
      </c>
      <c r="AJ570" s="19" t="s">
        <v>151</v>
      </c>
      <c r="AK570" s="25" t="s">
        <v>151</v>
      </c>
      <c r="AL570" s="25" t="s">
        <v>151</v>
      </c>
      <c r="AM570" s="25" t="s">
        <v>151</v>
      </c>
      <c r="AN570" s="25" t="s">
        <v>151</v>
      </c>
      <c r="AO570" s="25" t="s">
        <v>151</v>
      </c>
      <c r="AP570" s="25" t="s">
        <v>151</v>
      </c>
      <c r="AQ570" s="25" t="s">
        <v>151</v>
      </c>
      <c r="AR570" s="16" t="s">
        <v>151</v>
      </c>
      <c r="AS570" s="17" t="s">
        <v>11861</v>
      </c>
      <c r="AT570" s="17" t="s">
        <v>11862</v>
      </c>
      <c r="AU570" s="18">
        <v>33</v>
      </c>
      <c r="AV570" s="17" t="s">
        <v>151</v>
      </c>
      <c r="AW570" s="17" t="s">
        <v>151</v>
      </c>
      <c r="AX570" s="17" t="s">
        <v>151</v>
      </c>
      <c r="AY570" s="17" t="s">
        <v>11863</v>
      </c>
      <c r="AZ570" s="17" t="s">
        <v>151</v>
      </c>
      <c r="BA570" s="17" t="s">
        <v>151</v>
      </c>
      <c r="BB570" s="17" t="s">
        <v>151</v>
      </c>
      <c r="BC570" s="17" t="s">
        <v>601</v>
      </c>
      <c r="BD570" s="17" t="s">
        <v>11864</v>
      </c>
      <c r="BE570" s="17" t="s">
        <v>11865</v>
      </c>
      <c r="BF570" s="17" t="s">
        <v>11866</v>
      </c>
      <c r="BG570" s="17" t="s">
        <v>11867</v>
      </c>
      <c r="BH570" s="17" t="s">
        <v>11868</v>
      </c>
      <c r="BI570" s="17" t="s">
        <v>11869</v>
      </c>
      <c r="BJ570" s="17" t="s">
        <v>11870</v>
      </c>
      <c r="BK570" s="17" t="s">
        <v>151</v>
      </c>
      <c r="BL570" s="17" t="s">
        <v>11871</v>
      </c>
      <c r="BM570" s="17" t="s">
        <v>3093</v>
      </c>
      <c r="BN570" s="16" t="s">
        <v>11872</v>
      </c>
      <c r="BO570" s="17" t="s">
        <v>186</v>
      </c>
      <c r="BP570" s="16" t="s">
        <v>11868</v>
      </c>
      <c r="BQ570" s="16" t="s">
        <v>151</v>
      </c>
      <c r="BR570" s="17" t="s">
        <v>11873</v>
      </c>
      <c r="BS570" s="17" t="s">
        <v>187</v>
      </c>
      <c r="BT570" s="17" t="s">
        <v>188</v>
      </c>
      <c r="BU570" s="22">
        <v>45555</v>
      </c>
      <c r="BV570" s="24">
        <v>20.58</v>
      </c>
      <c r="BW570" s="17" t="s">
        <v>192</v>
      </c>
      <c r="BX570" s="24">
        <v>82.09</v>
      </c>
      <c r="BY570" s="17" t="s">
        <v>192</v>
      </c>
      <c r="BZ570" s="17" t="s">
        <v>231</v>
      </c>
      <c r="CA570" s="17" t="s">
        <v>232</v>
      </c>
      <c r="CB570" s="17" t="s">
        <v>151</v>
      </c>
      <c r="CC570" s="17" t="s">
        <v>165</v>
      </c>
      <c r="CD570" s="17" t="s">
        <v>151</v>
      </c>
      <c r="CE570" s="17" t="s">
        <v>191</v>
      </c>
      <c r="CF570" s="22">
        <v>45555</v>
      </c>
      <c r="CG570" s="24">
        <v>20.58</v>
      </c>
      <c r="CH570" s="17" t="s">
        <v>192</v>
      </c>
      <c r="CI570" s="24">
        <v>82.09</v>
      </c>
      <c r="CJ570" s="17" t="s">
        <v>192</v>
      </c>
      <c r="CK570" s="16" t="s">
        <v>151</v>
      </c>
      <c r="CL570" s="17" t="s">
        <v>231</v>
      </c>
      <c r="CM570" s="17" t="s">
        <v>232</v>
      </c>
      <c r="CN570" s="17" t="s">
        <v>151</v>
      </c>
      <c r="CO570" s="17" t="s">
        <v>165</v>
      </c>
      <c r="CP570" s="22">
        <v>45555</v>
      </c>
      <c r="CQ570" s="24" t="s">
        <v>151</v>
      </c>
      <c r="CR570" s="17" t="s">
        <v>151</v>
      </c>
      <c r="CS570" s="17" t="s">
        <v>191</v>
      </c>
      <c r="CT570" s="16" t="s">
        <v>151</v>
      </c>
      <c r="CU570" s="17" t="s">
        <v>151</v>
      </c>
      <c r="CV570" s="19" t="s">
        <v>151</v>
      </c>
      <c r="CW570" s="19" t="s">
        <v>151</v>
      </c>
      <c r="CX570" s="17" t="s">
        <v>151</v>
      </c>
      <c r="CY570" s="19" t="s">
        <v>151</v>
      </c>
      <c r="CZ570" s="19" t="s">
        <v>151</v>
      </c>
      <c r="DA570" s="24">
        <v>82.09</v>
      </c>
      <c r="DB570" s="22">
        <v>45555</v>
      </c>
      <c r="DC570" s="17" t="s">
        <v>231</v>
      </c>
      <c r="DD570" s="16" t="s">
        <v>151</v>
      </c>
      <c r="DE570" s="19">
        <v>1.11</v>
      </c>
      <c r="DF570" s="21">
        <v>96</v>
      </c>
      <c r="DG570" s="19">
        <v>0</v>
      </c>
      <c r="DH570" s="19">
        <v>0</v>
      </c>
      <c r="DI570" s="19" t="s">
        <v>151</v>
      </c>
      <c r="DJ570" s="21" t="s">
        <v>151</v>
      </c>
      <c r="DK570" s="19" t="s">
        <v>151</v>
      </c>
      <c r="DL570" s="21" t="s">
        <v>151</v>
      </c>
      <c r="DM570" s="19" t="s">
        <v>151</v>
      </c>
      <c r="DN570" s="21" t="s">
        <v>151</v>
      </c>
      <c r="DO570" s="23">
        <v>1.85</v>
      </c>
      <c r="DP570" s="21">
        <v>65</v>
      </c>
      <c r="DQ570" s="23">
        <v>0</v>
      </c>
      <c r="DR570" s="19">
        <v>0</v>
      </c>
      <c r="DS570" s="23" t="s">
        <v>151</v>
      </c>
      <c r="DT570" s="21" t="s">
        <v>151</v>
      </c>
      <c r="DU570" s="23" t="s">
        <v>151</v>
      </c>
      <c r="DV570" s="21" t="s">
        <v>151</v>
      </c>
      <c r="DW570" s="23" t="s">
        <v>151</v>
      </c>
      <c r="DX570" s="21" t="s">
        <v>151</v>
      </c>
      <c r="DY570" s="18" t="s">
        <v>151</v>
      </c>
      <c r="DZ570" s="22" t="s">
        <v>151</v>
      </c>
      <c r="EA570" s="22" t="s">
        <v>151</v>
      </c>
      <c r="EB570" s="21">
        <v>341069</v>
      </c>
      <c r="EC570" s="20">
        <v>-20840</v>
      </c>
      <c r="ED570" s="19">
        <v>-5.76</v>
      </c>
      <c r="EE570" s="21" t="s">
        <v>151</v>
      </c>
      <c r="EF570" s="20" t="s">
        <v>151</v>
      </c>
      <c r="EG570" s="19" t="s">
        <v>151</v>
      </c>
      <c r="EH570" s="16" t="s">
        <v>198</v>
      </c>
      <c r="EI570" s="17" t="s">
        <v>151</v>
      </c>
      <c r="EJ570" s="17" t="s">
        <v>151</v>
      </c>
      <c r="EK570" s="18" t="s">
        <v>151</v>
      </c>
      <c r="EL570" s="18" t="s">
        <v>151</v>
      </c>
      <c r="EM570" s="18" t="s">
        <v>151</v>
      </c>
      <c r="EN570" s="18" t="s">
        <v>151</v>
      </c>
      <c r="EO570" s="18" t="s">
        <v>151</v>
      </c>
      <c r="EP570" s="17" t="s">
        <v>151</v>
      </c>
      <c r="EQ570" s="16" t="s">
        <v>151</v>
      </c>
      <c r="ER570" s="16" t="s">
        <v>151</v>
      </c>
      <c r="ES570" s="3">
        <f>HYPERLINK("https://my.pitchbook.com?c=481952-53","View Company Online")</f>
      </c>
    </row>
    <row r="571">
      <c r="A571" s="30" t="s">
        <v>11874</v>
      </c>
      <c r="B571" s="30" t="s">
        <v>11875</v>
      </c>
      <c r="C571" s="31" t="s">
        <v>151</v>
      </c>
      <c r="D571" s="30" t="s">
        <v>151</v>
      </c>
      <c r="E571" s="30" t="s">
        <v>151</v>
      </c>
      <c r="F571" s="30" t="s">
        <v>11876</v>
      </c>
      <c r="G571" s="30" t="s">
        <v>151</v>
      </c>
      <c r="H571" s="30" t="s">
        <v>151</v>
      </c>
      <c r="I571" s="30" t="s">
        <v>11877</v>
      </c>
      <c r="J571" s="30" t="s">
        <v>11874</v>
      </c>
      <c r="K571" s="30" t="s">
        <v>11878</v>
      </c>
      <c r="L571" s="30" t="s">
        <v>205</v>
      </c>
      <c r="M571" s="30" t="s">
        <v>206</v>
      </c>
      <c r="N571" s="30" t="s">
        <v>1940</v>
      </c>
      <c r="O571" s="30" t="s">
        <v>5396</v>
      </c>
      <c r="P571" s="30" t="s">
        <v>4922</v>
      </c>
      <c r="Q571" s="30" t="s">
        <v>11879</v>
      </c>
      <c r="R571" s="30" t="s">
        <v>151</v>
      </c>
      <c r="S571" s="30" t="s">
        <v>162</v>
      </c>
      <c r="T571" s="37">
        <v>1.25</v>
      </c>
      <c r="U571" s="30" t="s">
        <v>163</v>
      </c>
      <c r="V571" s="30" t="s">
        <v>164</v>
      </c>
      <c r="W571" s="30" t="s">
        <v>165</v>
      </c>
      <c r="X571" s="28" t="s">
        <v>11880</v>
      </c>
      <c r="Y571" s="28" t="s">
        <v>11881</v>
      </c>
      <c r="Z571" s="40">
        <v>18</v>
      </c>
      <c r="AA571" s="30" t="s">
        <v>11882</v>
      </c>
      <c r="AB571" s="30" t="s">
        <v>151</v>
      </c>
      <c r="AC571" s="30" t="s">
        <v>151</v>
      </c>
      <c r="AD571" s="39">
        <v>2020</v>
      </c>
      <c r="AE571" s="30" t="s">
        <v>151</v>
      </c>
      <c r="AF571" s="35">
        <v>45526</v>
      </c>
      <c r="AG571" s="30" t="s">
        <v>151</v>
      </c>
      <c r="AH571" s="30" t="s">
        <v>151</v>
      </c>
      <c r="AI571" s="38" t="s">
        <v>151</v>
      </c>
      <c r="AJ571" s="32" t="s">
        <v>151</v>
      </c>
      <c r="AK571" s="38" t="s">
        <v>151</v>
      </c>
      <c r="AL571" s="38" t="s">
        <v>151</v>
      </c>
      <c r="AM571" s="38" t="s">
        <v>151</v>
      </c>
      <c r="AN571" s="38" t="s">
        <v>151</v>
      </c>
      <c r="AO571" s="38" t="s">
        <v>151</v>
      </c>
      <c r="AP571" s="38" t="s">
        <v>151</v>
      </c>
      <c r="AQ571" s="38" t="s">
        <v>151</v>
      </c>
      <c r="AR571" s="29" t="s">
        <v>151</v>
      </c>
      <c r="AS571" s="30" t="s">
        <v>11883</v>
      </c>
      <c r="AT571" s="30" t="s">
        <v>11884</v>
      </c>
      <c r="AU571" s="31">
        <v>8</v>
      </c>
      <c r="AV571" s="30" t="s">
        <v>151</v>
      </c>
      <c r="AW571" s="30" t="s">
        <v>151</v>
      </c>
      <c r="AX571" s="30" t="s">
        <v>151</v>
      </c>
      <c r="AY571" s="30" t="s">
        <v>11885</v>
      </c>
      <c r="AZ571" s="30" t="s">
        <v>151</v>
      </c>
      <c r="BA571" s="30" t="s">
        <v>151</v>
      </c>
      <c r="BB571" s="30" t="s">
        <v>151</v>
      </c>
      <c r="BC571" s="30" t="s">
        <v>11886</v>
      </c>
      <c r="BD571" s="30" t="s">
        <v>11887</v>
      </c>
      <c r="BE571" s="30" t="s">
        <v>11888</v>
      </c>
      <c r="BF571" s="30" t="s">
        <v>11889</v>
      </c>
      <c r="BG571" s="30" t="s">
        <v>11890</v>
      </c>
      <c r="BH571" s="30" t="s">
        <v>11891</v>
      </c>
      <c r="BI571" s="30" t="s">
        <v>1666</v>
      </c>
      <c r="BJ571" s="30" t="s">
        <v>11892</v>
      </c>
      <c r="BK571" s="30" t="s">
        <v>151</v>
      </c>
      <c r="BL571" s="30" t="s">
        <v>1668</v>
      </c>
      <c r="BM571" s="30" t="s">
        <v>184</v>
      </c>
      <c r="BN571" s="29" t="s">
        <v>11294</v>
      </c>
      <c r="BO571" s="30" t="s">
        <v>186</v>
      </c>
      <c r="BP571" s="29" t="s">
        <v>11891</v>
      </c>
      <c r="BQ571" s="29" t="s">
        <v>151</v>
      </c>
      <c r="BR571" s="30" t="s">
        <v>11893</v>
      </c>
      <c r="BS571" s="30" t="s">
        <v>187</v>
      </c>
      <c r="BT571" s="30" t="s">
        <v>188</v>
      </c>
      <c r="BU571" s="35">
        <v>44539</v>
      </c>
      <c r="BV571" s="37">
        <v>1.25</v>
      </c>
      <c r="BW571" s="30" t="s">
        <v>192</v>
      </c>
      <c r="BX571" s="37" t="s">
        <v>151</v>
      </c>
      <c r="BY571" s="30" t="s">
        <v>151</v>
      </c>
      <c r="BZ571" s="30" t="s">
        <v>293</v>
      </c>
      <c r="CA571" s="30" t="s">
        <v>293</v>
      </c>
      <c r="CB571" s="30" t="s">
        <v>151</v>
      </c>
      <c r="CC571" s="30" t="s">
        <v>165</v>
      </c>
      <c r="CD571" s="30" t="s">
        <v>151</v>
      </c>
      <c r="CE571" s="30" t="s">
        <v>191</v>
      </c>
      <c r="CF571" s="35">
        <v>44665</v>
      </c>
      <c r="CG571" s="37" t="s">
        <v>151</v>
      </c>
      <c r="CH571" s="30" t="s">
        <v>151</v>
      </c>
      <c r="CI571" s="37" t="s">
        <v>151</v>
      </c>
      <c r="CJ571" s="30" t="s">
        <v>151</v>
      </c>
      <c r="CK571" s="29" t="s">
        <v>151</v>
      </c>
      <c r="CL571" s="30" t="s">
        <v>189</v>
      </c>
      <c r="CM571" s="30" t="s">
        <v>151</v>
      </c>
      <c r="CN571" s="30" t="s">
        <v>151</v>
      </c>
      <c r="CO571" s="30" t="s">
        <v>190</v>
      </c>
      <c r="CP571" s="35">
        <v>44665</v>
      </c>
      <c r="CQ571" s="37" t="s">
        <v>151</v>
      </c>
      <c r="CR571" s="30" t="s">
        <v>151</v>
      </c>
      <c r="CS571" s="30" t="s">
        <v>191</v>
      </c>
      <c r="CT571" s="29" t="s">
        <v>151</v>
      </c>
      <c r="CU571" s="30" t="s">
        <v>151</v>
      </c>
      <c r="CV571" s="32" t="s">
        <v>151</v>
      </c>
      <c r="CW571" s="32" t="s">
        <v>151</v>
      </c>
      <c r="CX571" s="30" t="s">
        <v>151</v>
      </c>
      <c r="CY571" s="32" t="s">
        <v>151</v>
      </c>
      <c r="CZ571" s="32" t="s">
        <v>151</v>
      </c>
      <c r="DA571" s="37" t="s">
        <v>151</v>
      </c>
      <c r="DB571" s="35" t="s">
        <v>151</v>
      </c>
      <c r="DC571" s="30" t="s">
        <v>151</v>
      </c>
      <c r="DD571" s="29" t="s">
        <v>151</v>
      </c>
      <c r="DE571" s="32">
        <v>0.02</v>
      </c>
      <c r="DF571" s="34">
        <v>90</v>
      </c>
      <c r="DG571" s="32">
        <v>0</v>
      </c>
      <c r="DH571" s="32">
        <v>0</v>
      </c>
      <c r="DI571" s="32">
        <v>0</v>
      </c>
      <c r="DJ571" s="34">
        <v>10</v>
      </c>
      <c r="DK571" s="32" t="s">
        <v>151</v>
      </c>
      <c r="DL571" s="34" t="s">
        <v>151</v>
      </c>
      <c r="DM571" s="32">
        <v>0</v>
      </c>
      <c r="DN571" s="34">
        <v>10</v>
      </c>
      <c r="DO571" s="36">
        <v>2.96</v>
      </c>
      <c r="DP571" s="34">
        <v>74</v>
      </c>
      <c r="DQ571" s="36">
        <v>0</v>
      </c>
      <c r="DR571" s="32">
        <v>0</v>
      </c>
      <c r="DS571" s="36">
        <v>4.53</v>
      </c>
      <c r="DT571" s="34">
        <v>81</v>
      </c>
      <c r="DU571" s="36" t="s">
        <v>151</v>
      </c>
      <c r="DV571" s="34" t="s">
        <v>151</v>
      </c>
      <c r="DW571" s="36">
        <v>4.53</v>
      </c>
      <c r="DX571" s="34">
        <v>80</v>
      </c>
      <c r="DY571" s="31" t="s">
        <v>151</v>
      </c>
      <c r="DZ571" s="35" t="s">
        <v>151</v>
      </c>
      <c r="EA571" s="35" t="s">
        <v>151</v>
      </c>
      <c r="EB571" s="34">
        <v>1361</v>
      </c>
      <c r="EC571" s="33">
        <v>-95</v>
      </c>
      <c r="ED571" s="32">
        <v>-6.52</v>
      </c>
      <c r="EE571" s="34">
        <v>86</v>
      </c>
      <c r="EF571" s="33">
        <v>0</v>
      </c>
      <c r="EG571" s="32">
        <v>0</v>
      </c>
      <c r="EH571" s="29" t="s">
        <v>198</v>
      </c>
      <c r="EI571" s="30" t="s">
        <v>151</v>
      </c>
      <c r="EJ571" s="30" t="s">
        <v>151</v>
      </c>
      <c r="EK571" s="31" t="s">
        <v>151</v>
      </c>
      <c r="EL571" s="31" t="s">
        <v>151</v>
      </c>
      <c r="EM571" s="31" t="s">
        <v>151</v>
      </c>
      <c r="EN571" s="31" t="s">
        <v>151</v>
      </c>
      <c r="EO571" s="31" t="s">
        <v>151</v>
      </c>
      <c r="EP571" s="30" t="s">
        <v>151</v>
      </c>
      <c r="EQ571" s="29" t="s">
        <v>151</v>
      </c>
      <c r="ER571" s="29" t="s">
        <v>151</v>
      </c>
      <c r="ES571" s="4">
        <f>HYPERLINK("https://my.pitchbook.com?c=470776-24","View Company Online")</f>
      </c>
    </row>
    <row r="572">
      <c r="A572" s="17" t="s">
        <v>11894</v>
      </c>
      <c r="B572" s="17" t="s">
        <v>11895</v>
      </c>
      <c r="C572" s="18" t="s">
        <v>151</v>
      </c>
      <c r="D572" s="17" t="s">
        <v>11896</v>
      </c>
      <c r="E572" s="17" t="s">
        <v>151</v>
      </c>
      <c r="F572" s="17" t="s">
        <v>11897</v>
      </c>
      <c r="G572" s="17" t="s">
        <v>151</v>
      </c>
      <c r="H572" s="17" t="s">
        <v>151</v>
      </c>
      <c r="I572" s="17" t="s">
        <v>151</v>
      </c>
      <c r="J572" s="17" t="s">
        <v>11894</v>
      </c>
      <c r="K572" s="17" t="s">
        <v>11898</v>
      </c>
      <c r="L572" s="17" t="s">
        <v>205</v>
      </c>
      <c r="M572" s="17" t="s">
        <v>206</v>
      </c>
      <c r="N572" s="17" t="s">
        <v>1268</v>
      </c>
      <c r="O572" s="17" t="s">
        <v>5451</v>
      </c>
      <c r="P572" s="17" t="s">
        <v>1205</v>
      </c>
      <c r="Q572" s="17" t="s">
        <v>11899</v>
      </c>
      <c r="R572" s="17" t="s">
        <v>151</v>
      </c>
      <c r="S572" s="17" t="s">
        <v>162</v>
      </c>
      <c r="T572" s="24">
        <v>0.43</v>
      </c>
      <c r="U572" s="17" t="s">
        <v>163</v>
      </c>
      <c r="V572" s="17" t="s">
        <v>164</v>
      </c>
      <c r="W572" s="17" t="s">
        <v>165</v>
      </c>
      <c r="X572" s="15" t="s">
        <v>11900</v>
      </c>
      <c r="Y572" s="15" t="s">
        <v>11901</v>
      </c>
      <c r="Z572" s="27">
        <v>7</v>
      </c>
      <c r="AA572" s="17" t="s">
        <v>3040</v>
      </c>
      <c r="AB572" s="17" t="s">
        <v>151</v>
      </c>
      <c r="AC572" s="17" t="s">
        <v>151</v>
      </c>
      <c r="AD572" s="26">
        <v>2018</v>
      </c>
      <c r="AE572" s="17" t="s">
        <v>151</v>
      </c>
      <c r="AF572" s="22">
        <v>45595</v>
      </c>
      <c r="AG572" s="17" t="s">
        <v>151</v>
      </c>
      <c r="AH572" s="17" t="s">
        <v>151</v>
      </c>
      <c r="AI572" s="25" t="s">
        <v>151</v>
      </c>
      <c r="AJ572" s="19" t="s">
        <v>151</v>
      </c>
      <c r="AK572" s="25" t="s">
        <v>151</v>
      </c>
      <c r="AL572" s="25" t="s">
        <v>151</v>
      </c>
      <c r="AM572" s="25" t="s">
        <v>151</v>
      </c>
      <c r="AN572" s="25" t="s">
        <v>151</v>
      </c>
      <c r="AO572" s="25" t="s">
        <v>151</v>
      </c>
      <c r="AP572" s="25" t="s">
        <v>151</v>
      </c>
      <c r="AQ572" s="25" t="s">
        <v>151</v>
      </c>
      <c r="AR572" s="16" t="s">
        <v>151</v>
      </c>
      <c r="AS572" s="17" t="s">
        <v>11902</v>
      </c>
      <c r="AT572" s="17" t="s">
        <v>11903</v>
      </c>
      <c r="AU572" s="18">
        <v>6</v>
      </c>
      <c r="AV572" s="17" t="s">
        <v>151</v>
      </c>
      <c r="AW572" s="17" t="s">
        <v>151</v>
      </c>
      <c r="AX572" s="17" t="s">
        <v>151</v>
      </c>
      <c r="AY572" s="17" t="s">
        <v>11904</v>
      </c>
      <c r="AZ572" s="17" t="s">
        <v>151</v>
      </c>
      <c r="BA572" s="17" t="s">
        <v>151</v>
      </c>
      <c r="BB572" s="17" t="s">
        <v>151</v>
      </c>
      <c r="BC572" s="17" t="s">
        <v>151</v>
      </c>
      <c r="BD572" s="17" t="s">
        <v>11905</v>
      </c>
      <c r="BE572" s="17" t="s">
        <v>11906</v>
      </c>
      <c r="BF572" s="17" t="s">
        <v>403</v>
      </c>
      <c r="BG572" s="17" t="s">
        <v>11907</v>
      </c>
      <c r="BH572" s="17" t="s">
        <v>11908</v>
      </c>
      <c r="BI572" s="17" t="s">
        <v>764</v>
      </c>
      <c r="BJ572" s="17" t="s">
        <v>11909</v>
      </c>
      <c r="BK572" s="17" t="s">
        <v>11910</v>
      </c>
      <c r="BL572" s="17" t="s">
        <v>767</v>
      </c>
      <c r="BM572" s="17" t="s">
        <v>184</v>
      </c>
      <c r="BN572" s="16" t="s">
        <v>11911</v>
      </c>
      <c r="BO572" s="17" t="s">
        <v>186</v>
      </c>
      <c r="BP572" s="16" t="s">
        <v>11908</v>
      </c>
      <c r="BQ572" s="16" t="s">
        <v>151</v>
      </c>
      <c r="BR572" s="17" t="s">
        <v>11912</v>
      </c>
      <c r="BS572" s="17" t="s">
        <v>187</v>
      </c>
      <c r="BT572" s="17" t="s">
        <v>188</v>
      </c>
      <c r="BU572" s="22">
        <v>43831</v>
      </c>
      <c r="BV572" s="24" t="s">
        <v>151</v>
      </c>
      <c r="BW572" s="17" t="s">
        <v>151</v>
      </c>
      <c r="BX572" s="24" t="s">
        <v>151</v>
      </c>
      <c r="BY572" s="17" t="s">
        <v>151</v>
      </c>
      <c r="BZ572" s="17" t="s">
        <v>189</v>
      </c>
      <c r="CA572" s="17" t="s">
        <v>151</v>
      </c>
      <c r="CB572" s="17" t="s">
        <v>151</v>
      </c>
      <c r="CC572" s="17" t="s">
        <v>190</v>
      </c>
      <c r="CD572" s="17" t="s">
        <v>151</v>
      </c>
      <c r="CE572" s="17" t="s">
        <v>191</v>
      </c>
      <c r="CF572" s="22">
        <v>45064</v>
      </c>
      <c r="CG572" s="24">
        <v>0.15</v>
      </c>
      <c r="CH572" s="17" t="s">
        <v>192</v>
      </c>
      <c r="CI572" s="24" t="s">
        <v>151</v>
      </c>
      <c r="CJ572" s="17" t="s">
        <v>151</v>
      </c>
      <c r="CK572" s="16" t="s">
        <v>151</v>
      </c>
      <c r="CL572" s="17" t="s">
        <v>194</v>
      </c>
      <c r="CM572" s="17" t="s">
        <v>151</v>
      </c>
      <c r="CN572" s="17" t="s">
        <v>151</v>
      </c>
      <c r="CO572" s="17" t="s">
        <v>165</v>
      </c>
      <c r="CP572" s="22">
        <v>45064</v>
      </c>
      <c r="CQ572" s="24" t="s">
        <v>151</v>
      </c>
      <c r="CR572" s="17" t="s">
        <v>151</v>
      </c>
      <c r="CS572" s="17" t="s">
        <v>191</v>
      </c>
      <c r="CT572" s="16" t="s">
        <v>151</v>
      </c>
      <c r="CU572" s="17" t="s">
        <v>151</v>
      </c>
      <c r="CV572" s="19" t="s">
        <v>151</v>
      </c>
      <c r="CW572" s="19" t="s">
        <v>151</v>
      </c>
      <c r="CX572" s="17" t="s">
        <v>151</v>
      </c>
      <c r="CY572" s="19" t="s">
        <v>151</v>
      </c>
      <c r="CZ572" s="19" t="s">
        <v>151</v>
      </c>
      <c r="DA572" s="24" t="s">
        <v>151</v>
      </c>
      <c r="DB572" s="22" t="s">
        <v>151</v>
      </c>
      <c r="DC572" s="17" t="s">
        <v>151</v>
      </c>
      <c r="DD572" s="16" t="s">
        <v>151</v>
      </c>
      <c r="DE572" s="19">
        <v>0</v>
      </c>
      <c r="DF572" s="21">
        <v>11</v>
      </c>
      <c r="DG572" s="19">
        <v>0</v>
      </c>
      <c r="DH572" s="19">
        <v>0</v>
      </c>
      <c r="DI572" s="19">
        <v>0</v>
      </c>
      <c r="DJ572" s="21">
        <v>10</v>
      </c>
      <c r="DK572" s="19" t="s">
        <v>151</v>
      </c>
      <c r="DL572" s="21" t="s">
        <v>151</v>
      </c>
      <c r="DM572" s="19">
        <v>0</v>
      </c>
      <c r="DN572" s="21">
        <v>10</v>
      </c>
      <c r="DO572" s="23">
        <v>1.9</v>
      </c>
      <c r="DP572" s="21">
        <v>65</v>
      </c>
      <c r="DQ572" s="23">
        <v>0</v>
      </c>
      <c r="DR572" s="19">
        <v>0</v>
      </c>
      <c r="DS572" s="23">
        <v>3.26</v>
      </c>
      <c r="DT572" s="21">
        <v>76</v>
      </c>
      <c r="DU572" s="23" t="s">
        <v>151</v>
      </c>
      <c r="DV572" s="21" t="s">
        <v>151</v>
      </c>
      <c r="DW572" s="23">
        <v>3.26</v>
      </c>
      <c r="DX572" s="21">
        <v>75</v>
      </c>
      <c r="DY572" s="18" t="s">
        <v>151</v>
      </c>
      <c r="DZ572" s="22" t="s">
        <v>151</v>
      </c>
      <c r="EA572" s="22" t="s">
        <v>151</v>
      </c>
      <c r="EB572" s="21">
        <v>357</v>
      </c>
      <c r="EC572" s="20">
        <v>-14</v>
      </c>
      <c r="ED572" s="19">
        <v>-3.77</v>
      </c>
      <c r="EE572" s="21">
        <v>62</v>
      </c>
      <c r="EF572" s="20">
        <v>0</v>
      </c>
      <c r="EG572" s="19">
        <v>0</v>
      </c>
      <c r="EH572" s="16" t="s">
        <v>198</v>
      </c>
      <c r="EI572" s="17" t="s">
        <v>151</v>
      </c>
      <c r="EJ572" s="17" t="s">
        <v>151</v>
      </c>
      <c r="EK572" s="18" t="s">
        <v>151</v>
      </c>
      <c r="EL572" s="18" t="s">
        <v>151</v>
      </c>
      <c r="EM572" s="18" t="s">
        <v>151</v>
      </c>
      <c r="EN572" s="18" t="s">
        <v>151</v>
      </c>
      <c r="EO572" s="18" t="s">
        <v>151</v>
      </c>
      <c r="EP572" s="17" t="s">
        <v>151</v>
      </c>
      <c r="EQ572" s="16" t="s">
        <v>151</v>
      </c>
      <c r="ER572" s="16" t="s">
        <v>151</v>
      </c>
      <c r="ES572" s="3">
        <f>HYPERLINK("https://my.pitchbook.com?c=492678-82","View Company Online")</f>
      </c>
    </row>
    <row r="573">
      <c r="A573" s="30" t="s">
        <v>11913</v>
      </c>
      <c r="B573" s="30" t="s">
        <v>11914</v>
      </c>
      <c r="C573" s="31" t="s">
        <v>151</v>
      </c>
      <c r="D573" s="30" t="s">
        <v>11915</v>
      </c>
      <c r="E573" s="30" t="s">
        <v>151</v>
      </c>
      <c r="F573" s="30" t="s">
        <v>11916</v>
      </c>
      <c r="G573" s="30" t="s">
        <v>151</v>
      </c>
      <c r="H573" s="30" t="s">
        <v>151</v>
      </c>
      <c r="I573" s="30" t="s">
        <v>151</v>
      </c>
      <c r="J573" s="30" t="s">
        <v>11913</v>
      </c>
      <c r="K573" s="30" t="s">
        <v>11917</v>
      </c>
      <c r="L573" s="30" t="s">
        <v>616</v>
      </c>
      <c r="M573" s="30" t="s">
        <v>834</v>
      </c>
      <c r="N573" s="30" t="s">
        <v>835</v>
      </c>
      <c r="O573" s="30" t="s">
        <v>11797</v>
      </c>
      <c r="P573" s="30" t="s">
        <v>151</v>
      </c>
      <c r="Q573" s="30" t="s">
        <v>11918</v>
      </c>
      <c r="R573" s="30" t="s">
        <v>151</v>
      </c>
      <c r="S573" s="30" t="s">
        <v>162</v>
      </c>
      <c r="T573" s="37">
        <v>3.22</v>
      </c>
      <c r="U573" s="30" t="s">
        <v>1727</v>
      </c>
      <c r="V573" s="30" t="s">
        <v>164</v>
      </c>
      <c r="W573" s="30" t="s">
        <v>165</v>
      </c>
      <c r="X573" s="28" t="s">
        <v>11919</v>
      </c>
      <c r="Y573" s="28" t="s">
        <v>11920</v>
      </c>
      <c r="Z573" s="40">
        <v>25</v>
      </c>
      <c r="AA573" s="30" t="s">
        <v>11921</v>
      </c>
      <c r="AB573" s="30" t="s">
        <v>151</v>
      </c>
      <c r="AC573" s="30" t="s">
        <v>151</v>
      </c>
      <c r="AD573" s="39">
        <v>2020</v>
      </c>
      <c r="AE573" s="30" t="s">
        <v>151</v>
      </c>
      <c r="AF573" s="35">
        <v>45588</v>
      </c>
      <c r="AG573" s="30" t="s">
        <v>151</v>
      </c>
      <c r="AH573" s="30" t="s">
        <v>151</v>
      </c>
      <c r="AI573" s="38" t="s">
        <v>151</v>
      </c>
      <c r="AJ573" s="32" t="s">
        <v>151</v>
      </c>
      <c r="AK573" s="38" t="s">
        <v>151</v>
      </c>
      <c r="AL573" s="38" t="s">
        <v>151</v>
      </c>
      <c r="AM573" s="38" t="s">
        <v>151</v>
      </c>
      <c r="AN573" s="38" t="s">
        <v>151</v>
      </c>
      <c r="AO573" s="38" t="s">
        <v>151</v>
      </c>
      <c r="AP573" s="38" t="s">
        <v>151</v>
      </c>
      <c r="AQ573" s="38" t="s">
        <v>151</v>
      </c>
      <c r="AR573" s="29" t="s">
        <v>151</v>
      </c>
      <c r="AS573" s="30" t="s">
        <v>11922</v>
      </c>
      <c r="AT573" s="30" t="s">
        <v>11923</v>
      </c>
      <c r="AU573" s="31">
        <v>2</v>
      </c>
      <c r="AV573" s="30" t="s">
        <v>151</v>
      </c>
      <c r="AW573" s="30" t="s">
        <v>151</v>
      </c>
      <c r="AX573" s="30" t="s">
        <v>151</v>
      </c>
      <c r="AY573" s="30" t="s">
        <v>11924</v>
      </c>
      <c r="AZ573" s="30" t="s">
        <v>151</v>
      </c>
      <c r="BA573" s="30" t="s">
        <v>151</v>
      </c>
      <c r="BB573" s="30" t="s">
        <v>343</v>
      </c>
      <c r="BC573" s="30" t="s">
        <v>1115</v>
      </c>
      <c r="BD573" s="30" t="s">
        <v>11925</v>
      </c>
      <c r="BE573" s="30" t="s">
        <v>11926</v>
      </c>
      <c r="BF573" s="30" t="s">
        <v>493</v>
      </c>
      <c r="BG573" s="30" t="s">
        <v>11927</v>
      </c>
      <c r="BH573" s="30" t="s">
        <v>11928</v>
      </c>
      <c r="BI573" s="30" t="s">
        <v>11929</v>
      </c>
      <c r="BJ573" s="30" t="s">
        <v>11930</v>
      </c>
      <c r="BK573" s="30" t="s">
        <v>320</v>
      </c>
      <c r="BL573" s="30" t="s">
        <v>11931</v>
      </c>
      <c r="BM573" s="30" t="s">
        <v>184</v>
      </c>
      <c r="BN573" s="29" t="s">
        <v>11932</v>
      </c>
      <c r="BO573" s="30" t="s">
        <v>186</v>
      </c>
      <c r="BP573" s="29" t="s">
        <v>11928</v>
      </c>
      <c r="BQ573" s="29" t="s">
        <v>151</v>
      </c>
      <c r="BR573" s="30" t="s">
        <v>11933</v>
      </c>
      <c r="BS573" s="30" t="s">
        <v>187</v>
      </c>
      <c r="BT573" s="30" t="s">
        <v>188</v>
      </c>
      <c r="BU573" s="35">
        <v>44729</v>
      </c>
      <c r="BV573" s="37">
        <v>3.22</v>
      </c>
      <c r="BW573" s="30" t="s">
        <v>192</v>
      </c>
      <c r="BX573" s="37">
        <v>10.11</v>
      </c>
      <c r="BY573" s="30" t="s">
        <v>192</v>
      </c>
      <c r="BZ573" s="30" t="s">
        <v>293</v>
      </c>
      <c r="CA573" s="30" t="s">
        <v>293</v>
      </c>
      <c r="CB573" s="30" t="s">
        <v>151</v>
      </c>
      <c r="CC573" s="30" t="s">
        <v>165</v>
      </c>
      <c r="CD573" s="30" t="s">
        <v>11934</v>
      </c>
      <c r="CE573" s="30" t="s">
        <v>191</v>
      </c>
      <c r="CF573" s="35">
        <v>44729</v>
      </c>
      <c r="CG573" s="37">
        <v>3.22</v>
      </c>
      <c r="CH573" s="30" t="s">
        <v>192</v>
      </c>
      <c r="CI573" s="37">
        <v>10.11</v>
      </c>
      <c r="CJ573" s="30" t="s">
        <v>192</v>
      </c>
      <c r="CK573" s="29" t="s">
        <v>151</v>
      </c>
      <c r="CL573" s="30" t="s">
        <v>293</v>
      </c>
      <c r="CM573" s="30" t="s">
        <v>293</v>
      </c>
      <c r="CN573" s="30" t="s">
        <v>151</v>
      </c>
      <c r="CO573" s="30" t="s">
        <v>165</v>
      </c>
      <c r="CP573" s="35">
        <v>44729</v>
      </c>
      <c r="CQ573" s="37">
        <v>0.11</v>
      </c>
      <c r="CR573" s="30" t="s">
        <v>11934</v>
      </c>
      <c r="CS573" s="30" t="s">
        <v>191</v>
      </c>
      <c r="CT573" s="29" t="s">
        <v>151</v>
      </c>
      <c r="CU573" s="30" t="s">
        <v>151</v>
      </c>
      <c r="CV573" s="32" t="s">
        <v>151</v>
      </c>
      <c r="CW573" s="32" t="s">
        <v>151</v>
      </c>
      <c r="CX573" s="30" t="s">
        <v>151</v>
      </c>
      <c r="CY573" s="32" t="s">
        <v>151</v>
      </c>
      <c r="CZ573" s="32" t="s">
        <v>151</v>
      </c>
      <c r="DA573" s="37">
        <v>10.11</v>
      </c>
      <c r="DB573" s="35">
        <v>44729</v>
      </c>
      <c r="DC573" s="30" t="s">
        <v>293</v>
      </c>
      <c r="DD573" s="29" t="s">
        <v>151</v>
      </c>
      <c r="DE573" s="32" t="s">
        <v>151</v>
      </c>
      <c r="DF573" s="34" t="s">
        <v>151</v>
      </c>
      <c r="DG573" s="32" t="s">
        <v>151</v>
      </c>
      <c r="DH573" s="32" t="s">
        <v>151</v>
      </c>
      <c r="DI573" s="32" t="s">
        <v>151</v>
      </c>
      <c r="DJ573" s="34" t="s">
        <v>151</v>
      </c>
      <c r="DK573" s="32" t="s">
        <v>151</v>
      </c>
      <c r="DL573" s="34" t="s">
        <v>151</v>
      </c>
      <c r="DM573" s="32" t="s">
        <v>151</v>
      </c>
      <c r="DN573" s="34" t="s">
        <v>151</v>
      </c>
      <c r="DO573" s="36" t="s">
        <v>151</v>
      </c>
      <c r="DP573" s="34" t="s">
        <v>151</v>
      </c>
      <c r="DQ573" s="36" t="s">
        <v>151</v>
      </c>
      <c r="DR573" s="32" t="s">
        <v>151</v>
      </c>
      <c r="DS573" s="36" t="s">
        <v>151</v>
      </c>
      <c r="DT573" s="34" t="s">
        <v>151</v>
      </c>
      <c r="DU573" s="36" t="s">
        <v>151</v>
      </c>
      <c r="DV573" s="34" t="s">
        <v>151</v>
      </c>
      <c r="DW573" s="36" t="s">
        <v>151</v>
      </c>
      <c r="DX573" s="34" t="s">
        <v>151</v>
      </c>
      <c r="DY573" s="31" t="s">
        <v>151</v>
      </c>
      <c r="DZ573" s="35" t="s">
        <v>151</v>
      </c>
      <c r="EA573" s="35" t="s">
        <v>151</v>
      </c>
      <c r="EB573" s="34" t="s">
        <v>151</v>
      </c>
      <c r="EC573" s="33" t="s">
        <v>151</v>
      </c>
      <c r="ED573" s="32" t="s">
        <v>151</v>
      </c>
      <c r="EE573" s="34" t="s">
        <v>151</v>
      </c>
      <c r="EF573" s="33" t="s">
        <v>151</v>
      </c>
      <c r="EG573" s="32" t="s">
        <v>151</v>
      </c>
      <c r="EH573" s="29" t="s">
        <v>198</v>
      </c>
      <c r="EI573" s="30" t="s">
        <v>151</v>
      </c>
      <c r="EJ573" s="30" t="s">
        <v>151</v>
      </c>
      <c r="EK573" s="31" t="s">
        <v>151</v>
      </c>
      <c r="EL573" s="31" t="s">
        <v>151</v>
      </c>
      <c r="EM573" s="31" t="s">
        <v>151</v>
      </c>
      <c r="EN573" s="31" t="s">
        <v>151</v>
      </c>
      <c r="EO573" s="31" t="s">
        <v>151</v>
      </c>
      <c r="EP573" s="30" t="s">
        <v>151</v>
      </c>
      <c r="EQ573" s="29" t="s">
        <v>151</v>
      </c>
      <c r="ER573" s="29" t="s">
        <v>151</v>
      </c>
      <c r="ES573" s="4">
        <f>HYPERLINK("https://my.pitchbook.com?c=499856-41","View Company Online")</f>
      </c>
    </row>
    <row r="574">
      <c r="A574" s="17" t="s">
        <v>11935</v>
      </c>
      <c r="B574" s="17" t="s">
        <v>11936</v>
      </c>
      <c r="C574" s="18" t="s">
        <v>151</v>
      </c>
      <c r="D574" s="17" t="s">
        <v>151</v>
      </c>
      <c r="E574" s="17" t="s">
        <v>151</v>
      </c>
      <c r="F574" s="17" t="s">
        <v>11937</v>
      </c>
      <c r="G574" s="17" t="s">
        <v>151</v>
      </c>
      <c r="H574" s="17" t="s">
        <v>151</v>
      </c>
      <c r="I574" s="17" t="s">
        <v>151</v>
      </c>
      <c r="J574" s="17" t="s">
        <v>11935</v>
      </c>
      <c r="K574" s="17" t="s">
        <v>11938</v>
      </c>
      <c r="L574" s="17" t="s">
        <v>1178</v>
      </c>
      <c r="M574" s="17" t="s">
        <v>1179</v>
      </c>
      <c r="N574" s="17" t="s">
        <v>1179</v>
      </c>
      <c r="O574" s="17" t="s">
        <v>1180</v>
      </c>
      <c r="P574" s="17" t="s">
        <v>2130</v>
      </c>
      <c r="Q574" s="17" t="s">
        <v>11939</v>
      </c>
      <c r="R574" s="17" t="s">
        <v>151</v>
      </c>
      <c r="S574" s="17" t="s">
        <v>162</v>
      </c>
      <c r="T574" s="24">
        <v>0.15</v>
      </c>
      <c r="U574" s="17" t="s">
        <v>163</v>
      </c>
      <c r="V574" s="17" t="s">
        <v>164</v>
      </c>
      <c r="W574" s="17" t="s">
        <v>165</v>
      </c>
      <c r="X574" s="15" t="s">
        <v>11940</v>
      </c>
      <c r="Y574" s="15" t="s">
        <v>11941</v>
      </c>
      <c r="Z574" s="27">
        <v>11</v>
      </c>
      <c r="AA574" s="17" t="s">
        <v>11942</v>
      </c>
      <c r="AB574" s="17" t="s">
        <v>151</v>
      </c>
      <c r="AC574" s="17" t="s">
        <v>151</v>
      </c>
      <c r="AD574" s="26">
        <v>2021</v>
      </c>
      <c r="AE574" s="17" t="s">
        <v>151</v>
      </c>
      <c r="AF574" s="22">
        <v>45527</v>
      </c>
      <c r="AG574" s="17" t="s">
        <v>151</v>
      </c>
      <c r="AH574" s="17" t="s">
        <v>151</v>
      </c>
      <c r="AI574" s="25" t="s">
        <v>151</v>
      </c>
      <c r="AJ574" s="19" t="s">
        <v>151</v>
      </c>
      <c r="AK574" s="25" t="s">
        <v>151</v>
      </c>
      <c r="AL574" s="25" t="s">
        <v>151</v>
      </c>
      <c r="AM574" s="25" t="s">
        <v>151</v>
      </c>
      <c r="AN574" s="25" t="s">
        <v>151</v>
      </c>
      <c r="AO574" s="25" t="s">
        <v>151</v>
      </c>
      <c r="AP574" s="25" t="s">
        <v>151</v>
      </c>
      <c r="AQ574" s="25" t="s">
        <v>151</v>
      </c>
      <c r="AR574" s="16" t="s">
        <v>151</v>
      </c>
      <c r="AS574" s="17" t="s">
        <v>11943</v>
      </c>
      <c r="AT574" s="17" t="s">
        <v>11944</v>
      </c>
      <c r="AU574" s="18">
        <v>9</v>
      </c>
      <c r="AV574" s="17" t="s">
        <v>151</v>
      </c>
      <c r="AW574" s="17" t="s">
        <v>151</v>
      </c>
      <c r="AX574" s="17" t="s">
        <v>151</v>
      </c>
      <c r="AY574" s="17" t="s">
        <v>11945</v>
      </c>
      <c r="AZ574" s="17" t="s">
        <v>151</v>
      </c>
      <c r="BA574" s="17" t="s">
        <v>151</v>
      </c>
      <c r="BB574" s="17" t="s">
        <v>151</v>
      </c>
      <c r="BC574" s="17" t="s">
        <v>151</v>
      </c>
      <c r="BD574" s="17" t="s">
        <v>11946</v>
      </c>
      <c r="BE574" s="17" t="s">
        <v>11947</v>
      </c>
      <c r="BF574" s="17" t="s">
        <v>221</v>
      </c>
      <c r="BG574" s="17" t="s">
        <v>11948</v>
      </c>
      <c r="BH574" s="17" t="s">
        <v>151</v>
      </c>
      <c r="BI574" s="17" t="s">
        <v>764</v>
      </c>
      <c r="BJ574" s="17" t="s">
        <v>11949</v>
      </c>
      <c r="BK574" s="17" t="s">
        <v>11950</v>
      </c>
      <c r="BL574" s="17" t="s">
        <v>767</v>
      </c>
      <c r="BM574" s="17" t="s">
        <v>184</v>
      </c>
      <c r="BN574" s="16" t="s">
        <v>1260</v>
      </c>
      <c r="BO574" s="17" t="s">
        <v>186</v>
      </c>
      <c r="BP574" s="16" t="s">
        <v>151</v>
      </c>
      <c r="BQ574" s="16" t="s">
        <v>151</v>
      </c>
      <c r="BR574" s="17" t="s">
        <v>11951</v>
      </c>
      <c r="BS574" s="17" t="s">
        <v>187</v>
      </c>
      <c r="BT574" s="17" t="s">
        <v>188</v>
      </c>
      <c r="BU574" s="22">
        <v>44197</v>
      </c>
      <c r="BV574" s="24">
        <v>0.13</v>
      </c>
      <c r="BW574" s="17" t="s">
        <v>192</v>
      </c>
      <c r="BX574" s="24">
        <v>1.79</v>
      </c>
      <c r="BY574" s="17" t="s">
        <v>192</v>
      </c>
      <c r="BZ574" s="17" t="s">
        <v>189</v>
      </c>
      <c r="CA574" s="17" t="s">
        <v>151</v>
      </c>
      <c r="CB574" s="17" t="s">
        <v>151</v>
      </c>
      <c r="CC574" s="17" t="s">
        <v>190</v>
      </c>
      <c r="CD574" s="17" t="s">
        <v>151</v>
      </c>
      <c r="CE574" s="17" t="s">
        <v>191</v>
      </c>
      <c r="CF574" s="22">
        <v>44453</v>
      </c>
      <c r="CG574" s="24">
        <v>0.03</v>
      </c>
      <c r="CH574" s="17" t="s">
        <v>192</v>
      </c>
      <c r="CI574" s="24" t="s">
        <v>151</v>
      </c>
      <c r="CJ574" s="17" t="s">
        <v>151</v>
      </c>
      <c r="CK574" s="16" t="s">
        <v>151</v>
      </c>
      <c r="CL574" s="17" t="s">
        <v>293</v>
      </c>
      <c r="CM574" s="17" t="s">
        <v>293</v>
      </c>
      <c r="CN574" s="17" t="s">
        <v>151</v>
      </c>
      <c r="CO574" s="17" t="s">
        <v>165</v>
      </c>
      <c r="CP574" s="22">
        <v>44453</v>
      </c>
      <c r="CQ574" s="24" t="s">
        <v>151</v>
      </c>
      <c r="CR574" s="17" t="s">
        <v>151</v>
      </c>
      <c r="CS574" s="17" t="s">
        <v>191</v>
      </c>
      <c r="CT574" s="16" t="s">
        <v>151</v>
      </c>
      <c r="CU574" s="17" t="s">
        <v>151</v>
      </c>
      <c r="CV574" s="19" t="s">
        <v>151</v>
      </c>
      <c r="CW574" s="19" t="s">
        <v>151</v>
      </c>
      <c r="CX574" s="17" t="s">
        <v>151</v>
      </c>
      <c r="CY574" s="19" t="s">
        <v>151</v>
      </c>
      <c r="CZ574" s="19" t="s">
        <v>151</v>
      </c>
      <c r="DA574" s="24">
        <v>1.79</v>
      </c>
      <c r="DB574" s="22">
        <v>44197</v>
      </c>
      <c r="DC574" s="17" t="s">
        <v>189</v>
      </c>
      <c r="DD574" s="16" t="s">
        <v>151</v>
      </c>
      <c r="DE574" s="19">
        <v>0.3</v>
      </c>
      <c r="DF574" s="21">
        <v>92</v>
      </c>
      <c r="DG574" s="19">
        <v>0</v>
      </c>
      <c r="DH574" s="19">
        <v>0</v>
      </c>
      <c r="DI574" s="19">
        <v>1.65</v>
      </c>
      <c r="DJ574" s="21">
        <v>98</v>
      </c>
      <c r="DK574" s="19" t="s">
        <v>151</v>
      </c>
      <c r="DL574" s="21" t="s">
        <v>151</v>
      </c>
      <c r="DM574" s="19">
        <v>1.65</v>
      </c>
      <c r="DN574" s="21">
        <v>98</v>
      </c>
      <c r="DO574" s="23">
        <v>5.58</v>
      </c>
      <c r="DP574" s="21">
        <v>84</v>
      </c>
      <c r="DQ574" s="23">
        <v>0</v>
      </c>
      <c r="DR574" s="19">
        <v>0</v>
      </c>
      <c r="DS574" s="23">
        <v>10.32</v>
      </c>
      <c r="DT574" s="21">
        <v>90</v>
      </c>
      <c r="DU574" s="23" t="s">
        <v>151</v>
      </c>
      <c r="DV574" s="21" t="s">
        <v>151</v>
      </c>
      <c r="DW574" s="23">
        <v>10.32</v>
      </c>
      <c r="DX574" s="21">
        <v>90</v>
      </c>
      <c r="DY574" s="18" t="s">
        <v>151</v>
      </c>
      <c r="DZ574" s="22" t="s">
        <v>151</v>
      </c>
      <c r="EA574" s="22" t="s">
        <v>151</v>
      </c>
      <c r="EB574" s="21">
        <v>1561</v>
      </c>
      <c r="EC574" s="20">
        <v>101</v>
      </c>
      <c r="ED574" s="19">
        <v>6.92</v>
      </c>
      <c r="EE574" s="21">
        <v>196</v>
      </c>
      <c r="EF574" s="20">
        <v>1</v>
      </c>
      <c r="EG574" s="19">
        <v>0.51</v>
      </c>
      <c r="EH574" s="16" t="s">
        <v>198</v>
      </c>
      <c r="EI574" s="17" t="s">
        <v>151</v>
      </c>
      <c r="EJ574" s="17" t="s">
        <v>151</v>
      </c>
      <c r="EK574" s="18" t="s">
        <v>151</v>
      </c>
      <c r="EL574" s="18" t="s">
        <v>151</v>
      </c>
      <c r="EM574" s="18" t="s">
        <v>151</v>
      </c>
      <c r="EN574" s="18" t="s">
        <v>151</v>
      </c>
      <c r="EO574" s="18" t="s">
        <v>151</v>
      </c>
      <c r="EP574" s="17" t="s">
        <v>151</v>
      </c>
      <c r="EQ574" s="16" t="s">
        <v>151</v>
      </c>
      <c r="ER574" s="16" t="s">
        <v>151</v>
      </c>
      <c r="ES574" s="3">
        <f>HYPERLINK("https://my.pitchbook.com?c=483347-53","View Company Online")</f>
      </c>
    </row>
    <row r="575">
      <c r="A575" s="30" t="s">
        <v>11952</v>
      </c>
      <c r="B575" s="30" t="s">
        <v>11953</v>
      </c>
      <c r="C575" s="31" t="s">
        <v>151</v>
      </c>
      <c r="D575" s="30" t="s">
        <v>151</v>
      </c>
      <c r="E575" s="30" t="s">
        <v>151</v>
      </c>
      <c r="F575" s="30" t="s">
        <v>11954</v>
      </c>
      <c r="G575" s="30" t="s">
        <v>151</v>
      </c>
      <c r="H575" s="30" t="s">
        <v>151</v>
      </c>
      <c r="I575" s="30" t="s">
        <v>11955</v>
      </c>
      <c r="J575" s="30" t="s">
        <v>11952</v>
      </c>
      <c r="K575" s="30" t="s">
        <v>11956</v>
      </c>
      <c r="L575" s="30" t="s">
        <v>205</v>
      </c>
      <c r="M575" s="30" t="s">
        <v>206</v>
      </c>
      <c r="N575" s="30" t="s">
        <v>269</v>
      </c>
      <c r="O575" s="30" t="s">
        <v>11957</v>
      </c>
      <c r="P575" s="30" t="s">
        <v>919</v>
      </c>
      <c r="Q575" s="30" t="s">
        <v>11958</v>
      </c>
      <c r="R575" s="30" t="s">
        <v>151</v>
      </c>
      <c r="S575" s="30" t="s">
        <v>162</v>
      </c>
      <c r="T575" s="37">
        <v>2</v>
      </c>
      <c r="U575" s="30" t="s">
        <v>163</v>
      </c>
      <c r="V575" s="30" t="s">
        <v>164</v>
      </c>
      <c r="W575" s="30" t="s">
        <v>165</v>
      </c>
      <c r="X575" s="28" t="s">
        <v>11959</v>
      </c>
      <c r="Y575" s="28" t="s">
        <v>11960</v>
      </c>
      <c r="Z575" s="40">
        <v>50</v>
      </c>
      <c r="AA575" s="30" t="s">
        <v>11961</v>
      </c>
      <c r="AB575" s="30" t="s">
        <v>151</v>
      </c>
      <c r="AC575" s="30" t="s">
        <v>151</v>
      </c>
      <c r="AD575" s="39">
        <v>2020</v>
      </c>
      <c r="AE575" s="30" t="s">
        <v>151</v>
      </c>
      <c r="AF575" s="35">
        <v>45592</v>
      </c>
      <c r="AG575" s="30" t="s">
        <v>151</v>
      </c>
      <c r="AH575" s="30" t="s">
        <v>151</v>
      </c>
      <c r="AI575" s="38" t="s">
        <v>151</v>
      </c>
      <c r="AJ575" s="32" t="s">
        <v>151</v>
      </c>
      <c r="AK575" s="38" t="s">
        <v>151</v>
      </c>
      <c r="AL575" s="38" t="s">
        <v>151</v>
      </c>
      <c r="AM575" s="38" t="s">
        <v>151</v>
      </c>
      <c r="AN575" s="38" t="s">
        <v>151</v>
      </c>
      <c r="AO575" s="38" t="s">
        <v>151</v>
      </c>
      <c r="AP575" s="38" t="s">
        <v>151</v>
      </c>
      <c r="AQ575" s="38" t="s">
        <v>151</v>
      </c>
      <c r="AR575" s="29" t="s">
        <v>151</v>
      </c>
      <c r="AS575" s="30" t="s">
        <v>11962</v>
      </c>
      <c r="AT575" s="30" t="s">
        <v>11963</v>
      </c>
      <c r="AU575" s="31">
        <v>1</v>
      </c>
      <c r="AV575" s="30" t="s">
        <v>151</v>
      </c>
      <c r="AW575" s="30" t="s">
        <v>151</v>
      </c>
      <c r="AX575" s="30" t="s">
        <v>151</v>
      </c>
      <c r="AY575" s="30" t="s">
        <v>11964</v>
      </c>
      <c r="AZ575" s="30" t="s">
        <v>151</v>
      </c>
      <c r="BA575" s="30" t="s">
        <v>151</v>
      </c>
      <c r="BB575" s="30" t="s">
        <v>151</v>
      </c>
      <c r="BC575" s="30" t="s">
        <v>151</v>
      </c>
      <c r="BD575" s="30" t="s">
        <v>11965</v>
      </c>
      <c r="BE575" s="30" t="s">
        <v>11966</v>
      </c>
      <c r="BF575" s="30" t="s">
        <v>403</v>
      </c>
      <c r="BG575" s="30" t="s">
        <v>11967</v>
      </c>
      <c r="BH575" s="30" t="s">
        <v>11968</v>
      </c>
      <c r="BI575" s="30" t="s">
        <v>4858</v>
      </c>
      <c r="BJ575" s="30" t="s">
        <v>11969</v>
      </c>
      <c r="BK575" s="30" t="s">
        <v>11970</v>
      </c>
      <c r="BL575" s="30" t="s">
        <v>2957</v>
      </c>
      <c r="BM575" s="30" t="s">
        <v>259</v>
      </c>
      <c r="BN575" s="29" t="s">
        <v>9247</v>
      </c>
      <c r="BO575" s="30" t="s">
        <v>186</v>
      </c>
      <c r="BP575" s="29" t="s">
        <v>151</v>
      </c>
      <c r="BQ575" s="29" t="s">
        <v>151</v>
      </c>
      <c r="BR575" s="30" t="s">
        <v>11971</v>
      </c>
      <c r="BS575" s="30" t="s">
        <v>187</v>
      </c>
      <c r="BT575" s="30" t="s">
        <v>188</v>
      </c>
      <c r="BU575" s="35">
        <v>45507</v>
      </c>
      <c r="BV575" s="37">
        <v>2</v>
      </c>
      <c r="BW575" s="30" t="s">
        <v>192</v>
      </c>
      <c r="BX575" s="37">
        <v>9</v>
      </c>
      <c r="BY575" s="30" t="s">
        <v>193</v>
      </c>
      <c r="BZ575" s="30" t="s">
        <v>231</v>
      </c>
      <c r="CA575" s="30" t="s">
        <v>472</v>
      </c>
      <c r="CB575" s="30" t="s">
        <v>151</v>
      </c>
      <c r="CC575" s="30" t="s">
        <v>165</v>
      </c>
      <c r="CD575" s="30" t="s">
        <v>151</v>
      </c>
      <c r="CE575" s="30" t="s">
        <v>191</v>
      </c>
      <c r="CF575" s="35">
        <v>45507</v>
      </c>
      <c r="CG575" s="37">
        <v>2</v>
      </c>
      <c r="CH575" s="30" t="s">
        <v>192</v>
      </c>
      <c r="CI575" s="37">
        <v>9</v>
      </c>
      <c r="CJ575" s="30" t="s">
        <v>193</v>
      </c>
      <c r="CK575" s="29" t="s">
        <v>151</v>
      </c>
      <c r="CL575" s="30" t="s">
        <v>231</v>
      </c>
      <c r="CM575" s="30" t="s">
        <v>472</v>
      </c>
      <c r="CN575" s="30" t="s">
        <v>151</v>
      </c>
      <c r="CO575" s="30" t="s">
        <v>165</v>
      </c>
      <c r="CP575" s="35">
        <v>45507</v>
      </c>
      <c r="CQ575" s="37" t="s">
        <v>151</v>
      </c>
      <c r="CR575" s="30" t="s">
        <v>151</v>
      </c>
      <c r="CS575" s="30" t="s">
        <v>191</v>
      </c>
      <c r="CT575" s="29" t="s">
        <v>151</v>
      </c>
      <c r="CU575" s="30" t="s">
        <v>151</v>
      </c>
      <c r="CV575" s="32" t="s">
        <v>151</v>
      </c>
      <c r="CW575" s="32" t="s">
        <v>151</v>
      </c>
      <c r="CX575" s="30" t="s">
        <v>151</v>
      </c>
      <c r="CY575" s="32" t="s">
        <v>151</v>
      </c>
      <c r="CZ575" s="32" t="s">
        <v>151</v>
      </c>
      <c r="DA575" s="37">
        <v>9</v>
      </c>
      <c r="DB575" s="35">
        <v>45507</v>
      </c>
      <c r="DC575" s="30" t="s">
        <v>231</v>
      </c>
      <c r="DD575" s="29" t="s">
        <v>151</v>
      </c>
      <c r="DE575" s="32">
        <v>26.36</v>
      </c>
      <c r="DF575" s="34">
        <v>100</v>
      </c>
      <c r="DG575" s="32">
        <v>0</v>
      </c>
      <c r="DH575" s="32">
        <v>0</v>
      </c>
      <c r="DI575" s="32">
        <v>0</v>
      </c>
      <c r="DJ575" s="34">
        <v>10</v>
      </c>
      <c r="DK575" s="32" t="s">
        <v>151</v>
      </c>
      <c r="DL575" s="34" t="s">
        <v>151</v>
      </c>
      <c r="DM575" s="32">
        <v>0</v>
      </c>
      <c r="DN575" s="34">
        <v>10</v>
      </c>
      <c r="DO575" s="36">
        <v>2.08</v>
      </c>
      <c r="DP575" s="34">
        <v>67</v>
      </c>
      <c r="DQ575" s="36">
        <v>0</v>
      </c>
      <c r="DR575" s="32">
        <v>0</v>
      </c>
      <c r="DS575" s="36">
        <v>0.32</v>
      </c>
      <c r="DT575" s="34">
        <v>22</v>
      </c>
      <c r="DU575" s="36" t="s">
        <v>151</v>
      </c>
      <c r="DV575" s="34" t="s">
        <v>151</v>
      </c>
      <c r="DW575" s="36">
        <v>0.32</v>
      </c>
      <c r="DX575" s="34">
        <v>22</v>
      </c>
      <c r="DY575" s="31" t="s">
        <v>151</v>
      </c>
      <c r="DZ575" s="35" t="s">
        <v>151</v>
      </c>
      <c r="EA575" s="35" t="s">
        <v>151</v>
      </c>
      <c r="EB575" s="34" t="s">
        <v>151</v>
      </c>
      <c r="EC575" s="33" t="s">
        <v>151</v>
      </c>
      <c r="ED575" s="32" t="s">
        <v>151</v>
      </c>
      <c r="EE575" s="34">
        <v>6</v>
      </c>
      <c r="EF575" s="33">
        <v>0</v>
      </c>
      <c r="EG575" s="32">
        <v>0</v>
      </c>
      <c r="EH575" s="29" t="s">
        <v>198</v>
      </c>
      <c r="EI575" s="30" t="s">
        <v>151</v>
      </c>
      <c r="EJ575" s="30" t="s">
        <v>151</v>
      </c>
      <c r="EK575" s="31" t="s">
        <v>151</v>
      </c>
      <c r="EL575" s="31" t="s">
        <v>151</v>
      </c>
      <c r="EM575" s="31" t="s">
        <v>151</v>
      </c>
      <c r="EN575" s="31" t="s">
        <v>151</v>
      </c>
      <c r="EO575" s="31" t="s">
        <v>151</v>
      </c>
      <c r="EP575" s="30" t="s">
        <v>151</v>
      </c>
      <c r="EQ575" s="29" t="s">
        <v>151</v>
      </c>
      <c r="ER575" s="29" t="s">
        <v>151</v>
      </c>
      <c r="ES575" s="4">
        <f>HYPERLINK("https://my.pitchbook.com?c=607570-93","View Company Online")</f>
      </c>
    </row>
    <row r="576">
      <c r="A576" s="17" t="s">
        <v>11972</v>
      </c>
      <c r="B576" s="17" t="s">
        <v>11973</v>
      </c>
      <c r="C576" s="18" t="s">
        <v>151</v>
      </c>
      <c r="D576" s="17" t="s">
        <v>151</v>
      </c>
      <c r="E576" s="17" t="s">
        <v>11974</v>
      </c>
      <c r="F576" s="17" t="s">
        <v>11975</v>
      </c>
      <c r="G576" s="17" t="s">
        <v>151</v>
      </c>
      <c r="H576" s="17" t="s">
        <v>151</v>
      </c>
      <c r="I576" s="17" t="s">
        <v>151</v>
      </c>
      <c r="J576" s="17" t="s">
        <v>11972</v>
      </c>
      <c r="K576" s="17" t="s">
        <v>11976</v>
      </c>
      <c r="L576" s="17" t="s">
        <v>205</v>
      </c>
      <c r="M576" s="17" t="s">
        <v>206</v>
      </c>
      <c r="N576" s="17" t="s">
        <v>1130</v>
      </c>
      <c r="O576" s="17" t="s">
        <v>11977</v>
      </c>
      <c r="P576" s="17" t="s">
        <v>919</v>
      </c>
      <c r="Q576" s="17" t="s">
        <v>11978</v>
      </c>
      <c r="R576" s="17" t="s">
        <v>151</v>
      </c>
      <c r="S576" s="17" t="s">
        <v>162</v>
      </c>
      <c r="T576" s="24">
        <v>7.8</v>
      </c>
      <c r="U576" s="17" t="s">
        <v>163</v>
      </c>
      <c r="V576" s="17" t="s">
        <v>164</v>
      </c>
      <c r="W576" s="17" t="s">
        <v>165</v>
      </c>
      <c r="X576" s="15" t="s">
        <v>11979</v>
      </c>
      <c r="Y576" s="15" t="s">
        <v>11980</v>
      </c>
      <c r="Z576" s="27">
        <v>20</v>
      </c>
      <c r="AA576" s="17" t="s">
        <v>11981</v>
      </c>
      <c r="AB576" s="17" t="s">
        <v>151</v>
      </c>
      <c r="AC576" s="17" t="s">
        <v>151</v>
      </c>
      <c r="AD576" s="26">
        <v>2019</v>
      </c>
      <c r="AE576" s="17" t="s">
        <v>151</v>
      </c>
      <c r="AF576" s="22">
        <v>45616</v>
      </c>
      <c r="AG576" s="17" t="s">
        <v>151</v>
      </c>
      <c r="AH576" s="17" t="s">
        <v>151</v>
      </c>
      <c r="AI576" s="25" t="s">
        <v>151</v>
      </c>
      <c r="AJ576" s="19" t="s">
        <v>151</v>
      </c>
      <c r="AK576" s="25" t="s">
        <v>151</v>
      </c>
      <c r="AL576" s="25" t="s">
        <v>151</v>
      </c>
      <c r="AM576" s="25" t="s">
        <v>151</v>
      </c>
      <c r="AN576" s="25" t="s">
        <v>151</v>
      </c>
      <c r="AO576" s="25" t="s">
        <v>151</v>
      </c>
      <c r="AP576" s="25" t="s">
        <v>151</v>
      </c>
      <c r="AQ576" s="25" t="s">
        <v>151</v>
      </c>
      <c r="AR576" s="16" t="s">
        <v>151</v>
      </c>
      <c r="AS576" s="17" t="s">
        <v>11982</v>
      </c>
      <c r="AT576" s="17" t="s">
        <v>11983</v>
      </c>
      <c r="AU576" s="18">
        <v>8</v>
      </c>
      <c r="AV576" s="17" t="s">
        <v>151</v>
      </c>
      <c r="AW576" s="17" t="s">
        <v>151</v>
      </c>
      <c r="AX576" s="17" t="s">
        <v>151</v>
      </c>
      <c r="AY576" s="17" t="s">
        <v>11984</v>
      </c>
      <c r="AZ576" s="17" t="s">
        <v>151</v>
      </c>
      <c r="BA576" s="17" t="s">
        <v>151</v>
      </c>
      <c r="BB576" s="17" t="s">
        <v>151</v>
      </c>
      <c r="BC576" s="17" t="s">
        <v>151</v>
      </c>
      <c r="BD576" s="17" t="s">
        <v>11985</v>
      </c>
      <c r="BE576" s="17" t="s">
        <v>11986</v>
      </c>
      <c r="BF576" s="17" t="s">
        <v>403</v>
      </c>
      <c r="BG576" s="17" t="s">
        <v>11987</v>
      </c>
      <c r="BH576" s="17" t="s">
        <v>151</v>
      </c>
      <c r="BI576" s="17" t="s">
        <v>906</v>
      </c>
      <c r="BJ576" s="17" t="s">
        <v>11988</v>
      </c>
      <c r="BK576" s="17" t="s">
        <v>11989</v>
      </c>
      <c r="BL576" s="17" t="s">
        <v>259</v>
      </c>
      <c r="BM576" s="17" t="s">
        <v>259</v>
      </c>
      <c r="BN576" s="16" t="s">
        <v>1123</v>
      </c>
      <c r="BO576" s="17" t="s">
        <v>186</v>
      </c>
      <c r="BP576" s="16" t="s">
        <v>151</v>
      </c>
      <c r="BQ576" s="16" t="s">
        <v>151</v>
      </c>
      <c r="BR576" s="17" t="s">
        <v>11990</v>
      </c>
      <c r="BS576" s="17" t="s">
        <v>187</v>
      </c>
      <c r="BT576" s="17" t="s">
        <v>188</v>
      </c>
      <c r="BU576" s="22">
        <v>43859</v>
      </c>
      <c r="BV576" s="24">
        <v>2.8</v>
      </c>
      <c r="BW576" s="17" t="s">
        <v>192</v>
      </c>
      <c r="BX576" s="24" t="s">
        <v>151</v>
      </c>
      <c r="BY576" s="17" t="s">
        <v>151</v>
      </c>
      <c r="BZ576" s="17" t="s">
        <v>231</v>
      </c>
      <c r="CA576" s="17" t="s">
        <v>151</v>
      </c>
      <c r="CB576" s="17" t="s">
        <v>151</v>
      </c>
      <c r="CC576" s="17" t="s">
        <v>165</v>
      </c>
      <c r="CD576" s="17" t="s">
        <v>151</v>
      </c>
      <c r="CE576" s="17" t="s">
        <v>191</v>
      </c>
      <c r="CF576" s="22">
        <v>44713</v>
      </c>
      <c r="CG576" s="24">
        <v>5</v>
      </c>
      <c r="CH576" s="17" t="s">
        <v>192</v>
      </c>
      <c r="CI576" s="24" t="s">
        <v>151</v>
      </c>
      <c r="CJ576" s="17" t="s">
        <v>151</v>
      </c>
      <c r="CK576" s="16" t="s">
        <v>151</v>
      </c>
      <c r="CL576" s="17" t="s">
        <v>231</v>
      </c>
      <c r="CM576" s="17" t="s">
        <v>151</v>
      </c>
      <c r="CN576" s="17" t="s">
        <v>151</v>
      </c>
      <c r="CO576" s="17" t="s">
        <v>165</v>
      </c>
      <c r="CP576" s="22">
        <v>44713</v>
      </c>
      <c r="CQ576" s="24" t="s">
        <v>151</v>
      </c>
      <c r="CR576" s="17" t="s">
        <v>151</v>
      </c>
      <c r="CS576" s="17" t="s">
        <v>191</v>
      </c>
      <c r="CT576" s="16">
        <v>77</v>
      </c>
      <c r="CU576" s="17" t="s">
        <v>196</v>
      </c>
      <c r="CV576" s="19">
        <v>71</v>
      </c>
      <c r="CW576" s="19">
        <v>29</v>
      </c>
      <c r="CX576" s="17" t="s">
        <v>294</v>
      </c>
      <c r="CY576" s="19">
        <v>1</v>
      </c>
      <c r="CZ576" s="19">
        <v>70</v>
      </c>
      <c r="DA576" s="24" t="s">
        <v>151</v>
      </c>
      <c r="DB576" s="22" t="s">
        <v>151</v>
      </c>
      <c r="DC576" s="17" t="s">
        <v>151</v>
      </c>
      <c r="DD576" s="16" t="s">
        <v>151</v>
      </c>
      <c r="DE576" s="19">
        <v>0.61</v>
      </c>
      <c r="DF576" s="21">
        <v>94</v>
      </c>
      <c r="DG576" s="19">
        <v>-0.07</v>
      </c>
      <c r="DH576" s="19">
        <v>-10.16</v>
      </c>
      <c r="DI576" s="19">
        <v>0.61</v>
      </c>
      <c r="DJ576" s="21">
        <v>95</v>
      </c>
      <c r="DK576" s="19">
        <v>-0.04</v>
      </c>
      <c r="DL576" s="21">
        <v>11</v>
      </c>
      <c r="DM576" s="19">
        <v>1.25</v>
      </c>
      <c r="DN576" s="21">
        <v>97</v>
      </c>
      <c r="DO576" s="23">
        <v>1079.19</v>
      </c>
      <c r="DP576" s="21">
        <v>100</v>
      </c>
      <c r="DQ576" s="23">
        <v>0.03</v>
      </c>
      <c r="DR576" s="19">
        <v>0</v>
      </c>
      <c r="DS576" s="23">
        <v>1079.19</v>
      </c>
      <c r="DT576" s="21">
        <v>100</v>
      </c>
      <c r="DU576" s="23">
        <v>2123.97</v>
      </c>
      <c r="DV576" s="21">
        <v>100</v>
      </c>
      <c r="DW576" s="23">
        <v>34.42</v>
      </c>
      <c r="DX576" s="21">
        <v>97</v>
      </c>
      <c r="DY576" s="18" t="s">
        <v>151</v>
      </c>
      <c r="DZ576" s="22" t="s">
        <v>151</v>
      </c>
      <c r="EA576" s="22" t="s">
        <v>151</v>
      </c>
      <c r="EB576" s="21">
        <v>438372</v>
      </c>
      <c r="EC576" s="20">
        <v>-2506</v>
      </c>
      <c r="ED576" s="19">
        <v>-0.57</v>
      </c>
      <c r="EE576" s="21">
        <v>654</v>
      </c>
      <c r="EF576" s="20">
        <v>4</v>
      </c>
      <c r="EG576" s="19">
        <v>0.62</v>
      </c>
      <c r="EH576" s="16" t="s">
        <v>198</v>
      </c>
      <c r="EI576" s="17" t="s">
        <v>151</v>
      </c>
      <c r="EJ576" s="17" t="s">
        <v>151</v>
      </c>
      <c r="EK576" s="18" t="s">
        <v>151</v>
      </c>
      <c r="EL576" s="18" t="s">
        <v>151</v>
      </c>
      <c r="EM576" s="18" t="s">
        <v>151</v>
      </c>
      <c r="EN576" s="18" t="s">
        <v>151</v>
      </c>
      <c r="EO576" s="18" t="s">
        <v>151</v>
      </c>
      <c r="EP576" s="17" t="s">
        <v>151</v>
      </c>
      <c r="EQ576" s="16" t="s">
        <v>151</v>
      </c>
      <c r="ER576" s="16" t="s">
        <v>151</v>
      </c>
      <c r="ES576" s="3">
        <f>HYPERLINK("https://my.pitchbook.com?c=437795-83","View Company Online")</f>
      </c>
    </row>
    <row r="577">
      <c r="A577" s="30" t="s">
        <v>11991</v>
      </c>
      <c r="B577" s="30" t="s">
        <v>11992</v>
      </c>
      <c r="C577" s="31" t="s">
        <v>151</v>
      </c>
      <c r="D577" s="30" t="s">
        <v>151</v>
      </c>
      <c r="E577" s="30" t="s">
        <v>11993</v>
      </c>
      <c r="F577" s="30" t="s">
        <v>11994</v>
      </c>
      <c r="G577" s="30" t="s">
        <v>151</v>
      </c>
      <c r="H577" s="30" t="s">
        <v>151</v>
      </c>
      <c r="I577" s="30" t="s">
        <v>151</v>
      </c>
      <c r="J577" s="30" t="s">
        <v>11991</v>
      </c>
      <c r="K577" s="30" t="s">
        <v>11995</v>
      </c>
      <c r="L577" s="30" t="s">
        <v>205</v>
      </c>
      <c r="M577" s="30" t="s">
        <v>206</v>
      </c>
      <c r="N577" s="30" t="s">
        <v>776</v>
      </c>
      <c r="O577" s="30" t="s">
        <v>4204</v>
      </c>
      <c r="P577" s="30" t="s">
        <v>919</v>
      </c>
      <c r="Q577" s="30" t="s">
        <v>11996</v>
      </c>
      <c r="R577" s="30" t="s">
        <v>1207</v>
      </c>
      <c r="S577" s="30" t="s">
        <v>162</v>
      </c>
      <c r="T577" s="37">
        <v>0.47</v>
      </c>
      <c r="U577" s="30" t="s">
        <v>163</v>
      </c>
      <c r="V577" s="30" t="s">
        <v>164</v>
      </c>
      <c r="W577" s="30" t="s">
        <v>165</v>
      </c>
      <c r="X577" s="28" t="s">
        <v>11997</v>
      </c>
      <c r="Y577" s="28" t="s">
        <v>11998</v>
      </c>
      <c r="Z577" s="40">
        <v>7</v>
      </c>
      <c r="AA577" s="30" t="s">
        <v>11999</v>
      </c>
      <c r="AB577" s="30" t="s">
        <v>151</v>
      </c>
      <c r="AC577" s="30" t="s">
        <v>151</v>
      </c>
      <c r="AD577" s="39">
        <v>2019</v>
      </c>
      <c r="AE577" s="30" t="s">
        <v>151</v>
      </c>
      <c r="AF577" s="35">
        <v>45596</v>
      </c>
      <c r="AG577" s="30" t="s">
        <v>151</v>
      </c>
      <c r="AH577" s="30" t="s">
        <v>151</v>
      </c>
      <c r="AI577" s="38" t="s">
        <v>151</v>
      </c>
      <c r="AJ577" s="32" t="s">
        <v>151</v>
      </c>
      <c r="AK577" s="38" t="s">
        <v>151</v>
      </c>
      <c r="AL577" s="38" t="s">
        <v>151</v>
      </c>
      <c r="AM577" s="38" t="s">
        <v>151</v>
      </c>
      <c r="AN577" s="38" t="s">
        <v>151</v>
      </c>
      <c r="AO577" s="38" t="s">
        <v>151</v>
      </c>
      <c r="AP577" s="38" t="s">
        <v>151</v>
      </c>
      <c r="AQ577" s="38" t="s">
        <v>151</v>
      </c>
      <c r="AR577" s="29" t="s">
        <v>151</v>
      </c>
      <c r="AS577" s="30" t="s">
        <v>12000</v>
      </c>
      <c r="AT577" s="30" t="s">
        <v>12001</v>
      </c>
      <c r="AU577" s="31">
        <v>6</v>
      </c>
      <c r="AV577" s="30" t="s">
        <v>151</v>
      </c>
      <c r="AW577" s="30" t="s">
        <v>151</v>
      </c>
      <c r="AX577" s="30" t="s">
        <v>151</v>
      </c>
      <c r="AY577" s="30" t="s">
        <v>12002</v>
      </c>
      <c r="AZ577" s="30" t="s">
        <v>151</v>
      </c>
      <c r="BA577" s="30" t="s">
        <v>151</v>
      </c>
      <c r="BB577" s="30" t="s">
        <v>151</v>
      </c>
      <c r="BC577" s="30" t="s">
        <v>151</v>
      </c>
      <c r="BD577" s="30" t="s">
        <v>12003</v>
      </c>
      <c r="BE577" s="30" t="s">
        <v>12004</v>
      </c>
      <c r="BF577" s="30" t="s">
        <v>221</v>
      </c>
      <c r="BG577" s="30" t="s">
        <v>12005</v>
      </c>
      <c r="BH577" s="30" t="s">
        <v>12006</v>
      </c>
      <c r="BI577" s="30" t="s">
        <v>578</v>
      </c>
      <c r="BJ577" s="30" t="s">
        <v>5408</v>
      </c>
      <c r="BK577" s="30" t="s">
        <v>5409</v>
      </c>
      <c r="BL577" s="30" t="s">
        <v>581</v>
      </c>
      <c r="BM577" s="30" t="s">
        <v>582</v>
      </c>
      <c r="BN577" s="29" t="s">
        <v>2743</v>
      </c>
      <c r="BO577" s="30" t="s">
        <v>186</v>
      </c>
      <c r="BP577" s="29" t="s">
        <v>12006</v>
      </c>
      <c r="BQ577" s="29" t="s">
        <v>151</v>
      </c>
      <c r="BR577" s="30" t="s">
        <v>12007</v>
      </c>
      <c r="BS577" s="30" t="s">
        <v>187</v>
      </c>
      <c r="BT577" s="30" t="s">
        <v>188</v>
      </c>
      <c r="BU577" s="35">
        <v>43831</v>
      </c>
      <c r="BV577" s="37">
        <v>0.15</v>
      </c>
      <c r="BW577" s="30" t="s">
        <v>192</v>
      </c>
      <c r="BX577" s="37" t="s">
        <v>151</v>
      </c>
      <c r="BY577" s="30" t="s">
        <v>151</v>
      </c>
      <c r="BZ577" s="30" t="s">
        <v>189</v>
      </c>
      <c r="CA577" s="30" t="s">
        <v>151</v>
      </c>
      <c r="CB577" s="30" t="s">
        <v>151</v>
      </c>
      <c r="CC577" s="30" t="s">
        <v>190</v>
      </c>
      <c r="CD577" s="30" t="s">
        <v>151</v>
      </c>
      <c r="CE577" s="30" t="s">
        <v>191</v>
      </c>
      <c r="CF577" s="35">
        <v>45496</v>
      </c>
      <c r="CG577" s="37" t="s">
        <v>151</v>
      </c>
      <c r="CH577" s="30" t="s">
        <v>151</v>
      </c>
      <c r="CI577" s="37" t="s">
        <v>151</v>
      </c>
      <c r="CJ577" s="30" t="s">
        <v>151</v>
      </c>
      <c r="CK577" s="29" t="s">
        <v>151</v>
      </c>
      <c r="CL577" s="30" t="s">
        <v>189</v>
      </c>
      <c r="CM577" s="30" t="s">
        <v>151</v>
      </c>
      <c r="CN577" s="30" t="s">
        <v>151</v>
      </c>
      <c r="CO577" s="30" t="s">
        <v>190</v>
      </c>
      <c r="CP577" s="35">
        <v>45496</v>
      </c>
      <c r="CQ577" s="37" t="s">
        <v>151</v>
      </c>
      <c r="CR577" s="30" t="s">
        <v>151</v>
      </c>
      <c r="CS577" s="30" t="s">
        <v>191</v>
      </c>
      <c r="CT577" s="29" t="s">
        <v>151</v>
      </c>
      <c r="CU577" s="30" t="s">
        <v>151</v>
      </c>
      <c r="CV577" s="32" t="s">
        <v>151</v>
      </c>
      <c r="CW577" s="32" t="s">
        <v>151</v>
      </c>
      <c r="CX577" s="30" t="s">
        <v>151</v>
      </c>
      <c r="CY577" s="32" t="s">
        <v>151</v>
      </c>
      <c r="CZ577" s="32" t="s">
        <v>151</v>
      </c>
      <c r="DA577" s="37" t="s">
        <v>151</v>
      </c>
      <c r="DB577" s="35" t="s">
        <v>151</v>
      </c>
      <c r="DC577" s="30" t="s">
        <v>151</v>
      </c>
      <c r="DD577" s="29" t="s">
        <v>151</v>
      </c>
      <c r="DE577" s="32">
        <v>-0.12</v>
      </c>
      <c r="DF577" s="34">
        <v>10</v>
      </c>
      <c r="DG577" s="32">
        <v>0</v>
      </c>
      <c r="DH577" s="32">
        <v>0</v>
      </c>
      <c r="DI577" s="32">
        <v>-0.24</v>
      </c>
      <c r="DJ577" s="34">
        <v>9</v>
      </c>
      <c r="DK577" s="32" t="s">
        <v>151</v>
      </c>
      <c r="DL577" s="34" t="s">
        <v>151</v>
      </c>
      <c r="DM577" s="32">
        <v>-0.24</v>
      </c>
      <c r="DN577" s="34">
        <v>9</v>
      </c>
      <c r="DO577" s="36">
        <v>4.24</v>
      </c>
      <c r="DP577" s="34">
        <v>80</v>
      </c>
      <c r="DQ577" s="36">
        <v>0</v>
      </c>
      <c r="DR577" s="32">
        <v>0</v>
      </c>
      <c r="DS577" s="36">
        <v>7.95</v>
      </c>
      <c r="DT577" s="34">
        <v>88</v>
      </c>
      <c r="DU577" s="36" t="s">
        <v>151</v>
      </c>
      <c r="DV577" s="34" t="s">
        <v>151</v>
      </c>
      <c r="DW577" s="36">
        <v>7.95</v>
      </c>
      <c r="DX577" s="34">
        <v>87</v>
      </c>
      <c r="DY577" s="31" t="s">
        <v>151</v>
      </c>
      <c r="DZ577" s="35" t="s">
        <v>151</v>
      </c>
      <c r="EA577" s="35" t="s">
        <v>151</v>
      </c>
      <c r="EB577" s="34">
        <v>249</v>
      </c>
      <c r="EC577" s="33">
        <v>-41</v>
      </c>
      <c r="ED577" s="32">
        <v>-14.14</v>
      </c>
      <c r="EE577" s="34">
        <v>151</v>
      </c>
      <c r="EF577" s="33">
        <v>0</v>
      </c>
      <c r="EG577" s="32">
        <v>0</v>
      </c>
      <c r="EH577" s="29" t="s">
        <v>198</v>
      </c>
      <c r="EI577" s="30" t="s">
        <v>151</v>
      </c>
      <c r="EJ577" s="30" t="s">
        <v>151</v>
      </c>
      <c r="EK577" s="31" t="s">
        <v>151</v>
      </c>
      <c r="EL577" s="31" t="s">
        <v>151</v>
      </c>
      <c r="EM577" s="31" t="s">
        <v>151</v>
      </c>
      <c r="EN577" s="31" t="s">
        <v>151</v>
      </c>
      <c r="EO577" s="31" t="s">
        <v>151</v>
      </c>
      <c r="EP577" s="30" t="s">
        <v>151</v>
      </c>
      <c r="EQ577" s="29" t="s">
        <v>151</v>
      </c>
      <c r="ER577" s="29" t="s">
        <v>151</v>
      </c>
      <c r="ES577" s="4">
        <f>HYPERLINK("https://my.pitchbook.com?c=437463-46","View Company Online")</f>
      </c>
    </row>
    <row r="578">
      <c r="A578" s="17" t="s">
        <v>12008</v>
      </c>
      <c r="B578" s="17" t="s">
        <v>12009</v>
      </c>
      <c r="C578" s="18" t="s">
        <v>151</v>
      </c>
      <c r="D578" s="17" t="s">
        <v>151</v>
      </c>
      <c r="E578" s="17" t="s">
        <v>151</v>
      </c>
      <c r="F578" s="17" t="s">
        <v>12010</v>
      </c>
      <c r="G578" s="17" t="s">
        <v>151</v>
      </c>
      <c r="H578" s="17" t="s">
        <v>151</v>
      </c>
      <c r="I578" s="17" t="s">
        <v>151</v>
      </c>
      <c r="J578" s="17" t="s">
        <v>12008</v>
      </c>
      <c r="K578" s="17" t="s">
        <v>12011</v>
      </c>
      <c r="L578" s="17" t="s">
        <v>205</v>
      </c>
      <c r="M578" s="17" t="s">
        <v>206</v>
      </c>
      <c r="N578" s="17" t="s">
        <v>269</v>
      </c>
      <c r="O578" s="17" t="s">
        <v>12012</v>
      </c>
      <c r="P578" s="17" t="s">
        <v>8372</v>
      </c>
      <c r="Q578" s="17" t="s">
        <v>12013</v>
      </c>
      <c r="R578" s="17" t="s">
        <v>151</v>
      </c>
      <c r="S578" s="17" t="s">
        <v>162</v>
      </c>
      <c r="T578" s="24">
        <v>1.21</v>
      </c>
      <c r="U578" s="17" t="s">
        <v>163</v>
      </c>
      <c r="V578" s="17" t="s">
        <v>164</v>
      </c>
      <c r="W578" s="17" t="s">
        <v>165</v>
      </c>
      <c r="X578" s="15" t="s">
        <v>12014</v>
      </c>
      <c r="Y578" s="15" t="s">
        <v>12015</v>
      </c>
      <c r="Z578" s="27">
        <v>7</v>
      </c>
      <c r="AA578" s="17" t="s">
        <v>12016</v>
      </c>
      <c r="AB578" s="17" t="s">
        <v>151</v>
      </c>
      <c r="AC578" s="17" t="s">
        <v>151</v>
      </c>
      <c r="AD578" s="26">
        <v>2019</v>
      </c>
      <c r="AE578" s="17" t="s">
        <v>151</v>
      </c>
      <c r="AF578" s="22">
        <v>45320</v>
      </c>
      <c r="AG578" s="17" t="s">
        <v>151</v>
      </c>
      <c r="AH578" s="17" t="s">
        <v>151</v>
      </c>
      <c r="AI578" s="25" t="s">
        <v>151</v>
      </c>
      <c r="AJ578" s="19" t="s">
        <v>151</v>
      </c>
      <c r="AK578" s="25" t="s">
        <v>151</v>
      </c>
      <c r="AL578" s="25" t="s">
        <v>151</v>
      </c>
      <c r="AM578" s="25" t="s">
        <v>151</v>
      </c>
      <c r="AN578" s="25" t="s">
        <v>151</v>
      </c>
      <c r="AO578" s="25" t="s">
        <v>151</v>
      </c>
      <c r="AP578" s="25" t="s">
        <v>151</v>
      </c>
      <c r="AQ578" s="25" t="s">
        <v>151</v>
      </c>
      <c r="AR578" s="16" t="s">
        <v>151</v>
      </c>
      <c r="AS578" s="17" t="s">
        <v>12017</v>
      </c>
      <c r="AT578" s="17" t="s">
        <v>12018</v>
      </c>
      <c r="AU578" s="18">
        <v>1</v>
      </c>
      <c r="AV578" s="17" t="s">
        <v>151</v>
      </c>
      <c r="AW578" s="17" t="s">
        <v>151</v>
      </c>
      <c r="AX578" s="17" t="s">
        <v>151</v>
      </c>
      <c r="AY578" s="17" t="s">
        <v>12019</v>
      </c>
      <c r="AZ578" s="17" t="s">
        <v>151</v>
      </c>
      <c r="BA578" s="17" t="s">
        <v>151</v>
      </c>
      <c r="BB578" s="17" t="s">
        <v>151</v>
      </c>
      <c r="BC578" s="17" t="s">
        <v>151</v>
      </c>
      <c r="BD578" s="17" t="s">
        <v>12020</v>
      </c>
      <c r="BE578" s="17" t="s">
        <v>12021</v>
      </c>
      <c r="BF578" s="17" t="s">
        <v>2585</v>
      </c>
      <c r="BG578" s="17" t="s">
        <v>12022</v>
      </c>
      <c r="BH578" s="17" t="s">
        <v>12023</v>
      </c>
      <c r="BI578" s="17" t="s">
        <v>12024</v>
      </c>
      <c r="BJ578" s="17" t="s">
        <v>12025</v>
      </c>
      <c r="BK578" s="17" t="s">
        <v>12026</v>
      </c>
      <c r="BL578" s="17" t="s">
        <v>12027</v>
      </c>
      <c r="BM578" s="17" t="s">
        <v>2190</v>
      </c>
      <c r="BN578" s="16" t="s">
        <v>12028</v>
      </c>
      <c r="BO578" s="17" t="s">
        <v>186</v>
      </c>
      <c r="BP578" s="16" t="s">
        <v>12029</v>
      </c>
      <c r="BQ578" s="16" t="s">
        <v>151</v>
      </c>
      <c r="BR578" s="17" t="s">
        <v>12030</v>
      </c>
      <c r="BS578" s="17" t="s">
        <v>187</v>
      </c>
      <c r="BT578" s="17" t="s">
        <v>188</v>
      </c>
      <c r="BU578" s="22">
        <v>44055</v>
      </c>
      <c r="BV578" s="24">
        <v>0.21</v>
      </c>
      <c r="BW578" s="17" t="s">
        <v>192</v>
      </c>
      <c r="BX578" s="24" t="s">
        <v>151</v>
      </c>
      <c r="BY578" s="17" t="s">
        <v>151</v>
      </c>
      <c r="BZ578" s="17" t="s">
        <v>1075</v>
      </c>
      <c r="CA578" s="17" t="s">
        <v>1075</v>
      </c>
      <c r="CB578" s="17" t="s">
        <v>151</v>
      </c>
      <c r="CC578" s="17" t="s">
        <v>585</v>
      </c>
      <c r="CD578" s="17" t="s">
        <v>151</v>
      </c>
      <c r="CE578" s="17" t="s">
        <v>191</v>
      </c>
      <c r="CF578" s="22">
        <v>45317</v>
      </c>
      <c r="CG578" s="24">
        <v>0.3</v>
      </c>
      <c r="CH578" s="17" t="s">
        <v>192</v>
      </c>
      <c r="CI578" s="24" t="s">
        <v>151</v>
      </c>
      <c r="CJ578" s="17" t="s">
        <v>151</v>
      </c>
      <c r="CK578" s="16" t="s">
        <v>151</v>
      </c>
      <c r="CL578" s="17" t="s">
        <v>231</v>
      </c>
      <c r="CM578" s="17" t="s">
        <v>151</v>
      </c>
      <c r="CN578" s="17" t="s">
        <v>151</v>
      </c>
      <c r="CO578" s="17" t="s">
        <v>165</v>
      </c>
      <c r="CP578" s="22">
        <v>45317</v>
      </c>
      <c r="CQ578" s="24" t="s">
        <v>151</v>
      </c>
      <c r="CR578" s="17" t="s">
        <v>151</v>
      </c>
      <c r="CS578" s="17" t="s">
        <v>191</v>
      </c>
      <c r="CT578" s="16">
        <v>35</v>
      </c>
      <c r="CU578" s="17" t="s">
        <v>263</v>
      </c>
      <c r="CV578" s="19">
        <v>35</v>
      </c>
      <c r="CW578" s="19">
        <v>65</v>
      </c>
      <c r="CX578" s="17" t="s">
        <v>263</v>
      </c>
      <c r="CY578" s="19">
        <v>1</v>
      </c>
      <c r="CZ578" s="19">
        <v>34</v>
      </c>
      <c r="DA578" s="24" t="s">
        <v>151</v>
      </c>
      <c r="DB578" s="22" t="s">
        <v>151</v>
      </c>
      <c r="DC578" s="17" t="s">
        <v>151</v>
      </c>
      <c r="DD578" s="16" t="s">
        <v>151</v>
      </c>
      <c r="DE578" s="19" t="s">
        <v>151</v>
      </c>
      <c r="DF578" s="21" t="s">
        <v>151</v>
      </c>
      <c r="DG578" s="19" t="s">
        <v>151</v>
      </c>
      <c r="DH578" s="19" t="s">
        <v>151</v>
      </c>
      <c r="DI578" s="19" t="s">
        <v>151</v>
      </c>
      <c r="DJ578" s="21" t="s">
        <v>151</v>
      </c>
      <c r="DK578" s="19" t="s">
        <v>151</v>
      </c>
      <c r="DL578" s="21" t="s">
        <v>151</v>
      </c>
      <c r="DM578" s="19" t="s">
        <v>151</v>
      </c>
      <c r="DN578" s="21" t="s">
        <v>151</v>
      </c>
      <c r="DO578" s="23" t="s">
        <v>151</v>
      </c>
      <c r="DP578" s="21" t="s">
        <v>151</v>
      </c>
      <c r="DQ578" s="23" t="s">
        <v>151</v>
      </c>
      <c r="DR578" s="19" t="s">
        <v>151</v>
      </c>
      <c r="DS578" s="23" t="s">
        <v>151</v>
      </c>
      <c r="DT578" s="21" t="s">
        <v>151</v>
      </c>
      <c r="DU578" s="23" t="s">
        <v>151</v>
      </c>
      <c r="DV578" s="21" t="s">
        <v>151</v>
      </c>
      <c r="DW578" s="23" t="s">
        <v>151</v>
      </c>
      <c r="DX578" s="21" t="s">
        <v>151</v>
      </c>
      <c r="DY578" s="18" t="s">
        <v>151</v>
      </c>
      <c r="DZ578" s="22" t="s">
        <v>151</v>
      </c>
      <c r="EA578" s="22" t="s">
        <v>151</v>
      </c>
      <c r="EB578" s="21" t="s">
        <v>151</v>
      </c>
      <c r="EC578" s="20" t="s">
        <v>151</v>
      </c>
      <c r="ED578" s="19" t="s">
        <v>151</v>
      </c>
      <c r="EE578" s="21" t="s">
        <v>151</v>
      </c>
      <c r="EF578" s="20" t="s">
        <v>151</v>
      </c>
      <c r="EG578" s="19" t="s">
        <v>151</v>
      </c>
      <c r="EH578" s="16" t="s">
        <v>198</v>
      </c>
      <c r="EI578" s="17" t="s">
        <v>151</v>
      </c>
      <c r="EJ578" s="17" t="s">
        <v>151</v>
      </c>
      <c r="EK578" s="18" t="s">
        <v>151</v>
      </c>
      <c r="EL578" s="18" t="s">
        <v>151</v>
      </c>
      <c r="EM578" s="18" t="s">
        <v>151</v>
      </c>
      <c r="EN578" s="18" t="s">
        <v>151</v>
      </c>
      <c r="EO578" s="18" t="s">
        <v>151</v>
      </c>
      <c r="EP578" s="17" t="s">
        <v>151</v>
      </c>
      <c r="EQ578" s="16" t="s">
        <v>151</v>
      </c>
      <c r="ER578" s="16" t="s">
        <v>151</v>
      </c>
      <c r="ES578" s="3">
        <f>HYPERLINK("https://my.pitchbook.com?c=438057-37","View Company Online")</f>
      </c>
    </row>
    <row r="579">
      <c r="A579" s="30" t="s">
        <v>12031</v>
      </c>
      <c r="B579" s="30" t="s">
        <v>12032</v>
      </c>
      <c r="C579" s="31" t="s">
        <v>151</v>
      </c>
      <c r="D579" s="30" t="s">
        <v>151</v>
      </c>
      <c r="E579" s="30" t="s">
        <v>12033</v>
      </c>
      <c r="F579" s="30" t="s">
        <v>12034</v>
      </c>
      <c r="G579" s="30" t="s">
        <v>151</v>
      </c>
      <c r="H579" s="30" t="s">
        <v>151</v>
      </c>
      <c r="I579" s="30" t="s">
        <v>12035</v>
      </c>
      <c r="J579" s="30" t="s">
        <v>12031</v>
      </c>
      <c r="K579" s="30" t="s">
        <v>12036</v>
      </c>
      <c r="L579" s="30" t="s">
        <v>205</v>
      </c>
      <c r="M579" s="30" t="s">
        <v>206</v>
      </c>
      <c r="N579" s="30" t="s">
        <v>1268</v>
      </c>
      <c r="O579" s="30" t="s">
        <v>12037</v>
      </c>
      <c r="P579" s="30" t="s">
        <v>1205</v>
      </c>
      <c r="Q579" s="30" t="s">
        <v>12038</v>
      </c>
      <c r="R579" s="30" t="s">
        <v>151</v>
      </c>
      <c r="S579" s="30" t="s">
        <v>162</v>
      </c>
      <c r="T579" s="37">
        <v>80</v>
      </c>
      <c r="U579" s="30" t="s">
        <v>163</v>
      </c>
      <c r="V579" s="30" t="s">
        <v>164</v>
      </c>
      <c r="W579" s="30" t="s">
        <v>165</v>
      </c>
      <c r="X579" s="28" t="s">
        <v>12039</v>
      </c>
      <c r="Y579" s="28" t="s">
        <v>12040</v>
      </c>
      <c r="Z579" s="40">
        <v>89</v>
      </c>
      <c r="AA579" s="30" t="s">
        <v>12041</v>
      </c>
      <c r="AB579" s="30" t="s">
        <v>151</v>
      </c>
      <c r="AC579" s="30" t="s">
        <v>151</v>
      </c>
      <c r="AD579" s="39">
        <v>2018</v>
      </c>
      <c r="AE579" s="30" t="s">
        <v>151</v>
      </c>
      <c r="AF579" s="35">
        <v>45568</v>
      </c>
      <c r="AG579" s="30" t="s">
        <v>151</v>
      </c>
      <c r="AH579" s="30" t="s">
        <v>151</v>
      </c>
      <c r="AI579" s="38" t="s">
        <v>151</v>
      </c>
      <c r="AJ579" s="32" t="s">
        <v>151</v>
      </c>
      <c r="AK579" s="38" t="s">
        <v>151</v>
      </c>
      <c r="AL579" s="38" t="s">
        <v>151</v>
      </c>
      <c r="AM579" s="38" t="s">
        <v>151</v>
      </c>
      <c r="AN579" s="38" t="s">
        <v>151</v>
      </c>
      <c r="AO579" s="38" t="s">
        <v>151</v>
      </c>
      <c r="AP579" s="38" t="s">
        <v>151</v>
      </c>
      <c r="AQ579" s="38" t="s">
        <v>151</v>
      </c>
      <c r="AR579" s="29" t="s">
        <v>151</v>
      </c>
      <c r="AS579" s="30" t="s">
        <v>12042</v>
      </c>
      <c r="AT579" s="30" t="s">
        <v>12043</v>
      </c>
      <c r="AU579" s="31">
        <v>13</v>
      </c>
      <c r="AV579" s="30" t="s">
        <v>151</v>
      </c>
      <c r="AW579" s="30" t="s">
        <v>151</v>
      </c>
      <c r="AX579" s="30" t="s">
        <v>151</v>
      </c>
      <c r="AY579" s="30" t="s">
        <v>12044</v>
      </c>
      <c r="AZ579" s="30" t="s">
        <v>151</v>
      </c>
      <c r="BA579" s="30" t="s">
        <v>151</v>
      </c>
      <c r="BB579" s="30" t="s">
        <v>151</v>
      </c>
      <c r="BC579" s="30" t="s">
        <v>151</v>
      </c>
      <c r="BD579" s="30" t="s">
        <v>12045</v>
      </c>
      <c r="BE579" s="30" t="s">
        <v>12046</v>
      </c>
      <c r="BF579" s="30" t="s">
        <v>493</v>
      </c>
      <c r="BG579" s="30" t="s">
        <v>12047</v>
      </c>
      <c r="BH579" s="30" t="s">
        <v>12048</v>
      </c>
      <c r="BI579" s="30" t="s">
        <v>906</v>
      </c>
      <c r="BJ579" s="30" t="s">
        <v>12049</v>
      </c>
      <c r="BK579" s="30" t="s">
        <v>151</v>
      </c>
      <c r="BL579" s="30" t="s">
        <v>259</v>
      </c>
      <c r="BM579" s="30" t="s">
        <v>259</v>
      </c>
      <c r="BN579" s="29" t="s">
        <v>12050</v>
      </c>
      <c r="BO579" s="30" t="s">
        <v>186</v>
      </c>
      <c r="BP579" s="29" t="s">
        <v>12048</v>
      </c>
      <c r="BQ579" s="29" t="s">
        <v>151</v>
      </c>
      <c r="BR579" s="30" t="s">
        <v>12051</v>
      </c>
      <c r="BS579" s="30" t="s">
        <v>187</v>
      </c>
      <c r="BT579" s="30" t="s">
        <v>188</v>
      </c>
      <c r="BU579" s="35">
        <v>43814</v>
      </c>
      <c r="BV579" s="37" t="s">
        <v>151</v>
      </c>
      <c r="BW579" s="30" t="s">
        <v>151</v>
      </c>
      <c r="BX579" s="37" t="s">
        <v>151</v>
      </c>
      <c r="BY579" s="30" t="s">
        <v>151</v>
      </c>
      <c r="BZ579" s="30" t="s">
        <v>189</v>
      </c>
      <c r="CA579" s="30" t="s">
        <v>151</v>
      </c>
      <c r="CB579" s="30" t="s">
        <v>151</v>
      </c>
      <c r="CC579" s="30" t="s">
        <v>190</v>
      </c>
      <c r="CD579" s="30" t="s">
        <v>151</v>
      </c>
      <c r="CE579" s="30" t="s">
        <v>191</v>
      </c>
      <c r="CF579" s="35">
        <v>44308</v>
      </c>
      <c r="CG579" s="37">
        <v>55</v>
      </c>
      <c r="CH579" s="30" t="s">
        <v>192</v>
      </c>
      <c r="CI579" s="37">
        <v>265</v>
      </c>
      <c r="CJ579" s="30" t="s">
        <v>192</v>
      </c>
      <c r="CK579" s="29">
        <v>3.82</v>
      </c>
      <c r="CL579" s="30" t="s">
        <v>231</v>
      </c>
      <c r="CM579" s="30" t="s">
        <v>326</v>
      </c>
      <c r="CN579" s="30" t="s">
        <v>151</v>
      </c>
      <c r="CO579" s="30" t="s">
        <v>165</v>
      </c>
      <c r="CP579" s="35">
        <v>44308</v>
      </c>
      <c r="CQ579" s="37" t="s">
        <v>151</v>
      </c>
      <c r="CR579" s="30" t="s">
        <v>151</v>
      </c>
      <c r="CS579" s="30" t="s">
        <v>191</v>
      </c>
      <c r="CT579" s="29">
        <v>89</v>
      </c>
      <c r="CU579" s="30" t="s">
        <v>196</v>
      </c>
      <c r="CV579" s="32">
        <v>95</v>
      </c>
      <c r="CW579" s="32">
        <v>5</v>
      </c>
      <c r="CX579" s="30" t="s">
        <v>294</v>
      </c>
      <c r="CY579" s="32">
        <v>20</v>
      </c>
      <c r="CZ579" s="32">
        <v>75</v>
      </c>
      <c r="DA579" s="37">
        <v>265</v>
      </c>
      <c r="DB579" s="35">
        <v>44308</v>
      </c>
      <c r="DC579" s="30" t="s">
        <v>231</v>
      </c>
      <c r="DD579" s="29">
        <v>3.82</v>
      </c>
      <c r="DE579" s="32">
        <v>0.01</v>
      </c>
      <c r="DF579" s="34">
        <v>90</v>
      </c>
      <c r="DG579" s="32">
        <v>0</v>
      </c>
      <c r="DH579" s="32">
        <v>27.28</v>
      </c>
      <c r="DI579" s="32">
        <v>-0.14</v>
      </c>
      <c r="DJ579" s="34">
        <v>9</v>
      </c>
      <c r="DK579" s="32" t="s">
        <v>151</v>
      </c>
      <c r="DL579" s="34" t="s">
        <v>151</v>
      </c>
      <c r="DM579" s="32">
        <v>-0.14</v>
      </c>
      <c r="DN579" s="34">
        <v>9</v>
      </c>
      <c r="DO579" s="36">
        <v>98.16</v>
      </c>
      <c r="DP579" s="34">
        <v>99</v>
      </c>
      <c r="DQ579" s="36">
        <v>0.13</v>
      </c>
      <c r="DR579" s="32">
        <v>0.13</v>
      </c>
      <c r="DS579" s="36">
        <v>61.16</v>
      </c>
      <c r="DT579" s="34">
        <v>99</v>
      </c>
      <c r="DU579" s="36" t="s">
        <v>151</v>
      </c>
      <c r="DV579" s="34" t="s">
        <v>151</v>
      </c>
      <c r="DW579" s="36">
        <v>61.16</v>
      </c>
      <c r="DX579" s="34">
        <v>99</v>
      </c>
      <c r="DY579" s="31" t="s">
        <v>151</v>
      </c>
      <c r="DZ579" s="35" t="s">
        <v>151</v>
      </c>
      <c r="EA579" s="35" t="s">
        <v>151</v>
      </c>
      <c r="EB579" s="34">
        <v>32001</v>
      </c>
      <c r="EC579" s="33">
        <v>-16</v>
      </c>
      <c r="ED579" s="32">
        <v>-0.05</v>
      </c>
      <c r="EE579" s="34">
        <v>1162</v>
      </c>
      <c r="EF579" s="33">
        <v>-1</v>
      </c>
      <c r="EG579" s="32">
        <v>-0.09</v>
      </c>
      <c r="EH579" s="29" t="s">
        <v>198</v>
      </c>
      <c r="EI579" s="30" t="s">
        <v>151</v>
      </c>
      <c r="EJ579" s="30" t="s">
        <v>151</v>
      </c>
      <c r="EK579" s="31" t="s">
        <v>151</v>
      </c>
      <c r="EL579" s="31" t="s">
        <v>151</v>
      </c>
      <c r="EM579" s="31" t="s">
        <v>151</v>
      </c>
      <c r="EN579" s="31" t="s">
        <v>151</v>
      </c>
      <c r="EO579" s="31" t="s">
        <v>151</v>
      </c>
      <c r="EP579" s="30" t="s">
        <v>151</v>
      </c>
      <c r="EQ579" s="29" t="s">
        <v>151</v>
      </c>
      <c r="ER579" s="29" t="s">
        <v>151</v>
      </c>
      <c r="ES579" s="4">
        <f>HYPERLINK("https://my.pitchbook.com?c=268586-83","View Company Online")</f>
      </c>
    </row>
    <row r="580">
      <c r="A580" s="17" t="s">
        <v>12052</v>
      </c>
      <c r="B580" s="17" t="s">
        <v>12053</v>
      </c>
      <c r="C580" s="18" t="s">
        <v>151</v>
      </c>
      <c r="D580" s="17" t="s">
        <v>151</v>
      </c>
      <c r="E580" s="17" t="s">
        <v>12054</v>
      </c>
      <c r="F580" s="17" t="s">
        <v>12055</v>
      </c>
      <c r="G580" s="17" t="s">
        <v>151</v>
      </c>
      <c r="H580" s="17" t="s">
        <v>151</v>
      </c>
      <c r="I580" s="17" t="s">
        <v>151</v>
      </c>
      <c r="J580" s="17" t="s">
        <v>12052</v>
      </c>
      <c r="K580" s="17" t="s">
        <v>12056</v>
      </c>
      <c r="L580" s="17" t="s">
        <v>205</v>
      </c>
      <c r="M580" s="17" t="s">
        <v>206</v>
      </c>
      <c r="N580" s="17" t="s">
        <v>269</v>
      </c>
      <c r="O580" s="17" t="s">
        <v>4883</v>
      </c>
      <c r="P580" s="17" t="s">
        <v>151</v>
      </c>
      <c r="Q580" s="17" t="s">
        <v>12057</v>
      </c>
      <c r="R580" s="17" t="s">
        <v>151</v>
      </c>
      <c r="S580" s="17" t="s">
        <v>162</v>
      </c>
      <c r="T580" s="24">
        <v>0.61</v>
      </c>
      <c r="U580" s="17" t="s">
        <v>163</v>
      </c>
      <c r="V580" s="17" t="s">
        <v>164</v>
      </c>
      <c r="W580" s="17" t="s">
        <v>165</v>
      </c>
      <c r="X580" s="15" t="s">
        <v>12058</v>
      </c>
      <c r="Y580" s="15" t="s">
        <v>12059</v>
      </c>
      <c r="Z580" s="27">
        <v>56</v>
      </c>
      <c r="AA580" s="17" t="s">
        <v>12060</v>
      </c>
      <c r="AB580" s="17" t="s">
        <v>151</v>
      </c>
      <c r="AC580" s="17" t="s">
        <v>151</v>
      </c>
      <c r="AD580" s="26">
        <v>2021</v>
      </c>
      <c r="AE580" s="17" t="s">
        <v>151</v>
      </c>
      <c r="AF580" s="22">
        <v>45604</v>
      </c>
      <c r="AG580" s="17" t="s">
        <v>151</v>
      </c>
      <c r="AH580" s="17" t="s">
        <v>151</v>
      </c>
      <c r="AI580" s="25" t="s">
        <v>151</v>
      </c>
      <c r="AJ580" s="19" t="s">
        <v>151</v>
      </c>
      <c r="AK580" s="25" t="s">
        <v>151</v>
      </c>
      <c r="AL580" s="25" t="s">
        <v>151</v>
      </c>
      <c r="AM580" s="25" t="s">
        <v>151</v>
      </c>
      <c r="AN580" s="25" t="s">
        <v>151</v>
      </c>
      <c r="AO580" s="25" t="s">
        <v>151</v>
      </c>
      <c r="AP580" s="25" t="s">
        <v>151</v>
      </c>
      <c r="AQ580" s="25" t="s">
        <v>151</v>
      </c>
      <c r="AR580" s="16" t="s">
        <v>151</v>
      </c>
      <c r="AS580" s="17" t="s">
        <v>12061</v>
      </c>
      <c r="AT580" s="17" t="s">
        <v>12062</v>
      </c>
      <c r="AU580" s="18">
        <v>6</v>
      </c>
      <c r="AV580" s="17" t="s">
        <v>151</v>
      </c>
      <c r="AW580" s="17" t="s">
        <v>151</v>
      </c>
      <c r="AX580" s="17" t="s">
        <v>151</v>
      </c>
      <c r="AY580" s="17" t="s">
        <v>12063</v>
      </c>
      <c r="AZ580" s="17" t="s">
        <v>151</v>
      </c>
      <c r="BA580" s="17" t="s">
        <v>151</v>
      </c>
      <c r="BB580" s="17" t="s">
        <v>151</v>
      </c>
      <c r="BC580" s="17" t="s">
        <v>151</v>
      </c>
      <c r="BD580" s="17" t="s">
        <v>12064</v>
      </c>
      <c r="BE580" s="17" t="s">
        <v>12065</v>
      </c>
      <c r="BF580" s="17" t="s">
        <v>1280</v>
      </c>
      <c r="BG580" s="17" t="s">
        <v>151</v>
      </c>
      <c r="BH580" s="17" t="s">
        <v>12066</v>
      </c>
      <c r="BI580" s="17" t="s">
        <v>906</v>
      </c>
      <c r="BJ580" s="17" t="s">
        <v>12067</v>
      </c>
      <c r="BK580" s="17" t="s">
        <v>2957</v>
      </c>
      <c r="BL580" s="17" t="s">
        <v>259</v>
      </c>
      <c r="BM580" s="17" t="s">
        <v>259</v>
      </c>
      <c r="BN580" s="16" t="s">
        <v>9247</v>
      </c>
      <c r="BO580" s="17" t="s">
        <v>186</v>
      </c>
      <c r="BP580" s="16" t="s">
        <v>12066</v>
      </c>
      <c r="BQ580" s="16" t="s">
        <v>151</v>
      </c>
      <c r="BR580" s="17" t="s">
        <v>12068</v>
      </c>
      <c r="BS580" s="17" t="s">
        <v>187</v>
      </c>
      <c r="BT580" s="17" t="s">
        <v>188</v>
      </c>
      <c r="BU580" s="22">
        <v>45321</v>
      </c>
      <c r="BV580" s="24">
        <v>0.61</v>
      </c>
      <c r="BW580" s="17" t="s">
        <v>192</v>
      </c>
      <c r="BX580" s="24" t="s">
        <v>151</v>
      </c>
      <c r="BY580" s="17" t="s">
        <v>151</v>
      </c>
      <c r="BZ580" s="17" t="s">
        <v>293</v>
      </c>
      <c r="CA580" s="17" t="s">
        <v>293</v>
      </c>
      <c r="CB580" s="17" t="s">
        <v>151</v>
      </c>
      <c r="CC580" s="17" t="s">
        <v>165</v>
      </c>
      <c r="CD580" s="17" t="s">
        <v>151</v>
      </c>
      <c r="CE580" s="17" t="s">
        <v>191</v>
      </c>
      <c r="CF580" s="22">
        <v>45321</v>
      </c>
      <c r="CG580" s="24">
        <v>0.61</v>
      </c>
      <c r="CH580" s="17" t="s">
        <v>192</v>
      </c>
      <c r="CI580" s="24" t="s">
        <v>151</v>
      </c>
      <c r="CJ580" s="17" t="s">
        <v>151</v>
      </c>
      <c r="CK580" s="16" t="s">
        <v>151</v>
      </c>
      <c r="CL580" s="17" t="s">
        <v>293</v>
      </c>
      <c r="CM580" s="17" t="s">
        <v>293</v>
      </c>
      <c r="CN580" s="17" t="s">
        <v>151</v>
      </c>
      <c r="CO580" s="17" t="s">
        <v>165</v>
      </c>
      <c r="CP580" s="22">
        <v>45321</v>
      </c>
      <c r="CQ580" s="24" t="s">
        <v>151</v>
      </c>
      <c r="CR580" s="17" t="s">
        <v>151</v>
      </c>
      <c r="CS580" s="17" t="s">
        <v>191</v>
      </c>
      <c r="CT580" s="16" t="s">
        <v>151</v>
      </c>
      <c r="CU580" s="17" t="s">
        <v>151</v>
      </c>
      <c r="CV580" s="19" t="s">
        <v>151</v>
      </c>
      <c r="CW580" s="19" t="s">
        <v>151</v>
      </c>
      <c r="CX580" s="17" t="s">
        <v>151</v>
      </c>
      <c r="CY580" s="19" t="s">
        <v>151</v>
      </c>
      <c r="CZ580" s="19" t="s">
        <v>151</v>
      </c>
      <c r="DA580" s="24" t="s">
        <v>151</v>
      </c>
      <c r="DB580" s="22" t="s">
        <v>151</v>
      </c>
      <c r="DC580" s="17" t="s">
        <v>151</v>
      </c>
      <c r="DD580" s="16" t="s">
        <v>151</v>
      </c>
      <c r="DE580" s="19" t="s">
        <v>151</v>
      </c>
      <c r="DF580" s="21" t="s">
        <v>151</v>
      </c>
      <c r="DG580" s="19" t="s">
        <v>151</v>
      </c>
      <c r="DH580" s="19" t="s">
        <v>151</v>
      </c>
      <c r="DI580" s="19" t="s">
        <v>151</v>
      </c>
      <c r="DJ580" s="21" t="s">
        <v>151</v>
      </c>
      <c r="DK580" s="19" t="s">
        <v>151</v>
      </c>
      <c r="DL580" s="21" t="s">
        <v>151</v>
      </c>
      <c r="DM580" s="19" t="s">
        <v>151</v>
      </c>
      <c r="DN580" s="21" t="s">
        <v>151</v>
      </c>
      <c r="DO580" s="23" t="s">
        <v>151</v>
      </c>
      <c r="DP580" s="21" t="s">
        <v>151</v>
      </c>
      <c r="DQ580" s="23" t="s">
        <v>151</v>
      </c>
      <c r="DR580" s="19" t="s">
        <v>151</v>
      </c>
      <c r="DS580" s="23" t="s">
        <v>151</v>
      </c>
      <c r="DT580" s="21" t="s">
        <v>151</v>
      </c>
      <c r="DU580" s="23" t="s">
        <v>151</v>
      </c>
      <c r="DV580" s="21" t="s">
        <v>151</v>
      </c>
      <c r="DW580" s="23" t="s">
        <v>151</v>
      </c>
      <c r="DX580" s="21" t="s">
        <v>151</v>
      </c>
      <c r="DY580" s="18" t="s">
        <v>151</v>
      </c>
      <c r="DZ580" s="22" t="s">
        <v>151</v>
      </c>
      <c r="EA580" s="22" t="s">
        <v>151</v>
      </c>
      <c r="EB580" s="21" t="s">
        <v>151</v>
      </c>
      <c r="EC580" s="20" t="s">
        <v>151</v>
      </c>
      <c r="ED580" s="19" t="s">
        <v>151</v>
      </c>
      <c r="EE580" s="21" t="s">
        <v>151</v>
      </c>
      <c r="EF580" s="20" t="s">
        <v>151</v>
      </c>
      <c r="EG580" s="19" t="s">
        <v>151</v>
      </c>
      <c r="EH580" s="16" t="s">
        <v>198</v>
      </c>
      <c r="EI580" s="17" t="s">
        <v>151</v>
      </c>
      <c r="EJ580" s="17" t="s">
        <v>151</v>
      </c>
      <c r="EK580" s="18" t="s">
        <v>151</v>
      </c>
      <c r="EL580" s="18" t="s">
        <v>151</v>
      </c>
      <c r="EM580" s="18" t="s">
        <v>151</v>
      </c>
      <c r="EN580" s="18" t="s">
        <v>151</v>
      </c>
      <c r="EO580" s="18" t="s">
        <v>151</v>
      </c>
      <c r="EP580" s="17" t="s">
        <v>151</v>
      </c>
      <c r="EQ580" s="16" t="s">
        <v>151</v>
      </c>
      <c r="ER580" s="16" t="s">
        <v>151</v>
      </c>
      <c r="ES580" s="3">
        <f>HYPERLINK("https://my.pitchbook.com?c=538116-76","View Company Online")</f>
      </c>
    </row>
    <row r="581">
      <c r="A581" s="30" t="s">
        <v>12069</v>
      </c>
      <c r="B581" s="30" t="s">
        <v>12070</v>
      </c>
      <c r="C581" s="31" t="s">
        <v>151</v>
      </c>
      <c r="D581" s="30" t="s">
        <v>151</v>
      </c>
      <c r="E581" s="30" t="s">
        <v>151</v>
      </c>
      <c r="F581" s="30" t="s">
        <v>151</v>
      </c>
      <c r="G581" s="30" t="s">
        <v>151</v>
      </c>
      <c r="H581" s="30" t="s">
        <v>151</v>
      </c>
      <c r="I581" s="30" t="s">
        <v>151</v>
      </c>
      <c r="J581" s="30" t="s">
        <v>12069</v>
      </c>
      <c r="K581" s="30" t="s">
        <v>12071</v>
      </c>
      <c r="L581" s="30" t="s">
        <v>155</v>
      </c>
      <c r="M581" s="30" t="s">
        <v>361</v>
      </c>
      <c r="N581" s="30" t="s">
        <v>362</v>
      </c>
      <c r="O581" s="30" t="s">
        <v>363</v>
      </c>
      <c r="P581" s="30" t="s">
        <v>2174</v>
      </c>
      <c r="Q581" s="30" t="s">
        <v>12072</v>
      </c>
      <c r="R581" s="30" t="s">
        <v>151</v>
      </c>
      <c r="S581" s="30" t="s">
        <v>162</v>
      </c>
      <c r="T581" s="37">
        <v>2.5</v>
      </c>
      <c r="U581" s="30" t="s">
        <v>163</v>
      </c>
      <c r="V581" s="30" t="s">
        <v>164</v>
      </c>
      <c r="W581" s="30" t="s">
        <v>165</v>
      </c>
      <c r="X581" s="28" t="s">
        <v>12073</v>
      </c>
      <c r="Y581" s="28" t="s">
        <v>12074</v>
      </c>
      <c r="Z581" s="40" t="s">
        <v>151</v>
      </c>
      <c r="AA581" s="30" t="s">
        <v>151</v>
      </c>
      <c r="AB581" s="30" t="s">
        <v>151</v>
      </c>
      <c r="AC581" s="30" t="s">
        <v>151</v>
      </c>
      <c r="AD581" s="39">
        <v>2020</v>
      </c>
      <c r="AE581" s="30" t="s">
        <v>151</v>
      </c>
      <c r="AF581" s="35">
        <v>45604</v>
      </c>
      <c r="AG581" s="30" t="s">
        <v>151</v>
      </c>
      <c r="AH581" s="30" t="s">
        <v>151</v>
      </c>
      <c r="AI581" s="38" t="s">
        <v>151</v>
      </c>
      <c r="AJ581" s="32" t="s">
        <v>151</v>
      </c>
      <c r="AK581" s="38" t="s">
        <v>151</v>
      </c>
      <c r="AL581" s="38" t="s">
        <v>151</v>
      </c>
      <c r="AM581" s="38" t="s">
        <v>151</v>
      </c>
      <c r="AN581" s="38" t="s">
        <v>151</v>
      </c>
      <c r="AO581" s="38" t="s">
        <v>151</v>
      </c>
      <c r="AP581" s="38" t="s">
        <v>151</v>
      </c>
      <c r="AQ581" s="38" t="s">
        <v>151</v>
      </c>
      <c r="AR581" s="29" t="s">
        <v>151</v>
      </c>
      <c r="AS581" s="30" t="s">
        <v>12075</v>
      </c>
      <c r="AT581" s="30" t="s">
        <v>12076</v>
      </c>
      <c r="AU581" s="31">
        <v>4</v>
      </c>
      <c r="AV581" s="30" t="s">
        <v>151</v>
      </c>
      <c r="AW581" s="30" t="s">
        <v>151</v>
      </c>
      <c r="AX581" s="30" t="s">
        <v>151</v>
      </c>
      <c r="AY581" s="30" t="s">
        <v>12077</v>
      </c>
      <c r="AZ581" s="30" t="s">
        <v>151</v>
      </c>
      <c r="BA581" s="30" t="s">
        <v>151</v>
      </c>
      <c r="BB581" s="30" t="s">
        <v>151</v>
      </c>
      <c r="BC581" s="30" t="s">
        <v>151</v>
      </c>
      <c r="BD581" s="30" t="s">
        <v>12078</v>
      </c>
      <c r="BE581" s="30" t="s">
        <v>12079</v>
      </c>
      <c r="BF581" s="30" t="s">
        <v>221</v>
      </c>
      <c r="BG581" s="30" t="s">
        <v>12080</v>
      </c>
      <c r="BH581" s="30" t="s">
        <v>12081</v>
      </c>
      <c r="BI581" s="30" t="s">
        <v>1808</v>
      </c>
      <c r="BJ581" s="30" t="s">
        <v>12082</v>
      </c>
      <c r="BK581" s="30" t="s">
        <v>1597</v>
      </c>
      <c r="BL581" s="30" t="s">
        <v>1811</v>
      </c>
      <c r="BM581" s="30" t="s">
        <v>525</v>
      </c>
      <c r="BN581" s="29" t="s">
        <v>12083</v>
      </c>
      <c r="BO581" s="30" t="s">
        <v>186</v>
      </c>
      <c r="BP581" s="29" t="s">
        <v>12084</v>
      </c>
      <c r="BQ581" s="29" t="s">
        <v>151</v>
      </c>
      <c r="BR581" s="30" t="s">
        <v>12085</v>
      </c>
      <c r="BS581" s="30" t="s">
        <v>187</v>
      </c>
      <c r="BT581" s="30" t="s">
        <v>188</v>
      </c>
      <c r="BU581" s="35">
        <v>45601</v>
      </c>
      <c r="BV581" s="37">
        <v>2.5</v>
      </c>
      <c r="BW581" s="30" t="s">
        <v>192</v>
      </c>
      <c r="BX581" s="37" t="s">
        <v>151</v>
      </c>
      <c r="BY581" s="30" t="s">
        <v>151</v>
      </c>
      <c r="BZ581" s="30" t="s">
        <v>293</v>
      </c>
      <c r="CA581" s="30" t="s">
        <v>293</v>
      </c>
      <c r="CB581" s="30" t="s">
        <v>151</v>
      </c>
      <c r="CC581" s="30" t="s">
        <v>165</v>
      </c>
      <c r="CD581" s="30" t="s">
        <v>151</v>
      </c>
      <c r="CE581" s="30" t="s">
        <v>191</v>
      </c>
      <c r="CF581" s="35">
        <v>45601</v>
      </c>
      <c r="CG581" s="37">
        <v>2.5</v>
      </c>
      <c r="CH581" s="30" t="s">
        <v>192</v>
      </c>
      <c r="CI581" s="37" t="s">
        <v>151</v>
      </c>
      <c r="CJ581" s="30" t="s">
        <v>151</v>
      </c>
      <c r="CK581" s="29" t="s">
        <v>151</v>
      </c>
      <c r="CL581" s="30" t="s">
        <v>293</v>
      </c>
      <c r="CM581" s="30" t="s">
        <v>293</v>
      </c>
      <c r="CN581" s="30" t="s">
        <v>151</v>
      </c>
      <c r="CO581" s="30" t="s">
        <v>165</v>
      </c>
      <c r="CP581" s="35">
        <v>45601</v>
      </c>
      <c r="CQ581" s="37" t="s">
        <v>151</v>
      </c>
      <c r="CR581" s="30" t="s">
        <v>151</v>
      </c>
      <c r="CS581" s="30" t="s">
        <v>191</v>
      </c>
      <c r="CT581" s="29" t="s">
        <v>151</v>
      </c>
      <c r="CU581" s="30" t="s">
        <v>151</v>
      </c>
      <c r="CV581" s="32" t="s">
        <v>151</v>
      </c>
      <c r="CW581" s="32" t="s">
        <v>151</v>
      </c>
      <c r="CX581" s="30" t="s">
        <v>151</v>
      </c>
      <c r="CY581" s="32" t="s">
        <v>151</v>
      </c>
      <c r="CZ581" s="32" t="s">
        <v>151</v>
      </c>
      <c r="DA581" s="37" t="s">
        <v>151</v>
      </c>
      <c r="DB581" s="35" t="s">
        <v>151</v>
      </c>
      <c r="DC581" s="30" t="s">
        <v>151</v>
      </c>
      <c r="DD581" s="29" t="s">
        <v>151</v>
      </c>
      <c r="DE581" s="32">
        <v>0</v>
      </c>
      <c r="DF581" s="34">
        <v>11</v>
      </c>
      <c r="DG581" s="32">
        <v>0</v>
      </c>
      <c r="DH581" s="32">
        <v>0</v>
      </c>
      <c r="DI581" s="32">
        <v>0</v>
      </c>
      <c r="DJ581" s="34">
        <v>10</v>
      </c>
      <c r="DK581" s="32" t="s">
        <v>151</v>
      </c>
      <c r="DL581" s="34" t="s">
        <v>151</v>
      </c>
      <c r="DM581" s="32">
        <v>0</v>
      </c>
      <c r="DN581" s="34">
        <v>10</v>
      </c>
      <c r="DO581" s="36">
        <v>4.42</v>
      </c>
      <c r="DP581" s="34">
        <v>81</v>
      </c>
      <c r="DQ581" s="36">
        <v>0</v>
      </c>
      <c r="DR581" s="32">
        <v>0</v>
      </c>
      <c r="DS581" s="36">
        <v>4.42</v>
      </c>
      <c r="DT581" s="34">
        <v>80</v>
      </c>
      <c r="DU581" s="36" t="s">
        <v>151</v>
      </c>
      <c r="DV581" s="34" t="s">
        <v>151</v>
      </c>
      <c r="DW581" s="36">
        <v>4.42</v>
      </c>
      <c r="DX581" s="34">
        <v>80</v>
      </c>
      <c r="DY581" s="31" t="s">
        <v>151</v>
      </c>
      <c r="DZ581" s="35" t="s">
        <v>151</v>
      </c>
      <c r="EA581" s="35" t="s">
        <v>151</v>
      </c>
      <c r="EB581" s="34">
        <v>389</v>
      </c>
      <c r="EC581" s="33">
        <v>67</v>
      </c>
      <c r="ED581" s="32">
        <v>20.81</v>
      </c>
      <c r="EE581" s="34">
        <v>84</v>
      </c>
      <c r="EF581" s="33">
        <v>0</v>
      </c>
      <c r="EG581" s="32">
        <v>0</v>
      </c>
      <c r="EH581" s="29" t="s">
        <v>198</v>
      </c>
      <c r="EI581" s="30" t="s">
        <v>151</v>
      </c>
      <c r="EJ581" s="30" t="s">
        <v>151</v>
      </c>
      <c r="EK581" s="31" t="s">
        <v>151</v>
      </c>
      <c r="EL581" s="31" t="s">
        <v>151</v>
      </c>
      <c r="EM581" s="31" t="s">
        <v>151</v>
      </c>
      <c r="EN581" s="31" t="s">
        <v>151</v>
      </c>
      <c r="EO581" s="31" t="s">
        <v>151</v>
      </c>
      <c r="EP581" s="30" t="s">
        <v>151</v>
      </c>
      <c r="EQ581" s="29" t="s">
        <v>151</v>
      </c>
      <c r="ER581" s="29" t="s">
        <v>151</v>
      </c>
      <c r="ES581" s="4">
        <f>HYPERLINK("https://my.pitchbook.com?c=594327-88","View Company Online")</f>
      </c>
    </row>
    <row r="582">
      <c r="A582" s="17" t="s">
        <v>12086</v>
      </c>
      <c r="B582" s="17" t="s">
        <v>12087</v>
      </c>
      <c r="C582" s="18" t="s">
        <v>151</v>
      </c>
      <c r="D582" s="17" t="s">
        <v>151</v>
      </c>
      <c r="E582" s="17" t="s">
        <v>12088</v>
      </c>
      <c r="F582" s="17" t="s">
        <v>12089</v>
      </c>
      <c r="G582" s="17" t="s">
        <v>151</v>
      </c>
      <c r="H582" s="17" t="s">
        <v>151</v>
      </c>
      <c r="I582" s="17" t="s">
        <v>12090</v>
      </c>
      <c r="J582" s="17" t="s">
        <v>12086</v>
      </c>
      <c r="K582" s="17" t="s">
        <v>12091</v>
      </c>
      <c r="L582" s="17" t="s">
        <v>205</v>
      </c>
      <c r="M582" s="17" t="s">
        <v>206</v>
      </c>
      <c r="N582" s="17" t="s">
        <v>1940</v>
      </c>
      <c r="O582" s="17" t="s">
        <v>1941</v>
      </c>
      <c r="P582" s="17" t="s">
        <v>12092</v>
      </c>
      <c r="Q582" s="17" t="s">
        <v>12093</v>
      </c>
      <c r="R582" s="17" t="s">
        <v>151</v>
      </c>
      <c r="S582" s="17" t="s">
        <v>162</v>
      </c>
      <c r="T582" s="24">
        <v>8.33</v>
      </c>
      <c r="U582" s="17" t="s">
        <v>163</v>
      </c>
      <c r="V582" s="17" t="s">
        <v>164</v>
      </c>
      <c r="W582" s="17" t="s">
        <v>165</v>
      </c>
      <c r="X582" s="15" t="s">
        <v>12094</v>
      </c>
      <c r="Y582" s="15" t="s">
        <v>12095</v>
      </c>
      <c r="Z582" s="27">
        <v>41</v>
      </c>
      <c r="AA582" s="17" t="s">
        <v>12096</v>
      </c>
      <c r="AB582" s="17" t="s">
        <v>151</v>
      </c>
      <c r="AC582" s="17" t="s">
        <v>151</v>
      </c>
      <c r="AD582" s="26">
        <v>2021</v>
      </c>
      <c r="AE582" s="17" t="s">
        <v>151</v>
      </c>
      <c r="AF582" s="22">
        <v>45386</v>
      </c>
      <c r="AG582" s="17" t="s">
        <v>151</v>
      </c>
      <c r="AH582" s="17" t="s">
        <v>151</v>
      </c>
      <c r="AI582" s="25" t="s">
        <v>151</v>
      </c>
      <c r="AJ582" s="19" t="s">
        <v>151</v>
      </c>
      <c r="AK582" s="25" t="s">
        <v>151</v>
      </c>
      <c r="AL582" s="25" t="s">
        <v>151</v>
      </c>
      <c r="AM582" s="25" t="s">
        <v>151</v>
      </c>
      <c r="AN582" s="25" t="s">
        <v>151</v>
      </c>
      <c r="AO582" s="25" t="s">
        <v>151</v>
      </c>
      <c r="AP582" s="25" t="s">
        <v>151</v>
      </c>
      <c r="AQ582" s="25" t="s">
        <v>151</v>
      </c>
      <c r="AR582" s="16" t="s">
        <v>151</v>
      </c>
      <c r="AS582" s="17" t="s">
        <v>12097</v>
      </c>
      <c r="AT582" s="17" t="s">
        <v>12098</v>
      </c>
      <c r="AU582" s="18">
        <v>4</v>
      </c>
      <c r="AV582" s="17" t="s">
        <v>151</v>
      </c>
      <c r="AW582" s="17" t="s">
        <v>151</v>
      </c>
      <c r="AX582" s="17" t="s">
        <v>151</v>
      </c>
      <c r="AY582" s="17" t="s">
        <v>12099</v>
      </c>
      <c r="AZ582" s="17" t="s">
        <v>151</v>
      </c>
      <c r="BA582" s="17" t="s">
        <v>151</v>
      </c>
      <c r="BB582" s="17" t="s">
        <v>151</v>
      </c>
      <c r="BC582" s="17" t="s">
        <v>151</v>
      </c>
      <c r="BD582" s="17" t="s">
        <v>12100</v>
      </c>
      <c r="BE582" s="17" t="s">
        <v>12101</v>
      </c>
      <c r="BF582" s="17" t="s">
        <v>4135</v>
      </c>
      <c r="BG582" s="17" t="s">
        <v>151</v>
      </c>
      <c r="BH582" s="17" t="s">
        <v>151</v>
      </c>
      <c r="BI582" s="17" t="s">
        <v>433</v>
      </c>
      <c r="BJ582" s="17" t="s">
        <v>12102</v>
      </c>
      <c r="BK582" s="17" t="s">
        <v>151</v>
      </c>
      <c r="BL582" s="17" t="s">
        <v>436</v>
      </c>
      <c r="BM582" s="17" t="s">
        <v>184</v>
      </c>
      <c r="BN582" s="16" t="s">
        <v>437</v>
      </c>
      <c r="BO582" s="17" t="s">
        <v>186</v>
      </c>
      <c r="BP582" s="16" t="s">
        <v>151</v>
      </c>
      <c r="BQ582" s="16" t="s">
        <v>151</v>
      </c>
      <c r="BR582" s="17" t="s">
        <v>151</v>
      </c>
      <c r="BS582" s="17" t="s">
        <v>187</v>
      </c>
      <c r="BT582" s="17" t="s">
        <v>188</v>
      </c>
      <c r="BU582" s="22">
        <v>44844</v>
      </c>
      <c r="BV582" s="24">
        <v>3.03</v>
      </c>
      <c r="BW582" s="17" t="s">
        <v>192</v>
      </c>
      <c r="BX582" s="24">
        <v>9.03</v>
      </c>
      <c r="BY582" s="17" t="s">
        <v>192</v>
      </c>
      <c r="BZ582" s="17" t="s">
        <v>293</v>
      </c>
      <c r="CA582" s="17" t="s">
        <v>293</v>
      </c>
      <c r="CB582" s="17" t="s">
        <v>151</v>
      </c>
      <c r="CC582" s="17" t="s">
        <v>165</v>
      </c>
      <c r="CD582" s="17" t="s">
        <v>151</v>
      </c>
      <c r="CE582" s="17" t="s">
        <v>191</v>
      </c>
      <c r="CF582" s="22">
        <v>45386</v>
      </c>
      <c r="CG582" s="24">
        <v>5.3</v>
      </c>
      <c r="CH582" s="17" t="s">
        <v>192</v>
      </c>
      <c r="CI582" s="24" t="s">
        <v>151</v>
      </c>
      <c r="CJ582" s="17" t="s">
        <v>151</v>
      </c>
      <c r="CK582" s="16" t="s">
        <v>151</v>
      </c>
      <c r="CL582" s="17" t="s">
        <v>231</v>
      </c>
      <c r="CM582" s="17" t="s">
        <v>151</v>
      </c>
      <c r="CN582" s="17" t="s">
        <v>151</v>
      </c>
      <c r="CO582" s="17" t="s">
        <v>165</v>
      </c>
      <c r="CP582" s="22">
        <v>45386</v>
      </c>
      <c r="CQ582" s="24" t="s">
        <v>151</v>
      </c>
      <c r="CR582" s="17" t="s">
        <v>151</v>
      </c>
      <c r="CS582" s="17" t="s">
        <v>191</v>
      </c>
      <c r="CT582" s="16">
        <v>90</v>
      </c>
      <c r="CU582" s="17" t="s">
        <v>196</v>
      </c>
      <c r="CV582" s="19">
        <v>83</v>
      </c>
      <c r="CW582" s="19">
        <v>17</v>
      </c>
      <c r="CX582" s="17" t="s">
        <v>294</v>
      </c>
      <c r="CY582" s="19">
        <v>1</v>
      </c>
      <c r="CZ582" s="19">
        <v>82</v>
      </c>
      <c r="DA582" s="24">
        <v>9.03</v>
      </c>
      <c r="DB582" s="22">
        <v>44844</v>
      </c>
      <c r="DC582" s="17" t="s">
        <v>293</v>
      </c>
      <c r="DD582" s="16" t="s">
        <v>151</v>
      </c>
      <c r="DE582" s="19">
        <v>0.82</v>
      </c>
      <c r="DF582" s="21">
        <v>95</v>
      </c>
      <c r="DG582" s="19">
        <v>-0.02</v>
      </c>
      <c r="DH582" s="19">
        <v>-2.64</v>
      </c>
      <c r="DI582" s="19">
        <v>0</v>
      </c>
      <c r="DJ582" s="21">
        <v>10</v>
      </c>
      <c r="DK582" s="19" t="s">
        <v>151</v>
      </c>
      <c r="DL582" s="21" t="s">
        <v>151</v>
      </c>
      <c r="DM582" s="19">
        <v>0</v>
      </c>
      <c r="DN582" s="21">
        <v>10</v>
      </c>
      <c r="DO582" s="23">
        <v>2.39</v>
      </c>
      <c r="DP582" s="21">
        <v>70</v>
      </c>
      <c r="DQ582" s="23">
        <v>0</v>
      </c>
      <c r="DR582" s="19">
        <v>0</v>
      </c>
      <c r="DS582" s="23">
        <v>1.63</v>
      </c>
      <c r="DT582" s="21">
        <v>61</v>
      </c>
      <c r="DU582" s="23" t="s">
        <v>151</v>
      </c>
      <c r="DV582" s="21" t="s">
        <v>151</v>
      </c>
      <c r="DW582" s="23">
        <v>1.63</v>
      </c>
      <c r="DX582" s="21">
        <v>61</v>
      </c>
      <c r="DY582" s="18" t="s">
        <v>151</v>
      </c>
      <c r="DZ582" s="22" t="s">
        <v>151</v>
      </c>
      <c r="EA582" s="22" t="s">
        <v>151</v>
      </c>
      <c r="EB582" s="21">
        <v>3524</v>
      </c>
      <c r="EC582" s="20">
        <v>392</v>
      </c>
      <c r="ED582" s="19">
        <v>12.52</v>
      </c>
      <c r="EE582" s="21">
        <v>31</v>
      </c>
      <c r="EF582" s="20">
        <v>0</v>
      </c>
      <c r="EG582" s="19">
        <v>0</v>
      </c>
      <c r="EH582" s="16" t="s">
        <v>198</v>
      </c>
      <c r="EI582" s="17" t="s">
        <v>151</v>
      </c>
      <c r="EJ582" s="17" t="s">
        <v>151</v>
      </c>
      <c r="EK582" s="18" t="s">
        <v>151</v>
      </c>
      <c r="EL582" s="18" t="s">
        <v>151</v>
      </c>
      <c r="EM582" s="18" t="s">
        <v>151</v>
      </c>
      <c r="EN582" s="18" t="s">
        <v>151</v>
      </c>
      <c r="EO582" s="18" t="s">
        <v>151</v>
      </c>
      <c r="EP582" s="17" t="s">
        <v>151</v>
      </c>
      <c r="EQ582" s="16" t="s">
        <v>151</v>
      </c>
      <c r="ER582" s="16" t="s">
        <v>151</v>
      </c>
      <c r="ES582" s="3">
        <f>HYPERLINK("https://my.pitchbook.com?c=510437-17","View Company Online")</f>
      </c>
    </row>
    <row r="583">
      <c r="A583" s="30" t="s">
        <v>12103</v>
      </c>
      <c r="B583" s="30" t="s">
        <v>12104</v>
      </c>
      <c r="C583" s="31" t="s">
        <v>151</v>
      </c>
      <c r="D583" s="30" t="s">
        <v>151</v>
      </c>
      <c r="E583" s="30" t="s">
        <v>12105</v>
      </c>
      <c r="F583" s="30" t="s">
        <v>12106</v>
      </c>
      <c r="G583" s="30" t="s">
        <v>151</v>
      </c>
      <c r="H583" s="30" t="s">
        <v>151</v>
      </c>
      <c r="I583" s="30" t="s">
        <v>12107</v>
      </c>
      <c r="J583" s="30" t="s">
        <v>12103</v>
      </c>
      <c r="K583" s="30" t="s">
        <v>12108</v>
      </c>
      <c r="L583" s="30" t="s">
        <v>616</v>
      </c>
      <c r="M583" s="30" t="s">
        <v>834</v>
      </c>
      <c r="N583" s="30" t="s">
        <v>7969</v>
      </c>
      <c r="O583" s="30" t="s">
        <v>12109</v>
      </c>
      <c r="P583" s="30" t="s">
        <v>12110</v>
      </c>
      <c r="Q583" s="30" t="s">
        <v>12111</v>
      </c>
      <c r="R583" s="30" t="s">
        <v>151</v>
      </c>
      <c r="S583" s="30" t="s">
        <v>162</v>
      </c>
      <c r="T583" s="37">
        <v>6</v>
      </c>
      <c r="U583" s="30" t="s">
        <v>163</v>
      </c>
      <c r="V583" s="30" t="s">
        <v>164</v>
      </c>
      <c r="W583" s="30" t="s">
        <v>165</v>
      </c>
      <c r="X583" s="28" t="s">
        <v>12112</v>
      </c>
      <c r="Y583" s="28" t="s">
        <v>12113</v>
      </c>
      <c r="Z583" s="40">
        <v>3</v>
      </c>
      <c r="AA583" s="30" t="s">
        <v>12114</v>
      </c>
      <c r="AB583" s="30" t="s">
        <v>151</v>
      </c>
      <c r="AC583" s="30" t="s">
        <v>151</v>
      </c>
      <c r="AD583" s="39">
        <v>2022</v>
      </c>
      <c r="AE583" s="30" t="s">
        <v>151</v>
      </c>
      <c r="AF583" s="35">
        <v>45588</v>
      </c>
      <c r="AG583" s="30" t="s">
        <v>151</v>
      </c>
      <c r="AH583" s="30" t="s">
        <v>151</v>
      </c>
      <c r="AI583" s="38" t="s">
        <v>151</v>
      </c>
      <c r="AJ583" s="32" t="s">
        <v>151</v>
      </c>
      <c r="AK583" s="38" t="s">
        <v>151</v>
      </c>
      <c r="AL583" s="38" t="s">
        <v>151</v>
      </c>
      <c r="AM583" s="38" t="s">
        <v>151</v>
      </c>
      <c r="AN583" s="38" t="s">
        <v>151</v>
      </c>
      <c r="AO583" s="38" t="s">
        <v>151</v>
      </c>
      <c r="AP583" s="38" t="s">
        <v>151</v>
      </c>
      <c r="AQ583" s="38" t="s">
        <v>151</v>
      </c>
      <c r="AR583" s="29" t="s">
        <v>151</v>
      </c>
      <c r="AS583" s="30" t="s">
        <v>12115</v>
      </c>
      <c r="AT583" s="30" t="s">
        <v>12116</v>
      </c>
      <c r="AU583" s="31">
        <v>12</v>
      </c>
      <c r="AV583" s="30" t="s">
        <v>151</v>
      </c>
      <c r="AW583" s="30" t="s">
        <v>151</v>
      </c>
      <c r="AX583" s="30" t="s">
        <v>151</v>
      </c>
      <c r="AY583" s="30" t="s">
        <v>12117</v>
      </c>
      <c r="AZ583" s="30" t="s">
        <v>151</v>
      </c>
      <c r="BA583" s="30" t="s">
        <v>151</v>
      </c>
      <c r="BB583" s="30" t="s">
        <v>151</v>
      </c>
      <c r="BC583" s="30" t="s">
        <v>151</v>
      </c>
      <c r="BD583" s="30" t="s">
        <v>12118</v>
      </c>
      <c r="BE583" s="30" t="s">
        <v>12119</v>
      </c>
      <c r="BF583" s="30" t="s">
        <v>493</v>
      </c>
      <c r="BG583" s="30" t="s">
        <v>12120</v>
      </c>
      <c r="BH583" s="30" t="s">
        <v>151</v>
      </c>
      <c r="BI583" s="30" t="s">
        <v>285</v>
      </c>
      <c r="BJ583" s="30" t="s">
        <v>151</v>
      </c>
      <c r="BK583" s="30" t="s">
        <v>151</v>
      </c>
      <c r="BL583" s="30" t="s">
        <v>288</v>
      </c>
      <c r="BM583" s="30" t="s">
        <v>289</v>
      </c>
      <c r="BN583" s="29" t="s">
        <v>12121</v>
      </c>
      <c r="BO583" s="30" t="s">
        <v>186</v>
      </c>
      <c r="BP583" s="29" t="s">
        <v>151</v>
      </c>
      <c r="BQ583" s="29" t="s">
        <v>151</v>
      </c>
      <c r="BR583" s="30" t="s">
        <v>151</v>
      </c>
      <c r="BS583" s="30" t="s">
        <v>187</v>
      </c>
      <c r="BT583" s="30" t="s">
        <v>188</v>
      </c>
      <c r="BU583" s="35">
        <v>45430</v>
      </c>
      <c r="BV583" s="37">
        <v>6</v>
      </c>
      <c r="BW583" s="30" t="s">
        <v>192</v>
      </c>
      <c r="BX583" s="37" t="s">
        <v>151</v>
      </c>
      <c r="BY583" s="30" t="s">
        <v>151</v>
      </c>
      <c r="BZ583" s="30" t="s">
        <v>293</v>
      </c>
      <c r="CA583" s="30" t="s">
        <v>232</v>
      </c>
      <c r="CB583" s="30" t="s">
        <v>151</v>
      </c>
      <c r="CC583" s="30" t="s">
        <v>165</v>
      </c>
      <c r="CD583" s="30" t="s">
        <v>151</v>
      </c>
      <c r="CE583" s="30" t="s">
        <v>191</v>
      </c>
      <c r="CF583" s="35">
        <v>45430</v>
      </c>
      <c r="CG583" s="37">
        <v>6</v>
      </c>
      <c r="CH583" s="30" t="s">
        <v>192</v>
      </c>
      <c r="CI583" s="37" t="s">
        <v>151</v>
      </c>
      <c r="CJ583" s="30" t="s">
        <v>151</v>
      </c>
      <c r="CK583" s="29" t="s">
        <v>151</v>
      </c>
      <c r="CL583" s="30" t="s">
        <v>293</v>
      </c>
      <c r="CM583" s="30" t="s">
        <v>232</v>
      </c>
      <c r="CN583" s="30" t="s">
        <v>151</v>
      </c>
      <c r="CO583" s="30" t="s">
        <v>165</v>
      </c>
      <c r="CP583" s="35">
        <v>45430</v>
      </c>
      <c r="CQ583" s="37" t="s">
        <v>151</v>
      </c>
      <c r="CR583" s="30" t="s">
        <v>151</v>
      </c>
      <c r="CS583" s="30" t="s">
        <v>191</v>
      </c>
      <c r="CT583" s="29" t="s">
        <v>151</v>
      </c>
      <c r="CU583" s="30" t="s">
        <v>151</v>
      </c>
      <c r="CV583" s="32" t="s">
        <v>151</v>
      </c>
      <c r="CW583" s="32" t="s">
        <v>151</v>
      </c>
      <c r="CX583" s="30" t="s">
        <v>151</v>
      </c>
      <c r="CY583" s="32" t="s">
        <v>151</v>
      </c>
      <c r="CZ583" s="32" t="s">
        <v>151</v>
      </c>
      <c r="DA583" s="37" t="s">
        <v>151</v>
      </c>
      <c r="DB583" s="35" t="s">
        <v>151</v>
      </c>
      <c r="DC583" s="30" t="s">
        <v>151</v>
      </c>
      <c r="DD583" s="29" t="s">
        <v>151</v>
      </c>
      <c r="DE583" s="32">
        <v>-1.81</v>
      </c>
      <c r="DF583" s="34">
        <v>2</v>
      </c>
      <c r="DG583" s="32">
        <v>0</v>
      </c>
      <c r="DH583" s="32">
        <v>0</v>
      </c>
      <c r="DI583" s="32">
        <v>-0.5</v>
      </c>
      <c r="DJ583" s="34">
        <v>7</v>
      </c>
      <c r="DK583" s="32" t="s">
        <v>151</v>
      </c>
      <c r="DL583" s="34" t="s">
        <v>151</v>
      </c>
      <c r="DM583" s="32">
        <v>-0.5</v>
      </c>
      <c r="DN583" s="34">
        <v>7</v>
      </c>
      <c r="DO583" s="36">
        <v>5.22</v>
      </c>
      <c r="DP583" s="34">
        <v>83</v>
      </c>
      <c r="DQ583" s="36">
        <v>0</v>
      </c>
      <c r="DR583" s="32">
        <v>0</v>
      </c>
      <c r="DS583" s="36">
        <v>10.21</v>
      </c>
      <c r="DT583" s="34">
        <v>90</v>
      </c>
      <c r="DU583" s="36" t="s">
        <v>151</v>
      </c>
      <c r="DV583" s="34" t="s">
        <v>151</v>
      </c>
      <c r="DW583" s="36">
        <v>10.21</v>
      </c>
      <c r="DX583" s="34">
        <v>90</v>
      </c>
      <c r="DY583" s="31" t="s">
        <v>151</v>
      </c>
      <c r="DZ583" s="35" t="s">
        <v>151</v>
      </c>
      <c r="EA583" s="35" t="s">
        <v>151</v>
      </c>
      <c r="EB583" s="34">
        <v>1834</v>
      </c>
      <c r="EC583" s="33">
        <v>-221</v>
      </c>
      <c r="ED583" s="32">
        <v>-10.75</v>
      </c>
      <c r="EE583" s="34">
        <v>194</v>
      </c>
      <c r="EF583" s="33">
        <v>0</v>
      </c>
      <c r="EG583" s="32">
        <v>0</v>
      </c>
      <c r="EH583" s="29" t="s">
        <v>198</v>
      </c>
      <c r="EI583" s="30" t="s">
        <v>151</v>
      </c>
      <c r="EJ583" s="30" t="s">
        <v>151</v>
      </c>
      <c r="EK583" s="31" t="s">
        <v>151</v>
      </c>
      <c r="EL583" s="31" t="s">
        <v>151</v>
      </c>
      <c r="EM583" s="31" t="s">
        <v>151</v>
      </c>
      <c r="EN583" s="31" t="s">
        <v>151</v>
      </c>
      <c r="EO583" s="31" t="s">
        <v>151</v>
      </c>
      <c r="EP583" s="30" t="s">
        <v>151</v>
      </c>
      <c r="EQ583" s="29" t="s">
        <v>151</v>
      </c>
      <c r="ER583" s="29" t="s">
        <v>151</v>
      </c>
      <c r="ES583" s="4">
        <f>HYPERLINK("https://my.pitchbook.com?c=500747-59","View Company Online")</f>
      </c>
    </row>
    <row r="584">
      <c r="A584" s="17" t="s">
        <v>12122</v>
      </c>
      <c r="B584" s="17" t="s">
        <v>12123</v>
      </c>
      <c r="C584" s="18" t="s">
        <v>151</v>
      </c>
      <c r="D584" s="17" t="s">
        <v>151</v>
      </c>
      <c r="E584" s="17" t="s">
        <v>151</v>
      </c>
      <c r="F584" s="17" t="s">
        <v>12124</v>
      </c>
      <c r="G584" s="17" t="s">
        <v>151</v>
      </c>
      <c r="H584" s="17" t="s">
        <v>151</v>
      </c>
      <c r="I584" s="17" t="s">
        <v>12125</v>
      </c>
      <c r="J584" s="17" t="s">
        <v>12122</v>
      </c>
      <c r="K584" s="17" t="s">
        <v>12126</v>
      </c>
      <c r="L584" s="17" t="s">
        <v>155</v>
      </c>
      <c r="M584" s="17" t="s">
        <v>361</v>
      </c>
      <c r="N584" s="17" t="s">
        <v>3162</v>
      </c>
      <c r="O584" s="17" t="s">
        <v>3163</v>
      </c>
      <c r="P584" s="17" t="s">
        <v>2640</v>
      </c>
      <c r="Q584" s="17" t="s">
        <v>12127</v>
      </c>
      <c r="R584" s="17" t="s">
        <v>151</v>
      </c>
      <c r="S584" s="17" t="s">
        <v>162</v>
      </c>
      <c r="T584" s="24">
        <v>0.15</v>
      </c>
      <c r="U584" s="17" t="s">
        <v>163</v>
      </c>
      <c r="V584" s="17" t="s">
        <v>164</v>
      </c>
      <c r="W584" s="17" t="s">
        <v>165</v>
      </c>
      <c r="X584" s="15" t="s">
        <v>12128</v>
      </c>
      <c r="Y584" s="15" t="s">
        <v>12129</v>
      </c>
      <c r="Z584" s="27">
        <v>8</v>
      </c>
      <c r="AA584" s="17" t="s">
        <v>12130</v>
      </c>
      <c r="AB584" s="17" t="s">
        <v>151</v>
      </c>
      <c r="AC584" s="17" t="s">
        <v>151</v>
      </c>
      <c r="AD584" s="26">
        <v>2022</v>
      </c>
      <c r="AE584" s="17" t="s">
        <v>151</v>
      </c>
      <c r="AF584" s="22">
        <v>45469</v>
      </c>
      <c r="AG584" s="17" t="s">
        <v>151</v>
      </c>
      <c r="AH584" s="17" t="s">
        <v>151</v>
      </c>
      <c r="AI584" s="25" t="s">
        <v>151</v>
      </c>
      <c r="AJ584" s="19" t="s">
        <v>151</v>
      </c>
      <c r="AK584" s="25" t="s">
        <v>151</v>
      </c>
      <c r="AL584" s="25" t="s">
        <v>151</v>
      </c>
      <c r="AM584" s="25" t="s">
        <v>151</v>
      </c>
      <c r="AN584" s="25" t="s">
        <v>151</v>
      </c>
      <c r="AO584" s="25" t="s">
        <v>151</v>
      </c>
      <c r="AP584" s="25" t="s">
        <v>151</v>
      </c>
      <c r="AQ584" s="25" t="s">
        <v>151</v>
      </c>
      <c r="AR584" s="16" t="s">
        <v>151</v>
      </c>
      <c r="AS584" s="17" t="s">
        <v>12131</v>
      </c>
      <c r="AT584" s="17" t="s">
        <v>12132</v>
      </c>
      <c r="AU584" s="18">
        <v>3</v>
      </c>
      <c r="AV584" s="17" t="s">
        <v>151</v>
      </c>
      <c r="AW584" s="17" t="s">
        <v>151</v>
      </c>
      <c r="AX584" s="17" t="s">
        <v>151</v>
      </c>
      <c r="AY584" s="17" t="s">
        <v>12133</v>
      </c>
      <c r="AZ584" s="17" t="s">
        <v>151</v>
      </c>
      <c r="BA584" s="17" t="s">
        <v>151</v>
      </c>
      <c r="BB584" s="17" t="s">
        <v>151</v>
      </c>
      <c r="BC584" s="17" t="s">
        <v>151</v>
      </c>
      <c r="BD584" s="17" t="s">
        <v>12134</v>
      </c>
      <c r="BE584" s="17" t="s">
        <v>12135</v>
      </c>
      <c r="BF584" s="17" t="s">
        <v>221</v>
      </c>
      <c r="BG584" s="17" t="s">
        <v>12136</v>
      </c>
      <c r="BH584" s="17" t="s">
        <v>12137</v>
      </c>
      <c r="BI584" s="17" t="s">
        <v>12138</v>
      </c>
      <c r="BJ584" s="17" t="s">
        <v>12139</v>
      </c>
      <c r="BK584" s="17" t="s">
        <v>151</v>
      </c>
      <c r="BL584" s="17" t="s">
        <v>12140</v>
      </c>
      <c r="BM584" s="17" t="s">
        <v>582</v>
      </c>
      <c r="BN584" s="16" t="s">
        <v>12141</v>
      </c>
      <c r="BO584" s="17" t="s">
        <v>186</v>
      </c>
      <c r="BP584" s="16" t="s">
        <v>12142</v>
      </c>
      <c r="BQ584" s="16" t="s">
        <v>151</v>
      </c>
      <c r="BR584" s="17" t="s">
        <v>12143</v>
      </c>
      <c r="BS584" s="17" t="s">
        <v>187</v>
      </c>
      <c r="BT584" s="17" t="s">
        <v>188</v>
      </c>
      <c r="BU584" s="22">
        <v>44803</v>
      </c>
      <c r="BV584" s="24">
        <v>0.1</v>
      </c>
      <c r="BW584" s="17" t="s">
        <v>192</v>
      </c>
      <c r="BX584" s="24" t="s">
        <v>151</v>
      </c>
      <c r="BY584" s="17" t="s">
        <v>151</v>
      </c>
      <c r="BZ584" s="17" t="s">
        <v>293</v>
      </c>
      <c r="CA584" s="17" t="s">
        <v>293</v>
      </c>
      <c r="CB584" s="17" t="s">
        <v>151</v>
      </c>
      <c r="CC584" s="17" t="s">
        <v>165</v>
      </c>
      <c r="CD584" s="17" t="s">
        <v>151</v>
      </c>
      <c r="CE584" s="17" t="s">
        <v>191</v>
      </c>
      <c r="CF584" s="22">
        <v>45170</v>
      </c>
      <c r="CG584" s="24">
        <v>0.05</v>
      </c>
      <c r="CH584" s="17" t="s">
        <v>192</v>
      </c>
      <c r="CI584" s="24" t="s">
        <v>151</v>
      </c>
      <c r="CJ584" s="17" t="s">
        <v>151</v>
      </c>
      <c r="CK584" s="16" t="s">
        <v>151</v>
      </c>
      <c r="CL584" s="17" t="s">
        <v>189</v>
      </c>
      <c r="CM584" s="17" t="s">
        <v>151</v>
      </c>
      <c r="CN584" s="17" t="s">
        <v>151</v>
      </c>
      <c r="CO584" s="17" t="s">
        <v>190</v>
      </c>
      <c r="CP584" s="22">
        <v>45170</v>
      </c>
      <c r="CQ584" s="24" t="s">
        <v>151</v>
      </c>
      <c r="CR584" s="17" t="s">
        <v>151</v>
      </c>
      <c r="CS584" s="17" t="s">
        <v>191</v>
      </c>
      <c r="CT584" s="16" t="s">
        <v>151</v>
      </c>
      <c r="CU584" s="17" t="s">
        <v>151</v>
      </c>
      <c r="CV584" s="19" t="s">
        <v>151</v>
      </c>
      <c r="CW584" s="19" t="s">
        <v>151</v>
      </c>
      <c r="CX584" s="17" t="s">
        <v>151</v>
      </c>
      <c r="CY584" s="19" t="s">
        <v>151</v>
      </c>
      <c r="CZ584" s="19" t="s">
        <v>151</v>
      </c>
      <c r="DA584" s="24" t="s">
        <v>151</v>
      </c>
      <c r="DB584" s="22" t="s">
        <v>151</v>
      </c>
      <c r="DC584" s="17" t="s">
        <v>151</v>
      </c>
      <c r="DD584" s="16" t="s">
        <v>151</v>
      </c>
      <c r="DE584" s="19" t="s">
        <v>151</v>
      </c>
      <c r="DF584" s="21" t="s">
        <v>151</v>
      </c>
      <c r="DG584" s="19" t="s">
        <v>151</v>
      </c>
      <c r="DH584" s="19" t="s">
        <v>151</v>
      </c>
      <c r="DI584" s="19" t="s">
        <v>151</v>
      </c>
      <c r="DJ584" s="21" t="s">
        <v>151</v>
      </c>
      <c r="DK584" s="19" t="s">
        <v>151</v>
      </c>
      <c r="DL584" s="21" t="s">
        <v>151</v>
      </c>
      <c r="DM584" s="19" t="s">
        <v>151</v>
      </c>
      <c r="DN584" s="21" t="s">
        <v>151</v>
      </c>
      <c r="DO584" s="23" t="s">
        <v>151</v>
      </c>
      <c r="DP584" s="21" t="s">
        <v>151</v>
      </c>
      <c r="DQ584" s="23" t="s">
        <v>151</v>
      </c>
      <c r="DR584" s="19" t="s">
        <v>151</v>
      </c>
      <c r="DS584" s="23" t="s">
        <v>151</v>
      </c>
      <c r="DT584" s="21" t="s">
        <v>151</v>
      </c>
      <c r="DU584" s="23" t="s">
        <v>151</v>
      </c>
      <c r="DV584" s="21" t="s">
        <v>151</v>
      </c>
      <c r="DW584" s="23" t="s">
        <v>151</v>
      </c>
      <c r="DX584" s="21" t="s">
        <v>151</v>
      </c>
      <c r="DY584" s="18" t="s">
        <v>151</v>
      </c>
      <c r="DZ584" s="22" t="s">
        <v>151</v>
      </c>
      <c r="EA584" s="22" t="s">
        <v>151</v>
      </c>
      <c r="EB584" s="21" t="s">
        <v>151</v>
      </c>
      <c r="EC584" s="20" t="s">
        <v>151</v>
      </c>
      <c r="ED584" s="19" t="s">
        <v>151</v>
      </c>
      <c r="EE584" s="21" t="s">
        <v>151</v>
      </c>
      <c r="EF584" s="20" t="s">
        <v>151</v>
      </c>
      <c r="EG584" s="19" t="s">
        <v>151</v>
      </c>
      <c r="EH584" s="16" t="s">
        <v>198</v>
      </c>
      <c r="EI584" s="17" t="s">
        <v>151</v>
      </c>
      <c r="EJ584" s="17" t="s">
        <v>151</v>
      </c>
      <c r="EK584" s="18" t="s">
        <v>151</v>
      </c>
      <c r="EL584" s="18" t="s">
        <v>151</v>
      </c>
      <c r="EM584" s="18" t="s">
        <v>151</v>
      </c>
      <c r="EN584" s="18" t="s">
        <v>151</v>
      </c>
      <c r="EO584" s="18" t="s">
        <v>151</v>
      </c>
      <c r="EP584" s="17" t="s">
        <v>151</v>
      </c>
      <c r="EQ584" s="16" t="s">
        <v>151</v>
      </c>
      <c r="ER584" s="16" t="s">
        <v>151</v>
      </c>
      <c r="ES584" s="3">
        <f>HYPERLINK("https://my.pitchbook.com?c=506878-75","View Company Online")</f>
      </c>
    </row>
    <row r="585">
      <c r="A585" s="30" t="s">
        <v>12144</v>
      </c>
      <c r="B585" s="30" t="s">
        <v>12145</v>
      </c>
      <c r="C585" s="31" t="s">
        <v>151</v>
      </c>
      <c r="D585" s="30" t="s">
        <v>151</v>
      </c>
      <c r="E585" s="30" t="s">
        <v>151</v>
      </c>
      <c r="F585" s="30" t="s">
        <v>12146</v>
      </c>
      <c r="G585" s="30" t="s">
        <v>151</v>
      </c>
      <c r="H585" s="30" t="s">
        <v>151</v>
      </c>
      <c r="I585" s="30" t="s">
        <v>12147</v>
      </c>
      <c r="J585" s="30" t="s">
        <v>12144</v>
      </c>
      <c r="K585" s="30" t="s">
        <v>12148</v>
      </c>
      <c r="L585" s="30" t="s">
        <v>205</v>
      </c>
      <c r="M585" s="30" t="s">
        <v>206</v>
      </c>
      <c r="N585" s="30" t="s">
        <v>269</v>
      </c>
      <c r="O585" s="30" t="s">
        <v>7207</v>
      </c>
      <c r="P585" s="30" t="s">
        <v>1153</v>
      </c>
      <c r="Q585" s="30" t="s">
        <v>12149</v>
      </c>
      <c r="R585" s="30" t="s">
        <v>151</v>
      </c>
      <c r="S585" s="30" t="s">
        <v>162</v>
      </c>
      <c r="T585" s="37">
        <v>6</v>
      </c>
      <c r="U585" s="30" t="s">
        <v>163</v>
      </c>
      <c r="V585" s="30" t="s">
        <v>164</v>
      </c>
      <c r="W585" s="30" t="s">
        <v>165</v>
      </c>
      <c r="X585" s="28" t="s">
        <v>12150</v>
      </c>
      <c r="Y585" s="28" t="s">
        <v>12151</v>
      </c>
      <c r="Z585" s="40">
        <v>53</v>
      </c>
      <c r="AA585" s="30" t="s">
        <v>12152</v>
      </c>
      <c r="AB585" s="30" t="s">
        <v>151</v>
      </c>
      <c r="AC585" s="30" t="s">
        <v>151</v>
      </c>
      <c r="AD585" s="39">
        <v>2019</v>
      </c>
      <c r="AE585" s="30" t="s">
        <v>151</v>
      </c>
      <c r="AF585" s="35">
        <v>45569</v>
      </c>
      <c r="AG585" s="30" t="s">
        <v>151</v>
      </c>
      <c r="AH585" s="30" t="s">
        <v>151</v>
      </c>
      <c r="AI585" s="38" t="s">
        <v>151</v>
      </c>
      <c r="AJ585" s="32" t="s">
        <v>151</v>
      </c>
      <c r="AK585" s="38" t="s">
        <v>151</v>
      </c>
      <c r="AL585" s="38" t="s">
        <v>151</v>
      </c>
      <c r="AM585" s="38" t="s">
        <v>151</v>
      </c>
      <c r="AN585" s="38" t="s">
        <v>151</v>
      </c>
      <c r="AO585" s="38" t="s">
        <v>151</v>
      </c>
      <c r="AP585" s="38" t="s">
        <v>151</v>
      </c>
      <c r="AQ585" s="38" t="s">
        <v>151</v>
      </c>
      <c r="AR585" s="29" t="s">
        <v>151</v>
      </c>
      <c r="AS585" s="30" t="s">
        <v>12153</v>
      </c>
      <c r="AT585" s="30" t="s">
        <v>12154</v>
      </c>
      <c r="AU585" s="31">
        <v>3</v>
      </c>
      <c r="AV585" s="30" t="s">
        <v>151</v>
      </c>
      <c r="AW585" s="30" t="s">
        <v>151</v>
      </c>
      <c r="AX585" s="30" t="s">
        <v>151</v>
      </c>
      <c r="AY585" s="30" t="s">
        <v>12155</v>
      </c>
      <c r="AZ585" s="30" t="s">
        <v>151</v>
      </c>
      <c r="BA585" s="30" t="s">
        <v>151</v>
      </c>
      <c r="BB585" s="30" t="s">
        <v>12156</v>
      </c>
      <c r="BC585" s="30" t="s">
        <v>374</v>
      </c>
      <c r="BD585" s="30" t="s">
        <v>12157</v>
      </c>
      <c r="BE585" s="30" t="s">
        <v>12158</v>
      </c>
      <c r="BF585" s="30" t="s">
        <v>3330</v>
      </c>
      <c r="BG585" s="30" t="s">
        <v>12159</v>
      </c>
      <c r="BH585" s="30" t="s">
        <v>12160</v>
      </c>
      <c r="BI585" s="30" t="s">
        <v>2335</v>
      </c>
      <c r="BJ585" s="30" t="s">
        <v>12161</v>
      </c>
      <c r="BK585" s="30" t="s">
        <v>12162</v>
      </c>
      <c r="BL585" s="30" t="s">
        <v>2338</v>
      </c>
      <c r="BM585" s="30" t="s">
        <v>184</v>
      </c>
      <c r="BN585" s="29" t="s">
        <v>12163</v>
      </c>
      <c r="BO585" s="30" t="s">
        <v>186</v>
      </c>
      <c r="BP585" s="29" t="s">
        <v>12164</v>
      </c>
      <c r="BQ585" s="29" t="s">
        <v>151</v>
      </c>
      <c r="BR585" s="30" t="s">
        <v>12165</v>
      </c>
      <c r="BS585" s="30" t="s">
        <v>187</v>
      </c>
      <c r="BT585" s="30" t="s">
        <v>188</v>
      </c>
      <c r="BU585" s="35">
        <v>43983</v>
      </c>
      <c r="BV585" s="37">
        <v>1</v>
      </c>
      <c r="BW585" s="30" t="s">
        <v>192</v>
      </c>
      <c r="BX585" s="37" t="s">
        <v>151</v>
      </c>
      <c r="BY585" s="30" t="s">
        <v>151</v>
      </c>
      <c r="BZ585" s="30" t="s">
        <v>293</v>
      </c>
      <c r="CA585" s="30" t="s">
        <v>293</v>
      </c>
      <c r="CB585" s="30" t="s">
        <v>151</v>
      </c>
      <c r="CC585" s="30" t="s">
        <v>165</v>
      </c>
      <c r="CD585" s="30" t="s">
        <v>151</v>
      </c>
      <c r="CE585" s="30" t="s">
        <v>191</v>
      </c>
      <c r="CF585" s="35">
        <v>45352</v>
      </c>
      <c r="CG585" s="37" t="s">
        <v>151</v>
      </c>
      <c r="CH585" s="30" t="s">
        <v>151</v>
      </c>
      <c r="CI585" s="37" t="s">
        <v>151</v>
      </c>
      <c r="CJ585" s="30" t="s">
        <v>151</v>
      </c>
      <c r="CK585" s="29" t="s">
        <v>151</v>
      </c>
      <c r="CL585" s="30" t="s">
        <v>194</v>
      </c>
      <c r="CM585" s="30" t="s">
        <v>151</v>
      </c>
      <c r="CN585" s="30" t="s">
        <v>151</v>
      </c>
      <c r="CO585" s="30" t="s">
        <v>165</v>
      </c>
      <c r="CP585" s="35">
        <v>45352</v>
      </c>
      <c r="CQ585" s="37" t="s">
        <v>151</v>
      </c>
      <c r="CR585" s="30" t="s">
        <v>151</v>
      </c>
      <c r="CS585" s="30" t="s">
        <v>191</v>
      </c>
      <c r="CT585" s="29">
        <v>90</v>
      </c>
      <c r="CU585" s="30" t="s">
        <v>196</v>
      </c>
      <c r="CV585" s="32">
        <v>82</v>
      </c>
      <c r="CW585" s="32">
        <v>18</v>
      </c>
      <c r="CX585" s="30" t="s">
        <v>294</v>
      </c>
      <c r="CY585" s="32">
        <v>1</v>
      </c>
      <c r="CZ585" s="32">
        <v>81</v>
      </c>
      <c r="DA585" s="37" t="s">
        <v>151</v>
      </c>
      <c r="DB585" s="35" t="s">
        <v>151</v>
      </c>
      <c r="DC585" s="30" t="s">
        <v>151</v>
      </c>
      <c r="DD585" s="29" t="s">
        <v>151</v>
      </c>
      <c r="DE585" s="32">
        <v>1.01</v>
      </c>
      <c r="DF585" s="34">
        <v>96</v>
      </c>
      <c r="DG585" s="32">
        <v>0</v>
      </c>
      <c r="DH585" s="32">
        <v>0</v>
      </c>
      <c r="DI585" s="32">
        <v>2.49</v>
      </c>
      <c r="DJ585" s="34">
        <v>99</v>
      </c>
      <c r="DK585" s="32" t="s">
        <v>151</v>
      </c>
      <c r="DL585" s="34" t="s">
        <v>151</v>
      </c>
      <c r="DM585" s="32">
        <v>2.49</v>
      </c>
      <c r="DN585" s="34">
        <v>99</v>
      </c>
      <c r="DO585" s="36">
        <v>9.56</v>
      </c>
      <c r="DP585" s="34">
        <v>90</v>
      </c>
      <c r="DQ585" s="36">
        <v>0</v>
      </c>
      <c r="DR585" s="32">
        <v>0</v>
      </c>
      <c r="DS585" s="36">
        <v>15.05</v>
      </c>
      <c r="DT585" s="34">
        <v>93</v>
      </c>
      <c r="DU585" s="36" t="s">
        <v>151</v>
      </c>
      <c r="DV585" s="34" t="s">
        <v>151</v>
      </c>
      <c r="DW585" s="36">
        <v>15.05</v>
      </c>
      <c r="DX585" s="34">
        <v>93</v>
      </c>
      <c r="DY585" s="31">
        <v>1</v>
      </c>
      <c r="DZ585" s="35">
        <v>44911</v>
      </c>
      <c r="EA585" s="35" t="s">
        <v>12166</v>
      </c>
      <c r="EB585" s="34">
        <v>3520</v>
      </c>
      <c r="EC585" s="33">
        <v>29</v>
      </c>
      <c r="ED585" s="32">
        <v>0.83</v>
      </c>
      <c r="EE585" s="34">
        <v>286</v>
      </c>
      <c r="EF585" s="33">
        <v>4</v>
      </c>
      <c r="EG585" s="32">
        <v>1.42</v>
      </c>
      <c r="EH585" s="29" t="s">
        <v>198</v>
      </c>
      <c r="EI585" s="30" t="s">
        <v>151</v>
      </c>
      <c r="EJ585" s="30" t="s">
        <v>151</v>
      </c>
      <c r="EK585" s="31" t="s">
        <v>151</v>
      </c>
      <c r="EL585" s="31" t="s">
        <v>151</v>
      </c>
      <c r="EM585" s="31" t="s">
        <v>151</v>
      </c>
      <c r="EN585" s="31" t="s">
        <v>151</v>
      </c>
      <c r="EO585" s="31" t="s">
        <v>151</v>
      </c>
      <c r="EP585" s="30" t="s">
        <v>151</v>
      </c>
      <c r="EQ585" s="29" t="s">
        <v>151</v>
      </c>
      <c r="ER585" s="29" t="s">
        <v>151</v>
      </c>
      <c r="ES585" s="4">
        <f>HYPERLINK("https://my.pitchbook.com?c=466108-03","View Company Online")</f>
      </c>
    </row>
    <row r="586">
      <c r="A586" s="17" t="s">
        <v>12167</v>
      </c>
      <c r="B586" s="17" t="s">
        <v>12168</v>
      </c>
      <c r="C586" s="18" t="s">
        <v>151</v>
      </c>
      <c r="D586" s="17" t="s">
        <v>12169</v>
      </c>
      <c r="E586" s="17" t="s">
        <v>151</v>
      </c>
      <c r="F586" s="17" t="s">
        <v>12170</v>
      </c>
      <c r="G586" s="17" t="s">
        <v>151</v>
      </c>
      <c r="H586" s="17" t="s">
        <v>151</v>
      </c>
      <c r="I586" s="17" t="s">
        <v>151</v>
      </c>
      <c r="J586" s="17" t="s">
        <v>12167</v>
      </c>
      <c r="K586" s="17" t="s">
        <v>12171</v>
      </c>
      <c r="L586" s="17" t="s">
        <v>205</v>
      </c>
      <c r="M586" s="17" t="s">
        <v>206</v>
      </c>
      <c r="N586" s="17" t="s">
        <v>1268</v>
      </c>
      <c r="O586" s="17" t="s">
        <v>11477</v>
      </c>
      <c r="P586" s="17" t="s">
        <v>2130</v>
      </c>
      <c r="Q586" s="17" t="s">
        <v>12172</v>
      </c>
      <c r="R586" s="17" t="s">
        <v>151</v>
      </c>
      <c r="S586" s="17" t="s">
        <v>162</v>
      </c>
      <c r="T586" s="24">
        <v>1.57</v>
      </c>
      <c r="U586" s="17" t="s">
        <v>163</v>
      </c>
      <c r="V586" s="17" t="s">
        <v>164</v>
      </c>
      <c r="W586" s="17" t="s">
        <v>165</v>
      </c>
      <c r="X586" s="15" t="s">
        <v>12173</v>
      </c>
      <c r="Y586" s="15" t="s">
        <v>12174</v>
      </c>
      <c r="Z586" s="27">
        <v>10</v>
      </c>
      <c r="AA586" s="17" t="s">
        <v>12175</v>
      </c>
      <c r="AB586" s="17" t="s">
        <v>151</v>
      </c>
      <c r="AC586" s="17" t="s">
        <v>151</v>
      </c>
      <c r="AD586" s="26">
        <v>2018</v>
      </c>
      <c r="AE586" s="17" t="s">
        <v>151</v>
      </c>
      <c r="AF586" s="22">
        <v>45337</v>
      </c>
      <c r="AG586" s="17" t="s">
        <v>151</v>
      </c>
      <c r="AH586" s="17" t="s">
        <v>151</v>
      </c>
      <c r="AI586" s="25" t="s">
        <v>151</v>
      </c>
      <c r="AJ586" s="19" t="s">
        <v>151</v>
      </c>
      <c r="AK586" s="25" t="s">
        <v>151</v>
      </c>
      <c r="AL586" s="25" t="s">
        <v>151</v>
      </c>
      <c r="AM586" s="25" t="s">
        <v>151</v>
      </c>
      <c r="AN586" s="25" t="s">
        <v>151</v>
      </c>
      <c r="AO586" s="25" t="s">
        <v>151</v>
      </c>
      <c r="AP586" s="25" t="s">
        <v>151</v>
      </c>
      <c r="AQ586" s="25" t="s">
        <v>151</v>
      </c>
      <c r="AR586" s="16" t="s">
        <v>151</v>
      </c>
      <c r="AS586" s="17" t="s">
        <v>12176</v>
      </c>
      <c r="AT586" s="17" t="s">
        <v>12177</v>
      </c>
      <c r="AU586" s="18">
        <v>6</v>
      </c>
      <c r="AV586" s="17" t="s">
        <v>151</v>
      </c>
      <c r="AW586" s="17" t="s">
        <v>151</v>
      </c>
      <c r="AX586" s="17" t="s">
        <v>151</v>
      </c>
      <c r="AY586" s="17" t="s">
        <v>12178</v>
      </c>
      <c r="AZ586" s="17" t="s">
        <v>151</v>
      </c>
      <c r="BA586" s="17" t="s">
        <v>151</v>
      </c>
      <c r="BB586" s="17" t="s">
        <v>151</v>
      </c>
      <c r="BC586" s="17" t="s">
        <v>151</v>
      </c>
      <c r="BD586" s="17" t="s">
        <v>12179</v>
      </c>
      <c r="BE586" s="17" t="s">
        <v>12180</v>
      </c>
      <c r="BF586" s="17" t="s">
        <v>493</v>
      </c>
      <c r="BG586" s="17" t="s">
        <v>12181</v>
      </c>
      <c r="BH586" s="17" t="s">
        <v>12182</v>
      </c>
      <c r="BI586" s="17" t="s">
        <v>12183</v>
      </c>
      <c r="BJ586" s="17" t="s">
        <v>12184</v>
      </c>
      <c r="BK586" s="17" t="s">
        <v>151</v>
      </c>
      <c r="BL586" s="17" t="s">
        <v>12185</v>
      </c>
      <c r="BM586" s="17" t="s">
        <v>636</v>
      </c>
      <c r="BN586" s="16" t="s">
        <v>12186</v>
      </c>
      <c r="BO586" s="17" t="s">
        <v>186</v>
      </c>
      <c r="BP586" s="16" t="s">
        <v>12182</v>
      </c>
      <c r="BQ586" s="16" t="s">
        <v>151</v>
      </c>
      <c r="BR586" s="17" t="s">
        <v>12187</v>
      </c>
      <c r="BS586" s="17" t="s">
        <v>187</v>
      </c>
      <c r="BT586" s="17" t="s">
        <v>188</v>
      </c>
      <c r="BU586" s="22">
        <v>44477</v>
      </c>
      <c r="BV586" s="24">
        <v>0.1</v>
      </c>
      <c r="BW586" s="17" t="s">
        <v>192</v>
      </c>
      <c r="BX586" s="24" t="s">
        <v>151</v>
      </c>
      <c r="BY586" s="17" t="s">
        <v>151</v>
      </c>
      <c r="BZ586" s="17" t="s">
        <v>501</v>
      </c>
      <c r="CA586" s="17" t="s">
        <v>151</v>
      </c>
      <c r="CB586" s="17" t="s">
        <v>151</v>
      </c>
      <c r="CC586" s="17" t="s">
        <v>190</v>
      </c>
      <c r="CD586" s="17" t="s">
        <v>151</v>
      </c>
      <c r="CE586" s="17" t="s">
        <v>191</v>
      </c>
      <c r="CF586" s="22">
        <v>45323</v>
      </c>
      <c r="CG586" s="24" t="s">
        <v>151</v>
      </c>
      <c r="CH586" s="17" t="s">
        <v>151</v>
      </c>
      <c r="CI586" s="24" t="s">
        <v>151</v>
      </c>
      <c r="CJ586" s="17" t="s">
        <v>151</v>
      </c>
      <c r="CK586" s="16" t="s">
        <v>151</v>
      </c>
      <c r="CL586" s="17" t="s">
        <v>194</v>
      </c>
      <c r="CM586" s="17" t="s">
        <v>151</v>
      </c>
      <c r="CN586" s="17" t="s">
        <v>151</v>
      </c>
      <c r="CO586" s="17" t="s">
        <v>165</v>
      </c>
      <c r="CP586" s="22">
        <v>45323</v>
      </c>
      <c r="CQ586" s="24" t="s">
        <v>151</v>
      </c>
      <c r="CR586" s="17" t="s">
        <v>151</v>
      </c>
      <c r="CS586" s="17" t="s">
        <v>191</v>
      </c>
      <c r="CT586" s="16">
        <v>54</v>
      </c>
      <c r="CU586" s="17" t="s">
        <v>196</v>
      </c>
      <c r="CV586" s="19">
        <v>51</v>
      </c>
      <c r="CW586" s="19">
        <v>49</v>
      </c>
      <c r="CX586" s="17" t="s">
        <v>294</v>
      </c>
      <c r="CY586" s="19">
        <v>1</v>
      </c>
      <c r="CZ586" s="19">
        <v>50</v>
      </c>
      <c r="DA586" s="24" t="s">
        <v>151</v>
      </c>
      <c r="DB586" s="22" t="s">
        <v>151</v>
      </c>
      <c r="DC586" s="17" t="s">
        <v>151</v>
      </c>
      <c r="DD586" s="16" t="s">
        <v>151</v>
      </c>
      <c r="DE586" s="19">
        <v>0</v>
      </c>
      <c r="DF586" s="21">
        <v>11</v>
      </c>
      <c r="DG586" s="19">
        <v>0</v>
      </c>
      <c r="DH586" s="19">
        <v>0</v>
      </c>
      <c r="DI586" s="19">
        <v>0</v>
      </c>
      <c r="DJ586" s="21">
        <v>10</v>
      </c>
      <c r="DK586" s="19" t="s">
        <v>151</v>
      </c>
      <c r="DL586" s="21" t="s">
        <v>151</v>
      </c>
      <c r="DM586" s="19">
        <v>0</v>
      </c>
      <c r="DN586" s="21">
        <v>10</v>
      </c>
      <c r="DO586" s="23">
        <v>3.53</v>
      </c>
      <c r="DP586" s="21">
        <v>77</v>
      </c>
      <c r="DQ586" s="23">
        <v>0</v>
      </c>
      <c r="DR586" s="19">
        <v>0</v>
      </c>
      <c r="DS586" s="23">
        <v>3.53</v>
      </c>
      <c r="DT586" s="21">
        <v>77</v>
      </c>
      <c r="DU586" s="23" t="s">
        <v>151</v>
      </c>
      <c r="DV586" s="21" t="s">
        <v>151</v>
      </c>
      <c r="DW586" s="23">
        <v>3.53</v>
      </c>
      <c r="DX586" s="21">
        <v>77</v>
      </c>
      <c r="DY586" s="18" t="s">
        <v>151</v>
      </c>
      <c r="DZ586" s="22" t="s">
        <v>151</v>
      </c>
      <c r="EA586" s="22" t="s">
        <v>151</v>
      </c>
      <c r="EB586" s="21">
        <v>18</v>
      </c>
      <c r="EC586" s="20">
        <v>-89</v>
      </c>
      <c r="ED586" s="19">
        <v>-83.18</v>
      </c>
      <c r="EE586" s="21">
        <v>67</v>
      </c>
      <c r="EF586" s="20">
        <v>0</v>
      </c>
      <c r="EG586" s="19">
        <v>0</v>
      </c>
      <c r="EH586" s="16" t="s">
        <v>198</v>
      </c>
      <c r="EI586" s="17" t="s">
        <v>151</v>
      </c>
      <c r="EJ586" s="17" t="s">
        <v>151</v>
      </c>
      <c r="EK586" s="18" t="s">
        <v>151</v>
      </c>
      <c r="EL586" s="18" t="s">
        <v>151</v>
      </c>
      <c r="EM586" s="18" t="s">
        <v>151</v>
      </c>
      <c r="EN586" s="18" t="s">
        <v>151</v>
      </c>
      <c r="EO586" s="18" t="s">
        <v>151</v>
      </c>
      <c r="EP586" s="17" t="s">
        <v>151</v>
      </c>
      <c r="EQ586" s="16" t="s">
        <v>151</v>
      </c>
      <c r="ER586" s="16" t="s">
        <v>151</v>
      </c>
      <c r="ES586" s="3">
        <f>HYPERLINK("https://my.pitchbook.com?c=469973-44","View Company Online")</f>
      </c>
    </row>
    <row r="587">
      <c r="A587" s="30" t="s">
        <v>12188</v>
      </c>
      <c r="B587" s="30" t="s">
        <v>12189</v>
      </c>
      <c r="C587" s="31" t="s">
        <v>151</v>
      </c>
      <c r="D587" s="30" t="s">
        <v>151</v>
      </c>
      <c r="E587" s="30" t="s">
        <v>151</v>
      </c>
      <c r="F587" s="30" t="s">
        <v>12190</v>
      </c>
      <c r="G587" s="30" t="s">
        <v>151</v>
      </c>
      <c r="H587" s="30" t="s">
        <v>151</v>
      </c>
      <c r="I587" s="30" t="s">
        <v>151</v>
      </c>
      <c r="J587" s="30" t="s">
        <v>12188</v>
      </c>
      <c r="K587" s="30" t="s">
        <v>12191</v>
      </c>
      <c r="L587" s="30" t="s">
        <v>1178</v>
      </c>
      <c r="M587" s="30" t="s">
        <v>1179</v>
      </c>
      <c r="N587" s="30" t="s">
        <v>1179</v>
      </c>
      <c r="O587" s="30" t="s">
        <v>5552</v>
      </c>
      <c r="P587" s="30" t="s">
        <v>892</v>
      </c>
      <c r="Q587" s="30" t="s">
        <v>12192</v>
      </c>
      <c r="R587" s="30" t="s">
        <v>12193</v>
      </c>
      <c r="S587" s="30" t="s">
        <v>162</v>
      </c>
      <c r="T587" s="37">
        <v>10.9</v>
      </c>
      <c r="U587" s="30" t="s">
        <v>163</v>
      </c>
      <c r="V587" s="30" t="s">
        <v>164</v>
      </c>
      <c r="W587" s="30" t="s">
        <v>165</v>
      </c>
      <c r="X587" s="28" t="s">
        <v>12194</v>
      </c>
      <c r="Y587" s="28" t="s">
        <v>12195</v>
      </c>
      <c r="Z587" s="40">
        <v>11</v>
      </c>
      <c r="AA587" s="30" t="s">
        <v>12196</v>
      </c>
      <c r="AB587" s="30" t="s">
        <v>151</v>
      </c>
      <c r="AC587" s="30" t="s">
        <v>151</v>
      </c>
      <c r="AD587" s="39">
        <v>2018</v>
      </c>
      <c r="AE587" s="30" t="s">
        <v>151</v>
      </c>
      <c r="AF587" s="35">
        <v>45441</v>
      </c>
      <c r="AG587" s="30" t="s">
        <v>151</v>
      </c>
      <c r="AH587" s="30" t="s">
        <v>151</v>
      </c>
      <c r="AI587" s="38" t="s">
        <v>151</v>
      </c>
      <c r="AJ587" s="32" t="s">
        <v>151</v>
      </c>
      <c r="AK587" s="38" t="s">
        <v>151</v>
      </c>
      <c r="AL587" s="38" t="s">
        <v>151</v>
      </c>
      <c r="AM587" s="38" t="s">
        <v>151</v>
      </c>
      <c r="AN587" s="38" t="s">
        <v>151</v>
      </c>
      <c r="AO587" s="38" t="s">
        <v>151</v>
      </c>
      <c r="AP587" s="38" t="s">
        <v>151</v>
      </c>
      <c r="AQ587" s="38" t="s">
        <v>151</v>
      </c>
      <c r="AR587" s="29" t="s">
        <v>151</v>
      </c>
      <c r="AS587" s="30" t="s">
        <v>12197</v>
      </c>
      <c r="AT587" s="30" t="s">
        <v>12198</v>
      </c>
      <c r="AU587" s="31">
        <v>17</v>
      </c>
      <c r="AV587" s="30" t="s">
        <v>151</v>
      </c>
      <c r="AW587" s="30" t="s">
        <v>151</v>
      </c>
      <c r="AX587" s="30" t="s">
        <v>151</v>
      </c>
      <c r="AY587" s="30" t="s">
        <v>12199</v>
      </c>
      <c r="AZ587" s="30" t="s">
        <v>151</v>
      </c>
      <c r="BA587" s="30" t="s">
        <v>151</v>
      </c>
      <c r="BB587" s="30" t="s">
        <v>151</v>
      </c>
      <c r="BC587" s="30" t="s">
        <v>1115</v>
      </c>
      <c r="BD587" s="30" t="s">
        <v>12200</v>
      </c>
      <c r="BE587" s="30" t="s">
        <v>12201</v>
      </c>
      <c r="BF587" s="30" t="s">
        <v>221</v>
      </c>
      <c r="BG587" s="30" t="s">
        <v>12202</v>
      </c>
      <c r="BH587" s="30" t="s">
        <v>12203</v>
      </c>
      <c r="BI587" s="30" t="s">
        <v>906</v>
      </c>
      <c r="BJ587" s="30" t="s">
        <v>12204</v>
      </c>
      <c r="BK587" s="30" t="s">
        <v>12205</v>
      </c>
      <c r="BL587" s="30" t="s">
        <v>259</v>
      </c>
      <c r="BM587" s="30" t="s">
        <v>259</v>
      </c>
      <c r="BN587" s="29" t="s">
        <v>12206</v>
      </c>
      <c r="BO587" s="30" t="s">
        <v>186</v>
      </c>
      <c r="BP587" s="29" t="s">
        <v>12203</v>
      </c>
      <c r="BQ587" s="29" t="s">
        <v>151</v>
      </c>
      <c r="BR587" s="30" t="s">
        <v>12207</v>
      </c>
      <c r="BS587" s="30" t="s">
        <v>187</v>
      </c>
      <c r="BT587" s="30" t="s">
        <v>188</v>
      </c>
      <c r="BU587" s="35">
        <v>43770</v>
      </c>
      <c r="BV587" s="37" t="s">
        <v>151</v>
      </c>
      <c r="BW587" s="30" t="s">
        <v>151</v>
      </c>
      <c r="BX587" s="37" t="s">
        <v>151</v>
      </c>
      <c r="BY587" s="30" t="s">
        <v>151</v>
      </c>
      <c r="BZ587" s="30" t="s">
        <v>189</v>
      </c>
      <c r="CA587" s="30" t="s">
        <v>151</v>
      </c>
      <c r="CB587" s="30" t="s">
        <v>151</v>
      </c>
      <c r="CC587" s="30" t="s">
        <v>190</v>
      </c>
      <c r="CD587" s="30" t="s">
        <v>151</v>
      </c>
      <c r="CE587" s="30" t="s">
        <v>191</v>
      </c>
      <c r="CF587" s="35">
        <v>44652</v>
      </c>
      <c r="CG587" s="37" t="s">
        <v>151</v>
      </c>
      <c r="CH587" s="30" t="s">
        <v>151</v>
      </c>
      <c r="CI587" s="37" t="s">
        <v>151</v>
      </c>
      <c r="CJ587" s="30" t="s">
        <v>151</v>
      </c>
      <c r="CK587" s="29" t="s">
        <v>151</v>
      </c>
      <c r="CL587" s="30" t="s">
        <v>231</v>
      </c>
      <c r="CM587" s="30" t="s">
        <v>151</v>
      </c>
      <c r="CN587" s="30" t="s">
        <v>151</v>
      </c>
      <c r="CO587" s="30" t="s">
        <v>165</v>
      </c>
      <c r="CP587" s="35">
        <v>44652</v>
      </c>
      <c r="CQ587" s="37" t="s">
        <v>151</v>
      </c>
      <c r="CR587" s="30" t="s">
        <v>151</v>
      </c>
      <c r="CS587" s="30" t="s">
        <v>191</v>
      </c>
      <c r="CT587" s="29">
        <v>23</v>
      </c>
      <c r="CU587" s="30" t="s">
        <v>263</v>
      </c>
      <c r="CV587" s="32">
        <v>24</v>
      </c>
      <c r="CW587" s="32">
        <v>76</v>
      </c>
      <c r="CX587" s="30" t="s">
        <v>263</v>
      </c>
      <c r="CY587" s="32">
        <v>1</v>
      </c>
      <c r="CZ587" s="32">
        <v>23</v>
      </c>
      <c r="DA587" s="37">
        <v>15</v>
      </c>
      <c r="DB587" s="35">
        <v>43928</v>
      </c>
      <c r="DC587" s="30" t="s">
        <v>293</v>
      </c>
      <c r="DD587" s="29" t="s">
        <v>151</v>
      </c>
      <c r="DE587" s="32">
        <v>-0.52</v>
      </c>
      <c r="DF587" s="34">
        <v>7</v>
      </c>
      <c r="DG587" s="32">
        <v>0</v>
      </c>
      <c r="DH587" s="32">
        <v>0</v>
      </c>
      <c r="DI587" s="32">
        <v>0</v>
      </c>
      <c r="DJ587" s="34">
        <v>10</v>
      </c>
      <c r="DK587" s="32" t="s">
        <v>151</v>
      </c>
      <c r="DL587" s="34" t="s">
        <v>151</v>
      </c>
      <c r="DM587" s="32">
        <v>0</v>
      </c>
      <c r="DN587" s="34">
        <v>10</v>
      </c>
      <c r="DO587" s="36">
        <v>2.24</v>
      </c>
      <c r="DP587" s="34">
        <v>69</v>
      </c>
      <c r="DQ587" s="36">
        <v>0</v>
      </c>
      <c r="DR587" s="32">
        <v>0</v>
      </c>
      <c r="DS587" s="36">
        <v>3.63</v>
      </c>
      <c r="DT587" s="34">
        <v>77</v>
      </c>
      <c r="DU587" s="36" t="s">
        <v>151</v>
      </c>
      <c r="DV587" s="34" t="s">
        <v>151</v>
      </c>
      <c r="DW587" s="36">
        <v>3.63</v>
      </c>
      <c r="DX587" s="34">
        <v>77</v>
      </c>
      <c r="DY587" s="31" t="s">
        <v>151</v>
      </c>
      <c r="DZ587" s="35" t="s">
        <v>151</v>
      </c>
      <c r="EA587" s="35" t="s">
        <v>151</v>
      </c>
      <c r="EB587" s="34" t="s">
        <v>151</v>
      </c>
      <c r="EC587" s="33" t="s">
        <v>151</v>
      </c>
      <c r="ED587" s="32" t="s">
        <v>151</v>
      </c>
      <c r="EE587" s="34">
        <v>69</v>
      </c>
      <c r="EF587" s="33">
        <v>0</v>
      </c>
      <c r="EG587" s="32">
        <v>0</v>
      </c>
      <c r="EH587" s="29" t="s">
        <v>198</v>
      </c>
      <c r="EI587" s="30" t="s">
        <v>151</v>
      </c>
      <c r="EJ587" s="30" t="s">
        <v>151</v>
      </c>
      <c r="EK587" s="31" t="s">
        <v>151</v>
      </c>
      <c r="EL587" s="31" t="s">
        <v>151</v>
      </c>
      <c r="EM587" s="31" t="s">
        <v>151</v>
      </c>
      <c r="EN587" s="31" t="s">
        <v>151</v>
      </c>
      <c r="EO587" s="31" t="s">
        <v>151</v>
      </c>
      <c r="EP587" s="30" t="s">
        <v>151</v>
      </c>
      <c r="EQ587" s="29" t="s">
        <v>151</v>
      </c>
      <c r="ER587" s="29" t="s">
        <v>151</v>
      </c>
      <c r="ES587" s="4">
        <f>HYPERLINK("https://my.pitchbook.com?c=266703-94","View Company Online")</f>
      </c>
    </row>
    <row r="588">
      <c r="A588" s="17" t="s">
        <v>12208</v>
      </c>
      <c r="B588" s="17" t="s">
        <v>12209</v>
      </c>
      <c r="C588" s="18" t="s">
        <v>151</v>
      </c>
      <c r="D588" s="17" t="s">
        <v>151</v>
      </c>
      <c r="E588" s="17" t="s">
        <v>12210</v>
      </c>
      <c r="F588" s="17" t="s">
        <v>12211</v>
      </c>
      <c r="G588" s="17" t="s">
        <v>151</v>
      </c>
      <c r="H588" s="17" t="s">
        <v>151</v>
      </c>
      <c r="I588" s="17" t="s">
        <v>12212</v>
      </c>
      <c r="J588" s="17" t="s">
        <v>12208</v>
      </c>
      <c r="K588" s="17" t="s">
        <v>12213</v>
      </c>
      <c r="L588" s="17" t="s">
        <v>616</v>
      </c>
      <c r="M588" s="17" t="s">
        <v>834</v>
      </c>
      <c r="N588" s="17" t="s">
        <v>835</v>
      </c>
      <c r="O588" s="17" t="s">
        <v>12214</v>
      </c>
      <c r="P588" s="17" t="s">
        <v>4229</v>
      </c>
      <c r="Q588" s="17" t="s">
        <v>12215</v>
      </c>
      <c r="R588" s="17" t="s">
        <v>151</v>
      </c>
      <c r="S588" s="17" t="s">
        <v>162</v>
      </c>
      <c r="T588" s="24">
        <v>1.72</v>
      </c>
      <c r="U588" s="17" t="s">
        <v>163</v>
      </c>
      <c r="V588" s="17" t="s">
        <v>164</v>
      </c>
      <c r="W588" s="17" t="s">
        <v>165</v>
      </c>
      <c r="X588" s="15" t="s">
        <v>12216</v>
      </c>
      <c r="Y588" s="15" t="s">
        <v>12217</v>
      </c>
      <c r="Z588" s="27">
        <v>4</v>
      </c>
      <c r="AA588" s="17" t="s">
        <v>2228</v>
      </c>
      <c r="AB588" s="17" t="s">
        <v>151</v>
      </c>
      <c r="AC588" s="17" t="s">
        <v>151</v>
      </c>
      <c r="AD588" s="26">
        <v>2021</v>
      </c>
      <c r="AE588" s="17" t="s">
        <v>151</v>
      </c>
      <c r="AF588" s="22">
        <v>45590</v>
      </c>
      <c r="AG588" s="17" t="s">
        <v>151</v>
      </c>
      <c r="AH588" s="17" t="s">
        <v>151</v>
      </c>
      <c r="AI588" s="25" t="s">
        <v>151</v>
      </c>
      <c r="AJ588" s="19" t="s">
        <v>151</v>
      </c>
      <c r="AK588" s="25" t="s">
        <v>151</v>
      </c>
      <c r="AL588" s="25" t="s">
        <v>151</v>
      </c>
      <c r="AM588" s="25" t="s">
        <v>151</v>
      </c>
      <c r="AN588" s="25" t="s">
        <v>151</v>
      </c>
      <c r="AO588" s="25" t="s">
        <v>151</v>
      </c>
      <c r="AP588" s="25" t="s">
        <v>151</v>
      </c>
      <c r="AQ588" s="25" t="s">
        <v>151</v>
      </c>
      <c r="AR588" s="16" t="s">
        <v>151</v>
      </c>
      <c r="AS588" s="17" t="s">
        <v>12218</v>
      </c>
      <c r="AT588" s="17" t="s">
        <v>12219</v>
      </c>
      <c r="AU588" s="18">
        <v>13</v>
      </c>
      <c r="AV588" s="17" t="s">
        <v>151</v>
      </c>
      <c r="AW588" s="17" t="s">
        <v>151</v>
      </c>
      <c r="AX588" s="17" t="s">
        <v>151</v>
      </c>
      <c r="AY588" s="17" t="s">
        <v>12220</v>
      </c>
      <c r="AZ588" s="17" t="s">
        <v>151</v>
      </c>
      <c r="BA588" s="17" t="s">
        <v>151</v>
      </c>
      <c r="BB588" s="17" t="s">
        <v>12221</v>
      </c>
      <c r="BC588" s="17" t="s">
        <v>12222</v>
      </c>
      <c r="BD588" s="17" t="s">
        <v>12223</v>
      </c>
      <c r="BE588" s="17" t="s">
        <v>12224</v>
      </c>
      <c r="BF588" s="17" t="s">
        <v>221</v>
      </c>
      <c r="BG588" s="17" t="s">
        <v>12225</v>
      </c>
      <c r="BH588" s="17" t="s">
        <v>12226</v>
      </c>
      <c r="BI588" s="17" t="s">
        <v>1040</v>
      </c>
      <c r="BJ588" s="17" t="s">
        <v>12227</v>
      </c>
      <c r="BK588" s="17" t="s">
        <v>151</v>
      </c>
      <c r="BL588" s="17" t="s">
        <v>1042</v>
      </c>
      <c r="BM588" s="17" t="s">
        <v>1043</v>
      </c>
      <c r="BN588" s="16" t="s">
        <v>12228</v>
      </c>
      <c r="BO588" s="17" t="s">
        <v>186</v>
      </c>
      <c r="BP588" s="16" t="s">
        <v>12229</v>
      </c>
      <c r="BQ588" s="16" t="s">
        <v>151</v>
      </c>
      <c r="BR588" s="17" t="s">
        <v>12230</v>
      </c>
      <c r="BS588" s="17" t="s">
        <v>187</v>
      </c>
      <c r="BT588" s="17" t="s">
        <v>188</v>
      </c>
      <c r="BU588" s="22">
        <v>44760</v>
      </c>
      <c r="BV588" s="24">
        <v>0.02</v>
      </c>
      <c r="BW588" s="17" t="s">
        <v>192</v>
      </c>
      <c r="BX588" s="24" t="s">
        <v>151</v>
      </c>
      <c r="BY588" s="17" t="s">
        <v>151</v>
      </c>
      <c r="BZ588" s="17" t="s">
        <v>189</v>
      </c>
      <c r="CA588" s="17" t="s">
        <v>151</v>
      </c>
      <c r="CB588" s="17" t="s">
        <v>151</v>
      </c>
      <c r="CC588" s="17" t="s">
        <v>190</v>
      </c>
      <c r="CD588" s="17" t="s">
        <v>151</v>
      </c>
      <c r="CE588" s="17" t="s">
        <v>191</v>
      </c>
      <c r="CF588" s="22">
        <v>44971</v>
      </c>
      <c r="CG588" s="24">
        <v>1.08</v>
      </c>
      <c r="CH588" s="17" t="s">
        <v>193</v>
      </c>
      <c r="CI588" s="24" t="s">
        <v>151</v>
      </c>
      <c r="CJ588" s="17" t="s">
        <v>151</v>
      </c>
      <c r="CK588" s="16" t="s">
        <v>151</v>
      </c>
      <c r="CL588" s="17" t="s">
        <v>231</v>
      </c>
      <c r="CM588" s="17" t="s">
        <v>151</v>
      </c>
      <c r="CN588" s="17" t="s">
        <v>151</v>
      </c>
      <c r="CO588" s="17" t="s">
        <v>165</v>
      </c>
      <c r="CP588" s="22">
        <v>44971</v>
      </c>
      <c r="CQ588" s="24" t="s">
        <v>151</v>
      </c>
      <c r="CR588" s="17" t="s">
        <v>151</v>
      </c>
      <c r="CS588" s="17" t="s">
        <v>191</v>
      </c>
      <c r="CT588" s="16">
        <v>24</v>
      </c>
      <c r="CU588" s="17" t="s">
        <v>263</v>
      </c>
      <c r="CV588" s="19">
        <v>25</v>
      </c>
      <c r="CW588" s="19">
        <v>75</v>
      </c>
      <c r="CX588" s="17" t="s">
        <v>263</v>
      </c>
      <c r="CY588" s="19">
        <v>1</v>
      </c>
      <c r="CZ588" s="19">
        <v>24</v>
      </c>
      <c r="DA588" s="24">
        <v>5</v>
      </c>
      <c r="DB588" s="22">
        <v>44911</v>
      </c>
      <c r="DC588" s="17" t="s">
        <v>231</v>
      </c>
      <c r="DD588" s="16" t="s">
        <v>151</v>
      </c>
      <c r="DE588" s="19">
        <v>0</v>
      </c>
      <c r="DF588" s="21">
        <v>11</v>
      </c>
      <c r="DG588" s="19">
        <v>0</v>
      </c>
      <c r="DH588" s="19">
        <v>0</v>
      </c>
      <c r="DI588" s="19">
        <v>0</v>
      </c>
      <c r="DJ588" s="21">
        <v>10</v>
      </c>
      <c r="DK588" s="19" t="s">
        <v>151</v>
      </c>
      <c r="DL588" s="21" t="s">
        <v>151</v>
      </c>
      <c r="DM588" s="19">
        <v>0</v>
      </c>
      <c r="DN588" s="21">
        <v>10</v>
      </c>
      <c r="DO588" s="23">
        <v>1.11</v>
      </c>
      <c r="DP588" s="21">
        <v>52</v>
      </c>
      <c r="DQ588" s="23">
        <v>0</v>
      </c>
      <c r="DR588" s="19">
        <v>0</v>
      </c>
      <c r="DS588" s="23">
        <v>1.11</v>
      </c>
      <c r="DT588" s="21">
        <v>52</v>
      </c>
      <c r="DU588" s="23" t="s">
        <v>151</v>
      </c>
      <c r="DV588" s="21" t="s">
        <v>151</v>
      </c>
      <c r="DW588" s="23">
        <v>1.11</v>
      </c>
      <c r="DX588" s="21">
        <v>52</v>
      </c>
      <c r="DY588" s="18" t="s">
        <v>151</v>
      </c>
      <c r="DZ588" s="22" t="s">
        <v>151</v>
      </c>
      <c r="EA588" s="22" t="s">
        <v>151</v>
      </c>
      <c r="EB588" s="21">
        <v>983</v>
      </c>
      <c r="EC588" s="20">
        <v>-22</v>
      </c>
      <c r="ED588" s="19">
        <v>-2.19</v>
      </c>
      <c r="EE588" s="21">
        <v>21</v>
      </c>
      <c r="EF588" s="20">
        <v>0</v>
      </c>
      <c r="EG588" s="19">
        <v>0</v>
      </c>
      <c r="EH588" s="16" t="s">
        <v>198</v>
      </c>
      <c r="EI588" s="17" t="s">
        <v>151</v>
      </c>
      <c r="EJ588" s="17" t="s">
        <v>151</v>
      </c>
      <c r="EK588" s="18" t="s">
        <v>151</v>
      </c>
      <c r="EL588" s="18" t="s">
        <v>151</v>
      </c>
      <c r="EM588" s="18" t="s">
        <v>151</v>
      </c>
      <c r="EN588" s="18" t="s">
        <v>151</v>
      </c>
      <c r="EO588" s="18" t="s">
        <v>151</v>
      </c>
      <c r="EP588" s="17" t="s">
        <v>151</v>
      </c>
      <c r="EQ588" s="16" t="s">
        <v>151</v>
      </c>
      <c r="ER588" s="16" t="s">
        <v>151</v>
      </c>
      <c r="ES588" s="3">
        <f>HYPERLINK("https://my.pitchbook.com?c=501672-07","View Company Online")</f>
      </c>
    </row>
    <row r="589">
      <c r="A589" s="30" t="s">
        <v>12231</v>
      </c>
      <c r="B589" s="30" t="s">
        <v>12232</v>
      </c>
      <c r="C589" s="31" t="s">
        <v>151</v>
      </c>
      <c r="D589" s="30" t="s">
        <v>151</v>
      </c>
      <c r="E589" s="30" t="s">
        <v>151</v>
      </c>
      <c r="F589" s="30" t="s">
        <v>151</v>
      </c>
      <c r="G589" s="30" t="s">
        <v>151</v>
      </c>
      <c r="H589" s="30" t="s">
        <v>151</v>
      </c>
      <c r="I589" s="30" t="s">
        <v>12233</v>
      </c>
      <c r="J589" s="30" t="s">
        <v>12231</v>
      </c>
      <c r="K589" s="30" t="s">
        <v>12234</v>
      </c>
      <c r="L589" s="30" t="s">
        <v>205</v>
      </c>
      <c r="M589" s="30" t="s">
        <v>206</v>
      </c>
      <c r="N589" s="30" t="s">
        <v>207</v>
      </c>
      <c r="O589" s="30" t="s">
        <v>12235</v>
      </c>
      <c r="P589" s="30" t="s">
        <v>12236</v>
      </c>
      <c r="Q589" s="30" t="s">
        <v>12237</v>
      </c>
      <c r="R589" s="30" t="s">
        <v>151</v>
      </c>
      <c r="S589" s="30" t="s">
        <v>162</v>
      </c>
      <c r="T589" s="37">
        <v>0.45</v>
      </c>
      <c r="U589" s="30" t="s">
        <v>163</v>
      </c>
      <c r="V589" s="30" t="s">
        <v>164</v>
      </c>
      <c r="W589" s="30" t="s">
        <v>165</v>
      </c>
      <c r="X589" s="28" t="s">
        <v>12238</v>
      </c>
      <c r="Y589" s="28" t="s">
        <v>12239</v>
      </c>
      <c r="Z589" s="40">
        <v>7</v>
      </c>
      <c r="AA589" s="30" t="s">
        <v>12240</v>
      </c>
      <c r="AB589" s="30" t="s">
        <v>151</v>
      </c>
      <c r="AC589" s="30" t="s">
        <v>151</v>
      </c>
      <c r="AD589" s="39">
        <v>2020</v>
      </c>
      <c r="AE589" s="30" t="s">
        <v>151</v>
      </c>
      <c r="AF589" s="35">
        <v>45561</v>
      </c>
      <c r="AG589" s="30" t="s">
        <v>151</v>
      </c>
      <c r="AH589" s="30" t="s">
        <v>151</v>
      </c>
      <c r="AI589" s="38" t="s">
        <v>151</v>
      </c>
      <c r="AJ589" s="32" t="s">
        <v>151</v>
      </c>
      <c r="AK589" s="38" t="s">
        <v>151</v>
      </c>
      <c r="AL589" s="38" t="s">
        <v>151</v>
      </c>
      <c r="AM589" s="38" t="s">
        <v>151</v>
      </c>
      <c r="AN589" s="38" t="s">
        <v>151</v>
      </c>
      <c r="AO589" s="38" t="s">
        <v>151</v>
      </c>
      <c r="AP589" s="38" t="s">
        <v>151</v>
      </c>
      <c r="AQ589" s="38" t="s">
        <v>151</v>
      </c>
      <c r="AR589" s="29" t="s">
        <v>151</v>
      </c>
      <c r="AS589" s="30" t="s">
        <v>12241</v>
      </c>
      <c r="AT589" s="30" t="s">
        <v>12242</v>
      </c>
      <c r="AU589" s="31">
        <v>1</v>
      </c>
      <c r="AV589" s="30" t="s">
        <v>151</v>
      </c>
      <c r="AW589" s="30" t="s">
        <v>151</v>
      </c>
      <c r="AX589" s="30" t="s">
        <v>151</v>
      </c>
      <c r="AY589" s="30" t="s">
        <v>12243</v>
      </c>
      <c r="AZ589" s="30" t="s">
        <v>151</v>
      </c>
      <c r="BA589" s="30" t="s">
        <v>151</v>
      </c>
      <c r="BB589" s="30" t="s">
        <v>151</v>
      </c>
      <c r="BC589" s="30" t="s">
        <v>151</v>
      </c>
      <c r="BD589" s="30" t="s">
        <v>12244</v>
      </c>
      <c r="BE589" s="30" t="s">
        <v>12245</v>
      </c>
      <c r="BF589" s="30" t="s">
        <v>221</v>
      </c>
      <c r="BG589" s="30" t="s">
        <v>12246</v>
      </c>
      <c r="BH589" s="30" t="s">
        <v>12247</v>
      </c>
      <c r="BI589" s="30" t="s">
        <v>1068</v>
      </c>
      <c r="BJ589" s="30" t="s">
        <v>12248</v>
      </c>
      <c r="BK589" s="30" t="s">
        <v>151</v>
      </c>
      <c r="BL589" s="30" t="s">
        <v>1071</v>
      </c>
      <c r="BM589" s="30" t="s">
        <v>1072</v>
      </c>
      <c r="BN589" s="29" t="s">
        <v>12249</v>
      </c>
      <c r="BO589" s="30" t="s">
        <v>186</v>
      </c>
      <c r="BP589" s="29" t="s">
        <v>12247</v>
      </c>
      <c r="BQ589" s="29" t="s">
        <v>151</v>
      </c>
      <c r="BR589" s="30" t="s">
        <v>12250</v>
      </c>
      <c r="BS589" s="30" t="s">
        <v>187</v>
      </c>
      <c r="BT589" s="30" t="s">
        <v>188</v>
      </c>
      <c r="BU589" s="35">
        <v>44409</v>
      </c>
      <c r="BV589" s="37">
        <v>0.45</v>
      </c>
      <c r="BW589" s="30" t="s">
        <v>192</v>
      </c>
      <c r="BX589" s="37">
        <v>4.5</v>
      </c>
      <c r="BY589" s="30" t="s">
        <v>192</v>
      </c>
      <c r="BZ589" s="30" t="s">
        <v>293</v>
      </c>
      <c r="CA589" s="30" t="s">
        <v>293</v>
      </c>
      <c r="CB589" s="30" t="s">
        <v>151</v>
      </c>
      <c r="CC589" s="30" t="s">
        <v>165</v>
      </c>
      <c r="CD589" s="30" t="s">
        <v>151</v>
      </c>
      <c r="CE589" s="30" t="s">
        <v>191</v>
      </c>
      <c r="CF589" s="35">
        <v>44409</v>
      </c>
      <c r="CG589" s="37">
        <v>0.45</v>
      </c>
      <c r="CH589" s="30" t="s">
        <v>192</v>
      </c>
      <c r="CI589" s="37">
        <v>4.5</v>
      </c>
      <c r="CJ589" s="30" t="s">
        <v>192</v>
      </c>
      <c r="CK589" s="29" t="s">
        <v>151</v>
      </c>
      <c r="CL589" s="30" t="s">
        <v>293</v>
      </c>
      <c r="CM589" s="30" t="s">
        <v>293</v>
      </c>
      <c r="CN589" s="30" t="s">
        <v>151</v>
      </c>
      <c r="CO589" s="30" t="s">
        <v>165</v>
      </c>
      <c r="CP589" s="35">
        <v>44409</v>
      </c>
      <c r="CQ589" s="37" t="s">
        <v>151</v>
      </c>
      <c r="CR589" s="30" t="s">
        <v>151</v>
      </c>
      <c r="CS589" s="30" t="s">
        <v>191</v>
      </c>
      <c r="CT589" s="29" t="s">
        <v>151</v>
      </c>
      <c r="CU589" s="30" t="s">
        <v>151</v>
      </c>
      <c r="CV589" s="32" t="s">
        <v>151</v>
      </c>
      <c r="CW589" s="32" t="s">
        <v>151</v>
      </c>
      <c r="CX589" s="30" t="s">
        <v>151</v>
      </c>
      <c r="CY589" s="32" t="s">
        <v>151</v>
      </c>
      <c r="CZ589" s="32" t="s">
        <v>151</v>
      </c>
      <c r="DA589" s="37">
        <v>4.5</v>
      </c>
      <c r="DB589" s="35">
        <v>44409</v>
      </c>
      <c r="DC589" s="30" t="s">
        <v>293</v>
      </c>
      <c r="DD589" s="29" t="s">
        <v>151</v>
      </c>
      <c r="DE589" s="32">
        <v>0</v>
      </c>
      <c r="DF589" s="34">
        <v>11</v>
      </c>
      <c r="DG589" s="32">
        <v>0</v>
      </c>
      <c r="DH589" s="32">
        <v>0</v>
      </c>
      <c r="DI589" s="32">
        <v>0</v>
      </c>
      <c r="DJ589" s="34">
        <v>10</v>
      </c>
      <c r="DK589" s="32" t="s">
        <v>151</v>
      </c>
      <c r="DL589" s="34" t="s">
        <v>151</v>
      </c>
      <c r="DM589" s="32">
        <v>0</v>
      </c>
      <c r="DN589" s="34">
        <v>10</v>
      </c>
      <c r="DO589" s="36">
        <v>0.53</v>
      </c>
      <c r="DP589" s="34">
        <v>33</v>
      </c>
      <c r="DQ589" s="36">
        <v>0</v>
      </c>
      <c r="DR589" s="32">
        <v>0</v>
      </c>
      <c r="DS589" s="36">
        <v>0.53</v>
      </c>
      <c r="DT589" s="34">
        <v>34</v>
      </c>
      <c r="DU589" s="36" t="s">
        <v>151</v>
      </c>
      <c r="DV589" s="34" t="s">
        <v>151</v>
      </c>
      <c r="DW589" s="36">
        <v>0.53</v>
      </c>
      <c r="DX589" s="34">
        <v>34</v>
      </c>
      <c r="DY589" s="31" t="s">
        <v>151</v>
      </c>
      <c r="DZ589" s="35" t="s">
        <v>151</v>
      </c>
      <c r="EA589" s="35" t="s">
        <v>151</v>
      </c>
      <c r="EB589" s="34">
        <v>0</v>
      </c>
      <c r="EC589" s="33">
        <v>0</v>
      </c>
      <c r="ED589" s="32">
        <v>0</v>
      </c>
      <c r="EE589" s="34">
        <v>10</v>
      </c>
      <c r="EF589" s="33">
        <v>0</v>
      </c>
      <c r="EG589" s="32">
        <v>0</v>
      </c>
      <c r="EH589" s="29" t="s">
        <v>198</v>
      </c>
      <c r="EI589" s="30" t="s">
        <v>151</v>
      </c>
      <c r="EJ589" s="30" t="s">
        <v>151</v>
      </c>
      <c r="EK589" s="31" t="s">
        <v>151</v>
      </c>
      <c r="EL589" s="31" t="s">
        <v>151</v>
      </c>
      <c r="EM589" s="31" t="s">
        <v>151</v>
      </c>
      <c r="EN589" s="31" t="s">
        <v>151</v>
      </c>
      <c r="EO589" s="31" t="s">
        <v>151</v>
      </c>
      <c r="EP589" s="30" t="s">
        <v>151</v>
      </c>
      <c r="EQ589" s="29" t="s">
        <v>151</v>
      </c>
      <c r="ER589" s="29" t="s">
        <v>151</v>
      </c>
      <c r="ES589" s="4">
        <f>HYPERLINK("https://my.pitchbook.com?c=465649-93","View Company Online")</f>
      </c>
    </row>
    <row r="590">
      <c r="A590" s="17" t="s">
        <v>12251</v>
      </c>
      <c r="B590" s="17" t="s">
        <v>12252</v>
      </c>
      <c r="C590" s="18" t="s">
        <v>151</v>
      </c>
      <c r="D590" s="17" t="s">
        <v>151</v>
      </c>
      <c r="E590" s="17" t="s">
        <v>151</v>
      </c>
      <c r="F590" s="17" t="s">
        <v>12253</v>
      </c>
      <c r="G590" s="17" t="s">
        <v>151</v>
      </c>
      <c r="H590" s="17" t="s">
        <v>151</v>
      </c>
      <c r="I590" s="17" t="s">
        <v>151</v>
      </c>
      <c r="J590" s="17" t="s">
        <v>12251</v>
      </c>
      <c r="K590" s="17" t="s">
        <v>12254</v>
      </c>
      <c r="L590" s="17" t="s">
        <v>205</v>
      </c>
      <c r="M590" s="17" t="s">
        <v>448</v>
      </c>
      <c r="N590" s="17" t="s">
        <v>478</v>
      </c>
      <c r="O590" s="17" t="s">
        <v>12255</v>
      </c>
      <c r="P590" s="17" t="s">
        <v>151</v>
      </c>
      <c r="Q590" s="17" t="s">
        <v>12256</v>
      </c>
      <c r="R590" s="17" t="s">
        <v>151</v>
      </c>
      <c r="S590" s="17" t="s">
        <v>162</v>
      </c>
      <c r="T590" s="24">
        <v>1.29</v>
      </c>
      <c r="U590" s="17" t="s">
        <v>163</v>
      </c>
      <c r="V590" s="17" t="s">
        <v>164</v>
      </c>
      <c r="W590" s="17" t="s">
        <v>165</v>
      </c>
      <c r="X590" s="15" t="s">
        <v>12257</v>
      </c>
      <c r="Y590" s="15" t="s">
        <v>12258</v>
      </c>
      <c r="Z590" s="27">
        <v>5</v>
      </c>
      <c r="AA590" s="17" t="s">
        <v>11822</v>
      </c>
      <c r="AB590" s="17" t="s">
        <v>151</v>
      </c>
      <c r="AC590" s="17" t="s">
        <v>151</v>
      </c>
      <c r="AD590" s="26">
        <v>2021</v>
      </c>
      <c r="AE590" s="17" t="s">
        <v>151</v>
      </c>
      <c r="AF590" s="22">
        <v>45611</v>
      </c>
      <c r="AG590" s="17" t="s">
        <v>151</v>
      </c>
      <c r="AH590" s="17" t="s">
        <v>151</v>
      </c>
      <c r="AI590" s="25" t="s">
        <v>151</v>
      </c>
      <c r="AJ590" s="19" t="s">
        <v>151</v>
      </c>
      <c r="AK590" s="25" t="s">
        <v>151</v>
      </c>
      <c r="AL590" s="25" t="s">
        <v>151</v>
      </c>
      <c r="AM590" s="25" t="s">
        <v>151</v>
      </c>
      <c r="AN590" s="25" t="s">
        <v>151</v>
      </c>
      <c r="AO590" s="25" t="s">
        <v>151</v>
      </c>
      <c r="AP590" s="25" t="s">
        <v>151</v>
      </c>
      <c r="AQ590" s="25" t="s">
        <v>151</v>
      </c>
      <c r="AR590" s="16" t="s">
        <v>151</v>
      </c>
      <c r="AS590" s="17" t="s">
        <v>12259</v>
      </c>
      <c r="AT590" s="17" t="s">
        <v>12260</v>
      </c>
      <c r="AU590" s="18">
        <v>8</v>
      </c>
      <c r="AV590" s="17" t="s">
        <v>151</v>
      </c>
      <c r="AW590" s="17" t="s">
        <v>151</v>
      </c>
      <c r="AX590" s="17" t="s">
        <v>151</v>
      </c>
      <c r="AY590" s="17" t="s">
        <v>12261</v>
      </c>
      <c r="AZ590" s="17" t="s">
        <v>151</v>
      </c>
      <c r="BA590" s="17" t="s">
        <v>151</v>
      </c>
      <c r="BB590" s="17" t="s">
        <v>151</v>
      </c>
      <c r="BC590" s="17" t="s">
        <v>151</v>
      </c>
      <c r="BD590" s="17" t="s">
        <v>12262</v>
      </c>
      <c r="BE590" s="17" t="s">
        <v>12263</v>
      </c>
      <c r="BF590" s="17" t="s">
        <v>403</v>
      </c>
      <c r="BG590" s="17" t="s">
        <v>12264</v>
      </c>
      <c r="BH590" s="17" t="s">
        <v>151</v>
      </c>
      <c r="BI590" s="17" t="s">
        <v>12265</v>
      </c>
      <c r="BJ590" s="17" t="s">
        <v>12266</v>
      </c>
      <c r="BK590" s="17" t="s">
        <v>12267</v>
      </c>
      <c r="BL590" s="17" t="s">
        <v>12268</v>
      </c>
      <c r="BM590" s="17" t="s">
        <v>855</v>
      </c>
      <c r="BN590" s="16" t="s">
        <v>12269</v>
      </c>
      <c r="BO590" s="17" t="s">
        <v>186</v>
      </c>
      <c r="BP590" s="16" t="s">
        <v>151</v>
      </c>
      <c r="BQ590" s="16" t="s">
        <v>151</v>
      </c>
      <c r="BR590" s="17" t="s">
        <v>12270</v>
      </c>
      <c r="BS590" s="17" t="s">
        <v>187</v>
      </c>
      <c r="BT590" s="17" t="s">
        <v>188</v>
      </c>
      <c r="BU590" s="22">
        <v>44418</v>
      </c>
      <c r="BV590" s="24" t="s">
        <v>151</v>
      </c>
      <c r="BW590" s="17" t="s">
        <v>151</v>
      </c>
      <c r="BX590" s="24" t="s">
        <v>151</v>
      </c>
      <c r="BY590" s="17" t="s">
        <v>151</v>
      </c>
      <c r="BZ590" s="17" t="s">
        <v>660</v>
      </c>
      <c r="CA590" s="17" t="s">
        <v>151</v>
      </c>
      <c r="CB590" s="17" t="s">
        <v>151</v>
      </c>
      <c r="CC590" s="17" t="s">
        <v>385</v>
      </c>
      <c r="CD590" s="17" t="s">
        <v>151</v>
      </c>
      <c r="CE590" s="17" t="s">
        <v>191</v>
      </c>
      <c r="CF590" s="22">
        <v>45611</v>
      </c>
      <c r="CG590" s="24">
        <v>1.07</v>
      </c>
      <c r="CH590" s="17" t="s">
        <v>192</v>
      </c>
      <c r="CI590" s="24">
        <v>11.07</v>
      </c>
      <c r="CJ590" s="17" t="s">
        <v>193</v>
      </c>
      <c r="CK590" s="16">
        <v>0.99</v>
      </c>
      <c r="CL590" s="17" t="s">
        <v>231</v>
      </c>
      <c r="CM590" s="17" t="s">
        <v>151</v>
      </c>
      <c r="CN590" s="17" t="s">
        <v>151</v>
      </c>
      <c r="CO590" s="17" t="s">
        <v>165</v>
      </c>
      <c r="CP590" s="22">
        <v>45611</v>
      </c>
      <c r="CQ590" s="24" t="s">
        <v>151</v>
      </c>
      <c r="CR590" s="17" t="s">
        <v>151</v>
      </c>
      <c r="CS590" s="17" t="s">
        <v>191</v>
      </c>
      <c r="CT590" s="16">
        <v>57</v>
      </c>
      <c r="CU590" s="17" t="s">
        <v>196</v>
      </c>
      <c r="CV590" s="19">
        <v>54</v>
      </c>
      <c r="CW590" s="19">
        <v>46</v>
      </c>
      <c r="CX590" s="17" t="s">
        <v>294</v>
      </c>
      <c r="CY590" s="19">
        <v>1</v>
      </c>
      <c r="CZ590" s="19">
        <v>53</v>
      </c>
      <c r="DA590" s="24">
        <v>11.07</v>
      </c>
      <c r="DB590" s="22">
        <v>45611</v>
      </c>
      <c r="DC590" s="17" t="s">
        <v>231</v>
      </c>
      <c r="DD590" s="16">
        <v>0.99</v>
      </c>
      <c r="DE590" s="19" t="s">
        <v>151</v>
      </c>
      <c r="DF590" s="21" t="s">
        <v>151</v>
      </c>
      <c r="DG590" s="19" t="s">
        <v>151</v>
      </c>
      <c r="DH590" s="19" t="s">
        <v>151</v>
      </c>
      <c r="DI590" s="19" t="s">
        <v>151</v>
      </c>
      <c r="DJ590" s="21" t="s">
        <v>151</v>
      </c>
      <c r="DK590" s="19" t="s">
        <v>151</v>
      </c>
      <c r="DL590" s="21" t="s">
        <v>151</v>
      </c>
      <c r="DM590" s="19" t="s">
        <v>151</v>
      </c>
      <c r="DN590" s="21" t="s">
        <v>151</v>
      </c>
      <c r="DO590" s="23" t="s">
        <v>151</v>
      </c>
      <c r="DP590" s="21" t="s">
        <v>151</v>
      </c>
      <c r="DQ590" s="23" t="s">
        <v>151</v>
      </c>
      <c r="DR590" s="19" t="s">
        <v>151</v>
      </c>
      <c r="DS590" s="23" t="s">
        <v>151</v>
      </c>
      <c r="DT590" s="21" t="s">
        <v>151</v>
      </c>
      <c r="DU590" s="23" t="s">
        <v>151</v>
      </c>
      <c r="DV590" s="21" t="s">
        <v>151</v>
      </c>
      <c r="DW590" s="23" t="s">
        <v>151</v>
      </c>
      <c r="DX590" s="21" t="s">
        <v>151</v>
      </c>
      <c r="DY590" s="18" t="s">
        <v>151</v>
      </c>
      <c r="DZ590" s="22" t="s">
        <v>151</v>
      </c>
      <c r="EA590" s="22" t="s">
        <v>151</v>
      </c>
      <c r="EB590" s="21" t="s">
        <v>151</v>
      </c>
      <c r="EC590" s="20" t="s">
        <v>151</v>
      </c>
      <c r="ED590" s="19" t="s">
        <v>151</v>
      </c>
      <c r="EE590" s="21" t="s">
        <v>151</v>
      </c>
      <c r="EF590" s="20" t="s">
        <v>151</v>
      </c>
      <c r="EG590" s="19" t="s">
        <v>151</v>
      </c>
      <c r="EH590" s="16" t="s">
        <v>198</v>
      </c>
      <c r="EI590" s="17" t="s">
        <v>151</v>
      </c>
      <c r="EJ590" s="17" t="s">
        <v>151</v>
      </c>
      <c r="EK590" s="18" t="s">
        <v>151</v>
      </c>
      <c r="EL590" s="18" t="s">
        <v>151</v>
      </c>
      <c r="EM590" s="18" t="s">
        <v>151</v>
      </c>
      <c r="EN590" s="18" t="s">
        <v>151</v>
      </c>
      <c r="EO590" s="18" t="s">
        <v>151</v>
      </c>
      <c r="EP590" s="17" t="s">
        <v>151</v>
      </c>
      <c r="EQ590" s="16" t="s">
        <v>151</v>
      </c>
      <c r="ER590" s="16" t="s">
        <v>151</v>
      </c>
      <c r="ES590" s="3">
        <f>HYPERLINK("https://my.pitchbook.com?c=528692-41","View Company Online")</f>
      </c>
    </row>
    <row r="591">
      <c r="A591" s="30" t="s">
        <v>12271</v>
      </c>
      <c r="B591" s="30" t="s">
        <v>12272</v>
      </c>
      <c r="C591" s="31" t="s">
        <v>151</v>
      </c>
      <c r="D591" s="30" t="s">
        <v>151</v>
      </c>
      <c r="E591" s="30" t="s">
        <v>151</v>
      </c>
      <c r="F591" s="30" t="s">
        <v>12273</v>
      </c>
      <c r="G591" s="30" t="s">
        <v>151</v>
      </c>
      <c r="H591" s="30" t="s">
        <v>151</v>
      </c>
      <c r="I591" s="30" t="s">
        <v>151</v>
      </c>
      <c r="J591" s="30" t="s">
        <v>12271</v>
      </c>
      <c r="K591" s="30" t="s">
        <v>12274</v>
      </c>
      <c r="L591" s="30" t="s">
        <v>616</v>
      </c>
      <c r="M591" s="30" t="s">
        <v>834</v>
      </c>
      <c r="N591" s="30" t="s">
        <v>3076</v>
      </c>
      <c r="O591" s="30" t="s">
        <v>5779</v>
      </c>
      <c r="P591" s="30" t="s">
        <v>12275</v>
      </c>
      <c r="Q591" s="30" t="s">
        <v>12276</v>
      </c>
      <c r="R591" s="30" t="s">
        <v>151</v>
      </c>
      <c r="S591" s="30" t="s">
        <v>162</v>
      </c>
      <c r="T591" s="37">
        <v>0.72</v>
      </c>
      <c r="U591" s="30" t="s">
        <v>163</v>
      </c>
      <c r="V591" s="30" t="s">
        <v>164</v>
      </c>
      <c r="W591" s="30" t="s">
        <v>165</v>
      </c>
      <c r="X591" s="28" t="s">
        <v>12277</v>
      </c>
      <c r="Y591" s="28" t="s">
        <v>12278</v>
      </c>
      <c r="Z591" s="40">
        <v>9</v>
      </c>
      <c r="AA591" s="30" t="s">
        <v>12279</v>
      </c>
      <c r="AB591" s="30" t="s">
        <v>151</v>
      </c>
      <c r="AC591" s="30" t="s">
        <v>151</v>
      </c>
      <c r="AD591" s="39">
        <v>2022</v>
      </c>
      <c r="AE591" s="30" t="s">
        <v>151</v>
      </c>
      <c r="AF591" s="35">
        <v>45595</v>
      </c>
      <c r="AG591" s="30" t="s">
        <v>151</v>
      </c>
      <c r="AH591" s="30" t="s">
        <v>151</v>
      </c>
      <c r="AI591" s="38" t="s">
        <v>151</v>
      </c>
      <c r="AJ591" s="32" t="s">
        <v>151</v>
      </c>
      <c r="AK591" s="38" t="s">
        <v>151</v>
      </c>
      <c r="AL591" s="38" t="s">
        <v>151</v>
      </c>
      <c r="AM591" s="38" t="s">
        <v>151</v>
      </c>
      <c r="AN591" s="38" t="s">
        <v>151</v>
      </c>
      <c r="AO591" s="38" t="s">
        <v>151</v>
      </c>
      <c r="AP591" s="38" t="s">
        <v>151</v>
      </c>
      <c r="AQ591" s="38" t="s">
        <v>151</v>
      </c>
      <c r="AR591" s="29" t="s">
        <v>151</v>
      </c>
      <c r="AS591" s="30" t="s">
        <v>12280</v>
      </c>
      <c r="AT591" s="30" t="s">
        <v>12281</v>
      </c>
      <c r="AU591" s="31">
        <v>5</v>
      </c>
      <c r="AV591" s="30" t="s">
        <v>151</v>
      </c>
      <c r="AW591" s="30" t="s">
        <v>151</v>
      </c>
      <c r="AX591" s="30" t="s">
        <v>151</v>
      </c>
      <c r="AY591" s="30" t="s">
        <v>12282</v>
      </c>
      <c r="AZ591" s="30" t="s">
        <v>151</v>
      </c>
      <c r="BA591" s="30" t="s">
        <v>151</v>
      </c>
      <c r="BB591" s="30" t="s">
        <v>151</v>
      </c>
      <c r="BC591" s="30" t="s">
        <v>151</v>
      </c>
      <c r="BD591" s="30" t="s">
        <v>151</v>
      </c>
      <c r="BE591" s="30" t="s">
        <v>151</v>
      </c>
      <c r="BF591" s="30" t="s">
        <v>151</v>
      </c>
      <c r="BG591" s="30" t="s">
        <v>151</v>
      </c>
      <c r="BH591" s="30" t="s">
        <v>151</v>
      </c>
      <c r="BI591" s="30" t="s">
        <v>2289</v>
      </c>
      <c r="BJ591" s="30" t="s">
        <v>12283</v>
      </c>
      <c r="BK591" s="30" t="s">
        <v>151</v>
      </c>
      <c r="BL591" s="30" t="s">
        <v>2291</v>
      </c>
      <c r="BM591" s="30" t="s">
        <v>1043</v>
      </c>
      <c r="BN591" s="29" t="s">
        <v>12284</v>
      </c>
      <c r="BO591" s="30" t="s">
        <v>186</v>
      </c>
      <c r="BP591" s="29" t="s">
        <v>12285</v>
      </c>
      <c r="BQ591" s="29" t="s">
        <v>151</v>
      </c>
      <c r="BR591" s="30" t="s">
        <v>12286</v>
      </c>
      <c r="BS591" s="30" t="s">
        <v>187</v>
      </c>
      <c r="BT591" s="30" t="s">
        <v>188</v>
      </c>
      <c r="BU591" s="35">
        <v>45156</v>
      </c>
      <c r="BV591" s="37">
        <v>0.02</v>
      </c>
      <c r="BW591" s="30" t="s">
        <v>192</v>
      </c>
      <c r="BX591" s="37" t="s">
        <v>151</v>
      </c>
      <c r="BY591" s="30" t="s">
        <v>151</v>
      </c>
      <c r="BZ591" s="30" t="s">
        <v>189</v>
      </c>
      <c r="CA591" s="30" t="s">
        <v>151</v>
      </c>
      <c r="CB591" s="30" t="s">
        <v>151</v>
      </c>
      <c r="CC591" s="30" t="s">
        <v>190</v>
      </c>
      <c r="CD591" s="30" t="s">
        <v>151</v>
      </c>
      <c r="CE591" s="30" t="s">
        <v>191</v>
      </c>
      <c r="CF591" s="35">
        <v>45447</v>
      </c>
      <c r="CG591" s="37">
        <v>0.7</v>
      </c>
      <c r="CH591" s="30" t="s">
        <v>192</v>
      </c>
      <c r="CI591" s="37" t="s">
        <v>151</v>
      </c>
      <c r="CJ591" s="30" t="s">
        <v>151</v>
      </c>
      <c r="CK591" s="29" t="s">
        <v>151</v>
      </c>
      <c r="CL591" s="30" t="s">
        <v>293</v>
      </c>
      <c r="CM591" s="30" t="s">
        <v>293</v>
      </c>
      <c r="CN591" s="30" t="s">
        <v>151</v>
      </c>
      <c r="CO591" s="30" t="s">
        <v>165</v>
      </c>
      <c r="CP591" s="35">
        <v>45447</v>
      </c>
      <c r="CQ591" s="37" t="s">
        <v>151</v>
      </c>
      <c r="CR591" s="30" t="s">
        <v>151</v>
      </c>
      <c r="CS591" s="30" t="s">
        <v>191</v>
      </c>
      <c r="CT591" s="29" t="s">
        <v>151</v>
      </c>
      <c r="CU591" s="30" t="s">
        <v>151</v>
      </c>
      <c r="CV591" s="32" t="s">
        <v>151</v>
      </c>
      <c r="CW591" s="32" t="s">
        <v>151</v>
      </c>
      <c r="CX591" s="30" t="s">
        <v>151</v>
      </c>
      <c r="CY591" s="32" t="s">
        <v>151</v>
      </c>
      <c r="CZ591" s="32" t="s">
        <v>151</v>
      </c>
      <c r="DA591" s="37" t="s">
        <v>151</v>
      </c>
      <c r="DB591" s="35" t="s">
        <v>151</v>
      </c>
      <c r="DC591" s="30" t="s">
        <v>151</v>
      </c>
      <c r="DD591" s="29" t="s">
        <v>151</v>
      </c>
      <c r="DE591" s="32">
        <v>0.78</v>
      </c>
      <c r="DF591" s="34">
        <v>95</v>
      </c>
      <c r="DG591" s="32">
        <v>0</v>
      </c>
      <c r="DH591" s="32">
        <v>0</v>
      </c>
      <c r="DI591" s="32">
        <v>0</v>
      </c>
      <c r="DJ591" s="34">
        <v>10</v>
      </c>
      <c r="DK591" s="32" t="s">
        <v>151</v>
      </c>
      <c r="DL591" s="34" t="s">
        <v>151</v>
      </c>
      <c r="DM591" s="32">
        <v>0</v>
      </c>
      <c r="DN591" s="34">
        <v>10</v>
      </c>
      <c r="DO591" s="36">
        <v>0.69</v>
      </c>
      <c r="DP591" s="34">
        <v>42</v>
      </c>
      <c r="DQ591" s="36">
        <v>0</v>
      </c>
      <c r="DR591" s="32">
        <v>0</v>
      </c>
      <c r="DS591" s="36">
        <v>0.68</v>
      </c>
      <c r="DT591" s="34">
        <v>41</v>
      </c>
      <c r="DU591" s="36" t="s">
        <v>151</v>
      </c>
      <c r="DV591" s="34" t="s">
        <v>151</v>
      </c>
      <c r="DW591" s="36">
        <v>0.68</v>
      </c>
      <c r="DX591" s="34">
        <v>40</v>
      </c>
      <c r="DY591" s="31" t="s">
        <v>151</v>
      </c>
      <c r="DZ591" s="35" t="s">
        <v>151</v>
      </c>
      <c r="EA591" s="35" t="s">
        <v>151</v>
      </c>
      <c r="EB591" s="34">
        <v>251</v>
      </c>
      <c r="EC591" s="33">
        <v>-34</v>
      </c>
      <c r="ED591" s="32">
        <v>-11.93</v>
      </c>
      <c r="EE591" s="34">
        <v>13</v>
      </c>
      <c r="EF591" s="33">
        <v>0</v>
      </c>
      <c r="EG591" s="32">
        <v>0</v>
      </c>
      <c r="EH591" s="29" t="s">
        <v>198</v>
      </c>
      <c r="EI591" s="30" t="s">
        <v>151</v>
      </c>
      <c r="EJ591" s="30" t="s">
        <v>151</v>
      </c>
      <c r="EK591" s="31" t="s">
        <v>151</v>
      </c>
      <c r="EL591" s="31" t="s">
        <v>151</v>
      </c>
      <c r="EM591" s="31" t="s">
        <v>151</v>
      </c>
      <c r="EN591" s="31" t="s">
        <v>151</v>
      </c>
      <c r="EO591" s="31" t="s">
        <v>151</v>
      </c>
      <c r="EP591" s="30" t="s">
        <v>151</v>
      </c>
      <c r="EQ591" s="29" t="s">
        <v>151</v>
      </c>
      <c r="ER591" s="29" t="s">
        <v>151</v>
      </c>
      <c r="ES591" s="4">
        <f>HYPERLINK("https://my.pitchbook.com?c=538273-18","View Company Online")</f>
      </c>
    </row>
    <row r="592">
      <c r="A592" s="17" t="s">
        <v>12287</v>
      </c>
      <c r="B592" s="17" t="s">
        <v>12288</v>
      </c>
      <c r="C592" s="18" t="s">
        <v>151</v>
      </c>
      <c r="D592" s="17" t="s">
        <v>151</v>
      </c>
      <c r="E592" s="17" t="s">
        <v>12289</v>
      </c>
      <c r="F592" s="17" t="s">
        <v>12290</v>
      </c>
      <c r="G592" s="17" t="s">
        <v>151</v>
      </c>
      <c r="H592" s="17" t="s">
        <v>151</v>
      </c>
      <c r="I592" s="17" t="s">
        <v>151</v>
      </c>
      <c r="J592" s="17" t="s">
        <v>12287</v>
      </c>
      <c r="K592" s="17" t="s">
        <v>12291</v>
      </c>
      <c r="L592" s="17" t="s">
        <v>205</v>
      </c>
      <c r="M592" s="17" t="s">
        <v>206</v>
      </c>
      <c r="N592" s="17" t="s">
        <v>1268</v>
      </c>
      <c r="O592" s="17" t="s">
        <v>2129</v>
      </c>
      <c r="P592" s="17" t="s">
        <v>209</v>
      </c>
      <c r="Q592" s="17" t="s">
        <v>12292</v>
      </c>
      <c r="R592" s="17" t="s">
        <v>151</v>
      </c>
      <c r="S592" s="17" t="s">
        <v>162</v>
      </c>
      <c r="T592" s="24">
        <v>4.01</v>
      </c>
      <c r="U592" s="17" t="s">
        <v>163</v>
      </c>
      <c r="V592" s="17" t="s">
        <v>164</v>
      </c>
      <c r="W592" s="17" t="s">
        <v>165</v>
      </c>
      <c r="X592" s="15" t="s">
        <v>12293</v>
      </c>
      <c r="Y592" s="15" t="s">
        <v>12294</v>
      </c>
      <c r="Z592" s="27">
        <v>6</v>
      </c>
      <c r="AA592" s="17" t="s">
        <v>12295</v>
      </c>
      <c r="AB592" s="17" t="s">
        <v>151</v>
      </c>
      <c r="AC592" s="17" t="s">
        <v>151</v>
      </c>
      <c r="AD592" s="26">
        <v>2021</v>
      </c>
      <c r="AE592" s="17" t="s">
        <v>151</v>
      </c>
      <c r="AF592" s="22">
        <v>45562</v>
      </c>
      <c r="AG592" s="17" t="s">
        <v>151</v>
      </c>
      <c r="AH592" s="17" t="s">
        <v>151</v>
      </c>
      <c r="AI592" s="25" t="s">
        <v>151</v>
      </c>
      <c r="AJ592" s="19" t="s">
        <v>151</v>
      </c>
      <c r="AK592" s="25" t="s">
        <v>151</v>
      </c>
      <c r="AL592" s="25" t="s">
        <v>151</v>
      </c>
      <c r="AM592" s="25" t="s">
        <v>151</v>
      </c>
      <c r="AN592" s="25" t="s">
        <v>151</v>
      </c>
      <c r="AO592" s="25" t="s">
        <v>151</v>
      </c>
      <c r="AP592" s="25" t="s">
        <v>151</v>
      </c>
      <c r="AQ592" s="25" t="s">
        <v>151</v>
      </c>
      <c r="AR592" s="16" t="s">
        <v>151</v>
      </c>
      <c r="AS592" s="17" t="s">
        <v>12296</v>
      </c>
      <c r="AT592" s="17" t="s">
        <v>12297</v>
      </c>
      <c r="AU592" s="18">
        <v>21</v>
      </c>
      <c r="AV592" s="17" t="s">
        <v>151</v>
      </c>
      <c r="AW592" s="17" t="s">
        <v>151</v>
      </c>
      <c r="AX592" s="17" t="s">
        <v>151</v>
      </c>
      <c r="AY592" s="17" t="s">
        <v>12298</v>
      </c>
      <c r="AZ592" s="17" t="s">
        <v>151</v>
      </c>
      <c r="BA592" s="17" t="s">
        <v>151</v>
      </c>
      <c r="BB592" s="17" t="s">
        <v>151</v>
      </c>
      <c r="BC592" s="17" t="s">
        <v>12299</v>
      </c>
      <c r="BD592" s="17" t="s">
        <v>12300</v>
      </c>
      <c r="BE592" s="17" t="s">
        <v>12301</v>
      </c>
      <c r="BF592" s="17" t="s">
        <v>493</v>
      </c>
      <c r="BG592" s="17" t="s">
        <v>12302</v>
      </c>
      <c r="BH592" s="17" t="s">
        <v>12303</v>
      </c>
      <c r="BI592" s="17" t="s">
        <v>578</v>
      </c>
      <c r="BJ592" s="17" t="s">
        <v>12304</v>
      </c>
      <c r="BK592" s="17" t="s">
        <v>12305</v>
      </c>
      <c r="BL592" s="17" t="s">
        <v>581</v>
      </c>
      <c r="BM592" s="17" t="s">
        <v>582</v>
      </c>
      <c r="BN592" s="16" t="s">
        <v>2743</v>
      </c>
      <c r="BO592" s="17" t="s">
        <v>186</v>
      </c>
      <c r="BP592" s="16" t="s">
        <v>12303</v>
      </c>
      <c r="BQ592" s="16" t="s">
        <v>151</v>
      </c>
      <c r="BR592" s="17" t="s">
        <v>12306</v>
      </c>
      <c r="BS592" s="17" t="s">
        <v>187</v>
      </c>
      <c r="BT592" s="17" t="s">
        <v>188</v>
      </c>
      <c r="BU592" s="22">
        <v>44643</v>
      </c>
      <c r="BV592" s="24">
        <v>4.01</v>
      </c>
      <c r="BW592" s="17" t="s">
        <v>192</v>
      </c>
      <c r="BX592" s="24">
        <v>24.01</v>
      </c>
      <c r="BY592" s="17" t="s">
        <v>192</v>
      </c>
      <c r="BZ592" s="17" t="s">
        <v>293</v>
      </c>
      <c r="CA592" s="17" t="s">
        <v>293</v>
      </c>
      <c r="CB592" s="17" t="s">
        <v>151</v>
      </c>
      <c r="CC592" s="17" t="s">
        <v>165</v>
      </c>
      <c r="CD592" s="17" t="s">
        <v>151</v>
      </c>
      <c r="CE592" s="17" t="s">
        <v>191</v>
      </c>
      <c r="CF592" s="22">
        <v>44643</v>
      </c>
      <c r="CG592" s="24">
        <v>4.01</v>
      </c>
      <c r="CH592" s="17" t="s">
        <v>192</v>
      </c>
      <c r="CI592" s="24">
        <v>24.01</v>
      </c>
      <c r="CJ592" s="17" t="s">
        <v>192</v>
      </c>
      <c r="CK592" s="16" t="s">
        <v>151</v>
      </c>
      <c r="CL592" s="17" t="s">
        <v>293</v>
      </c>
      <c r="CM592" s="17" t="s">
        <v>293</v>
      </c>
      <c r="CN592" s="17" t="s">
        <v>151</v>
      </c>
      <c r="CO592" s="17" t="s">
        <v>165</v>
      </c>
      <c r="CP592" s="22">
        <v>44643</v>
      </c>
      <c r="CQ592" s="24" t="s">
        <v>151</v>
      </c>
      <c r="CR592" s="17" t="s">
        <v>151</v>
      </c>
      <c r="CS592" s="17" t="s">
        <v>191</v>
      </c>
      <c r="CT592" s="16" t="s">
        <v>151</v>
      </c>
      <c r="CU592" s="17" t="s">
        <v>151</v>
      </c>
      <c r="CV592" s="19" t="s">
        <v>151</v>
      </c>
      <c r="CW592" s="19" t="s">
        <v>151</v>
      </c>
      <c r="CX592" s="17" t="s">
        <v>151</v>
      </c>
      <c r="CY592" s="19" t="s">
        <v>151</v>
      </c>
      <c r="CZ592" s="19" t="s">
        <v>151</v>
      </c>
      <c r="DA592" s="24">
        <v>24.01</v>
      </c>
      <c r="DB592" s="22">
        <v>44643</v>
      </c>
      <c r="DC592" s="17" t="s">
        <v>293</v>
      </c>
      <c r="DD592" s="16" t="s">
        <v>151</v>
      </c>
      <c r="DE592" s="19">
        <v>1.25</v>
      </c>
      <c r="DF592" s="21">
        <v>97</v>
      </c>
      <c r="DG592" s="19">
        <v>0</v>
      </c>
      <c r="DH592" s="19">
        <v>0</v>
      </c>
      <c r="DI592" s="19">
        <v>0</v>
      </c>
      <c r="DJ592" s="21">
        <v>10</v>
      </c>
      <c r="DK592" s="19" t="s">
        <v>151</v>
      </c>
      <c r="DL592" s="21" t="s">
        <v>151</v>
      </c>
      <c r="DM592" s="19">
        <v>0</v>
      </c>
      <c r="DN592" s="21">
        <v>10</v>
      </c>
      <c r="DO592" s="23">
        <v>2.68</v>
      </c>
      <c r="DP592" s="21">
        <v>72</v>
      </c>
      <c r="DQ592" s="23">
        <v>0</v>
      </c>
      <c r="DR592" s="19">
        <v>0</v>
      </c>
      <c r="DS592" s="23">
        <v>4.89</v>
      </c>
      <c r="DT592" s="21">
        <v>82</v>
      </c>
      <c r="DU592" s="23" t="s">
        <v>151</v>
      </c>
      <c r="DV592" s="21" t="s">
        <v>151</v>
      </c>
      <c r="DW592" s="23">
        <v>4.89</v>
      </c>
      <c r="DX592" s="21">
        <v>81</v>
      </c>
      <c r="DY592" s="18" t="s">
        <v>151</v>
      </c>
      <c r="DZ592" s="22" t="s">
        <v>151</v>
      </c>
      <c r="EA592" s="22" t="s">
        <v>151</v>
      </c>
      <c r="EB592" s="21">
        <v>735</v>
      </c>
      <c r="EC592" s="20">
        <v>-38</v>
      </c>
      <c r="ED592" s="19">
        <v>-4.92</v>
      </c>
      <c r="EE592" s="21">
        <v>93</v>
      </c>
      <c r="EF592" s="20">
        <v>2</v>
      </c>
      <c r="EG592" s="19">
        <v>2.2</v>
      </c>
      <c r="EH592" s="16" t="s">
        <v>198</v>
      </c>
      <c r="EI592" s="17" t="s">
        <v>151</v>
      </c>
      <c r="EJ592" s="17" t="s">
        <v>151</v>
      </c>
      <c r="EK592" s="18" t="s">
        <v>151</v>
      </c>
      <c r="EL592" s="18" t="s">
        <v>151</v>
      </c>
      <c r="EM592" s="18" t="s">
        <v>151</v>
      </c>
      <c r="EN592" s="18" t="s">
        <v>151</v>
      </c>
      <c r="EO592" s="18" t="s">
        <v>151</v>
      </c>
      <c r="EP592" s="17" t="s">
        <v>151</v>
      </c>
      <c r="EQ592" s="16" t="s">
        <v>151</v>
      </c>
      <c r="ER592" s="16" t="s">
        <v>151</v>
      </c>
      <c r="ES592" s="3">
        <f>HYPERLINK("https://my.pitchbook.com?c=494048-62","View Company Online")</f>
      </c>
    </row>
    <row r="593">
      <c r="A593" s="30" t="s">
        <v>12307</v>
      </c>
      <c r="B593" s="30" t="s">
        <v>12308</v>
      </c>
      <c r="C593" s="31" t="s">
        <v>151</v>
      </c>
      <c r="D593" s="30" t="s">
        <v>12309</v>
      </c>
      <c r="E593" s="30" t="s">
        <v>12310</v>
      </c>
      <c r="F593" s="30" t="s">
        <v>12311</v>
      </c>
      <c r="G593" s="30" t="s">
        <v>151</v>
      </c>
      <c r="H593" s="30" t="s">
        <v>151</v>
      </c>
      <c r="I593" s="30" t="s">
        <v>151</v>
      </c>
      <c r="J593" s="30" t="s">
        <v>12307</v>
      </c>
      <c r="K593" s="30" t="s">
        <v>12312</v>
      </c>
      <c r="L593" s="30" t="s">
        <v>205</v>
      </c>
      <c r="M593" s="30" t="s">
        <v>206</v>
      </c>
      <c r="N593" s="30" t="s">
        <v>2484</v>
      </c>
      <c r="O593" s="30" t="s">
        <v>12313</v>
      </c>
      <c r="P593" s="30" t="s">
        <v>9926</v>
      </c>
      <c r="Q593" s="30" t="s">
        <v>12314</v>
      </c>
      <c r="R593" s="30" t="s">
        <v>151</v>
      </c>
      <c r="S593" s="30" t="s">
        <v>162</v>
      </c>
      <c r="T593" s="37">
        <v>1.24</v>
      </c>
      <c r="U593" s="30" t="s">
        <v>163</v>
      </c>
      <c r="V593" s="30" t="s">
        <v>164</v>
      </c>
      <c r="W593" s="30" t="s">
        <v>165</v>
      </c>
      <c r="X593" s="28" t="s">
        <v>12315</v>
      </c>
      <c r="Y593" s="28" t="s">
        <v>12316</v>
      </c>
      <c r="Z593" s="40">
        <v>11</v>
      </c>
      <c r="AA593" s="30" t="s">
        <v>12317</v>
      </c>
      <c r="AB593" s="30" t="s">
        <v>151</v>
      </c>
      <c r="AC593" s="30" t="s">
        <v>151</v>
      </c>
      <c r="AD593" s="39">
        <v>2017</v>
      </c>
      <c r="AE593" s="30" t="s">
        <v>151</v>
      </c>
      <c r="AF593" s="35">
        <v>45595</v>
      </c>
      <c r="AG593" s="30" t="s">
        <v>151</v>
      </c>
      <c r="AH593" s="30" t="s">
        <v>151</v>
      </c>
      <c r="AI593" s="38" t="s">
        <v>151</v>
      </c>
      <c r="AJ593" s="32" t="s">
        <v>151</v>
      </c>
      <c r="AK593" s="38" t="s">
        <v>151</v>
      </c>
      <c r="AL593" s="38" t="s">
        <v>151</v>
      </c>
      <c r="AM593" s="38" t="s">
        <v>151</v>
      </c>
      <c r="AN593" s="38" t="s">
        <v>151</v>
      </c>
      <c r="AO593" s="38" t="s">
        <v>151</v>
      </c>
      <c r="AP593" s="38" t="s">
        <v>151</v>
      </c>
      <c r="AQ593" s="38" t="s">
        <v>151</v>
      </c>
      <c r="AR593" s="29" t="s">
        <v>151</v>
      </c>
      <c r="AS593" s="30" t="s">
        <v>12318</v>
      </c>
      <c r="AT593" s="30" t="s">
        <v>12319</v>
      </c>
      <c r="AU593" s="31">
        <v>4</v>
      </c>
      <c r="AV593" s="30" t="s">
        <v>151</v>
      </c>
      <c r="AW593" s="30" t="s">
        <v>151</v>
      </c>
      <c r="AX593" s="30" t="s">
        <v>151</v>
      </c>
      <c r="AY593" s="30" t="s">
        <v>12320</v>
      </c>
      <c r="AZ593" s="30" t="s">
        <v>151</v>
      </c>
      <c r="BA593" s="30" t="s">
        <v>151</v>
      </c>
      <c r="BB593" s="30" t="s">
        <v>151</v>
      </c>
      <c r="BC593" s="30" t="s">
        <v>151</v>
      </c>
      <c r="BD593" s="30" t="s">
        <v>12321</v>
      </c>
      <c r="BE593" s="30" t="s">
        <v>12322</v>
      </c>
      <c r="BF593" s="30" t="s">
        <v>7946</v>
      </c>
      <c r="BG593" s="30" t="s">
        <v>12323</v>
      </c>
      <c r="BH593" s="30" t="s">
        <v>12324</v>
      </c>
      <c r="BI593" s="30" t="s">
        <v>12325</v>
      </c>
      <c r="BJ593" s="30" t="s">
        <v>12326</v>
      </c>
      <c r="BK593" s="30" t="s">
        <v>12327</v>
      </c>
      <c r="BL593" s="30" t="s">
        <v>12328</v>
      </c>
      <c r="BM593" s="30" t="s">
        <v>322</v>
      </c>
      <c r="BN593" s="29" t="s">
        <v>12329</v>
      </c>
      <c r="BO593" s="30" t="s">
        <v>186</v>
      </c>
      <c r="BP593" s="29" t="s">
        <v>12324</v>
      </c>
      <c r="BQ593" s="29" t="s">
        <v>151</v>
      </c>
      <c r="BR593" s="30" t="s">
        <v>12330</v>
      </c>
      <c r="BS593" s="30" t="s">
        <v>187</v>
      </c>
      <c r="BT593" s="30" t="s">
        <v>188</v>
      </c>
      <c r="BU593" s="35">
        <v>43951</v>
      </c>
      <c r="BV593" s="37" t="s">
        <v>151</v>
      </c>
      <c r="BW593" s="30" t="s">
        <v>151</v>
      </c>
      <c r="BX593" s="37" t="s">
        <v>151</v>
      </c>
      <c r="BY593" s="30" t="s">
        <v>151</v>
      </c>
      <c r="BZ593" s="30" t="s">
        <v>1075</v>
      </c>
      <c r="CA593" s="30" t="s">
        <v>1075</v>
      </c>
      <c r="CB593" s="30" t="s">
        <v>151</v>
      </c>
      <c r="CC593" s="30" t="s">
        <v>585</v>
      </c>
      <c r="CD593" s="30" t="s">
        <v>151</v>
      </c>
      <c r="CE593" s="30" t="s">
        <v>1887</v>
      </c>
      <c r="CF593" s="35">
        <v>45418</v>
      </c>
      <c r="CG593" s="37">
        <v>0.66</v>
      </c>
      <c r="CH593" s="30" t="s">
        <v>192</v>
      </c>
      <c r="CI593" s="37" t="s">
        <v>151</v>
      </c>
      <c r="CJ593" s="30" t="s">
        <v>151</v>
      </c>
      <c r="CK593" s="29" t="s">
        <v>151</v>
      </c>
      <c r="CL593" s="30" t="s">
        <v>194</v>
      </c>
      <c r="CM593" s="30" t="s">
        <v>151</v>
      </c>
      <c r="CN593" s="30" t="s">
        <v>151</v>
      </c>
      <c r="CO593" s="30" t="s">
        <v>165</v>
      </c>
      <c r="CP593" s="35">
        <v>45418</v>
      </c>
      <c r="CQ593" s="37" t="s">
        <v>151</v>
      </c>
      <c r="CR593" s="30" t="s">
        <v>355</v>
      </c>
      <c r="CS593" s="30" t="s">
        <v>191</v>
      </c>
      <c r="CT593" s="29">
        <v>40</v>
      </c>
      <c r="CU593" s="30" t="s">
        <v>196</v>
      </c>
      <c r="CV593" s="32">
        <v>53</v>
      </c>
      <c r="CW593" s="32">
        <v>47</v>
      </c>
      <c r="CX593" s="30" t="s">
        <v>294</v>
      </c>
      <c r="CY593" s="32">
        <v>1</v>
      </c>
      <c r="CZ593" s="32">
        <v>52</v>
      </c>
      <c r="DA593" s="37" t="s">
        <v>151</v>
      </c>
      <c r="DB593" s="35" t="s">
        <v>151</v>
      </c>
      <c r="DC593" s="30" t="s">
        <v>151</v>
      </c>
      <c r="DD593" s="29" t="s">
        <v>151</v>
      </c>
      <c r="DE593" s="32">
        <v>0</v>
      </c>
      <c r="DF593" s="34">
        <v>11</v>
      </c>
      <c r="DG593" s="32">
        <v>0</v>
      </c>
      <c r="DH593" s="32">
        <v>0</v>
      </c>
      <c r="DI593" s="32">
        <v>0</v>
      </c>
      <c r="DJ593" s="34">
        <v>10</v>
      </c>
      <c r="DK593" s="32" t="s">
        <v>151</v>
      </c>
      <c r="DL593" s="34" t="s">
        <v>151</v>
      </c>
      <c r="DM593" s="32">
        <v>0</v>
      </c>
      <c r="DN593" s="34">
        <v>10</v>
      </c>
      <c r="DO593" s="36">
        <v>1.43</v>
      </c>
      <c r="DP593" s="34">
        <v>59</v>
      </c>
      <c r="DQ593" s="36">
        <v>0</v>
      </c>
      <c r="DR593" s="32">
        <v>0</v>
      </c>
      <c r="DS593" s="36">
        <v>2.47</v>
      </c>
      <c r="DT593" s="34">
        <v>70</v>
      </c>
      <c r="DU593" s="36" t="s">
        <v>151</v>
      </c>
      <c r="DV593" s="34" t="s">
        <v>151</v>
      </c>
      <c r="DW593" s="36">
        <v>2.47</v>
      </c>
      <c r="DX593" s="34">
        <v>70</v>
      </c>
      <c r="DY593" s="31" t="s">
        <v>151</v>
      </c>
      <c r="DZ593" s="35" t="s">
        <v>151</v>
      </c>
      <c r="EA593" s="35" t="s">
        <v>151</v>
      </c>
      <c r="EB593" s="34">
        <v>0</v>
      </c>
      <c r="EC593" s="33">
        <v>0</v>
      </c>
      <c r="ED593" s="32">
        <v>0</v>
      </c>
      <c r="EE593" s="34">
        <v>47</v>
      </c>
      <c r="EF593" s="33">
        <v>0</v>
      </c>
      <c r="EG593" s="32">
        <v>0</v>
      </c>
      <c r="EH593" s="29" t="s">
        <v>198</v>
      </c>
      <c r="EI593" s="30" t="s">
        <v>151</v>
      </c>
      <c r="EJ593" s="30" t="s">
        <v>151</v>
      </c>
      <c r="EK593" s="31" t="s">
        <v>151</v>
      </c>
      <c r="EL593" s="31" t="s">
        <v>151</v>
      </c>
      <c r="EM593" s="31" t="s">
        <v>151</v>
      </c>
      <c r="EN593" s="31" t="s">
        <v>151</v>
      </c>
      <c r="EO593" s="31" t="s">
        <v>151</v>
      </c>
      <c r="EP593" s="30" t="s">
        <v>151</v>
      </c>
      <c r="EQ593" s="29" t="s">
        <v>151</v>
      </c>
      <c r="ER593" s="29" t="s">
        <v>151</v>
      </c>
      <c r="ES593" s="4">
        <f>HYPERLINK("https://my.pitchbook.com?c=434746-90","View Company Online")</f>
      </c>
    </row>
    <row r="594">
      <c r="A594" s="17" t="s">
        <v>12331</v>
      </c>
      <c r="B594" s="17" t="s">
        <v>12332</v>
      </c>
      <c r="C594" s="18" t="s">
        <v>151</v>
      </c>
      <c r="D594" s="17" t="s">
        <v>151</v>
      </c>
      <c r="E594" s="17" t="s">
        <v>151</v>
      </c>
      <c r="F594" s="17" t="s">
        <v>12333</v>
      </c>
      <c r="G594" s="17" t="s">
        <v>151</v>
      </c>
      <c r="H594" s="17" t="s">
        <v>151</v>
      </c>
      <c r="I594" s="17" t="s">
        <v>151</v>
      </c>
      <c r="J594" s="17" t="s">
        <v>12331</v>
      </c>
      <c r="K594" s="17" t="s">
        <v>12334</v>
      </c>
      <c r="L594" s="17" t="s">
        <v>205</v>
      </c>
      <c r="M594" s="17" t="s">
        <v>206</v>
      </c>
      <c r="N594" s="17" t="s">
        <v>269</v>
      </c>
      <c r="O594" s="17" t="s">
        <v>1106</v>
      </c>
      <c r="P594" s="17" t="s">
        <v>12335</v>
      </c>
      <c r="Q594" s="17" t="s">
        <v>12336</v>
      </c>
      <c r="R594" s="17" t="s">
        <v>151</v>
      </c>
      <c r="S594" s="17" t="s">
        <v>162</v>
      </c>
      <c r="T594" s="24">
        <v>1.35</v>
      </c>
      <c r="U594" s="17" t="s">
        <v>163</v>
      </c>
      <c r="V594" s="17" t="s">
        <v>164</v>
      </c>
      <c r="W594" s="17" t="s">
        <v>165</v>
      </c>
      <c r="X594" s="15" t="s">
        <v>12337</v>
      </c>
      <c r="Y594" s="15" t="s">
        <v>12338</v>
      </c>
      <c r="Z594" s="27">
        <v>13</v>
      </c>
      <c r="AA594" s="17" t="s">
        <v>12339</v>
      </c>
      <c r="AB594" s="17" t="s">
        <v>151</v>
      </c>
      <c r="AC594" s="17" t="s">
        <v>151</v>
      </c>
      <c r="AD594" s="26">
        <v>2021</v>
      </c>
      <c r="AE594" s="17" t="s">
        <v>151</v>
      </c>
      <c r="AF594" s="22">
        <v>45595</v>
      </c>
      <c r="AG594" s="17" t="s">
        <v>151</v>
      </c>
      <c r="AH594" s="17" t="s">
        <v>151</v>
      </c>
      <c r="AI594" s="25" t="s">
        <v>151</v>
      </c>
      <c r="AJ594" s="19" t="s">
        <v>151</v>
      </c>
      <c r="AK594" s="25" t="s">
        <v>151</v>
      </c>
      <c r="AL594" s="25" t="s">
        <v>151</v>
      </c>
      <c r="AM594" s="25" t="s">
        <v>151</v>
      </c>
      <c r="AN594" s="25" t="s">
        <v>151</v>
      </c>
      <c r="AO594" s="25" t="s">
        <v>151</v>
      </c>
      <c r="AP594" s="25" t="s">
        <v>151</v>
      </c>
      <c r="AQ594" s="25" t="s">
        <v>151</v>
      </c>
      <c r="AR594" s="16" t="s">
        <v>151</v>
      </c>
      <c r="AS594" s="17" t="s">
        <v>12340</v>
      </c>
      <c r="AT594" s="17" t="s">
        <v>12341</v>
      </c>
      <c r="AU594" s="18">
        <v>11</v>
      </c>
      <c r="AV594" s="17" t="s">
        <v>151</v>
      </c>
      <c r="AW594" s="17" t="s">
        <v>151</v>
      </c>
      <c r="AX594" s="17" t="s">
        <v>151</v>
      </c>
      <c r="AY594" s="17" t="s">
        <v>12342</v>
      </c>
      <c r="AZ594" s="17" t="s">
        <v>151</v>
      </c>
      <c r="BA594" s="17" t="s">
        <v>151</v>
      </c>
      <c r="BB594" s="17" t="s">
        <v>151</v>
      </c>
      <c r="BC594" s="17" t="s">
        <v>151</v>
      </c>
      <c r="BD594" s="17" t="s">
        <v>12343</v>
      </c>
      <c r="BE594" s="17" t="s">
        <v>12344</v>
      </c>
      <c r="BF594" s="17" t="s">
        <v>3909</v>
      </c>
      <c r="BG594" s="17" t="s">
        <v>151</v>
      </c>
      <c r="BH594" s="17" t="s">
        <v>12345</v>
      </c>
      <c r="BI594" s="17" t="s">
        <v>378</v>
      </c>
      <c r="BJ594" s="17" t="s">
        <v>12346</v>
      </c>
      <c r="BK594" s="17" t="s">
        <v>12347</v>
      </c>
      <c r="BL594" s="17" t="s">
        <v>381</v>
      </c>
      <c r="BM594" s="17" t="s">
        <v>289</v>
      </c>
      <c r="BN594" s="16" t="s">
        <v>6547</v>
      </c>
      <c r="BO594" s="17" t="s">
        <v>186</v>
      </c>
      <c r="BP594" s="16" t="s">
        <v>12345</v>
      </c>
      <c r="BQ594" s="16" t="s">
        <v>151</v>
      </c>
      <c r="BR594" s="17" t="s">
        <v>12348</v>
      </c>
      <c r="BS594" s="17" t="s">
        <v>187</v>
      </c>
      <c r="BT594" s="17" t="s">
        <v>188</v>
      </c>
      <c r="BU594" s="22">
        <v>44816</v>
      </c>
      <c r="BV594" s="24" t="s">
        <v>151</v>
      </c>
      <c r="BW594" s="17" t="s">
        <v>151</v>
      </c>
      <c r="BX594" s="24" t="s">
        <v>151</v>
      </c>
      <c r="BY594" s="17" t="s">
        <v>151</v>
      </c>
      <c r="BZ594" s="17" t="s">
        <v>189</v>
      </c>
      <c r="CA594" s="17" t="s">
        <v>151</v>
      </c>
      <c r="CB594" s="17" t="s">
        <v>151</v>
      </c>
      <c r="CC594" s="17" t="s">
        <v>190</v>
      </c>
      <c r="CD594" s="17" t="s">
        <v>151</v>
      </c>
      <c r="CE594" s="17" t="s">
        <v>191</v>
      </c>
      <c r="CF594" s="22">
        <v>45292</v>
      </c>
      <c r="CG594" s="24" t="s">
        <v>151</v>
      </c>
      <c r="CH594" s="17" t="s">
        <v>151</v>
      </c>
      <c r="CI594" s="24" t="s">
        <v>151</v>
      </c>
      <c r="CJ594" s="17" t="s">
        <v>151</v>
      </c>
      <c r="CK594" s="16" t="s">
        <v>151</v>
      </c>
      <c r="CL594" s="17" t="s">
        <v>231</v>
      </c>
      <c r="CM594" s="17" t="s">
        <v>151</v>
      </c>
      <c r="CN594" s="17" t="s">
        <v>151</v>
      </c>
      <c r="CO594" s="17" t="s">
        <v>165</v>
      </c>
      <c r="CP594" s="22">
        <v>45292</v>
      </c>
      <c r="CQ594" s="24" t="s">
        <v>151</v>
      </c>
      <c r="CR594" s="17" t="s">
        <v>151</v>
      </c>
      <c r="CS594" s="17" t="s">
        <v>191</v>
      </c>
      <c r="CT594" s="16">
        <v>61</v>
      </c>
      <c r="CU594" s="17" t="s">
        <v>196</v>
      </c>
      <c r="CV594" s="19">
        <v>58</v>
      </c>
      <c r="CW594" s="19">
        <v>42</v>
      </c>
      <c r="CX594" s="17" t="s">
        <v>294</v>
      </c>
      <c r="CY594" s="19">
        <v>1</v>
      </c>
      <c r="CZ594" s="19">
        <v>57</v>
      </c>
      <c r="DA594" s="24">
        <v>10.85</v>
      </c>
      <c r="DB594" s="22">
        <v>45078</v>
      </c>
      <c r="DC594" s="17" t="s">
        <v>231</v>
      </c>
      <c r="DD594" s="16" t="s">
        <v>151</v>
      </c>
      <c r="DE594" s="19">
        <v>1.09</v>
      </c>
      <c r="DF594" s="21">
        <v>96</v>
      </c>
      <c r="DG594" s="19">
        <v>0</v>
      </c>
      <c r="DH594" s="19">
        <v>0</v>
      </c>
      <c r="DI594" s="19">
        <v>0</v>
      </c>
      <c r="DJ594" s="21">
        <v>10</v>
      </c>
      <c r="DK594" s="19">
        <v>0</v>
      </c>
      <c r="DL594" s="21">
        <v>11</v>
      </c>
      <c r="DM594" s="19">
        <v>0</v>
      </c>
      <c r="DN594" s="21">
        <v>10</v>
      </c>
      <c r="DO594" s="23">
        <v>1.39</v>
      </c>
      <c r="DP594" s="21">
        <v>58</v>
      </c>
      <c r="DQ594" s="23">
        <v>0</v>
      </c>
      <c r="DR594" s="19">
        <v>0</v>
      </c>
      <c r="DS594" s="23">
        <v>1.78</v>
      </c>
      <c r="DT594" s="21">
        <v>63</v>
      </c>
      <c r="DU594" s="23">
        <v>2.08</v>
      </c>
      <c r="DV594" s="21">
        <v>71</v>
      </c>
      <c r="DW594" s="23">
        <v>1.47</v>
      </c>
      <c r="DX594" s="21">
        <v>58</v>
      </c>
      <c r="DY594" s="18" t="s">
        <v>151</v>
      </c>
      <c r="DZ594" s="22" t="s">
        <v>151</v>
      </c>
      <c r="EA594" s="22" t="s">
        <v>151</v>
      </c>
      <c r="EB594" s="21">
        <v>429</v>
      </c>
      <c r="EC594" s="20">
        <v>-10</v>
      </c>
      <c r="ED594" s="19">
        <v>-2.28</v>
      </c>
      <c r="EE594" s="21">
        <v>28</v>
      </c>
      <c r="EF594" s="20">
        <v>0</v>
      </c>
      <c r="EG594" s="19">
        <v>0</v>
      </c>
      <c r="EH594" s="16" t="s">
        <v>198</v>
      </c>
      <c r="EI594" s="17" t="s">
        <v>151</v>
      </c>
      <c r="EJ594" s="17" t="s">
        <v>151</v>
      </c>
      <c r="EK594" s="18" t="s">
        <v>151</v>
      </c>
      <c r="EL594" s="18" t="s">
        <v>151</v>
      </c>
      <c r="EM594" s="18" t="s">
        <v>151</v>
      </c>
      <c r="EN594" s="18" t="s">
        <v>151</v>
      </c>
      <c r="EO594" s="18" t="s">
        <v>151</v>
      </c>
      <c r="EP594" s="17" t="s">
        <v>151</v>
      </c>
      <c r="EQ594" s="16" t="s">
        <v>151</v>
      </c>
      <c r="ER594" s="16" t="s">
        <v>151</v>
      </c>
      <c r="ES594" s="3">
        <f>HYPERLINK("https://my.pitchbook.com?c=497376-19","View Company Online")</f>
      </c>
    </row>
    <row r="595">
      <c r="A595" s="30" t="s">
        <v>12349</v>
      </c>
      <c r="B595" s="30" t="s">
        <v>12350</v>
      </c>
      <c r="C595" s="31" t="s">
        <v>151</v>
      </c>
      <c r="D595" s="30" t="s">
        <v>151</v>
      </c>
      <c r="E595" s="30" t="s">
        <v>151</v>
      </c>
      <c r="F595" s="30" t="s">
        <v>12351</v>
      </c>
      <c r="G595" s="30" t="s">
        <v>151</v>
      </c>
      <c r="H595" s="30" t="s">
        <v>151</v>
      </c>
      <c r="I595" s="30" t="s">
        <v>151</v>
      </c>
      <c r="J595" s="30" t="s">
        <v>12349</v>
      </c>
      <c r="K595" s="30" t="s">
        <v>12352</v>
      </c>
      <c r="L595" s="30" t="s">
        <v>205</v>
      </c>
      <c r="M595" s="30" t="s">
        <v>206</v>
      </c>
      <c r="N595" s="30" t="s">
        <v>269</v>
      </c>
      <c r="O595" s="30" t="s">
        <v>563</v>
      </c>
      <c r="P595" s="30" t="s">
        <v>1747</v>
      </c>
      <c r="Q595" s="30" t="s">
        <v>12353</v>
      </c>
      <c r="R595" s="30" t="s">
        <v>151</v>
      </c>
      <c r="S595" s="30" t="s">
        <v>162</v>
      </c>
      <c r="T595" s="37">
        <v>6.4</v>
      </c>
      <c r="U595" s="30" t="s">
        <v>163</v>
      </c>
      <c r="V595" s="30" t="s">
        <v>164</v>
      </c>
      <c r="W595" s="30" t="s">
        <v>165</v>
      </c>
      <c r="X595" s="28" t="s">
        <v>12354</v>
      </c>
      <c r="Y595" s="28" t="s">
        <v>12355</v>
      </c>
      <c r="Z595" s="40">
        <v>7</v>
      </c>
      <c r="AA595" s="30" t="s">
        <v>12356</v>
      </c>
      <c r="AB595" s="30" t="s">
        <v>151</v>
      </c>
      <c r="AC595" s="30" t="s">
        <v>151</v>
      </c>
      <c r="AD595" s="39">
        <v>2021</v>
      </c>
      <c r="AE595" s="30" t="s">
        <v>151</v>
      </c>
      <c r="AF595" s="35">
        <v>45530</v>
      </c>
      <c r="AG595" s="30" t="s">
        <v>151</v>
      </c>
      <c r="AH595" s="30" t="s">
        <v>151</v>
      </c>
      <c r="AI595" s="38" t="s">
        <v>151</v>
      </c>
      <c r="AJ595" s="32" t="s">
        <v>151</v>
      </c>
      <c r="AK595" s="38" t="s">
        <v>151</v>
      </c>
      <c r="AL595" s="38" t="s">
        <v>151</v>
      </c>
      <c r="AM595" s="38" t="s">
        <v>151</v>
      </c>
      <c r="AN595" s="38" t="s">
        <v>151</v>
      </c>
      <c r="AO595" s="38" t="s">
        <v>151</v>
      </c>
      <c r="AP595" s="38" t="s">
        <v>151</v>
      </c>
      <c r="AQ595" s="38" t="s">
        <v>151</v>
      </c>
      <c r="AR595" s="29" t="s">
        <v>151</v>
      </c>
      <c r="AS595" s="30" t="s">
        <v>12357</v>
      </c>
      <c r="AT595" s="30" t="s">
        <v>12358</v>
      </c>
      <c r="AU595" s="31">
        <v>8</v>
      </c>
      <c r="AV595" s="30" t="s">
        <v>151</v>
      </c>
      <c r="AW595" s="30" t="s">
        <v>151</v>
      </c>
      <c r="AX595" s="30" t="s">
        <v>151</v>
      </c>
      <c r="AY595" s="30" t="s">
        <v>12359</v>
      </c>
      <c r="AZ595" s="30" t="s">
        <v>151</v>
      </c>
      <c r="BA595" s="30" t="s">
        <v>151</v>
      </c>
      <c r="BB595" s="30" t="s">
        <v>151</v>
      </c>
      <c r="BC595" s="30" t="s">
        <v>374</v>
      </c>
      <c r="BD595" s="30" t="s">
        <v>12360</v>
      </c>
      <c r="BE595" s="30" t="s">
        <v>12361</v>
      </c>
      <c r="BF595" s="30" t="s">
        <v>403</v>
      </c>
      <c r="BG595" s="30" t="s">
        <v>12362</v>
      </c>
      <c r="BH595" s="30" t="s">
        <v>151</v>
      </c>
      <c r="BI595" s="30" t="s">
        <v>12363</v>
      </c>
      <c r="BJ595" s="30" t="s">
        <v>12364</v>
      </c>
      <c r="BK595" s="30" t="s">
        <v>12365</v>
      </c>
      <c r="BL595" s="30" t="s">
        <v>12366</v>
      </c>
      <c r="BM595" s="30" t="s">
        <v>184</v>
      </c>
      <c r="BN595" s="29" t="s">
        <v>4698</v>
      </c>
      <c r="BO595" s="30" t="s">
        <v>186</v>
      </c>
      <c r="BP595" s="29" t="s">
        <v>151</v>
      </c>
      <c r="BQ595" s="29" t="s">
        <v>151</v>
      </c>
      <c r="BR595" s="30" t="s">
        <v>12367</v>
      </c>
      <c r="BS595" s="30" t="s">
        <v>187</v>
      </c>
      <c r="BT595" s="30" t="s">
        <v>188</v>
      </c>
      <c r="BU595" s="35">
        <v>44197</v>
      </c>
      <c r="BV595" s="37">
        <v>0.2</v>
      </c>
      <c r="BW595" s="30" t="s">
        <v>192</v>
      </c>
      <c r="BX595" s="37" t="s">
        <v>151</v>
      </c>
      <c r="BY595" s="30" t="s">
        <v>151</v>
      </c>
      <c r="BZ595" s="30" t="s">
        <v>1075</v>
      </c>
      <c r="CA595" s="30" t="s">
        <v>1075</v>
      </c>
      <c r="CB595" s="30" t="s">
        <v>151</v>
      </c>
      <c r="CC595" s="30" t="s">
        <v>585</v>
      </c>
      <c r="CD595" s="30" t="s">
        <v>151</v>
      </c>
      <c r="CE595" s="30" t="s">
        <v>191</v>
      </c>
      <c r="CF595" s="35">
        <v>44498</v>
      </c>
      <c r="CG595" s="37">
        <v>6.2</v>
      </c>
      <c r="CH595" s="30" t="s">
        <v>192</v>
      </c>
      <c r="CI595" s="37" t="s">
        <v>151</v>
      </c>
      <c r="CJ595" s="30" t="s">
        <v>151</v>
      </c>
      <c r="CK595" s="29" t="s">
        <v>151</v>
      </c>
      <c r="CL595" s="30" t="s">
        <v>293</v>
      </c>
      <c r="CM595" s="30" t="s">
        <v>293</v>
      </c>
      <c r="CN595" s="30" t="s">
        <v>151</v>
      </c>
      <c r="CO595" s="30" t="s">
        <v>165</v>
      </c>
      <c r="CP595" s="35">
        <v>44498</v>
      </c>
      <c r="CQ595" s="37" t="s">
        <v>151</v>
      </c>
      <c r="CR595" s="30" t="s">
        <v>151</v>
      </c>
      <c r="CS595" s="30" t="s">
        <v>191</v>
      </c>
      <c r="CT595" s="29">
        <v>41</v>
      </c>
      <c r="CU595" s="30" t="s">
        <v>263</v>
      </c>
      <c r="CV595" s="32">
        <v>40</v>
      </c>
      <c r="CW595" s="32">
        <v>60</v>
      </c>
      <c r="CX595" s="30" t="s">
        <v>263</v>
      </c>
      <c r="CY595" s="32">
        <v>1</v>
      </c>
      <c r="CZ595" s="32">
        <v>39</v>
      </c>
      <c r="DA595" s="37" t="s">
        <v>151</v>
      </c>
      <c r="DB595" s="35" t="s">
        <v>151</v>
      </c>
      <c r="DC595" s="30" t="s">
        <v>151</v>
      </c>
      <c r="DD595" s="29" t="s">
        <v>151</v>
      </c>
      <c r="DE595" s="32">
        <v>0</v>
      </c>
      <c r="DF595" s="34">
        <v>11</v>
      </c>
      <c r="DG595" s="32">
        <v>0</v>
      </c>
      <c r="DH595" s="32">
        <v>0</v>
      </c>
      <c r="DI595" s="32">
        <v>0</v>
      </c>
      <c r="DJ595" s="34">
        <v>10</v>
      </c>
      <c r="DK595" s="32" t="s">
        <v>151</v>
      </c>
      <c r="DL595" s="34" t="s">
        <v>151</v>
      </c>
      <c r="DM595" s="32">
        <v>0</v>
      </c>
      <c r="DN595" s="34">
        <v>10</v>
      </c>
      <c r="DO595" s="36">
        <v>1.32</v>
      </c>
      <c r="DP595" s="34">
        <v>56</v>
      </c>
      <c r="DQ595" s="36">
        <v>0</v>
      </c>
      <c r="DR595" s="32">
        <v>0</v>
      </c>
      <c r="DS595" s="36">
        <v>2.11</v>
      </c>
      <c r="DT595" s="34">
        <v>67</v>
      </c>
      <c r="DU595" s="36" t="s">
        <v>151</v>
      </c>
      <c r="DV595" s="34" t="s">
        <v>151</v>
      </c>
      <c r="DW595" s="36">
        <v>2.11</v>
      </c>
      <c r="DX595" s="34">
        <v>67</v>
      </c>
      <c r="DY595" s="31">
        <v>2</v>
      </c>
      <c r="DZ595" s="35">
        <v>45509</v>
      </c>
      <c r="EA595" s="35" t="s">
        <v>12368</v>
      </c>
      <c r="EB595" s="34">
        <v>15</v>
      </c>
      <c r="EC595" s="33">
        <v>-79</v>
      </c>
      <c r="ED595" s="32">
        <v>-84.04</v>
      </c>
      <c r="EE595" s="34">
        <v>40</v>
      </c>
      <c r="EF595" s="33">
        <v>0</v>
      </c>
      <c r="EG595" s="32">
        <v>0</v>
      </c>
      <c r="EH595" s="29" t="s">
        <v>198</v>
      </c>
      <c r="EI595" s="30" t="s">
        <v>151</v>
      </c>
      <c r="EJ595" s="30" t="s">
        <v>151</v>
      </c>
      <c r="EK595" s="31" t="s">
        <v>151</v>
      </c>
      <c r="EL595" s="31" t="s">
        <v>151</v>
      </c>
      <c r="EM595" s="31" t="s">
        <v>151</v>
      </c>
      <c r="EN595" s="31" t="s">
        <v>151</v>
      </c>
      <c r="EO595" s="31" t="s">
        <v>151</v>
      </c>
      <c r="EP595" s="30" t="s">
        <v>151</v>
      </c>
      <c r="EQ595" s="29" t="s">
        <v>151</v>
      </c>
      <c r="ER595" s="29" t="s">
        <v>151</v>
      </c>
      <c r="ES595" s="4">
        <f>HYPERLINK("https://my.pitchbook.com?c=483343-57","View Company Online")</f>
      </c>
    </row>
    <row r="596">
      <c r="A596" s="17" t="s">
        <v>12369</v>
      </c>
      <c r="B596" s="17" t="s">
        <v>12370</v>
      </c>
      <c r="C596" s="18" t="s">
        <v>151</v>
      </c>
      <c r="D596" s="17" t="s">
        <v>151</v>
      </c>
      <c r="E596" s="17" t="s">
        <v>151</v>
      </c>
      <c r="F596" s="17" t="s">
        <v>12371</v>
      </c>
      <c r="G596" s="17" t="s">
        <v>151</v>
      </c>
      <c r="H596" s="17" t="s">
        <v>151</v>
      </c>
      <c r="I596" s="17" t="s">
        <v>151</v>
      </c>
      <c r="J596" s="17" t="s">
        <v>12369</v>
      </c>
      <c r="K596" s="17" t="s">
        <v>12372</v>
      </c>
      <c r="L596" s="17" t="s">
        <v>155</v>
      </c>
      <c r="M596" s="17" t="s">
        <v>2320</v>
      </c>
      <c r="N596" s="17" t="s">
        <v>2321</v>
      </c>
      <c r="O596" s="17" t="s">
        <v>2322</v>
      </c>
      <c r="P596" s="17" t="s">
        <v>919</v>
      </c>
      <c r="Q596" s="17" t="s">
        <v>12373</v>
      </c>
      <c r="R596" s="17" t="s">
        <v>151</v>
      </c>
      <c r="S596" s="17" t="s">
        <v>162</v>
      </c>
      <c r="T596" s="24">
        <v>1</v>
      </c>
      <c r="U596" s="17" t="s">
        <v>163</v>
      </c>
      <c r="V596" s="17" t="s">
        <v>164</v>
      </c>
      <c r="W596" s="17" t="s">
        <v>165</v>
      </c>
      <c r="X596" s="15" t="s">
        <v>12374</v>
      </c>
      <c r="Y596" s="15" t="s">
        <v>12375</v>
      </c>
      <c r="Z596" s="27" t="s">
        <v>151</v>
      </c>
      <c r="AA596" s="17" t="s">
        <v>151</v>
      </c>
      <c r="AB596" s="17" t="s">
        <v>151</v>
      </c>
      <c r="AC596" s="17" t="s">
        <v>151</v>
      </c>
      <c r="AD596" s="26">
        <v>2019</v>
      </c>
      <c r="AE596" s="17" t="s">
        <v>151</v>
      </c>
      <c r="AF596" s="22">
        <v>45301</v>
      </c>
      <c r="AG596" s="17" t="s">
        <v>151</v>
      </c>
      <c r="AH596" s="17" t="s">
        <v>151</v>
      </c>
      <c r="AI596" s="25" t="s">
        <v>151</v>
      </c>
      <c r="AJ596" s="19" t="s">
        <v>151</v>
      </c>
      <c r="AK596" s="25" t="s">
        <v>151</v>
      </c>
      <c r="AL596" s="25" t="s">
        <v>151</v>
      </c>
      <c r="AM596" s="25" t="s">
        <v>151</v>
      </c>
      <c r="AN596" s="25" t="s">
        <v>151</v>
      </c>
      <c r="AO596" s="25" t="s">
        <v>151</v>
      </c>
      <c r="AP596" s="25" t="s">
        <v>151</v>
      </c>
      <c r="AQ596" s="25" t="s">
        <v>151</v>
      </c>
      <c r="AR596" s="16" t="s">
        <v>151</v>
      </c>
      <c r="AS596" s="17" t="s">
        <v>12376</v>
      </c>
      <c r="AT596" s="17" t="s">
        <v>12377</v>
      </c>
      <c r="AU596" s="18">
        <v>4</v>
      </c>
      <c r="AV596" s="17" t="s">
        <v>151</v>
      </c>
      <c r="AW596" s="17" t="s">
        <v>151</v>
      </c>
      <c r="AX596" s="17" t="s">
        <v>151</v>
      </c>
      <c r="AY596" s="17" t="s">
        <v>12378</v>
      </c>
      <c r="AZ596" s="17" t="s">
        <v>151</v>
      </c>
      <c r="BA596" s="17" t="s">
        <v>151</v>
      </c>
      <c r="BB596" s="17" t="s">
        <v>151</v>
      </c>
      <c r="BC596" s="17" t="s">
        <v>12379</v>
      </c>
      <c r="BD596" s="17" t="s">
        <v>12380</v>
      </c>
      <c r="BE596" s="17" t="s">
        <v>12381</v>
      </c>
      <c r="BF596" s="17" t="s">
        <v>403</v>
      </c>
      <c r="BG596" s="17" t="s">
        <v>151</v>
      </c>
      <c r="BH596" s="17" t="s">
        <v>151</v>
      </c>
      <c r="BI596" s="17" t="s">
        <v>707</v>
      </c>
      <c r="BJ596" s="17" t="s">
        <v>12382</v>
      </c>
      <c r="BK596" s="17" t="s">
        <v>151</v>
      </c>
      <c r="BL596" s="17" t="s">
        <v>709</v>
      </c>
      <c r="BM596" s="17" t="s">
        <v>184</v>
      </c>
      <c r="BN596" s="16" t="s">
        <v>1237</v>
      </c>
      <c r="BO596" s="17" t="s">
        <v>186</v>
      </c>
      <c r="BP596" s="16" t="s">
        <v>151</v>
      </c>
      <c r="BQ596" s="16" t="s">
        <v>151</v>
      </c>
      <c r="BR596" s="17" t="s">
        <v>12383</v>
      </c>
      <c r="BS596" s="17" t="s">
        <v>187</v>
      </c>
      <c r="BT596" s="17" t="s">
        <v>188</v>
      </c>
      <c r="BU596" s="22">
        <v>44606</v>
      </c>
      <c r="BV596" s="24">
        <v>1</v>
      </c>
      <c r="BW596" s="17" t="s">
        <v>192</v>
      </c>
      <c r="BX596" s="24" t="s">
        <v>151</v>
      </c>
      <c r="BY596" s="17" t="s">
        <v>151</v>
      </c>
      <c r="BZ596" s="17" t="s">
        <v>293</v>
      </c>
      <c r="CA596" s="17" t="s">
        <v>293</v>
      </c>
      <c r="CB596" s="17" t="s">
        <v>151</v>
      </c>
      <c r="CC596" s="17" t="s">
        <v>165</v>
      </c>
      <c r="CD596" s="17" t="s">
        <v>151</v>
      </c>
      <c r="CE596" s="17" t="s">
        <v>191</v>
      </c>
      <c r="CF596" s="22">
        <v>44606</v>
      </c>
      <c r="CG596" s="24">
        <v>1</v>
      </c>
      <c r="CH596" s="17" t="s">
        <v>192</v>
      </c>
      <c r="CI596" s="24" t="s">
        <v>151</v>
      </c>
      <c r="CJ596" s="17" t="s">
        <v>151</v>
      </c>
      <c r="CK596" s="16" t="s">
        <v>151</v>
      </c>
      <c r="CL596" s="17" t="s">
        <v>293</v>
      </c>
      <c r="CM596" s="17" t="s">
        <v>293</v>
      </c>
      <c r="CN596" s="17" t="s">
        <v>151</v>
      </c>
      <c r="CO596" s="17" t="s">
        <v>165</v>
      </c>
      <c r="CP596" s="22">
        <v>44606</v>
      </c>
      <c r="CQ596" s="24" t="s">
        <v>151</v>
      </c>
      <c r="CR596" s="17" t="s">
        <v>151</v>
      </c>
      <c r="CS596" s="17" t="s">
        <v>191</v>
      </c>
      <c r="CT596" s="16" t="s">
        <v>151</v>
      </c>
      <c r="CU596" s="17" t="s">
        <v>151</v>
      </c>
      <c r="CV596" s="19" t="s">
        <v>151</v>
      </c>
      <c r="CW596" s="19" t="s">
        <v>151</v>
      </c>
      <c r="CX596" s="17" t="s">
        <v>151</v>
      </c>
      <c r="CY596" s="19" t="s">
        <v>151</v>
      </c>
      <c r="CZ596" s="19" t="s">
        <v>151</v>
      </c>
      <c r="DA596" s="24" t="s">
        <v>151</v>
      </c>
      <c r="DB596" s="22" t="s">
        <v>151</v>
      </c>
      <c r="DC596" s="17" t="s">
        <v>151</v>
      </c>
      <c r="DD596" s="16" t="s">
        <v>151</v>
      </c>
      <c r="DE596" s="19">
        <v>0</v>
      </c>
      <c r="DF596" s="21">
        <v>11</v>
      </c>
      <c r="DG596" s="19">
        <v>0</v>
      </c>
      <c r="DH596" s="19">
        <v>0</v>
      </c>
      <c r="DI596" s="19">
        <v>0</v>
      </c>
      <c r="DJ596" s="21">
        <v>10</v>
      </c>
      <c r="DK596" s="19" t="s">
        <v>151</v>
      </c>
      <c r="DL596" s="21" t="s">
        <v>151</v>
      </c>
      <c r="DM596" s="19">
        <v>0</v>
      </c>
      <c r="DN596" s="21">
        <v>10</v>
      </c>
      <c r="DO596" s="23">
        <v>4.53</v>
      </c>
      <c r="DP596" s="21">
        <v>81</v>
      </c>
      <c r="DQ596" s="23">
        <v>0</v>
      </c>
      <c r="DR596" s="19">
        <v>0</v>
      </c>
      <c r="DS596" s="23">
        <v>4.53</v>
      </c>
      <c r="DT596" s="21">
        <v>81</v>
      </c>
      <c r="DU596" s="23" t="s">
        <v>151</v>
      </c>
      <c r="DV596" s="21" t="s">
        <v>151</v>
      </c>
      <c r="DW596" s="23">
        <v>4.53</v>
      </c>
      <c r="DX596" s="21">
        <v>80</v>
      </c>
      <c r="DY596" s="18" t="s">
        <v>151</v>
      </c>
      <c r="DZ596" s="22" t="s">
        <v>151</v>
      </c>
      <c r="EA596" s="22" t="s">
        <v>151</v>
      </c>
      <c r="EB596" s="21">
        <v>3011</v>
      </c>
      <c r="EC596" s="20">
        <v>118</v>
      </c>
      <c r="ED596" s="19">
        <v>4.08</v>
      </c>
      <c r="EE596" s="21">
        <v>86</v>
      </c>
      <c r="EF596" s="20">
        <v>0</v>
      </c>
      <c r="EG596" s="19">
        <v>0</v>
      </c>
      <c r="EH596" s="16" t="s">
        <v>198</v>
      </c>
      <c r="EI596" s="17" t="s">
        <v>151</v>
      </c>
      <c r="EJ596" s="17" t="s">
        <v>151</v>
      </c>
      <c r="EK596" s="18" t="s">
        <v>151</v>
      </c>
      <c r="EL596" s="18" t="s">
        <v>151</v>
      </c>
      <c r="EM596" s="18" t="s">
        <v>151</v>
      </c>
      <c r="EN596" s="18" t="s">
        <v>151</v>
      </c>
      <c r="EO596" s="18" t="s">
        <v>151</v>
      </c>
      <c r="EP596" s="17" t="s">
        <v>151</v>
      </c>
      <c r="EQ596" s="16" t="s">
        <v>151</v>
      </c>
      <c r="ER596" s="16" t="s">
        <v>151</v>
      </c>
      <c r="ES596" s="3">
        <f>HYPERLINK("https://my.pitchbook.com?c=491608-09","View Company Online")</f>
      </c>
    </row>
    <row r="597">
      <c r="A597" s="30" t="s">
        <v>12384</v>
      </c>
      <c r="B597" s="30" t="s">
        <v>12385</v>
      </c>
      <c r="C597" s="31" t="s">
        <v>151</v>
      </c>
      <c r="D597" s="30" t="s">
        <v>151</v>
      </c>
      <c r="E597" s="30" t="s">
        <v>12386</v>
      </c>
      <c r="F597" s="30" t="s">
        <v>12387</v>
      </c>
      <c r="G597" s="30" t="s">
        <v>151</v>
      </c>
      <c r="H597" s="30" t="s">
        <v>151</v>
      </c>
      <c r="I597" s="30" t="s">
        <v>12388</v>
      </c>
      <c r="J597" s="30" t="s">
        <v>12384</v>
      </c>
      <c r="K597" s="30" t="s">
        <v>12389</v>
      </c>
      <c r="L597" s="30" t="s">
        <v>205</v>
      </c>
      <c r="M597" s="30" t="s">
        <v>206</v>
      </c>
      <c r="N597" s="30" t="s">
        <v>269</v>
      </c>
      <c r="O597" s="30" t="s">
        <v>563</v>
      </c>
      <c r="P597" s="30" t="s">
        <v>1725</v>
      </c>
      <c r="Q597" s="30" t="s">
        <v>12390</v>
      </c>
      <c r="R597" s="30" t="s">
        <v>151</v>
      </c>
      <c r="S597" s="30" t="s">
        <v>162</v>
      </c>
      <c r="T597" s="37">
        <v>3</v>
      </c>
      <c r="U597" s="30" t="s">
        <v>163</v>
      </c>
      <c r="V597" s="30" t="s">
        <v>164</v>
      </c>
      <c r="W597" s="30" t="s">
        <v>165</v>
      </c>
      <c r="X597" s="28" t="s">
        <v>12391</v>
      </c>
      <c r="Y597" s="28" t="s">
        <v>12392</v>
      </c>
      <c r="Z597" s="40">
        <v>5</v>
      </c>
      <c r="AA597" s="30" t="s">
        <v>12393</v>
      </c>
      <c r="AB597" s="30" t="s">
        <v>151</v>
      </c>
      <c r="AC597" s="30" t="s">
        <v>151</v>
      </c>
      <c r="AD597" s="39">
        <v>2022</v>
      </c>
      <c r="AE597" s="30" t="s">
        <v>151</v>
      </c>
      <c r="AF597" s="35">
        <v>45482</v>
      </c>
      <c r="AG597" s="30" t="s">
        <v>151</v>
      </c>
      <c r="AH597" s="30" t="s">
        <v>151</v>
      </c>
      <c r="AI597" s="38" t="s">
        <v>151</v>
      </c>
      <c r="AJ597" s="32" t="s">
        <v>151</v>
      </c>
      <c r="AK597" s="38" t="s">
        <v>151</v>
      </c>
      <c r="AL597" s="38" t="s">
        <v>151</v>
      </c>
      <c r="AM597" s="38" t="s">
        <v>151</v>
      </c>
      <c r="AN597" s="38" t="s">
        <v>151</v>
      </c>
      <c r="AO597" s="38" t="s">
        <v>151</v>
      </c>
      <c r="AP597" s="38" t="s">
        <v>151</v>
      </c>
      <c r="AQ597" s="38" t="s">
        <v>151</v>
      </c>
      <c r="AR597" s="29" t="s">
        <v>151</v>
      </c>
      <c r="AS597" s="30" t="s">
        <v>12394</v>
      </c>
      <c r="AT597" s="30" t="s">
        <v>12395</v>
      </c>
      <c r="AU597" s="31">
        <v>4</v>
      </c>
      <c r="AV597" s="30" t="s">
        <v>151</v>
      </c>
      <c r="AW597" s="30" t="s">
        <v>151</v>
      </c>
      <c r="AX597" s="30" t="s">
        <v>151</v>
      </c>
      <c r="AY597" s="30" t="s">
        <v>12396</v>
      </c>
      <c r="AZ597" s="30" t="s">
        <v>151</v>
      </c>
      <c r="BA597" s="30" t="s">
        <v>151</v>
      </c>
      <c r="BB597" s="30" t="s">
        <v>151</v>
      </c>
      <c r="BC597" s="30" t="s">
        <v>12397</v>
      </c>
      <c r="BD597" s="30" t="s">
        <v>12398</v>
      </c>
      <c r="BE597" s="30" t="s">
        <v>12399</v>
      </c>
      <c r="BF597" s="30" t="s">
        <v>12400</v>
      </c>
      <c r="BG597" s="30" t="s">
        <v>12401</v>
      </c>
      <c r="BH597" s="30" t="s">
        <v>151</v>
      </c>
      <c r="BI597" s="30" t="s">
        <v>764</v>
      </c>
      <c r="BJ597" s="30" t="s">
        <v>12402</v>
      </c>
      <c r="BK597" s="30" t="s">
        <v>151</v>
      </c>
      <c r="BL597" s="30" t="s">
        <v>767</v>
      </c>
      <c r="BM597" s="30" t="s">
        <v>184</v>
      </c>
      <c r="BN597" s="29" t="s">
        <v>4698</v>
      </c>
      <c r="BO597" s="30" t="s">
        <v>186</v>
      </c>
      <c r="BP597" s="29" t="s">
        <v>151</v>
      </c>
      <c r="BQ597" s="29" t="s">
        <v>151</v>
      </c>
      <c r="BR597" s="30" t="s">
        <v>12403</v>
      </c>
      <c r="BS597" s="30" t="s">
        <v>187</v>
      </c>
      <c r="BT597" s="30" t="s">
        <v>188</v>
      </c>
      <c r="BU597" s="35" t="s">
        <v>151</v>
      </c>
      <c r="BV597" s="37">
        <v>0.5</v>
      </c>
      <c r="BW597" s="30" t="s">
        <v>192</v>
      </c>
      <c r="BX597" s="37" t="s">
        <v>151</v>
      </c>
      <c r="BY597" s="30" t="s">
        <v>151</v>
      </c>
      <c r="BZ597" s="30" t="s">
        <v>189</v>
      </c>
      <c r="CA597" s="30" t="s">
        <v>151</v>
      </c>
      <c r="CB597" s="30" t="s">
        <v>151</v>
      </c>
      <c r="CC597" s="30" t="s">
        <v>190</v>
      </c>
      <c r="CD597" s="30" t="s">
        <v>151</v>
      </c>
      <c r="CE597" s="30" t="s">
        <v>191</v>
      </c>
      <c r="CF597" s="35">
        <v>45044</v>
      </c>
      <c r="CG597" s="37">
        <v>2.5</v>
      </c>
      <c r="CH597" s="30" t="s">
        <v>192</v>
      </c>
      <c r="CI597" s="37" t="s">
        <v>151</v>
      </c>
      <c r="CJ597" s="30" t="s">
        <v>151</v>
      </c>
      <c r="CK597" s="29" t="s">
        <v>151</v>
      </c>
      <c r="CL597" s="30" t="s">
        <v>293</v>
      </c>
      <c r="CM597" s="30" t="s">
        <v>293</v>
      </c>
      <c r="CN597" s="30" t="s">
        <v>151</v>
      </c>
      <c r="CO597" s="30" t="s">
        <v>165</v>
      </c>
      <c r="CP597" s="35">
        <v>45044</v>
      </c>
      <c r="CQ597" s="37" t="s">
        <v>151</v>
      </c>
      <c r="CR597" s="30" t="s">
        <v>151</v>
      </c>
      <c r="CS597" s="30" t="s">
        <v>191</v>
      </c>
      <c r="CT597" s="29" t="s">
        <v>151</v>
      </c>
      <c r="CU597" s="30" t="s">
        <v>151</v>
      </c>
      <c r="CV597" s="32" t="s">
        <v>151</v>
      </c>
      <c r="CW597" s="32" t="s">
        <v>151</v>
      </c>
      <c r="CX597" s="30" t="s">
        <v>151</v>
      </c>
      <c r="CY597" s="32" t="s">
        <v>151</v>
      </c>
      <c r="CZ597" s="32" t="s">
        <v>151</v>
      </c>
      <c r="DA597" s="37" t="s">
        <v>151</v>
      </c>
      <c r="DB597" s="35" t="s">
        <v>151</v>
      </c>
      <c r="DC597" s="30" t="s">
        <v>151</v>
      </c>
      <c r="DD597" s="29" t="s">
        <v>151</v>
      </c>
      <c r="DE597" s="32">
        <v>0</v>
      </c>
      <c r="DF597" s="34">
        <v>11</v>
      </c>
      <c r="DG597" s="32">
        <v>0</v>
      </c>
      <c r="DH597" s="32">
        <v>0</v>
      </c>
      <c r="DI597" s="32">
        <v>0</v>
      </c>
      <c r="DJ597" s="34">
        <v>10</v>
      </c>
      <c r="DK597" s="32" t="s">
        <v>151</v>
      </c>
      <c r="DL597" s="34" t="s">
        <v>151</v>
      </c>
      <c r="DM597" s="32">
        <v>0</v>
      </c>
      <c r="DN597" s="34">
        <v>10</v>
      </c>
      <c r="DO597" s="36">
        <v>2.79</v>
      </c>
      <c r="DP597" s="34">
        <v>73</v>
      </c>
      <c r="DQ597" s="36">
        <v>0</v>
      </c>
      <c r="DR597" s="32">
        <v>0</v>
      </c>
      <c r="DS597" s="36">
        <v>2.79</v>
      </c>
      <c r="DT597" s="34">
        <v>73</v>
      </c>
      <c r="DU597" s="36" t="s">
        <v>151</v>
      </c>
      <c r="DV597" s="34" t="s">
        <v>151</v>
      </c>
      <c r="DW597" s="36">
        <v>2.79</v>
      </c>
      <c r="DX597" s="34">
        <v>72</v>
      </c>
      <c r="DY597" s="31" t="s">
        <v>151</v>
      </c>
      <c r="DZ597" s="35" t="s">
        <v>151</v>
      </c>
      <c r="EA597" s="35" t="s">
        <v>151</v>
      </c>
      <c r="EB597" s="34">
        <v>1180</v>
      </c>
      <c r="EC597" s="33">
        <v>62</v>
      </c>
      <c r="ED597" s="32">
        <v>5.55</v>
      </c>
      <c r="EE597" s="34">
        <v>53</v>
      </c>
      <c r="EF597" s="33">
        <v>0</v>
      </c>
      <c r="EG597" s="32">
        <v>0</v>
      </c>
      <c r="EH597" s="29" t="s">
        <v>198</v>
      </c>
      <c r="EI597" s="30" t="s">
        <v>151</v>
      </c>
      <c r="EJ597" s="30" t="s">
        <v>151</v>
      </c>
      <c r="EK597" s="31" t="s">
        <v>151</v>
      </c>
      <c r="EL597" s="31" t="s">
        <v>151</v>
      </c>
      <c r="EM597" s="31" t="s">
        <v>151</v>
      </c>
      <c r="EN597" s="31" t="s">
        <v>151</v>
      </c>
      <c r="EO597" s="31" t="s">
        <v>151</v>
      </c>
      <c r="EP597" s="30" t="s">
        <v>151</v>
      </c>
      <c r="EQ597" s="29" t="s">
        <v>151</v>
      </c>
      <c r="ER597" s="29" t="s">
        <v>151</v>
      </c>
      <c r="ES597" s="4">
        <f>HYPERLINK("https://my.pitchbook.com?c=515845-81","View Company Online")</f>
      </c>
    </row>
    <row r="598">
      <c r="A598" s="17" t="s">
        <v>12404</v>
      </c>
      <c r="B598" s="17" t="s">
        <v>12405</v>
      </c>
      <c r="C598" s="18" t="s">
        <v>151</v>
      </c>
      <c r="D598" s="17" t="s">
        <v>151</v>
      </c>
      <c r="E598" s="17" t="s">
        <v>151</v>
      </c>
      <c r="F598" s="17" t="s">
        <v>12406</v>
      </c>
      <c r="G598" s="17" t="s">
        <v>151</v>
      </c>
      <c r="H598" s="17" t="s">
        <v>151</v>
      </c>
      <c r="I598" s="17" t="s">
        <v>151</v>
      </c>
      <c r="J598" s="17" t="s">
        <v>12404</v>
      </c>
      <c r="K598" s="17" t="s">
        <v>12407</v>
      </c>
      <c r="L598" s="17" t="s">
        <v>616</v>
      </c>
      <c r="M598" s="17" t="s">
        <v>834</v>
      </c>
      <c r="N598" s="17" t="s">
        <v>835</v>
      </c>
      <c r="O598" s="17" t="s">
        <v>12408</v>
      </c>
      <c r="P598" s="17" t="s">
        <v>919</v>
      </c>
      <c r="Q598" s="17" t="s">
        <v>12409</v>
      </c>
      <c r="R598" s="17" t="s">
        <v>151</v>
      </c>
      <c r="S598" s="17" t="s">
        <v>162</v>
      </c>
      <c r="T598" s="24">
        <v>1.11</v>
      </c>
      <c r="U598" s="17" t="s">
        <v>163</v>
      </c>
      <c r="V598" s="17" t="s">
        <v>164</v>
      </c>
      <c r="W598" s="17" t="s">
        <v>165</v>
      </c>
      <c r="X598" s="15" t="s">
        <v>12410</v>
      </c>
      <c r="Y598" s="15" t="s">
        <v>12411</v>
      </c>
      <c r="Z598" s="27">
        <v>6</v>
      </c>
      <c r="AA598" s="17" t="s">
        <v>12412</v>
      </c>
      <c r="AB598" s="17" t="s">
        <v>151</v>
      </c>
      <c r="AC598" s="17" t="s">
        <v>151</v>
      </c>
      <c r="AD598" s="26">
        <v>2021</v>
      </c>
      <c r="AE598" s="17" t="s">
        <v>151</v>
      </c>
      <c r="AF598" s="22">
        <v>45597</v>
      </c>
      <c r="AG598" s="17" t="s">
        <v>151</v>
      </c>
      <c r="AH598" s="17" t="s">
        <v>151</v>
      </c>
      <c r="AI598" s="25" t="s">
        <v>151</v>
      </c>
      <c r="AJ598" s="19" t="s">
        <v>151</v>
      </c>
      <c r="AK598" s="25" t="s">
        <v>151</v>
      </c>
      <c r="AL598" s="25" t="s">
        <v>151</v>
      </c>
      <c r="AM598" s="25" t="s">
        <v>151</v>
      </c>
      <c r="AN598" s="25" t="s">
        <v>151</v>
      </c>
      <c r="AO598" s="25" t="s">
        <v>151</v>
      </c>
      <c r="AP598" s="25" t="s">
        <v>151</v>
      </c>
      <c r="AQ598" s="25" t="s">
        <v>151</v>
      </c>
      <c r="AR598" s="16" t="s">
        <v>151</v>
      </c>
      <c r="AS598" s="17" t="s">
        <v>12413</v>
      </c>
      <c r="AT598" s="17" t="s">
        <v>12414</v>
      </c>
      <c r="AU598" s="18">
        <v>3</v>
      </c>
      <c r="AV598" s="17" t="s">
        <v>151</v>
      </c>
      <c r="AW598" s="17" t="s">
        <v>151</v>
      </c>
      <c r="AX598" s="17" t="s">
        <v>151</v>
      </c>
      <c r="AY598" s="17" t="s">
        <v>12415</v>
      </c>
      <c r="AZ598" s="17" t="s">
        <v>151</v>
      </c>
      <c r="BA598" s="17" t="s">
        <v>151</v>
      </c>
      <c r="BB598" s="17" t="s">
        <v>151</v>
      </c>
      <c r="BC598" s="17" t="s">
        <v>2626</v>
      </c>
      <c r="BD598" s="17" t="s">
        <v>12416</v>
      </c>
      <c r="BE598" s="17" t="s">
        <v>12417</v>
      </c>
      <c r="BF598" s="17" t="s">
        <v>282</v>
      </c>
      <c r="BG598" s="17" t="s">
        <v>12418</v>
      </c>
      <c r="BH598" s="17" t="s">
        <v>12419</v>
      </c>
      <c r="BI598" s="17" t="s">
        <v>12420</v>
      </c>
      <c r="BJ598" s="17" t="s">
        <v>12421</v>
      </c>
      <c r="BK598" s="17" t="s">
        <v>151</v>
      </c>
      <c r="BL598" s="17" t="s">
        <v>12422</v>
      </c>
      <c r="BM598" s="17" t="s">
        <v>259</v>
      </c>
      <c r="BN598" s="16" t="s">
        <v>12423</v>
      </c>
      <c r="BO598" s="17" t="s">
        <v>186</v>
      </c>
      <c r="BP598" s="16" t="s">
        <v>12419</v>
      </c>
      <c r="BQ598" s="16" t="s">
        <v>151</v>
      </c>
      <c r="BR598" s="17" t="s">
        <v>12424</v>
      </c>
      <c r="BS598" s="17" t="s">
        <v>187</v>
      </c>
      <c r="BT598" s="17" t="s">
        <v>188</v>
      </c>
      <c r="BU598" s="22">
        <v>44726</v>
      </c>
      <c r="BV598" s="24">
        <v>0.63</v>
      </c>
      <c r="BW598" s="17" t="s">
        <v>192</v>
      </c>
      <c r="BX598" s="24" t="s">
        <v>151</v>
      </c>
      <c r="BY598" s="17" t="s">
        <v>151</v>
      </c>
      <c r="BZ598" s="17" t="s">
        <v>1075</v>
      </c>
      <c r="CA598" s="17" t="s">
        <v>1075</v>
      </c>
      <c r="CB598" s="17" t="s">
        <v>151</v>
      </c>
      <c r="CC598" s="17" t="s">
        <v>585</v>
      </c>
      <c r="CD598" s="17" t="s">
        <v>151</v>
      </c>
      <c r="CE598" s="17" t="s">
        <v>191</v>
      </c>
      <c r="CF598" s="22">
        <v>45386</v>
      </c>
      <c r="CG598" s="24" t="s">
        <v>151</v>
      </c>
      <c r="CH598" s="17" t="s">
        <v>151</v>
      </c>
      <c r="CI598" s="24" t="s">
        <v>151</v>
      </c>
      <c r="CJ598" s="17" t="s">
        <v>151</v>
      </c>
      <c r="CK598" s="16" t="s">
        <v>151</v>
      </c>
      <c r="CL598" s="17" t="s">
        <v>189</v>
      </c>
      <c r="CM598" s="17" t="s">
        <v>151</v>
      </c>
      <c r="CN598" s="17" t="s">
        <v>151</v>
      </c>
      <c r="CO598" s="17" t="s">
        <v>190</v>
      </c>
      <c r="CP598" s="22">
        <v>45386</v>
      </c>
      <c r="CQ598" s="24" t="s">
        <v>151</v>
      </c>
      <c r="CR598" s="17" t="s">
        <v>151</v>
      </c>
      <c r="CS598" s="17" t="s">
        <v>191</v>
      </c>
      <c r="CT598" s="16">
        <v>46</v>
      </c>
      <c r="CU598" s="17" t="s">
        <v>263</v>
      </c>
      <c r="CV598" s="19">
        <v>45</v>
      </c>
      <c r="CW598" s="19">
        <v>55</v>
      </c>
      <c r="CX598" s="17" t="s">
        <v>263</v>
      </c>
      <c r="CY598" s="19">
        <v>1</v>
      </c>
      <c r="CZ598" s="19">
        <v>44</v>
      </c>
      <c r="DA598" s="24" t="s">
        <v>151</v>
      </c>
      <c r="DB598" s="22" t="s">
        <v>151</v>
      </c>
      <c r="DC598" s="17" t="s">
        <v>151</v>
      </c>
      <c r="DD598" s="16" t="s">
        <v>151</v>
      </c>
      <c r="DE598" s="19">
        <v>0</v>
      </c>
      <c r="DF598" s="21">
        <v>11</v>
      </c>
      <c r="DG598" s="19">
        <v>0</v>
      </c>
      <c r="DH598" s="19">
        <v>0</v>
      </c>
      <c r="DI598" s="19">
        <v>0</v>
      </c>
      <c r="DJ598" s="21">
        <v>10</v>
      </c>
      <c r="DK598" s="19" t="s">
        <v>151</v>
      </c>
      <c r="DL598" s="21" t="s">
        <v>151</v>
      </c>
      <c r="DM598" s="19">
        <v>0</v>
      </c>
      <c r="DN598" s="21">
        <v>10</v>
      </c>
      <c r="DO598" s="23">
        <v>1.68</v>
      </c>
      <c r="DP598" s="21">
        <v>62</v>
      </c>
      <c r="DQ598" s="23">
        <v>0</v>
      </c>
      <c r="DR598" s="19">
        <v>0</v>
      </c>
      <c r="DS598" s="23">
        <v>1.68</v>
      </c>
      <c r="DT598" s="21">
        <v>62</v>
      </c>
      <c r="DU598" s="23" t="s">
        <v>151</v>
      </c>
      <c r="DV598" s="21" t="s">
        <v>151</v>
      </c>
      <c r="DW598" s="23">
        <v>1.68</v>
      </c>
      <c r="DX598" s="21">
        <v>61</v>
      </c>
      <c r="DY598" s="18" t="s">
        <v>151</v>
      </c>
      <c r="DZ598" s="22" t="s">
        <v>151</v>
      </c>
      <c r="EA598" s="22" t="s">
        <v>151</v>
      </c>
      <c r="EB598" s="21">
        <v>865</v>
      </c>
      <c r="EC598" s="20">
        <v>107</v>
      </c>
      <c r="ED598" s="19">
        <v>14.12</v>
      </c>
      <c r="EE598" s="21">
        <v>32</v>
      </c>
      <c r="EF598" s="20">
        <v>0</v>
      </c>
      <c r="EG598" s="19">
        <v>0</v>
      </c>
      <c r="EH598" s="16" t="s">
        <v>198</v>
      </c>
      <c r="EI598" s="17" t="s">
        <v>151</v>
      </c>
      <c r="EJ598" s="17" t="s">
        <v>151</v>
      </c>
      <c r="EK598" s="18" t="s">
        <v>151</v>
      </c>
      <c r="EL598" s="18" t="s">
        <v>151</v>
      </c>
      <c r="EM598" s="18" t="s">
        <v>151</v>
      </c>
      <c r="EN598" s="18" t="s">
        <v>151</v>
      </c>
      <c r="EO598" s="18" t="s">
        <v>151</v>
      </c>
      <c r="EP598" s="17" t="s">
        <v>151</v>
      </c>
      <c r="EQ598" s="16" t="s">
        <v>151</v>
      </c>
      <c r="ER598" s="16" t="s">
        <v>151</v>
      </c>
      <c r="ES598" s="3">
        <f>HYPERLINK("https://my.pitchbook.com?c=509267-17","View Company Online")</f>
      </c>
    </row>
    <row r="599">
      <c r="A599" s="30" t="s">
        <v>12425</v>
      </c>
      <c r="B599" s="30" t="s">
        <v>12426</v>
      </c>
      <c r="C599" s="31" t="s">
        <v>151</v>
      </c>
      <c r="D599" s="30" t="s">
        <v>12427</v>
      </c>
      <c r="E599" s="30" t="s">
        <v>151</v>
      </c>
      <c r="F599" s="30" t="s">
        <v>12428</v>
      </c>
      <c r="G599" s="30" t="s">
        <v>151</v>
      </c>
      <c r="H599" s="30" t="s">
        <v>151</v>
      </c>
      <c r="I599" s="30" t="s">
        <v>151</v>
      </c>
      <c r="J599" s="30" t="s">
        <v>12425</v>
      </c>
      <c r="K599" s="30" t="s">
        <v>12429</v>
      </c>
      <c r="L599" s="30" t="s">
        <v>155</v>
      </c>
      <c r="M599" s="30" t="s">
        <v>2320</v>
      </c>
      <c r="N599" s="30" t="s">
        <v>2321</v>
      </c>
      <c r="O599" s="30" t="s">
        <v>12430</v>
      </c>
      <c r="P599" s="30" t="s">
        <v>2640</v>
      </c>
      <c r="Q599" s="30" t="s">
        <v>12431</v>
      </c>
      <c r="R599" s="30" t="s">
        <v>151</v>
      </c>
      <c r="S599" s="30" t="s">
        <v>162</v>
      </c>
      <c r="T599" s="37">
        <v>0.75</v>
      </c>
      <c r="U599" s="30" t="s">
        <v>163</v>
      </c>
      <c r="V599" s="30" t="s">
        <v>164</v>
      </c>
      <c r="W599" s="30" t="s">
        <v>165</v>
      </c>
      <c r="X599" s="28" t="s">
        <v>12432</v>
      </c>
      <c r="Y599" s="28" t="s">
        <v>12433</v>
      </c>
      <c r="Z599" s="40">
        <v>4</v>
      </c>
      <c r="AA599" s="30" t="s">
        <v>12434</v>
      </c>
      <c r="AB599" s="30" t="s">
        <v>151</v>
      </c>
      <c r="AC599" s="30" t="s">
        <v>151</v>
      </c>
      <c r="AD599" s="39">
        <v>2021</v>
      </c>
      <c r="AE599" s="30" t="s">
        <v>151</v>
      </c>
      <c r="AF599" s="35">
        <v>45527</v>
      </c>
      <c r="AG599" s="30" t="s">
        <v>151</v>
      </c>
      <c r="AH599" s="30" t="s">
        <v>151</v>
      </c>
      <c r="AI599" s="38" t="s">
        <v>151</v>
      </c>
      <c r="AJ599" s="32" t="s">
        <v>151</v>
      </c>
      <c r="AK599" s="38" t="s">
        <v>151</v>
      </c>
      <c r="AL599" s="38" t="s">
        <v>151</v>
      </c>
      <c r="AM599" s="38" t="s">
        <v>151</v>
      </c>
      <c r="AN599" s="38" t="s">
        <v>151</v>
      </c>
      <c r="AO599" s="38" t="s">
        <v>151</v>
      </c>
      <c r="AP599" s="38" t="s">
        <v>151</v>
      </c>
      <c r="AQ599" s="38" t="s">
        <v>151</v>
      </c>
      <c r="AR599" s="29" t="s">
        <v>151</v>
      </c>
      <c r="AS599" s="30" t="s">
        <v>12435</v>
      </c>
      <c r="AT599" s="30" t="s">
        <v>12436</v>
      </c>
      <c r="AU599" s="31">
        <v>13</v>
      </c>
      <c r="AV599" s="30" t="s">
        <v>151</v>
      </c>
      <c r="AW599" s="30" t="s">
        <v>151</v>
      </c>
      <c r="AX599" s="30" t="s">
        <v>151</v>
      </c>
      <c r="AY599" s="30" t="s">
        <v>12437</v>
      </c>
      <c r="AZ599" s="30" t="s">
        <v>151</v>
      </c>
      <c r="BA599" s="30" t="s">
        <v>151</v>
      </c>
      <c r="BB599" s="30" t="s">
        <v>151</v>
      </c>
      <c r="BC599" s="30" t="s">
        <v>12438</v>
      </c>
      <c r="BD599" s="30" t="s">
        <v>12439</v>
      </c>
      <c r="BE599" s="30" t="s">
        <v>12440</v>
      </c>
      <c r="BF599" s="30" t="s">
        <v>493</v>
      </c>
      <c r="BG599" s="30" t="s">
        <v>12441</v>
      </c>
      <c r="BH599" s="30" t="s">
        <v>151</v>
      </c>
      <c r="BI599" s="30" t="s">
        <v>12442</v>
      </c>
      <c r="BJ599" s="30" t="s">
        <v>12443</v>
      </c>
      <c r="BK599" s="30" t="s">
        <v>151</v>
      </c>
      <c r="BL599" s="30" t="s">
        <v>12444</v>
      </c>
      <c r="BM599" s="30" t="s">
        <v>184</v>
      </c>
      <c r="BN599" s="29" t="s">
        <v>3553</v>
      </c>
      <c r="BO599" s="30" t="s">
        <v>186</v>
      </c>
      <c r="BP599" s="29" t="s">
        <v>151</v>
      </c>
      <c r="BQ599" s="29" t="s">
        <v>151</v>
      </c>
      <c r="BR599" s="30" t="s">
        <v>12445</v>
      </c>
      <c r="BS599" s="30" t="s">
        <v>187</v>
      </c>
      <c r="BT599" s="30" t="s">
        <v>188</v>
      </c>
      <c r="BU599" s="35">
        <v>44287</v>
      </c>
      <c r="BV599" s="37" t="s">
        <v>151</v>
      </c>
      <c r="BW599" s="30" t="s">
        <v>151</v>
      </c>
      <c r="BX599" s="37" t="s">
        <v>151</v>
      </c>
      <c r="BY599" s="30" t="s">
        <v>151</v>
      </c>
      <c r="BZ599" s="30" t="s">
        <v>1075</v>
      </c>
      <c r="CA599" s="30" t="s">
        <v>1075</v>
      </c>
      <c r="CB599" s="30" t="s">
        <v>151</v>
      </c>
      <c r="CC599" s="30" t="s">
        <v>585</v>
      </c>
      <c r="CD599" s="30" t="s">
        <v>151</v>
      </c>
      <c r="CE599" s="30" t="s">
        <v>191</v>
      </c>
      <c r="CF599" s="35">
        <v>44820</v>
      </c>
      <c r="CG599" s="37">
        <v>0.75</v>
      </c>
      <c r="CH599" s="30" t="s">
        <v>192</v>
      </c>
      <c r="CI599" s="37" t="s">
        <v>151</v>
      </c>
      <c r="CJ599" s="30" t="s">
        <v>151</v>
      </c>
      <c r="CK599" s="29" t="s">
        <v>151</v>
      </c>
      <c r="CL599" s="30" t="s">
        <v>293</v>
      </c>
      <c r="CM599" s="30" t="s">
        <v>293</v>
      </c>
      <c r="CN599" s="30" t="s">
        <v>151</v>
      </c>
      <c r="CO599" s="30" t="s">
        <v>165</v>
      </c>
      <c r="CP599" s="35">
        <v>44820</v>
      </c>
      <c r="CQ599" s="37" t="s">
        <v>151</v>
      </c>
      <c r="CR599" s="30" t="s">
        <v>151</v>
      </c>
      <c r="CS599" s="30" t="s">
        <v>191</v>
      </c>
      <c r="CT599" s="29">
        <v>24</v>
      </c>
      <c r="CU599" s="30" t="s">
        <v>263</v>
      </c>
      <c r="CV599" s="32">
        <v>25</v>
      </c>
      <c r="CW599" s="32">
        <v>75</v>
      </c>
      <c r="CX599" s="30" t="s">
        <v>263</v>
      </c>
      <c r="CY599" s="32">
        <v>1</v>
      </c>
      <c r="CZ599" s="32">
        <v>24</v>
      </c>
      <c r="DA599" s="37" t="s">
        <v>151</v>
      </c>
      <c r="DB599" s="35" t="s">
        <v>151</v>
      </c>
      <c r="DC599" s="30" t="s">
        <v>151</v>
      </c>
      <c r="DD599" s="29" t="s">
        <v>151</v>
      </c>
      <c r="DE599" s="32">
        <v>0</v>
      </c>
      <c r="DF599" s="34">
        <v>11</v>
      </c>
      <c r="DG599" s="32">
        <v>0</v>
      </c>
      <c r="DH599" s="32">
        <v>0</v>
      </c>
      <c r="DI599" s="32">
        <v>0</v>
      </c>
      <c r="DJ599" s="34">
        <v>10</v>
      </c>
      <c r="DK599" s="32" t="s">
        <v>151</v>
      </c>
      <c r="DL599" s="34" t="s">
        <v>151</v>
      </c>
      <c r="DM599" s="32">
        <v>0</v>
      </c>
      <c r="DN599" s="34">
        <v>10</v>
      </c>
      <c r="DO599" s="36">
        <v>1.39</v>
      </c>
      <c r="DP599" s="34">
        <v>58</v>
      </c>
      <c r="DQ599" s="36">
        <v>0</v>
      </c>
      <c r="DR599" s="32">
        <v>0</v>
      </c>
      <c r="DS599" s="36">
        <v>2.47</v>
      </c>
      <c r="DT599" s="34">
        <v>70</v>
      </c>
      <c r="DU599" s="36" t="s">
        <v>151</v>
      </c>
      <c r="DV599" s="34" t="s">
        <v>151</v>
      </c>
      <c r="DW599" s="36">
        <v>2.47</v>
      </c>
      <c r="DX599" s="34">
        <v>70</v>
      </c>
      <c r="DY599" s="31" t="s">
        <v>151</v>
      </c>
      <c r="DZ599" s="35" t="s">
        <v>151</v>
      </c>
      <c r="EA599" s="35" t="s">
        <v>151</v>
      </c>
      <c r="EB599" s="34">
        <v>855</v>
      </c>
      <c r="EC599" s="33">
        <v>86</v>
      </c>
      <c r="ED599" s="32">
        <v>11.18</v>
      </c>
      <c r="EE599" s="34">
        <v>47</v>
      </c>
      <c r="EF599" s="33">
        <v>0</v>
      </c>
      <c r="EG599" s="32">
        <v>0</v>
      </c>
      <c r="EH599" s="29" t="s">
        <v>198</v>
      </c>
      <c r="EI599" s="30" t="s">
        <v>151</v>
      </c>
      <c r="EJ599" s="30" t="s">
        <v>151</v>
      </c>
      <c r="EK599" s="31" t="s">
        <v>151</v>
      </c>
      <c r="EL599" s="31" t="s">
        <v>151</v>
      </c>
      <c r="EM599" s="31" t="s">
        <v>151</v>
      </c>
      <c r="EN599" s="31" t="s">
        <v>151</v>
      </c>
      <c r="EO599" s="31" t="s">
        <v>151</v>
      </c>
      <c r="EP599" s="30" t="s">
        <v>151</v>
      </c>
      <c r="EQ599" s="29" t="s">
        <v>151</v>
      </c>
      <c r="ER599" s="29" t="s">
        <v>151</v>
      </c>
      <c r="ES599" s="4">
        <f>HYPERLINK("https://my.pitchbook.com?c=467107-39","View Company Online")</f>
      </c>
    </row>
    <row r="600">
      <c r="A600" s="17" t="s">
        <v>12446</v>
      </c>
      <c r="B600" s="17" t="s">
        <v>12447</v>
      </c>
      <c r="C600" s="18" t="s">
        <v>151</v>
      </c>
      <c r="D600" s="17" t="s">
        <v>12448</v>
      </c>
      <c r="E600" s="17" t="s">
        <v>151</v>
      </c>
      <c r="F600" s="17" t="s">
        <v>12449</v>
      </c>
      <c r="G600" s="17" t="s">
        <v>151</v>
      </c>
      <c r="H600" s="17" t="s">
        <v>151</v>
      </c>
      <c r="I600" s="17" t="s">
        <v>12450</v>
      </c>
      <c r="J600" s="17" t="s">
        <v>12446</v>
      </c>
      <c r="K600" s="17" t="s">
        <v>12451</v>
      </c>
      <c r="L600" s="17" t="s">
        <v>1178</v>
      </c>
      <c r="M600" s="17" t="s">
        <v>1179</v>
      </c>
      <c r="N600" s="17" t="s">
        <v>1179</v>
      </c>
      <c r="O600" s="17" t="s">
        <v>1180</v>
      </c>
      <c r="P600" s="17" t="s">
        <v>3250</v>
      </c>
      <c r="Q600" s="17" t="s">
        <v>12452</v>
      </c>
      <c r="R600" s="17" t="s">
        <v>151</v>
      </c>
      <c r="S600" s="17" t="s">
        <v>162</v>
      </c>
      <c r="T600" s="24">
        <v>4.15</v>
      </c>
      <c r="U600" s="17" t="s">
        <v>163</v>
      </c>
      <c r="V600" s="17" t="s">
        <v>164</v>
      </c>
      <c r="W600" s="17" t="s">
        <v>165</v>
      </c>
      <c r="X600" s="15" t="s">
        <v>12453</v>
      </c>
      <c r="Y600" s="15" t="s">
        <v>12454</v>
      </c>
      <c r="Z600" s="27">
        <v>11</v>
      </c>
      <c r="AA600" s="17" t="s">
        <v>12455</v>
      </c>
      <c r="AB600" s="17" t="s">
        <v>151</v>
      </c>
      <c r="AC600" s="17" t="s">
        <v>151</v>
      </c>
      <c r="AD600" s="26">
        <v>2021</v>
      </c>
      <c r="AE600" s="17" t="s">
        <v>151</v>
      </c>
      <c r="AF600" s="22">
        <v>45288</v>
      </c>
      <c r="AG600" s="17" t="s">
        <v>151</v>
      </c>
      <c r="AH600" s="17" t="s">
        <v>151</v>
      </c>
      <c r="AI600" s="25" t="s">
        <v>151</v>
      </c>
      <c r="AJ600" s="19" t="s">
        <v>151</v>
      </c>
      <c r="AK600" s="25" t="s">
        <v>151</v>
      </c>
      <c r="AL600" s="25" t="s">
        <v>151</v>
      </c>
      <c r="AM600" s="25" t="s">
        <v>151</v>
      </c>
      <c r="AN600" s="25" t="s">
        <v>151</v>
      </c>
      <c r="AO600" s="25" t="s">
        <v>151</v>
      </c>
      <c r="AP600" s="25" t="s">
        <v>151</v>
      </c>
      <c r="AQ600" s="25" t="s">
        <v>151</v>
      </c>
      <c r="AR600" s="16" t="s">
        <v>151</v>
      </c>
      <c r="AS600" s="17" t="s">
        <v>12456</v>
      </c>
      <c r="AT600" s="17" t="s">
        <v>12457</v>
      </c>
      <c r="AU600" s="18">
        <v>7</v>
      </c>
      <c r="AV600" s="17" t="s">
        <v>151</v>
      </c>
      <c r="AW600" s="17" t="s">
        <v>151</v>
      </c>
      <c r="AX600" s="17" t="s">
        <v>151</v>
      </c>
      <c r="AY600" s="17" t="s">
        <v>12458</v>
      </c>
      <c r="AZ600" s="17" t="s">
        <v>151</v>
      </c>
      <c r="BA600" s="17" t="s">
        <v>151</v>
      </c>
      <c r="BB600" s="17" t="s">
        <v>151</v>
      </c>
      <c r="BC600" s="17" t="s">
        <v>151</v>
      </c>
      <c r="BD600" s="17" t="s">
        <v>12459</v>
      </c>
      <c r="BE600" s="17" t="s">
        <v>12460</v>
      </c>
      <c r="BF600" s="17" t="s">
        <v>931</v>
      </c>
      <c r="BG600" s="17" t="s">
        <v>12461</v>
      </c>
      <c r="BH600" s="17" t="s">
        <v>151</v>
      </c>
      <c r="BI600" s="17" t="s">
        <v>906</v>
      </c>
      <c r="BJ600" s="17" t="s">
        <v>12462</v>
      </c>
      <c r="BK600" s="17" t="s">
        <v>12463</v>
      </c>
      <c r="BL600" s="17" t="s">
        <v>259</v>
      </c>
      <c r="BM600" s="17" t="s">
        <v>259</v>
      </c>
      <c r="BN600" s="16" t="s">
        <v>3738</v>
      </c>
      <c r="BO600" s="17" t="s">
        <v>186</v>
      </c>
      <c r="BP600" s="16" t="s">
        <v>151</v>
      </c>
      <c r="BQ600" s="16" t="s">
        <v>151</v>
      </c>
      <c r="BR600" s="17" t="s">
        <v>151</v>
      </c>
      <c r="BS600" s="17" t="s">
        <v>187</v>
      </c>
      <c r="BT600" s="17" t="s">
        <v>188</v>
      </c>
      <c r="BU600" s="22">
        <v>44562</v>
      </c>
      <c r="BV600" s="24">
        <v>0.04</v>
      </c>
      <c r="BW600" s="17" t="s">
        <v>192</v>
      </c>
      <c r="BX600" s="24" t="s">
        <v>151</v>
      </c>
      <c r="BY600" s="17" t="s">
        <v>151</v>
      </c>
      <c r="BZ600" s="17" t="s">
        <v>501</v>
      </c>
      <c r="CA600" s="17" t="s">
        <v>151</v>
      </c>
      <c r="CB600" s="17" t="s">
        <v>151</v>
      </c>
      <c r="CC600" s="17" t="s">
        <v>190</v>
      </c>
      <c r="CD600" s="17" t="s">
        <v>151</v>
      </c>
      <c r="CE600" s="17" t="s">
        <v>191</v>
      </c>
      <c r="CF600" s="22">
        <v>44663</v>
      </c>
      <c r="CG600" s="24">
        <v>4.15</v>
      </c>
      <c r="CH600" s="17" t="s">
        <v>192</v>
      </c>
      <c r="CI600" s="24" t="s">
        <v>151</v>
      </c>
      <c r="CJ600" s="17" t="s">
        <v>151</v>
      </c>
      <c r="CK600" s="16" t="s">
        <v>151</v>
      </c>
      <c r="CL600" s="17" t="s">
        <v>293</v>
      </c>
      <c r="CM600" s="17" t="s">
        <v>293</v>
      </c>
      <c r="CN600" s="17" t="s">
        <v>151</v>
      </c>
      <c r="CO600" s="17" t="s">
        <v>165</v>
      </c>
      <c r="CP600" s="22">
        <v>44663</v>
      </c>
      <c r="CQ600" s="24" t="s">
        <v>151</v>
      </c>
      <c r="CR600" s="17" t="s">
        <v>151</v>
      </c>
      <c r="CS600" s="17" t="s">
        <v>191</v>
      </c>
      <c r="CT600" s="16" t="s">
        <v>151</v>
      </c>
      <c r="CU600" s="17" t="s">
        <v>151</v>
      </c>
      <c r="CV600" s="19" t="s">
        <v>151</v>
      </c>
      <c r="CW600" s="19" t="s">
        <v>151</v>
      </c>
      <c r="CX600" s="17" t="s">
        <v>151</v>
      </c>
      <c r="CY600" s="19" t="s">
        <v>151</v>
      </c>
      <c r="CZ600" s="19" t="s">
        <v>151</v>
      </c>
      <c r="DA600" s="24" t="s">
        <v>151</v>
      </c>
      <c r="DB600" s="22" t="s">
        <v>151</v>
      </c>
      <c r="DC600" s="17" t="s">
        <v>151</v>
      </c>
      <c r="DD600" s="16" t="s">
        <v>151</v>
      </c>
      <c r="DE600" s="19">
        <v>0</v>
      </c>
      <c r="DF600" s="21">
        <v>11</v>
      </c>
      <c r="DG600" s="19">
        <v>0</v>
      </c>
      <c r="DH600" s="19">
        <v>0</v>
      </c>
      <c r="DI600" s="19">
        <v>0</v>
      </c>
      <c r="DJ600" s="21">
        <v>10</v>
      </c>
      <c r="DK600" s="19" t="s">
        <v>151</v>
      </c>
      <c r="DL600" s="21" t="s">
        <v>151</v>
      </c>
      <c r="DM600" s="19">
        <v>0</v>
      </c>
      <c r="DN600" s="21">
        <v>10</v>
      </c>
      <c r="DO600" s="23">
        <v>0.95</v>
      </c>
      <c r="DP600" s="21">
        <v>48</v>
      </c>
      <c r="DQ600" s="23">
        <v>0</v>
      </c>
      <c r="DR600" s="19">
        <v>0</v>
      </c>
      <c r="DS600" s="23">
        <v>0.95</v>
      </c>
      <c r="DT600" s="21">
        <v>49</v>
      </c>
      <c r="DU600" s="23" t="s">
        <v>151</v>
      </c>
      <c r="DV600" s="21" t="s">
        <v>151</v>
      </c>
      <c r="DW600" s="23">
        <v>0.95</v>
      </c>
      <c r="DX600" s="21">
        <v>48</v>
      </c>
      <c r="DY600" s="18" t="s">
        <v>151</v>
      </c>
      <c r="DZ600" s="22" t="s">
        <v>151</v>
      </c>
      <c r="EA600" s="22" t="s">
        <v>151</v>
      </c>
      <c r="EB600" s="21">
        <v>602</v>
      </c>
      <c r="EC600" s="20">
        <v>98</v>
      </c>
      <c r="ED600" s="19">
        <v>19.44</v>
      </c>
      <c r="EE600" s="21">
        <v>18</v>
      </c>
      <c r="EF600" s="20">
        <v>1</v>
      </c>
      <c r="EG600" s="19">
        <v>5.88</v>
      </c>
      <c r="EH600" s="16" t="s">
        <v>198</v>
      </c>
      <c r="EI600" s="17" t="s">
        <v>151</v>
      </c>
      <c r="EJ600" s="17" t="s">
        <v>151</v>
      </c>
      <c r="EK600" s="18" t="s">
        <v>151</v>
      </c>
      <c r="EL600" s="18" t="s">
        <v>151</v>
      </c>
      <c r="EM600" s="18" t="s">
        <v>151</v>
      </c>
      <c r="EN600" s="18" t="s">
        <v>151</v>
      </c>
      <c r="EO600" s="18" t="s">
        <v>151</v>
      </c>
      <c r="EP600" s="17" t="s">
        <v>151</v>
      </c>
      <c r="EQ600" s="16" t="s">
        <v>151</v>
      </c>
      <c r="ER600" s="16" t="s">
        <v>151</v>
      </c>
      <c r="ES600" s="3">
        <f>HYPERLINK("https://my.pitchbook.com?c=491148-28","View Company Online")</f>
      </c>
    </row>
    <row r="601">
      <c r="A601" s="30" t="s">
        <v>12464</v>
      </c>
      <c r="B601" s="30" t="s">
        <v>12465</v>
      </c>
      <c r="C601" s="31" t="s">
        <v>151</v>
      </c>
      <c r="D601" s="30" t="s">
        <v>151</v>
      </c>
      <c r="E601" s="30" t="s">
        <v>151</v>
      </c>
      <c r="F601" s="30" t="s">
        <v>12466</v>
      </c>
      <c r="G601" s="30" t="s">
        <v>151</v>
      </c>
      <c r="H601" s="30" t="s">
        <v>151</v>
      </c>
      <c r="I601" s="30" t="s">
        <v>151</v>
      </c>
      <c r="J601" s="30" t="s">
        <v>12464</v>
      </c>
      <c r="K601" s="30" t="s">
        <v>12467</v>
      </c>
      <c r="L601" s="30" t="s">
        <v>155</v>
      </c>
      <c r="M601" s="30" t="s">
        <v>2320</v>
      </c>
      <c r="N601" s="30" t="s">
        <v>6367</v>
      </c>
      <c r="O601" s="30" t="s">
        <v>12468</v>
      </c>
      <c r="P601" s="30" t="s">
        <v>209</v>
      </c>
      <c r="Q601" s="30" t="s">
        <v>12469</v>
      </c>
      <c r="R601" s="30" t="s">
        <v>211</v>
      </c>
      <c r="S601" s="30" t="s">
        <v>162</v>
      </c>
      <c r="T601" s="37">
        <v>6</v>
      </c>
      <c r="U601" s="30" t="s">
        <v>163</v>
      </c>
      <c r="V601" s="30" t="s">
        <v>164</v>
      </c>
      <c r="W601" s="30" t="s">
        <v>165</v>
      </c>
      <c r="X601" s="28" t="s">
        <v>12470</v>
      </c>
      <c r="Y601" s="28" t="s">
        <v>12471</v>
      </c>
      <c r="Z601" s="40">
        <v>14</v>
      </c>
      <c r="AA601" s="30" t="s">
        <v>12472</v>
      </c>
      <c r="AB601" s="30" t="s">
        <v>151</v>
      </c>
      <c r="AC601" s="30" t="s">
        <v>151</v>
      </c>
      <c r="AD601" s="39">
        <v>2021</v>
      </c>
      <c r="AE601" s="30" t="s">
        <v>151</v>
      </c>
      <c r="AF601" s="35">
        <v>45453</v>
      </c>
      <c r="AG601" s="30" t="s">
        <v>151</v>
      </c>
      <c r="AH601" s="30" t="s">
        <v>151</v>
      </c>
      <c r="AI601" s="38" t="s">
        <v>151</v>
      </c>
      <c r="AJ601" s="32" t="s">
        <v>151</v>
      </c>
      <c r="AK601" s="38" t="s">
        <v>151</v>
      </c>
      <c r="AL601" s="38" t="s">
        <v>151</v>
      </c>
      <c r="AM601" s="38" t="s">
        <v>151</v>
      </c>
      <c r="AN601" s="38" t="s">
        <v>151</v>
      </c>
      <c r="AO601" s="38" t="s">
        <v>151</v>
      </c>
      <c r="AP601" s="38" t="s">
        <v>151</v>
      </c>
      <c r="AQ601" s="38" t="s">
        <v>151</v>
      </c>
      <c r="AR601" s="29" t="s">
        <v>151</v>
      </c>
      <c r="AS601" s="30" t="s">
        <v>12473</v>
      </c>
      <c r="AT601" s="30" t="s">
        <v>12474</v>
      </c>
      <c r="AU601" s="31">
        <v>16</v>
      </c>
      <c r="AV601" s="30" t="s">
        <v>151</v>
      </c>
      <c r="AW601" s="30" t="s">
        <v>151</v>
      </c>
      <c r="AX601" s="30" t="s">
        <v>151</v>
      </c>
      <c r="AY601" s="30" t="s">
        <v>12475</v>
      </c>
      <c r="AZ601" s="30" t="s">
        <v>151</v>
      </c>
      <c r="BA601" s="30" t="s">
        <v>151</v>
      </c>
      <c r="BB601" s="30" t="s">
        <v>151</v>
      </c>
      <c r="BC601" s="30" t="s">
        <v>151</v>
      </c>
      <c r="BD601" s="30" t="s">
        <v>12476</v>
      </c>
      <c r="BE601" s="30" t="s">
        <v>12477</v>
      </c>
      <c r="BF601" s="30" t="s">
        <v>12478</v>
      </c>
      <c r="BG601" s="30" t="s">
        <v>12479</v>
      </c>
      <c r="BH601" s="30" t="s">
        <v>12480</v>
      </c>
      <c r="BI601" s="30" t="s">
        <v>12481</v>
      </c>
      <c r="BJ601" s="30" t="s">
        <v>12482</v>
      </c>
      <c r="BK601" s="30" t="s">
        <v>151</v>
      </c>
      <c r="BL601" s="30" t="s">
        <v>12483</v>
      </c>
      <c r="BM601" s="30" t="s">
        <v>184</v>
      </c>
      <c r="BN601" s="29" t="s">
        <v>12484</v>
      </c>
      <c r="BO601" s="30" t="s">
        <v>186</v>
      </c>
      <c r="BP601" s="29" t="s">
        <v>12480</v>
      </c>
      <c r="BQ601" s="29" t="s">
        <v>151</v>
      </c>
      <c r="BR601" s="30" t="s">
        <v>151</v>
      </c>
      <c r="BS601" s="30" t="s">
        <v>187</v>
      </c>
      <c r="BT601" s="30" t="s">
        <v>188</v>
      </c>
      <c r="BU601" s="35">
        <v>44676</v>
      </c>
      <c r="BV601" s="37">
        <v>6</v>
      </c>
      <c r="BW601" s="30" t="s">
        <v>192</v>
      </c>
      <c r="BX601" s="37">
        <v>23</v>
      </c>
      <c r="BY601" s="30" t="s">
        <v>192</v>
      </c>
      <c r="BZ601" s="30" t="s">
        <v>293</v>
      </c>
      <c r="CA601" s="30" t="s">
        <v>293</v>
      </c>
      <c r="CB601" s="30" t="s">
        <v>151</v>
      </c>
      <c r="CC601" s="30" t="s">
        <v>165</v>
      </c>
      <c r="CD601" s="30" t="s">
        <v>151</v>
      </c>
      <c r="CE601" s="30" t="s">
        <v>191</v>
      </c>
      <c r="CF601" s="35">
        <v>44676</v>
      </c>
      <c r="CG601" s="37">
        <v>6</v>
      </c>
      <c r="CH601" s="30" t="s">
        <v>192</v>
      </c>
      <c r="CI601" s="37">
        <v>23</v>
      </c>
      <c r="CJ601" s="30" t="s">
        <v>192</v>
      </c>
      <c r="CK601" s="29" t="s">
        <v>151</v>
      </c>
      <c r="CL601" s="30" t="s">
        <v>293</v>
      </c>
      <c r="CM601" s="30" t="s">
        <v>293</v>
      </c>
      <c r="CN601" s="30" t="s">
        <v>151</v>
      </c>
      <c r="CO601" s="30" t="s">
        <v>165</v>
      </c>
      <c r="CP601" s="35">
        <v>44676</v>
      </c>
      <c r="CQ601" s="37" t="s">
        <v>151</v>
      </c>
      <c r="CR601" s="30" t="s">
        <v>151</v>
      </c>
      <c r="CS601" s="30" t="s">
        <v>191</v>
      </c>
      <c r="CT601" s="29" t="s">
        <v>151</v>
      </c>
      <c r="CU601" s="30" t="s">
        <v>151</v>
      </c>
      <c r="CV601" s="32" t="s">
        <v>151</v>
      </c>
      <c r="CW601" s="32" t="s">
        <v>151</v>
      </c>
      <c r="CX601" s="30" t="s">
        <v>151</v>
      </c>
      <c r="CY601" s="32" t="s">
        <v>151</v>
      </c>
      <c r="CZ601" s="32" t="s">
        <v>151</v>
      </c>
      <c r="DA601" s="37">
        <v>23</v>
      </c>
      <c r="DB601" s="35">
        <v>44676</v>
      </c>
      <c r="DC601" s="30" t="s">
        <v>293</v>
      </c>
      <c r="DD601" s="29" t="s">
        <v>151</v>
      </c>
      <c r="DE601" s="32">
        <v>0.48</v>
      </c>
      <c r="DF601" s="34">
        <v>94</v>
      </c>
      <c r="DG601" s="32">
        <v>0</v>
      </c>
      <c r="DH601" s="32">
        <v>0</v>
      </c>
      <c r="DI601" s="32">
        <v>0</v>
      </c>
      <c r="DJ601" s="34">
        <v>10</v>
      </c>
      <c r="DK601" s="32" t="s">
        <v>151</v>
      </c>
      <c r="DL601" s="34" t="s">
        <v>151</v>
      </c>
      <c r="DM601" s="32">
        <v>0</v>
      </c>
      <c r="DN601" s="34">
        <v>10</v>
      </c>
      <c r="DO601" s="36">
        <v>1.25</v>
      </c>
      <c r="DP601" s="34">
        <v>55</v>
      </c>
      <c r="DQ601" s="36">
        <v>0</v>
      </c>
      <c r="DR601" s="32">
        <v>0</v>
      </c>
      <c r="DS601" s="36">
        <v>1.42</v>
      </c>
      <c r="DT601" s="34">
        <v>58</v>
      </c>
      <c r="DU601" s="36" t="s">
        <v>151</v>
      </c>
      <c r="DV601" s="34" t="s">
        <v>151</v>
      </c>
      <c r="DW601" s="36">
        <v>1.42</v>
      </c>
      <c r="DX601" s="34">
        <v>57</v>
      </c>
      <c r="DY601" s="31" t="s">
        <v>151</v>
      </c>
      <c r="DZ601" s="35" t="s">
        <v>151</v>
      </c>
      <c r="EA601" s="35" t="s">
        <v>151</v>
      </c>
      <c r="EB601" s="34">
        <v>1546</v>
      </c>
      <c r="EC601" s="33">
        <v>107</v>
      </c>
      <c r="ED601" s="32">
        <v>7.44</v>
      </c>
      <c r="EE601" s="34">
        <v>27</v>
      </c>
      <c r="EF601" s="33">
        <v>0</v>
      </c>
      <c r="EG601" s="32">
        <v>0</v>
      </c>
      <c r="EH601" s="29" t="s">
        <v>198</v>
      </c>
      <c r="EI601" s="30" t="s">
        <v>151</v>
      </c>
      <c r="EJ601" s="30" t="s">
        <v>151</v>
      </c>
      <c r="EK601" s="31" t="s">
        <v>151</v>
      </c>
      <c r="EL601" s="31" t="s">
        <v>151</v>
      </c>
      <c r="EM601" s="31" t="s">
        <v>151</v>
      </c>
      <c r="EN601" s="31" t="s">
        <v>151</v>
      </c>
      <c r="EO601" s="31" t="s">
        <v>151</v>
      </c>
      <c r="EP601" s="30" t="s">
        <v>151</v>
      </c>
      <c r="EQ601" s="29" t="s">
        <v>151</v>
      </c>
      <c r="ER601" s="29" t="s">
        <v>151</v>
      </c>
      <c r="ES601" s="4">
        <f>HYPERLINK("https://my.pitchbook.com?c=495741-34","View Company Online")</f>
      </c>
    </row>
    <row r="602">
      <c r="A602" s="17" t="s">
        <v>12485</v>
      </c>
      <c r="B602" s="17" t="s">
        <v>12486</v>
      </c>
      <c r="C602" s="18" t="s">
        <v>151</v>
      </c>
      <c r="D602" s="17" t="s">
        <v>151</v>
      </c>
      <c r="E602" s="17" t="s">
        <v>151</v>
      </c>
      <c r="F602" s="17" t="s">
        <v>12487</v>
      </c>
      <c r="G602" s="17" t="s">
        <v>151</v>
      </c>
      <c r="H602" s="17" t="s">
        <v>151</v>
      </c>
      <c r="I602" s="17" t="s">
        <v>151</v>
      </c>
      <c r="J602" s="17" t="s">
        <v>12485</v>
      </c>
      <c r="K602" s="17" t="s">
        <v>12488</v>
      </c>
      <c r="L602" s="17" t="s">
        <v>205</v>
      </c>
      <c r="M602" s="17" t="s">
        <v>206</v>
      </c>
      <c r="N602" s="17" t="s">
        <v>269</v>
      </c>
      <c r="O602" s="17" t="s">
        <v>563</v>
      </c>
      <c r="P602" s="17" t="s">
        <v>919</v>
      </c>
      <c r="Q602" s="17" t="s">
        <v>12489</v>
      </c>
      <c r="R602" s="17" t="s">
        <v>151</v>
      </c>
      <c r="S602" s="17" t="s">
        <v>162</v>
      </c>
      <c r="T602" s="24">
        <v>4.53</v>
      </c>
      <c r="U602" s="17" t="s">
        <v>163</v>
      </c>
      <c r="V602" s="17" t="s">
        <v>164</v>
      </c>
      <c r="W602" s="17" t="s">
        <v>165</v>
      </c>
      <c r="X602" s="15" t="s">
        <v>12490</v>
      </c>
      <c r="Y602" s="15" t="s">
        <v>12491</v>
      </c>
      <c r="Z602" s="27">
        <v>7</v>
      </c>
      <c r="AA602" s="17" t="s">
        <v>12492</v>
      </c>
      <c r="AB602" s="17" t="s">
        <v>151</v>
      </c>
      <c r="AC602" s="17" t="s">
        <v>151</v>
      </c>
      <c r="AD602" s="26">
        <v>2020</v>
      </c>
      <c r="AE602" s="17" t="s">
        <v>151</v>
      </c>
      <c r="AF602" s="22">
        <v>45530</v>
      </c>
      <c r="AG602" s="17" t="s">
        <v>151</v>
      </c>
      <c r="AH602" s="17" t="s">
        <v>151</v>
      </c>
      <c r="AI602" s="25" t="s">
        <v>151</v>
      </c>
      <c r="AJ602" s="19" t="s">
        <v>151</v>
      </c>
      <c r="AK602" s="25" t="s">
        <v>151</v>
      </c>
      <c r="AL602" s="25" t="s">
        <v>151</v>
      </c>
      <c r="AM602" s="25" t="s">
        <v>151</v>
      </c>
      <c r="AN602" s="25" t="s">
        <v>151</v>
      </c>
      <c r="AO602" s="25" t="s">
        <v>151</v>
      </c>
      <c r="AP602" s="25" t="s">
        <v>151</v>
      </c>
      <c r="AQ602" s="25" t="s">
        <v>151</v>
      </c>
      <c r="AR602" s="16" t="s">
        <v>151</v>
      </c>
      <c r="AS602" s="17" t="s">
        <v>12493</v>
      </c>
      <c r="AT602" s="17" t="s">
        <v>12494</v>
      </c>
      <c r="AU602" s="18">
        <v>9</v>
      </c>
      <c r="AV602" s="17" t="s">
        <v>151</v>
      </c>
      <c r="AW602" s="17" t="s">
        <v>151</v>
      </c>
      <c r="AX602" s="17" t="s">
        <v>151</v>
      </c>
      <c r="AY602" s="17" t="s">
        <v>12495</v>
      </c>
      <c r="AZ602" s="17" t="s">
        <v>151</v>
      </c>
      <c r="BA602" s="17" t="s">
        <v>151</v>
      </c>
      <c r="BB602" s="17" t="s">
        <v>151</v>
      </c>
      <c r="BC602" s="17" t="s">
        <v>151</v>
      </c>
      <c r="BD602" s="17" t="s">
        <v>12496</v>
      </c>
      <c r="BE602" s="17" t="s">
        <v>12497</v>
      </c>
      <c r="BF602" s="17" t="s">
        <v>221</v>
      </c>
      <c r="BG602" s="17" t="s">
        <v>12498</v>
      </c>
      <c r="BH602" s="17" t="s">
        <v>151</v>
      </c>
      <c r="BI602" s="17" t="s">
        <v>764</v>
      </c>
      <c r="BJ602" s="17" t="s">
        <v>3969</v>
      </c>
      <c r="BK602" s="17" t="s">
        <v>12499</v>
      </c>
      <c r="BL602" s="17" t="s">
        <v>767</v>
      </c>
      <c r="BM602" s="17" t="s">
        <v>184</v>
      </c>
      <c r="BN602" s="16" t="s">
        <v>794</v>
      </c>
      <c r="BO602" s="17" t="s">
        <v>186</v>
      </c>
      <c r="BP602" s="16" t="s">
        <v>151</v>
      </c>
      <c r="BQ602" s="16" t="s">
        <v>151</v>
      </c>
      <c r="BR602" s="17" t="s">
        <v>12500</v>
      </c>
      <c r="BS602" s="17" t="s">
        <v>187</v>
      </c>
      <c r="BT602" s="17" t="s">
        <v>188</v>
      </c>
      <c r="BU602" s="22">
        <v>44279</v>
      </c>
      <c r="BV602" s="24">
        <v>0.13</v>
      </c>
      <c r="BW602" s="17" t="s">
        <v>192</v>
      </c>
      <c r="BX602" s="24">
        <v>1.79</v>
      </c>
      <c r="BY602" s="17" t="s">
        <v>192</v>
      </c>
      <c r="BZ602" s="17" t="s">
        <v>189</v>
      </c>
      <c r="CA602" s="17" t="s">
        <v>151</v>
      </c>
      <c r="CB602" s="17" t="s">
        <v>151</v>
      </c>
      <c r="CC602" s="17" t="s">
        <v>190</v>
      </c>
      <c r="CD602" s="17" t="s">
        <v>151</v>
      </c>
      <c r="CE602" s="17" t="s">
        <v>191</v>
      </c>
      <c r="CF602" s="22">
        <v>44500</v>
      </c>
      <c r="CG602" s="24">
        <v>2.5</v>
      </c>
      <c r="CH602" s="17" t="s">
        <v>192</v>
      </c>
      <c r="CI602" s="24" t="s">
        <v>151</v>
      </c>
      <c r="CJ602" s="17" t="s">
        <v>151</v>
      </c>
      <c r="CK602" s="16" t="s">
        <v>151</v>
      </c>
      <c r="CL602" s="17" t="s">
        <v>293</v>
      </c>
      <c r="CM602" s="17" t="s">
        <v>293</v>
      </c>
      <c r="CN602" s="17" t="s">
        <v>151</v>
      </c>
      <c r="CO602" s="17" t="s">
        <v>165</v>
      </c>
      <c r="CP602" s="22">
        <v>44500</v>
      </c>
      <c r="CQ602" s="24" t="s">
        <v>151</v>
      </c>
      <c r="CR602" s="17" t="s">
        <v>151</v>
      </c>
      <c r="CS602" s="17" t="s">
        <v>191</v>
      </c>
      <c r="CT602" s="16">
        <v>35</v>
      </c>
      <c r="CU602" s="17" t="s">
        <v>263</v>
      </c>
      <c r="CV602" s="19">
        <v>35</v>
      </c>
      <c r="CW602" s="19">
        <v>65</v>
      </c>
      <c r="CX602" s="17" t="s">
        <v>263</v>
      </c>
      <c r="CY602" s="19">
        <v>1</v>
      </c>
      <c r="CZ602" s="19">
        <v>34</v>
      </c>
      <c r="DA602" s="24">
        <v>1.79</v>
      </c>
      <c r="DB602" s="22">
        <v>44279</v>
      </c>
      <c r="DC602" s="17" t="s">
        <v>189</v>
      </c>
      <c r="DD602" s="16" t="s">
        <v>151</v>
      </c>
      <c r="DE602" s="19">
        <v>0.92</v>
      </c>
      <c r="DF602" s="21">
        <v>96</v>
      </c>
      <c r="DG602" s="19">
        <v>0</v>
      </c>
      <c r="DH602" s="19">
        <v>0</v>
      </c>
      <c r="DI602" s="19">
        <v>0.92</v>
      </c>
      <c r="DJ602" s="21">
        <v>96</v>
      </c>
      <c r="DK602" s="19" t="s">
        <v>151</v>
      </c>
      <c r="DL602" s="21" t="s">
        <v>151</v>
      </c>
      <c r="DM602" s="19">
        <v>0.92</v>
      </c>
      <c r="DN602" s="21">
        <v>96</v>
      </c>
      <c r="DO602" s="23">
        <v>24.53</v>
      </c>
      <c r="DP602" s="21">
        <v>96</v>
      </c>
      <c r="DQ602" s="23">
        <v>0</v>
      </c>
      <c r="DR602" s="19">
        <v>0</v>
      </c>
      <c r="DS602" s="23">
        <v>24.53</v>
      </c>
      <c r="DT602" s="21">
        <v>96</v>
      </c>
      <c r="DU602" s="23" t="s">
        <v>151</v>
      </c>
      <c r="DV602" s="21" t="s">
        <v>151</v>
      </c>
      <c r="DW602" s="23">
        <v>24.53</v>
      </c>
      <c r="DX602" s="21">
        <v>96</v>
      </c>
      <c r="DY602" s="18" t="s">
        <v>151</v>
      </c>
      <c r="DZ602" s="22" t="s">
        <v>151</v>
      </c>
      <c r="EA602" s="22" t="s">
        <v>151</v>
      </c>
      <c r="EB602" s="21">
        <v>9648</v>
      </c>
      <c r="EC602" s="20">
        <v>-413</v>
      </c>
      <c r="ED602" s="19">
        <v>-4.1</v>
      </c>
      <c r="EE602" s="21">
        <v>466</v>
      </c>
      <c r="EF602" s="20">
        <v>2</v>
      </c>
      <c r="EG602" s="19">
        <v>0.43</v>
      </c>
      <c r="EH602" s="16" t="s">
        <v>198</v>
      </c>
      <c r="EI602" s="17" t="s">
        <v>151</v>
      </c>
      <c r="EJ602" s="17" t="s">
        <v>151</v>
      </c>
      <c r="EK602" s="18" t="s">
        <v>151</v>
      </c>
      <c r="EL602" s="18" t="s">
        <v>151</v>
      </c>
      <c r="EM602" s="18" t="s">
        <v>151</v>
      </c>
      <c r="EN602" s="18" t="s">
        <v>151</v>
      </c>
      <c r="EO602" s="18" t="s">
        <v>151</v>
      </c>
      <c r="EP602" s="17" t="s">
        <v>151</v>
      </c>
      <c r="EQ602" s="16" t="s">
        <v>151</v>
      </c>
      <c r="ER602" s="16" t="s">
        <v>151</v>
      </c>
      <c r="ES602" s="3">
        <f>HYPERLINK("https://my.pitchbook.com?c=459013-51","View Company Online")</f>
      </c>
    </row>
    <row r="603">
      <c r="A603" s="30" t="s">
        <v>12501</v>
      </c>
      <c r="B603" s="30" t="s">
        <v>12502</v>
      </c>
      <c r="C603" s="31" t="s">
        <v>151</v>
      </c>
      <c r="D603" s="30" t="s">
        <v>151</v>
      </c>
      <c r="E603" s="30" t="s">
        <v>151</v>
      </c>
      <c r="F603" s="30" t="s">
        <v>12503</v>
      </c>
      <c r="G603" s="30" t="s">
        <v>151</v>
      </c>
      <c r="H603" s="30" t="s">
        <v>151</v>
      </c>
      <c r="I603" s="30" t="s">
        <v>151</v>
      </c>
      <c r="J603" s="30" t="s">
        <v>12501</v>
      </c>
      <c r="K603" s="30" t="s">
        <v>12504</v>
      </c>
      <c r="L603" s="30" t="s">
        <v>616</v>
      </c>
      <c r="M603" s="30" t="s">
        <v>12505</v>
      </c>
      <c r="N603" s="30" t="s">
        <v>12506</v>
      </c>
      <c r="O603" s="30" t="s">
        <v>12507</v>
      </c>
      <c r="P603" s="30" t="s">
        <v>748</v>
      </c>
      <c r="Q603" s="30" t="s">
        <v>12508</v>
      </c>
      <c r="R603" s="30" t="s">
        <v>12509</v>
      </c>
      <c r="S603" s="30" t="s">
        <v>162</v>
      </c>
      <c r="T603" s="37">
        <v>14.33</v>
      </c>
      <c r="U603" s="30" t="s">
        <v>163</v>
      </c>
      <c r="V603" s="30" t="s">
        <v>164</v>
      </c>
      <c r="W603" s="30" t="s">
        <v>165</v>
      </c>
      <c r="X603" s="28" t="s">
        <v>12510</v>
      </c>
      <c r="Y603" s="28" t="s">
        <v>12511</v>
      </c>
      <c r="Z603" s="40">
        <v>20</v>
      </c>
      <c r="AA603" s="30" t="s">
        <v>12512</v>
      </c>
      <c r="AB603" s="30" t="s">
        <v>151</v>
      </c>
      <c r="AC603" s="30" t="s">
        <v>151</v>
      </c>
      <c r="AD603" s="39">
        <v>2018</v>
      </c>
      <c r="AE603" s="30" t="s">
        <v>151</v>
      </c>
      <c r="AF603" s="35">
        <v>45538</v>
      </c>
      <c r="AG603" s="30" t="s">
        <v>151</v>
      </c>
      <c r="AH603" s="30" t="s">
        <v>151</v>
      </c>
      <c r="AI603" s="38" t="s">
        <v>151</v>
      </c>
      <c r="AJ603" s="32" t="s">
        <v>151</v>
      </c>
      <c r="AK603" s="38" t="s">
        <v>151</v>
      </c>
      <c r="AL603" s="38" t="s">
        <v>151</v>
      </c>
      <c r="AM603" s="38" t="s">
        <v>151</v>
      </c>
      <c r="AN603" s="38" t="s">
        <v>151</v>
      </c>
      <c r="AO603" s="38" t="s">
        <v>151</v>
      </c>
      <c r="AP603" s="38" t="s">
        <v>151</v>
      </c>
      <c r="AQ603" s="38" t="s">
        <v>151</v>
      </c>
      <c r="AR603" s="29" t="s">
        <v>151</v>
      </c>
      <c r="AS603" s="30" t="s">
        <v>12513</v>
      </c>
      <c r="AT603" s="30" t="s">
        <v>12514</v>
      </c>
      <c r="AU603" s="31">
        <v>6</v>
      </c>
      <c r="AV603" s="30" t="s">
        <v>151</v>
      </c>
      <c r="AW603" s="30" t="s">
        <v>151</v>
      </c>
      <c r="AX603" s="30" t="s">
        <v>151</v>
      </c>
      <c r="AY603" s="30" t="s">
        <v>12515</v>
      </c>
      <c r="AZ603" s="30" t="s">
        <v>151</v>
      </c>
      <c r="BA603" s="30" t="s">
        <v>151</v>
      </c>
      <c r="BB603" s="30" t="s">
        <v>151</v>
      </c>
      <c r="BC603" s="30" t="s">
        <v>151</v>
      </c>
      <c r="BD603" s="30" t="s">
        <v>12516</v>
      </c>
      <c r="BE603" s="30" t="s">
        <v>12517</v>
      </c>
      <c r="BF603" s="30" t="s">
        <v>12518</v>
      </c>
      <c r="BG603" s="30" t="s">
        <v>12519</v>
      </c>
      <c r="BH603" s="30" t="s">
        <v>12520</v>
      </c>
      <c r="BI603" s="30" t="s">
        <v>12521</v>
      </c>
      <c r="BJ603" s="30" t="s">
        <v>12522</v>
      </c>
      <c r="BK603" s="30" t="s">
        <v>151</v>
      </c>
      <c r="BL603" s="30" t="s">
        <v>12523</v>
      </c>
      <c r="BM603" s="30" t="s">
        <v>1576</v>
      </c>
      <c r="BN603" s="29" t="s">
        <v>12524</v>
      </c>
      <c r="BO603" s="30" t="s">
        <v>186</v>
      </c>
      <c r="BP603" s="29" t="s">
        <v>12525</v>
      </c>
      <c r="BQ603" s="29" t="s">
        <v>151</v>
      </c>
      <c r="BR603" s="30" t="s">
        <v>12526</v>
      </c>
      <c r="BS603" s="30" t="s">
        <v>187</v>
      </c>
      <c r="BT603" s="30" t="s">
        <v>188</v>
      </c>
      <c r="BU603" s="35">
        <v>45331</v>
      </c>
      <c r="BV603" s="37">
        <v>14.33</v>
      </c>
      <c r="BW603" s="30" t="s">
        <v>192</v>
      </c>
      <c r="BX603" s="37">
        <v>31.76</v>
      </c>
      <c r="BY603" s="30" t="s">
        <v>192</v>
      </c>
      <c r="BZ603" s="30" t="s">
        <v>231</v>
      </c>
      <c r="CA603" s="30" t="s">
        <v>151</v>
      </c>
      <c r="CB603" s="30" t="s">
        <v>151</v>
      </c>
      <c r="CC603" s="30" t="s">
        <v>165</v>
      </c>
      <c r="CD603" s="30" t="s">
        <v>151</v>
      </c>
      <c r="CE603" s="30" t="s">
        <v>191</v>
      </c>
      <c r="CF603" s="35" t="s">
        <v>151</v>
      </c>
      <c r="CG603" s="37" t="s">
        <v>151</v>
      </c>
      <c r="CH603" s="30" t="s">
        <v>151</v>
      </c>
      <c r="CI603" s="37" t="s">
        <v>151</v>
      </c>
      <c r="CJ603" s="30" t="s">
        <v>151</v>
      </c>
      <c r="CK603" s="29" t="s">
        <v>151</v>
      </c>
      <c r="CL603" s="30" t="s">
        <v>189</v>
      </c>
      <c r="CM603" s="30" t="s">
        <v>151</v>
      </c>
      <c r="CN603" s="30" t="s">
        <v>151</v>
      </c>
      <c r="CO603" s="30" t="s">
        <v>190</v>
      </c>
      <c r="CP603" s="35" t="s">
        <v>151</v>
      </c>
      <c r="CQ603" s="37" t="s">
        <v>151</v>
      </c>
      <c r="CR603" s="30" t="s">
        <v>151</v>
      </c>
      <c r="CS603" s="30" t="s">
        <v>191</v>
      </c>
      <c r="CT603" s="29" t="s">
        <v>151</v>
      </c>
      <c r="CU603" s="30" t="s">
        <v>151</v>
      </c>
      <c r="CV603" s="32" t="s">
        <v>151</v>
      </c>
      <c r="CW603" s="32" t="s">
        <v>151</v>
      </c>
      <c r="CX603" s="30" t="s">
        <v>151</v>
      </c>
      <c r="CY603" s="32" t="s">
        <v>151</v>
      </c>
      <c r="CZ603" s="32" t="s">
        <v>151</v>
      </c>
      <c r="DA603" s="37">
        <v>31.76</v>
      </c>
      <c r="DB603" s="35">
        <v>45331</v>
      </c>
      <c r="DC603" s="30" t="s">
        <v>231</v>
      </c>
      <c r="DD603" s="29" t="s">
        <v>151</v>
      </c>
      <c r="DE603" s="32">
        <v>0</v>
      </c>
      <c r="DF603" s="34">
        <v>11</v>
      </c>
      <c r="DG603" s="32">
        <v>0</v>
      </c>
      <c r="DH603" s="32">
        <v>0</v>
      </c>
      <c r="DI603" s="32" t="s">
        <v>151</v>
      </c>
      <c r="DJ603" s="34" t="s">
        <v>151</v>
      </c>
      <c r="DK603" s="32" t="s">
        <v>151</v>
      </c>
      <c r="DL603" s="34" t="s">
        <v>151</v>
      </c>
      <c r="DM603" s="32" t="s">
        <v>151</v>
      </c>
      <c r="DN603" s="34" t="s">
        <v>151</v>
      </c>
      <c r="DO603" s="36">
        <v>1.54</v>
      </c>
      <c r="DP603" s="34">
        <v>60</v>
      </c>
      <c r="DQ603" s="36">
        <v>0</v>
      </c>
      <c r="DR603" s="32">
        <v>0</v>
      </c>
      <c r="DS603" s="36" t="s">
        <v>151</v>
      </c>
      <c r="DT603" s="34" t="s">
        <v>151</v>
      </c>
      <c r="DU603" s="36" t="s">
        <v>151</v>
      </c>
      <c r="DV603" s="34" t="s">
        <v>151</v>
      </c>
      <c r="DW603" s="36" t="s">
        <v>151</v>
      </c>
      <c r="DX603" s="34" t="s">
        <v>151</v>
      </c>
      <c r="DY603" s="31" t="s">
        <v>151</v>
      </c>
      <c r="DZ603" s="35" t="s">
        <v>151</v>
      </c>
      <c r="EA603" s="35" t="s">
        <v>151</v>
      </c>
      <c r="EB603" s="34">
        <v>570</v>
      </c>
      <c r="EC603" s="33">
        <v>47</v>
      </c>
      <c r="ED603" s="32">
        <v>8.99</v>
      </c>
      <c r="EE603" s="34" t="s">
        <v>151</v>
      </c>
      <c r="EF603" s="33" t="s">
        <v>151</v>
      </c>
      <c r="EG603" s="32" t="s">
        <v>151</v>
      </c>
      <c r="EH603" s="29" t="s">
        <v>198</v>
      </c>
      <c r="EI603" s="30" t="s">
        <v>151</v>
      </c>
      <c r="EJ603" s="30" t="s">
        <v>151</v>
      </c>
      <c r="EK603" s="31" t="s">
        <v>151</v>
      </c>
      <c r="EL603" s="31" t="s">
        <v>151</v>
      </c>
      <c r="EM603" s="31" t="s">
        <v>151</v>
      </c>
      <c r="EN603" s="31" t="s">
        <v>151</v>
      </c>
      <c r="EO603" s="31" t="s">
        <v>151</v>
      </c>
      <c r="EP603" s="30" t="s">
        <v>151</v>
      </c>
      <c r="EQ603" s="29" t="s">
        <v>151</v>
      </c>
      <c r="ER603" s="29" t="s">
        <v>151</v>
      </c>
      <c r="ES603" s="4">
        <f>HYPERLINK("https://my.pitchbook.com?c=454661-74","View Company Online")</f>
      </c>
    </row>
    <row r="604">
      <c r="A604" s="17" t="s">
        <v>12527</v>
      </c>
      <c r="B604" s="17" t="s">
        <v>12528</v>
      </c>
      <c r="C604" s="18" t="s">
        <v>151</v>
      </c>
      <c r="D604" s="17" t="s">
        <v>12529</v>
      </c>
      <c r="E604" s="17" t="s">
        <v>151</v>
      </c>
      <c r="F604" s="17" t="s">
        <v>12530</v>
      </c>
      <c r="G604" s="17" t="s">
        <v>151</v>
      </c>
      <c r="H604" s="17" t="s">
        <v>151</v>
      </c>
      <c r="I604" s="17" t="s">
        <v>151</v>
      </c>
      <c r="J604" s="17" t="s">
        <v>12527</v>
      </c>
      <c r="K604" s="17" t="s">
        <v>12531</v>
      </c>
      <c r="L604" s="17" t="s">
        <v>205</v>
      </c>
      <c r="M604" s="17" t="s">
        <v>206</v>
      </c>
      <c r="N604" s="17" t="s">
        <v>1268</v>
      </c>
      <c r="O604" s="17" t="s">
        <v>2129</v>
      </c>
      <c r="P604" s="17" t="s">
        <v>892</v>
      </c>
      <c r="Q604" s="17" t="s">
        <v>12532</v>
      </c>
      <c r="R604" s="17" t="s">
        <v>151</v>
      </c>
      <c r="S604" s="17" t="s">
        <v>162</v>
      </c>
      <c r="T604" s="24">
        <v>0.25</v>
      </c>
      <c r="U604" s="17" t="s">
        <v>163</v>
      </c>
      <c r="V604" s="17" t="s">
        <v>164</v>
      </c>
      <c r="W604" s="17" t="s">
        <v>165</v>
      </c>
      <c r="X604" s="15" t="s">
        <v>12533</v>
      </c>
      <c r="Y604" s="15" t="s">
        <v>12534</v>
      </c>
      <c r="Z604" s="27">
        <v>10</v>
      </c>
      <c r="AA604" s="17" t="s">
        <v>12535</v>
      </c>
      <c r="AB604" s="17" t="s">
        <v>151</v>
      </c>
      <c r="AC604" s="17" t="s">
        <v>151</v>
      </c>
      <c r="AD604" s="26">
        <v>2019</v>
      </c>
      <c r="AE604" s="17" t="s">
        <v>151</v>
      </c>
      <c r="AF604" s="22">
        <v>45607</v>
      </c>
      <c r="AG604" s="17" t="s">
        <v>151</v>
      </c>
      <c r="AH604" s="17" t="s">
        <v>151</v>
      </c>
      <c r="AI604" s="25">
        <v>0.36</v>
      </c>
      <c r="AJ604" s="19">
        <v>0</v>
      </c>
      <c r="AK604" s="25" t="s">
        <v>151</v>
      </c>
      <c r="AL604" s="25" t="s">
        <v>151</v>
      </c>
      <c r="AM604" s="25" t="s">
        <v>151</v>
      </c>
      <c r="AN604" s="25" t="s">
        <v>151</v>
      </c>
      <c r="AO604" s="25" t="s">
        <v>151</v>
      </c>
      <c r="AP604" s="25" t="s">
        <v>151</v>
      </c>
      <c r="AQ604" s="25" t="s">
        <v>151</v>
      </c>
      <c r="AR604" s="16" t="s">
        <v>810</v>
      </c>
      <c r="AS604" s="17" t="s">
        <v>12536</v>
      </c>
      <c r="AT604" s="17" t="s">
        <v>12537</v>
      </c>
      <c r="AU604" s="18">
        <v>9</v>
      </c>
      <c r="AV604" s="17" t="s">
        <v>151</v>
      </c>
      <c r="AW604" s="17" t="s">
        <v>151</v>
      </c>
      <c r="AX604" s="17" t="s">
        <v>151</v>
      </c>
      <c r="AY604" s="17" t="s">
        <v>12538</v>
      </c>
      <c r="AZ604" s="17" t="s">
        <v>151</v>
      </c>
      <c r="BA604" s="17" t="s">
        <v>151</v>
      </c>
      <c r="BB604" s="17" t="s">
        <v>151</v>
      </c>
      <c r="BC604" s="17" t="s">
        <v>151</v>
      </c>
      <c r="BD604" s="17" t="s">
        <v>12539</v>
      </c>
      <c r="BE604" s="17" t="s">
        <v>12540</v>
      </c>
      <c r="BF604" s="17" t="s">
        <v>221</v>
      </c>
      <c r="BG604" s="17" t="s">
        <v>12541</v>
      </c>
      <c r="BH604" s="17" t="s">
        <v>151</v>
      </c>
      <c r="BI604" s="17" t="s">
        <v>906</v>
      </c>
      <c r="BJ604" s="17" t="s">
        <v>12542</v>
      </c>
      <c r="BK604" s="17" t="s">
        <v>151</v>
      </c>
      <c r="BL604" s="17" t="s">
        <v>259</v>
      </c>
      <c r="BM604" s="17" t="s">
        <v>259</v>
      </c>
      <c r="BN604" s="16" t="s">
        <v>151</v>
      </c>
      <c r="BO604" s="17" t="s">
        <v>186</v>
      </c>
      <c r="BP604" s="16" t="s">
        <v>151</v>
      </c>
      <c r="BQ604" s="16" t="s">
        <v>151</v>
      </c>
      <c r="BR604" s="17" t="s">
        <v>12543</v>
      </c>
      <c r="BS604" s="17" t="s">
        <v>187</v>
      </c>
      <c r="BT604" s="17" t="s">
        <v>188</v>
      </c>
      <c r="BU604" s="22">
        <v>44123</v>
      </c>
      <c r="BV604" s="24">
        <v>0.1</v>
      </c>
      <c r="BW604" s="17" t="s">
        <v>192</v>
      </c>
      <c r="BX604" s="24" t="s">
        <v>151</v>
      </c>
      <c r="BY604" s="17" t="s">
        <v>151</v>
      </c>
      <c r="BZ604" s="17" t="s">
        <v>189</v>
      </c>
      <c r="CA604" s="17" t="s">
        <v>151</v>
      </c>
      <c r="CB604" s="17" t="s">
        <v>151</v>
      </c>
      <c r="CC604" s="17" t="s">
        <v>190</v>
      </c>
      <c r="CD604" s="17" t="s">
        <v>151</v>
      </c>
      <c r="CE604" s="17" t="s">
        <v>191</v>
      </c>
      <c r="CF604" s="22">
        <v>45328</v>
      </c>
      <c r="CG604" s="24">
        <v>0.05</v>
      </c>
      <c r="CH604" s="17" t="s">
        <v>192</v>
      </c>
      <c r="CI604" s="24" t="s">
        <v>151</v>
      </c>
      <c r="CJ604" s="17" t="s">
        <v>151</v>
      </c>
      <c r="CK604" s="16" t="s">
        <v>151</v>
      </c>
      <c r="CL604" s="17" t="s">
        <v>231</v>
      </c>
      <c r="CM604" s="17" t="s">
        <v>151</v>
      </c>
      <c r="CN604" s="17" t="s">
        <v>151</v>
      </c>
      <c r="CO604" s="17" t="s">
        <v>165</v>
      </c>
      <c r="CP604" s="22">
        <v>45328</v>
      </c>
      <c r="CQ604" s="24" t="s">
        <v>151</v>
      </c>
      <c r="CR604" s="17" t="s">
        <v>151</v>
      </c>
      <c r="CS604" s="17" t="s">
        <v>191</v>
      </c>
      <c r="CT604" s="16" t="s">
        <v>151</v>
      </c>
      <c r="CU604" s="17" t="s">
        <v>151</v>
      </c>
      <c r="CV604" s="19" t="s">
        <v>151</v>
      </c>
      <c r="CW604" s="19" t="s">
        <v>151</v>
      </c>
      <c r="CX604" s="17" t="s">
        <v>151</v>
      </c>
      <c r="CY604" s="19" t="s">
        <v>151</v>
      </c>
      <c r="CZ604" s="19" t="s">
        <v>151</v>
      </c>
      <c r="DA604" s="24">
        <v>1.25</v>
      </c>
      <c r="DB604" s="22">
        <v>44207</v>
      </c>
      <c r="DC604" s="17" t="s">
        <v>189</v>
      </c>
      <c r="DD604" s="16" t="s">
        <v>151</v>
      </c>
      <c r="DE604" s="19">
        <v>0</v>
      </c>
      <c r="DF604" s="21">
        <v>11</v>
      </c>
      <c r="DG604" s="19">
        <v>0</v>
      </c>
      <c r="DH604" s="19">
        <v>0</v>
      </c>
      <c r="DI604" s="19">
        <v>0</v>
      </c>
      <c r="DJ604" s="21">
        <v>10</v>
      </c>
      <c r="DK604" s="19" t="s">
        <v>151</v>
      </c>
      <c r="DL604" s="21" t="s">
        <v>151</v>
      </c>
      <c r="DM604" s="19">
        <v>0</v>
      </c>
      <c r="DN604" s="21">
        <v>10</v>
      </c>
      <c r="DO604" s="23">
        <v>0.37</v>
      </c>
      <c r="DP604" s="21">
        <v>25</v>
      </c>
      <c r="DQ604" s="23">
        <v>0</v>
      </c>
      <c r="DR604" s="19">
        <v>0</v>
      </c>
      <c r="DS604" s="23">
        <v>0.37</v>
      </c>
      <c r="DT604" s="21">
        <v>25</v>
      </c>
      <c r="DU604" s="23" t="s">
        <v>151</v>
      </c>
      <c r="DV604" s="21" t="s">
        <v>151</v>
      </c>
      <c r="DW604" s="23">
        <v>0.37</v>
      </c>
      <c r="DX604" s="21">
        <v>25</v>
      </c>
      <c r="DY604" s="18" t="s">
        <v>151</v>
      </c>
      <c r="DZ604" s="22" t="s">
        <v>151</v>
      </c>
      <c r="EA604" s="22" t="s">
        <v>151</v>
      </c>
      <c r="EB604" s="21" t="s">
        <v>151</v>
      </c>
      <c r="EC604" s="20" t="s">
        <v>151</v>
      </c>
      <c r="ED604" s="19" t="s">
        <v>151</v>
      </c>
      <c r="EE604" s="21">
        <v>7</v>
      </c>
      <c r="EF604" s="20">
        <v>0</v>
      </c>
      <c r="EG604" s="19">
        <v>0</v>
      </c>
      <c r="EH604" s="16" t="s">
        <v>198</v>
      </c>
      <c r="EI604" s="17" t="s">
        <v>151</v>
      </c>
      <c r="EJ604" s="17" t="s">
        <v>151</v>
      </c>
      <c r="EK604" s="18" t="s">
        <v>151</v>
      </c>
      <c r="EL604" s="18" t="s">
        <v>151</v>
      </c>
      <c r="EM604" s="18" t="s">
        <v>151</v>
      </c>
      <c r="EN604" s="18" t="s">
        <v>151</v>
      </c>
      <c r="EO604" s="18" t="s">
        <v>151</v>
      </c>
      <c r="EP604" s="17" t="s">
        <v>151</v>
      </c>
      <c r="EQ604" s="16" t="s">
        <v>151</v>
      </c>
      <c r="ER604" s="16" t="s">
        <v>151</v>
      </c>
      <c r="ES604" s="3">
        <f>HYPERLINK("https://my.pitchbook.com?c=459169-66","View Company Online")</f>
      </c>
    </row>
    <row r="605">
      <c r="A605" s="30" t="s">
        <v>12544</v>
      </c>
      <c r="B605" s="30" t="s">
        <v>12545</v>
      </c>
      <c r="C605" s="31" t="s">
        <v>151</v>
      </c>
      <c r="D605" s="30" t="s">
        <v>151</v>
      </c>
      <c r="E605" s="30" t="s">
        <v>151</v>
      </c>
      <c r="F605" s="30" t="s">
        <v>12546</v>
      </c>
      <c r="G605" s="30" t="s">
        <v>151</v>
      </c>
      <c r="H605" s="30" t="s">
        <v>151</v>
      </c>
      <c r="I605" s="30" t="s">
        <v>151</v>
      </c>
      <c r="J605" s="30" t="s">
        <v>12544</v>
      </c>
      <c r="K605" s="30" t="s">
        <v>12547</v>
      </c>
      <c r="L605" s="30" t="s">
        <v>205</v>
      </c>
      <c r="M605" s="30" t="s">
        <v>206</v>
      </c>
      <c r="N605" s="30" t="s">
        <v>2484</v>
      </c>
      <c r="O605" s="30" t="s">
        <v>8053</v>
      </c>
      <c r="P605" s="30" t="s">
        <v>12548</v>
      </c>
      <c r="Q605" s="30" t="s">
        <v>12549</v>
      </c>
      <c r="R605" s="30" t="s">
        <v>151</v>
      </c>
      <c r="S605" s="30" t="s">
        <v>162</v>
      </c>
      <c r="T605" s="37">
        <v>0.35</v>
      </c>
      <c r="U605" s="30" t="s">
        <v>163</v>
      </c>
      <c r="V605" s="30" t="s">
        <v>164</v>
      </c>
      <c r="W605" s="30" t="s">
        <v>165</v>
      </c>
      <c r="X605" s="28" t="s">
        <v>12550</v>
      </c>
      <c r="Y605" s="28" t="s">
        <v>12551</v>
      </c>
      <c r="Z605" s="40">
        <v>7</v>
      </c>
      <c r="AA605" s="30" t="s">
        <v>12552</v>
      </c>
      <c r="AB605" s="30" t="s">
        <v>151</v>
      </c>
      <c r="AC605" s="30" t="s">
        <v>151</v>
      </c>
      <c r="AD605" s="39">
        <v>2020</v>
      </c>
      <c r="AE605" s="30" t="s">
        <v>151</v>
      </c>
      <c r="AF605" s="35">
        <v>45604</v>
      </c>
      <c r="AG605" s="30" t="s">
        <v>151</v>
      </c>
      <c r="AH605" s="30" t="s">
        <v>151</v>
      </c>
      <c r="AI605" s="38" t="s">
        <v>151</v>
      </c>
      <c r="AJ605" s="32" t="s">
        <v>151</v>
      </c>
      <c r="AK605" s="38" t="s">
        <v>151</v>
      </c>
      <c r="AL605" s="38" t="s">
        <v>151</v>
      </c>
      <c r="AM605" s="38" t="s">
        <v>151</v>
      </c>
      <c r="AN605" s="38" t="s">
        <v>151</v>
      </c>
      <c r="AO605" s="38" t="s">
        <v>151</v>
      </c>
      <c r="AP605" s="38" t="s">
        <v>151</v>
      </c>
      <c r="AQ605" s="38" t="s">
        <v>151</v>
      </c>
      <c r="AR605" s="29" t="s">
        <v>151</v>
      </c>
      <c r="AS605" s="30" t="s">
        <v>12553</v>
      </c>
      <c r="AT605" s="30" t="s">
        <v>12554</v>
      </c>
      <c r="AU605" s="31">
        <v>5</v>
      </c>
      <c r="AV605" s="30" t="s">
        <v>151</v>
      </c>
      <c r="AW605" s="30" t="s">
        <v>151</v>
      </c>
      <c r="AX605" s="30" t="s">
        <v>151</v>
      </c>
      <c r="AY605" s="30" t="s">
        <v>12555</v>
      </c>
      <c r="AZ605" s="30" t="s">
        <v>151</v>
      </c>
      <c r="BA605" s="30" t="s">
        <v>151</v>
      </c>
      <c r="BB605" s="30" t="s">
        <v>151</v>
      </c>
      <c r="BC605" s="30" t="s">
        <v>151</v>
      </c>
      <c r="BD605" s="30" t="s">
        <v>12556</v>
      </c>
      <c r="BE605" s="30" t="s">
        <v>12557</v>
      </c>
      <c r="BF605" s="30" t="s">
        <v>221</v>
      </c>
      <c r="BG605" s="30" t="s">
        <v>12558</v>
      </c>
      <c r="BH605" s="30" t="s">
        <v>151</v>
      </c>
      <c r="BI605" s="30" t="s">
        <v>378</v>
      </c>
      <c r="BJ605" s="30" t="s">
        <v>12559</v>
      </c>
      <c r="BK605" s="30" t="s">
        <v>151</v>
      </c>
      <c r="BL605" s="30" t="s">
        <v>381</v>
      </c>
      <c r="BM605" s="30" t="s">
        <v>289</v>
      </c>
      <c r="BN605" s="29" t="s">
        <v>12560</v>
      </c>
      <c r="BO605" s="30" t="s">
        <v>186</v>
      </c>
      <c r="BP605" s="29" t="s">
        <v>151</v>
      </c>
      <c r="BQ605" s="29" t="s">
        <v>151</v>
      </c>
      <c r="BR605" s="30" t="s">
        <v>151</v>
      </c>
      <c r="BS605" s="30" t="s">
        <v>187</v>
      </c>
      <c r="BT605" s="30" t="s">
        <v>188</v>
      </c>
      <c r="BU605" s="35">
        <v>44392</v>
      </c>
      <c r="BV605" s="37">
        <v>0.35</v>
      </c>
      <c r="BW605" s="30" t="s">
        <v>192</v>
      </c>
      <c r="BX605" s="37" t="s">
        <v>151</v>
      </c>
      <c r="BY605" s="30" t="s">
        <v>151</v>
      </c>
      <c r="BZ605" s="30" t="s">
        <v>293</v>
      </c>
      <c r="CA605" s="30" t="s">
        <v>293</v>
      </c>
      <c r="CB605" s="30" t="s">
        <v>151</v>
      </c>
      <c r="CC605" s="30" t="s">
        <v>165</v>
      </c>
      <c r="CD605" s="30" t="s">
        <v>151</v>
      </c>
      <c r="CE605" s="30" t="s">
        <v>191</v>
      </c>
      <c r="CF605" s="35">
        <v>44672</v>
      </c>
      <c r="CG605" s="37" t="s">
        <v>151</v>
      </c>
      <c r="CH605" s="30" t="s">
        <v>151</v>
      </c>
      <c r="CI605" s="37" t="s">
        <v>151</v>
      </c>
      <c r="CJ605" s="30" t="s">
        <v>151</v>
      </c>
      <c r="CK605" s="29" t="s">
        <v>151</v>
      </c>
      <c r="CL605" s="30" t="s">
        <v>293</v>
      </c>
      <c r="CM605" s="30" t="s">
        <v>293</v>
      </c>
      <c r="CN605" s="30" t="s">
        <v>151</v>
      </c>
      <c r="CO605" s="30" t="s">
        <v>165</v>
      </c>
      <c r="CP605" s="35">
        <v>44672</v>
      </c>
      <c r="CQ605" s="37" t="s">
        <v>151</v>
      </c>
      <c r="CR605" s="30" t="s">
        <v>151</v>
      </c>
      <c r="CS605" s="30" t="s">
        <v>191</v>
      </c>
      <c r="CT605" s="29">
        <v>26</v>
      </c>
      <c r="CU605" s="30" t="s">
        <v>263</v>
      </c>
      <c r="CV605" s="32">
        <v>27</v>
      </c>
      <c r="CW605" s="32">
        <v>73</v>
      </c>
      <c r="CX605" s="30" t="s">
        <v>263</v>
      </c>
      <c r="CY605" s="32">
        <v>1</v>
      </c>
      <c r="CZ605" s="32">
        <v>26</v>
      </c>
      <c r="DA605" s="37" t="s">
        <v>151</v>
      </c>
      <c r="DB605" s="35" t="s">
        <v>151</v>
      </c>
      <c r="DC605" s="30" t="s">
        <v>151</v>
      </c>
      <c r="DD605" s="29" t="s">
        <v>151</v>
      </c>
      <c r="DE605" s="32">
        <v>0</v>
      </c>
      <c r="DF605" s="34">
        <v>11</v>
      </c>
      <c r="DG605" s="32">
        <v>0</v>
      </c>
      <c r="DH605" s="32">
        <v>0</v>
      </c>
      <c r="DI605" s="32">
        <v>0</v>
      </c>
      <c r="DJ605" s="34">
        <v>10</v>
      </c>
      <c r="DK605" s="32" t="s">
        <v>151</v>
      </c>
      <c r="DL605" s="34" t="s">
        <v>151</v>
      </c>
      <c r="DM605" s="32">
        <v>0</v>
      </c>
      <c r="DN605" s="34">
        <v>10</v>
      </c>
      <c r="DO605" s="36">
        <v>1.28</v>
      </c>
      <c r="DP605" s="34">
        <v>56</v>
      </c>
      <c r="DQ605" s="36">
        <v>0</v>
      </c>
      <c r="DR605" s="32">
        <v>0</v>
      </c>
      <c r="DS605" s="36">
        <v>1.95</v>
      </c>
      <c r="DT605" s="34">
        <v>65</v>
      </c>
      <c r="DU605" s="36" t="s">
        <v>151</v>
      </c>
      <c r="DV605" s="34" t="s">
        <v>151</v>
      </c>
      <c r="DW605" s="36">
        <v>1.95</v>
      </c>
      <c r="DX605" s="34">
        <v>65</v>
      </c>
      <c r="DY605" s="31" t="s">
        <v>151</v>
      </c>
      <c r="DZ605" s="35" t="s">
        <v>151</v>
      </c>
      <c r="EA605" s="35" t="s">
        <v>151</v>
      </c>
      <c r="EB605" s="34">
        <v>5</v>
      </c>
      <c r="EC605" s="33">
        <v>-27</v>
      </c>
      <c r="ED605" s="32">
        <v>-84.38</v>
      </c>
      <c r="EE605" s="34">
        <v>37</v>
      </c>
      <c r="EF605" s="33">
        <v>0</v>
      </c>
      <c r="EG605" s="32">
        <v>0</v>
      </c>
      <c r="EH605" s="29" t="s">
        <v>198</v>
      </c>
      <c r="EI605" s="30" t="s">
        <v>151</v>
      </c>
      <c r="EJ605" s="30" t="s">
        <v>151</v>
      </c>
      <c r="EK605" s="31" t="s">
        <v>151</v>
      </c>
      <c r="EL605" s="31" t="s">
        <v>151</v>
      </c>
      <c r="EM605" s="31" t="s">
        <v>151</v>
      </c>
      <c r="EN605" s="31" t="s">
        <v>151</v>
      </c>
      <c r="EO605" s="31" t="s">
        <v>151</v>
      </c>
      <c r="EP605" s="30" t="s">
        <v>151</v>
      </c>
      <c r="EQ605" s="29" t="s">
        <v>151</v>
      </c>
      <c r="ER605" s="29" t="s">
        <v>151</v>
      </c>
      <c r="ES605" s="4">
        <f>HYPERLINK("https://my.pitchbook.com?c=470062-81","View Company Online")</f>
      </c>
    </row>
    <row r="606">
      <c r="A606" s="17" t="s">
        <v>12561</v>
      </c>
      <c r="B606" s="17" t="s">
        <v>12562</v>
      </c>
      <c r="C606" s="18" t="s">
        <v>151</v>
      </c>
      <c r="D606" s="17" t="s">
        <v>151</v>
      </c>
      <c r="E606" s="17" t="s">
        <v>151</v>
      </c>
      <c r="F606" s="17" t="s">
        <v>12563</v>
      </c>
      <c r="G606" s="17" t="s">
        <v>151</v>
      </c>
      <c r="H606" s="17" t="s">
        <v>151</v>
      </c>
      <c r="I606" s="17" t="s">
        <v>12564</v>
      </c>
      <c r="J606" s="17" t="s">
        <v>12561</v>
      </c>
      <c r="K606" s="17" t="s">
        <v>12565</v>
      </c>
      <c r="L606" s="17" t="s">
        <v>1792</v>
      </c>
      <c r="M606" s="17" t="s">
        <v>5329</v>
      </c>
      <c r="N606" s="17" t="s">
        <v>5330</v>
      </c>
      <c r="O606" s="17" t="s">
        <v>12566</v>
      </c>
      <c r="P606" s="17" t="s">
        <v>2224</v>
      </c>
      <c r="Q606" s="17" t="s">
        <v>12567</v>
      </c>
      <c r="R606" s="17" t="s">
        <v>12568</v>
      </c>
      <c r="S606" s="17" t="s">
        <v>162</v>
      </c>
      <c r="T606" s="24">
        <v>11.83</v>
      </c>
      <c r="U606" s="17" t="s">
        <v>163</v>
      </c>
      <c r="V606" s="17" t="s">
        <v>164</v>
      </c>
      <c r="W606" s="17" t="s">
        <v>165</v>
      </c>
      <c r="X606" s="15" t="s">
        <v>12569</v>
      </c>
      <c r="Y606" s="15" t="s">
        <v>12570</v>
      </c>
      <c r="Z606" s="27">
        <v>58</v>
      </c>
      <c r="AA606" s="17" t="s">
        <v>12571</v>
      </c>
      <c r="AB606" s="17" t="s">
        <v>151</v>
      </c>
      <c r="AC606" s="17" t="s">
        <v>151</v>
      </c>
      <c r="AD606" s="26">
        <v>2019</v>
      </c>
      <c r="AE606" s="17" t="s">
        <v>151</v>
      </c>
      <c r="AF606" s="22">
        <v>45496</v>
      </c>
      <c r="AG606" s="17" t="s">
        <v>151</v>
      </c>
      <c r="AH606" s="17" t="s">
        <v>151</v>
      </c>
      <c r="AI606" s="25" t="s">
        <v>151</v>
      </c>
      <c r="AJ606" s="19" t="s">
        <v>151</v>
      </c>
      <c r="AK606" s="25" t="s">
        <v>151</v>
      </c>
      <c r="AL606" s="25" t="s">
        <v>151</v>
      </c>
      <c r="AM606" s="25" t="s">
        <v>151</v>
      </c>
      <c r="AN606" s="25" t="s">
        <v>151</v>
      </c>
      <c r="AO606" s="25" t="s">
        <v>151</v>
      </c>
      <c r="AP606" s="25" t="s">
        <v>151</v>
      </c>
      <c r="AQ606" s="25" t="s">
        <v>151</v>
      </c>
      <c r="AR606" s="16" t="s">
        <v>151</v>
      </c>
      <c r="AS606" s="17" t="s">
        <v>12572</v>
      </c>
      <c r="AT606" s="17" t="s">
        <v>12573</v>
      </c>
      <c r="AU606" s="18">
        <v>14</v>
      </c>
      <c r="AV606" s="17" t="s">
        <v>151</v>
      </c>
      <c r="AW606" s="17" t="s">
        <v>151</v>
      </c>
      <c r="AX606" s="17" t="s">
        <v>151</v>
      </c>
      <c r="AY606" s="17" t="s">
        <v>12574</v>
      </c>
      <c r="AZ606" s="17" t="s">
        <v>151</v>
      </c>
      <c r="BA606" s="17" t="s">
        <v>151</v>
      </c>
      <c r="BB606" s="17" t="s">
        <v>151</v>
      </c>
      <c r="BC606" s="17" t="s">
        <v>12575</v>
      </c>
      <c r="BD606" s="17" t="s">
        <v>12576</v>
      </c>
      <c r="BE606" s="17" t="s">
        <v>12577</v>
      </c>
      <c r="BF606" s="17" t="s">
        <v>731</v>
      </c>
      <c r="BG606" s="17" t="s">
        <v>12578</v>
      </c>
      <c r="BH606" s="17" t="s">
        <v>12579</v>
      </c>
      <c r="BI606" s="17" t="s">
        <v>2265</v>
      </c>
      <c r="BJ606" s="17" t="s">
        <v>12580</v>
      </c>
      <c r="BK606" s="17" t="s">
        <v>151</v>
      </c>
      <c r="BL606" s="17" t="s">
        <v>2267</v>
      </c>
      <c r="BM606" s="17" t="s">
        <v>855</v>
      </c>
      <c r="BN606" s="16" t="s">
        <v>12581</v>
      </c>
      <c r="BO606" s="17" t="s">
        <v>186</v>
      </c>
      <c r="BP606" s="16" t="s">
        <v>12579</v>
      </c>
      <c r="BQ606" s="16" t="s">
        <v>151</v>
      </c>
      <c r="BR606" s="17" t="s">
        <v>12582</v>
      </c>
      <c r="BS606" s="17" t="s">
        <v>187</v>
      </c>
      <c r="BT606" s="17" t="s">
        <v>188</v>
      </c>
      <c r="BU606" s="22">
        <v>43661</v>
      </c>
      <c r="BV606" s="24">
        <v>0.14</v>
      </c>
      <c r="BW606" s="17" t="s">
        <v>192</v>
      </c>
      <c r="BX606" s="24">
        <v>2.33</v>
      </c>
      <c r="BY606" s="17" t="s">
        <v>192</v>
      </c>
      <c r="BZ606" s="17" t="s">
        <v>189</v>
      </c>
      <c r="CA606" s="17" t="s">
        <v>151</v>
      </c>
      <c r="CB606" s="17" t="s">
        <v>151</v>
      </c>
      <c r="CC606" s="17" t="s">
        <v>190</v>
      </c>
      <c r="CD606" s="17" t="s">
        <v>151</v>
      </c>
      <c r="CE606" s="17" t="s">
        <v>191</v>
      </c>
      <c r="CF606" s="22">
        <v>45446</v>
      </c>
      <c r="CG606" s="24">
        <v>5</v>
      </c>
      <c r="CH606" s="17" t="s">
        <v>192</v>
      </c>
      <c r="CI606" s="24" t="s">
        <v>151</v>
      </c>
      <c r="CJ606" s="17" t="s">
        <v>151</v>
      </c>
      <c r="CK606" s="16" t="s">
        <v>151</v>
      </c>
      <c r="CL606" s="17" t="s">
        <v>293</v>
      </c>
      <c r="CM606" s="17" t="s">
        <v>293</v>
      </c>
      <c r="CN606" s="17" t="s">
        <v>151</v>
      </c>
      <c r="CO606" s="17" t="s">
        <v>165</v>
      </c>
      <c r="CP606" s="22">
        <v>45446</v>
      </c>
      <c r="CQ606" s="24" t="s">
        <v>151</v>
      </c>
      <c r="CR606" s="17" t="s">
        <v>151</v>
      </c>
      <c r="CS606" s="17" t="s">
        <v>191</v>
      </c>
      <c r="CT606" s="16">
        <v>87</v>
      </c>
      <c r="CU606" s="17" t="s">
        <v>196</v>
      </c>
      <c r="CV606" s="19">
        <v>78</v>
      </c>
      <c r="CW606" s="19">
        <v>22</v>
      </c>
      <c r="CX606" s="17" t="s">
        <v>294</v>
      </c>
      <c r="CY606" s="19">
        <v>3</v>
      </c>
      <c r="CZ606" s="19">
        <v>75</v>
      </c>
      <c r="DA606" s="24">
        <v>16</v>
      </c>
      <c r="DB606" s="22">
        <v>45028</v>
      </c>
      <c r="DC606" s="17" t="s">
        <v>293</v>
      </c>
      <c r="DD606" s="16">
        <v>1.93</v>
      </c>
      <c r="DE606" s="19">
        <v>-0.28</v>
      </c>
      <c r="DF606" s="21">
        <v>9</v>
      </c>
      <c r="DG606" s="19">
        <v>0</v>
      </c>
      <c r="DH606" s="19">
        <v>0</v>
      </c>
      <c r="DI606" s="19">
        <v>-0.34</v>
      </c>
      <c r="DJ606" s="21">
        <v>8</v>
      </c>
      <c r="DK606" s="19" t="s">
        <v>151</v>
      </c>
      <c r="DL606" s="21" t="s">
        <v>151</v>
      </c>
      <c r="DM606" s="19">
        <v>-0.34</v>
      </c>
      <c r="DN606" s="21">
        <v>8</v>
      </c>
      <c r="DO606" s="23">
        <v>5.99</v>
      </c>
      <c r="DP606" s="21">
        <v>85</v>
      </c>
      <c r="DQ606" s="23">
        <v>0</v>
      </c>
      <c r="DR606" s="19">
        <v>0</v>
      </c>
      <c r="DS606" s="23">
        <v>7.53</v>
      </c>
      <c r="DT606" s="21">
        <v>87</v>
      </c>
      <c r="DU606" s="23" t="s">
        <v>151</v>
      </c>
      <c r="DV606" s="21" t="s">
        <v>151</v>
      </c>
      <c r="DW606" s="23">
        <v>7.53</v>
      </c>
      <c r="DX606" s="21">
        <v>87</v>
      </c>
      <c r="DY606" s="18" t="s">
        <v>151</v>
      </c>
      <c r="DZ606" s="22" t="s">
        <v>151</v>
      </c>
      <c r="EA606" s="22" t="s">
        <v>151</v>
      </c>
      <c r="EB606" s="21">
        <v>708</v>
      </c>
      <c r="EC606" s="20">
        <v>130</v>
      </c>
      <c r="ED606" s="19">
        <v>22.49</v>
      </c>
      <c r="EE606" s="21">
        <v>143</v>
      </c>
      <c r="EF606" s="20">
        <v>0</v>
      </c>
      <c r="EG606" s="19">
        <v>0</v>
      </c>
      <c r="EH606" s="16" t="s">
        <v>198</v>
      </c>
      <c r="EI606" s="17" t="s">
        <v>151</v>
      </c>
      <c r="EJ606" s="17" t="s">
        <v>151</v>
      </c>
      <c r="EK606" s="18" t="s">
        <v>151</v>
      </c>
      <c r="EL606" s="18" t="s">
        <v>151</v>
      </c>
      <c r="EM606" s="18" t="s">
        <v>151</v>
      </c>
      <c r="EN606" s="18" t="s">
        <v>151</v>
      </c>
      <c r="EO606" s="18" t="s">
        <v>151</v>
      </c>
      <c r="EP606" s="17" t="s">
        <v>151</v>
      </c>
      <c r="EQ606" s="16" t="s">
        <v>151</v>
      </c>
      <c r="ER606" s="16" t="s">
        <v>151</v>
      </c>
      <c r="ES606" s="3">
        <f>HYPERLINK("https://my.pitchbook.com?c=339792-40","View Company Online")</f>
      </c>
    </row>
    <row r="607">
      <c r="A607" s="30" t="s">
        <v>12583</v>
      </c>
      <c r="B607" s="30" t="s">
        <v>12584</v>
      </c>
      <c r="C607" s="31" t="s">
        <v>151</v>
      </c>
      <c r="D607" s="30" t="s">
        <v>151</v>
      </c>
      <c r="E607" s="30" t="s">
        <v>12585</v>
      </c>
      <c r="F607" s="30" t="s">
        <v>12586</v>
      </c>
      <c r="G607" s="30" t="s">
        <v>151</v>
      </c>
      <c r="H607" s="30" t="s">
        <v>151</v>
      </c>
      <c r="I607" s="30" t="s">
        <v>151</v>
      </c>
      <c r="J607" s="30" t="s">
        <v>12583</v>
      </c>
      <c r="K607" s="30" t="s">
        <v>12587</v>
      </c>
      <c r="L607" s="30" t="s">
        <v>205</v>
      </c>
      <c r="M607" s="30" t="s">
        <v>206</v>
      </c>
      <c r="N607" s="30" t="s">
        <v>269</v>
      </c>
      <c r="O607" s="30" t="s">
        <v>2965</v>
      </c>
      <c r="P607" s="30" t="s">
        <v>1421</v>
      </c>
      <c r="Q607" s="30" t="s">
        <v>12588</v>
      </c>
      <c r="R607" s="30" t="s">
        <v>151</v>
      </c>
      <c r="S607" s="30" t="s">
        <v>162</v>
      </c>
      <c r="T607" s="37">
        <v>1.23</v>
      </c>
      <c r="U607" s="30" t="s">
        <v>163</v>
      </c>
      <c r="V607" s="30" t="s">
        <v>164</v>
      </c>
      <c r="W607" s="30" t="s">
        <v>165</v>
      </c>
      <c r="X607" s="28" t="s">
        <v>12589</v>
      </c>
      <c r="Y607" s="28" t="s">
        <v>12590</v>
      </c>
      <c r="Z607" s="40">
        <v>3</v>
      </c>
      <c r="AA607" s="30" t="s">
        <v>12591</v>
      </c>
      <c r="AB607" s="30" t="s">
        <v>151</v>
      </c>
      <c r="AC607" s="30" t="s">
        <v>151</v>
      </c>
      <c r="AD607" s="39">
        <v>2019</v>
      </c>
      <c r="AE607" s="30" t="s">
        <v>151</v>
      </c>
      <c r="AF607" s="35">
        <v>45590</v>
      </c>
      <c r="AG607" s="30" t="s">
        <v>151</v>
      </c>
      <c r="AH607" s="30" t="s">
        <v>151</v>
      </c>
      <c r="AI607" s="38" t="s">
        <v>151</v>
      </c>
      <c r="AJ607" s="32" t="s">
        <v>151</v>
      </c>
      <c r="AK607" s="38" t="s">
        <v>151</v>
      </c>
      <c r="AL607" s="38" t="s">
        <v>151</v>
      </c>
      <c r="AM607" s="38" t="s">
        <v>151</v>
      </c>
      <c r="AN607" s="38" t="s">
        <v>151</v>
      </c>
      <c r="AO607" s="38" t="s">
        <v>151</v>
      </c>
      <c r="AP607" s="38" t="s">
        <v>151</v>
      </c>
      <c r="AQ607" s="38" t="s">
        <v>151</v>
      </c>
      <c r="AR607" s="29" t="s">
        <v>151</v>
      </c>
      <c r="AS607" s="30" t="s">
        <v>12592</v>
      </c>
      <c r="AT607" s="30" t="s">
        <v>12593</v>
      </c>
      <c r="AU607" s="31">
        <v>4</v>
      </c>
      <c r="AV607" s="30" t="s">
        <v>151</v>
      </c>
      <c r="AW607" s="30" t="s">
        <v>151</v>
      </c>
      <c r="AX607" s="30" t="s">
        <v>151</v>
      </c>
      <c r="AY607" s="30" t="s">
        <v>12594</v>
      </c>
      <c r="AZ607" s="30" t="s">
        <v>151</v>
      </c>
      <c r="BA607" s="30" t="s">
        <v>151</v>
      </c>
      <c r="BB607" s="30" t="s">
        <v>151</v>
      </c>
      <c r="BC607" s="30" t="s">
        <v>151</v>
      </c>
      <c r="BD607" s="30" t="s">
        <v>12595</v>
      </c>
      <c r="BE607" s="30" t="s">
        <v>12596</v>
      </c>
      <c r="BF607" s="30" t="s">
        <v>493</v>
      </c>
      <c r="BG607" s="30" t="s">
        <v>151</v>
      </c>
      <c r="BH607" s="30" t="s">
        <v>12597</v>
      </c>
      <c r="BI607" s="30" t="s">
        <v>12598</v>
      </c>
      <c r="BJ607" s="30" t="s">
        <v>12599</v>
      </c>
      <c r="BK607" s="30" t="s">
        <v>12600</v>
      </c>
      <c r="BL607" s="30" t="s">
        <v>12601</v>
      </c>
      <c r="BM607" s="30" t="s">
        <v>12602</v>
      </c>
      <c r="BN607" s="29" t="s">
        <v>12603</v>
      </c>
      <c r="BO607" s="30" t="s">
        <v>186</v>
      </c>
      <c r="BP607" s="29" t="s">
        <v>12597</v>
      </c>
      <c r="BQ607" s="29" t="s">
        <v>151</v>
      </c>
      <c r="BR607" s="30" t="s">
        <v>12604</v>
      </c>
      <c r="BS607" s="30" t="s">
        <v>187</v>
      </c>
      <c r="BT607" s="30" t="s">
        <v>188</v>
      </c>
      <c r="BU607" s="35">
        <v>45107</v>
      </c>
      <c r="BV607" s="37">
        <v>1.23</v>
      </c>
      <c r="BW607" s="30" t="s">
        <v>192</v>
      </c>
      <c r="BX607" s="37">
        <v>5.23</v>
      </c>
      <c r="BY607" s="30" t="s">
        <v>192</v>
      </c>
      <c r="BZ607" s="30" t="s">
        <v>293</v>
      </c>
      <c r="CA607" s="30" t="s">
        <v>293</v>
      </c>
      <c r="CB607" s="30" t="s">
        <v>151</v>
      </c>
      <c r="CC607" s="30" t="s">
        <v>165</v>
      </c>
      <c r="CD607" s="30" t="s">
        <v>151</v>
      </c>
      <c r="CE607" s="30" t="s">
        <v>191</v>
      </c>
      <c r="CF607" s="35">
        <v>45107</v>
      </c>
      <c r="CG607" s="37">
        <v>1.23</v>
      </c>
      <c r="CH607" s="30" t="s">
        <v>192</v>
      </c>
      <c r="CI607" s="37">
        <v>5.23</v>
      </c>
      <c r="CJ607" s="30" t="s">
        <v>192</v>
      </c>
      <c r="CK607" s="29" t="s">
        <v>151</v>
      </c>
      <c r="CL607" s="30" t="s">
        <v>293</v>
      </c>
      <c r="CM607" s="30" t="s">
        <v>293</v>
      </c>
      <c r="CN607" s="30" t="s">
        <v>151</v>
      </c>
      <c r="CO607" s="30" t="s">
        <v>165</v>
      </c>
      <c r="CP607" s="35">
        <v>45107</v>
      </c>
      <c r="CQ607" s="37" t="s">
        <v>151</v>
      </c>
      <c r="CR607" s="30" t="s">
        <v>151</v>
      </c>
      <c r="CS607" s="30" t="s">
        <v>191</v>
      </c>
      <c r="CT607" s="29" t="s">
        <v>151</v>
      </c>
      <c r="CU607" s="30" t="s">
        <v>151</v>
      </c>
      <c r="CV607" s="32" t="s">
        <v>151</v>
      </c>
      <c r="CW607" s="32" t="s">
        <v>151</v>
      </c>
      <c r="CX607" s="30" t="s">
        <v>151</v>
      </c>
      <c r="CY607" s="32" t="s">
        <v>151</v>
      </c>
      <c r="CZ607" s="32" t="s">
        <v>151</v>
      </c>
      <c r="DA607" s="37">
        <v>5.23</v>
      </c>
      <c r="DB607" s="35">
        <v>45107</v>
      </c>
      <c r="DC607" s="30" t="s">
        <v>293</v>
      </c>
      <c r="DD607" s="29" t="s">
        <v>151</v>
      </c>
      <c r="DE607" s="32">
        <v>0</v>
      </c>
      <c r="DF607" s="34">
        <v>11</v>
      </c>
      <c r="DG607" s="32">
        <v>0</v>
      </c>
      <c r="DH607" s="32">
        <v>0</v>
      </c>
      <c r="DI607" s="32">
        <v>0</v>
      </c>
      <c r="DJ607" s="34">
        <v>10</v>
      </c>
      <c r="DK607" s="32" t="s">
        <v>151</v>
      </c>
      <c r="DL607" s="34" t="s">
        <v>151</v>
      </c>
      <c r="DM607" s="32">
        <v>0</v>
      </c>
      <c r="DN607" s="34">
        <v>10</v>
      </c>
      <c r="DO607" s="36">
        <v>0.64</v>
      </c>
      <c r="DP607" s="34">
        <v>40</v>
      </c>
      <c r="DQ607" s="36">
        <v>0</v>
      </c>
      <c r="DR607" s="32">
        <v>0</v>
      </c>
      <c r="DS607" s="36">
        <v>1.05</v>
      </c>
      <c r="DT607" s="34">
        <v>51</v>
      </c>
      <c r="DU607" s="36" t="s">
        <v>151</v>
      </c>
      <c r="DV607" s="34" t="s">
        <v>151</v>
      </c>
      <c r="DW607" s="36">
        <v>1.05</v>
      </c>
      <c r="DX607" s="34">
        <v>51</v>
      </c>
      <c r="DY607" s="31" t="s">
        <v>151</v>
      </c>
      <c r="DZ607" s="35" t="s">
        <v>151</v>
      </c>
      <c r="EA607" s="35" t="s">
        <v>151</v>
      </c>
      <c r="EB607" s="34">
        <v>0</v>
      </c>
      <c r="EC607" s="33">
        <v>0</v>
      </c>
      <c r="ED607" s="32">
        <v>0</v>
      </c>
      <c r="EE607" s="34">
        <v>20</v>
      </c>
      <c r="EF607" s="33">
        <v>0</v>
      </c>
      <c r="EG607" s="32">
        <v>0</v>
      </c>
      <c r="EH607" s="29" t="s">
        <v>198</v>
      </c>
      <c r="EI607" s="30" t="s">
        <v>151</v>
      </c>
      <c r="EJ607" s="30" t="s">
        <v>151</v>
      </c>
      <c r="EK607" s="31" t="s">
        <v>151</v>
      </c>
      <c r="EL607" s="31" t="s">
        <v>151</v>
      </c>
      <c r="EM607" s="31" t="s">
        <v>151</v>
      </c>
      <c r="EN607" s="31" t="s">
        <v>151</v>
      </c>
      <c r="EO607" s="31" t="s">
        <v>151</v>
      </c>
      <c r="EP607" s="30" t="s">
        <v>151</v>
      </c>
      <c r="EQ607" s="29" t="s">
        <v>151</v>
      </c>
      <c r="ER607" s="29" t="s">
        <v>151</v>
      </c>
      <c r="ES607" s="4">
        <f>HYPERLINK("https://my.pitchbook.com?c=484438-24","View Company Online")</f>
      </c>
    </row>
    <row r="608">
      <c r="A608" s="17" t="s">
        <v>12605</v>
      </c>
      <c r="B608" s="17" t="s">
        <v>12606</v>
      </c>
      <c r="C608" s="18" t="s">
        <v>151</v>
      </c>
      <c r="D608" s="17" t="s">
        <v>12607</v>
      </c>
      <c r="E608" s="17" t="s">
        <v>151</v>
      </c>
      <c r="F608" s="17" t="s">
        <v>12608</v>
      </c>
      <c r="G608" s="17" t="s">
        <v>151</v>
      </c>
      <c r="H608" s="17" t="s">
        <v>151</v>
      </c>
      <c r="I608" s="17" t="s">
        <v>151</v>
      </c>
      <c r="J608" s="17" t="s">
        <v>12605</v>
      </c>
      <c r="K608" s="17" t="s">
        <v>12609</v>
      </c>
      <c r="L608" s="17" t="s">
        <v>205</v>
      </c>
      <c r="M608" s="17" t="s">
        <v>206</v>
      </c>
      <c r="N608" s="17" t="s">
        <v>269</v>
      </c>
      <c r="O608" s="17" t="s">
        <v>4706</v>
      </c>
      <c r="P608" s="17" t="s">
        <v>11225</v>
      </c>
      <c r="Q608" s="17" t="s">
        <v>12610</v>
      </c>
      <c r="R608" s="17" t="s">
        <v>151</v>
      </c>
      <c r="S608" s="17" t="s">
        <v>162</v>
      </c>
      <c r="T608" s="24">
        <v>2.15</v>
      </c>
      <c r="U608" s="17" t="s">
        <v>163</v>
      </c>
      <c r="V608" s="17" t="s">
        <v>164</v>
      </c>
      <c r="W608" s="17" t="s">
        <v>165</v>
      </c>
      <c r="X608" s="15" t="s">
        <v>12611</v>
      </c>
      <c r="Y608" s="15" t="s">
        <v>12612</v>
      </c>
      <c r="Z608" s="27">
        <v>16</v>
      </c>
      <c r="AA608" s="17" t="s">
        <v>12613</v>
      </c>
      <c r="AB608" s="17" t="s">
        <v>151</v>
      </c>
      <c r="AC608" s="17" t="s">
        <v>151</v>
      </c>
      <c r="AD608" s="26">
        <v>2020</v>
      </c>
      <c r="AE608" s="17" t="s">
        <v>151</v>
      </c>
      <c r="AF608" s="22">
        <v>45589</v>
      </c>
      <c r="AG608" s="17" t="s">
        <v>151</v>
      </c>
      <c r="AH608" s="17" t="s">
        <v>151</v>
      </c>
      <c r="AI608" s="25" t="s">
        <v>151</v>
      </c>
      <c r="AJ608" s="19" t="s">
        <v>151</v>
      </c>
      <c r="AK608" s="25" t="s">
        <v>151</v>
      </c>
      <c r="AL608" s="25" t="s">
        <v>151</v>
      </c>
      <c r="AM608" s="25" t="s">
        <v>151</v>
      </c>
      <c r="AN608" s="25" t="s">
        <v>151</v>
      </c>
      <c r="AO608" s="25" t="s">
        <v>151</v>
      </c>
      <c r="AP608" s="25" t="s">
        <v>151</v>
      </c>
      <c r="AQ608" s="25" t="s">
        <v>151</v>
      </c>
      <c r="AR608" s="16" t="s">
        <v>151</v>
      </c>
      <c r="AS608" s="17" t="s">
        <v>12614</v>
      </c>
      <c r="AT608" s="17" t="s">
        <v>12615</v>
      </c>
      <c r="AU608" s="18">
        <v>15</v>
      </c>
      <c r="AV608" s="17" t="s">
        <v>151</v>
      </c>
      <c r="AW608" s="17" t="s">
        <v>151</v>
      </c>
      <c r="AX608" s="17" t="s">
        <v>151</v>
      </c>
      <c r="AY608" s="17" t="s">
        <v>12616</v>
      </c>
      <c r="AZ608" s="17" t="s">
        <v>151</v>
      </c>
      <c r="BA608" s="17" t="s">
        <v>151</v>
      </c>
      <c r="BB608" s="17" t="s">
        <v>151</v>
      </c>
      <c r="BC608" s="17" t="s">
        <v>151</v>
      </c>
      <c r="BD608" s="17" t="s">
        <v>12617</v>
      </c>
      <c r="BE608" s="17" t="s">
        <v>12618</v>
      </c>
      <c r="BF608" s="17" t="s">
        <v>221</v>
      </c>
      <c r="BG608" s="17" t="s">
        <v>151</v>
      </c>
      <c r="BH608" s="17" t="s">
        <v>151</v>
      </c>
      <c r="BI608" s="17" t="s">
        <v>12619</v>
      </c>
      <c r="BJ608" s="17" t="s">
        <v>12620</v>
      </c>
      <c r="BK608" s="17" t="s">
        <v>151</v>
      </c>
      <c r="BL608" s="17" t="s">
        <v>12621</v>
      </c>
      <c r="BM608" s="17" t="s">
        <v>5821</v>
      </c>
      <c r="BN608" s="16" t="s">
        <v>12622</v>
      </c>
      <c r="BO608" s="17" t="s">
        <v>186</v>
      </c>
      <c r="BP608" s="16" t="s">
        <v>151</v>
      </c>
      <c r="BQ608" s="16" t="s">
        <v>151</v>
      </c>
      <c r="BR608" s="17" t="s">
        <v>12623</v>
      </c>
      <c r="BS608" s="17" t="s">
        <v>187</v>
      </c>
      <c r="BT608" s="17" t="s">
        <v>188</v>
      </c>
      <c r="BU608" s="22">
        <v>43831</v>
      </c>
      <c r="BV608" s="24">
        <v>0.5</v>
      </c>
      <c r="BW608" s="17" t="s">
        <v>192</v>
      </c>
      <c r="BX608" s="24" t="s">
        <v>151</v>
      </c>
      <c r="BY608" s="17" t="s">
        <v>151</v>
      </c>
      <c r="BZ608" s="17" t="s">
        <v>293</v>
      </c>
      <c r="CA608" s="17" t="s">
        <v>293</v>
      </c>
      <c r="CB608" s="17" t="s">
        <v>151</v>
      </c>
      <c r="CC608" s="17" t="s">
        <v>165</v>
      </c>
      <c r="CD608" s="17" t="s">
        <v>151</v>
      </c>
      <c r="CE608" s="17" t="s">
        <v>191</v>
      </c>
      <c r="CF608" s="22">
        <v>45565</v>
      </c>
      <c r="CG608" s="24" t="s">
        <v>151</v>
      </c>
      <c r="CH608" s="17" t="s">
        <v>151</v>
      </c>
      <c r="CI608" s="24" t="s">
        <v>151</v>
      </c>
      <c r="CJ608" s="17" t="s">
        <v>151</v>
      </c>
      <c r="CK608" s="16" t="s">
        <v>151</v>
      </c>
      <c r="CL608" s="17" t="s">
        <v>293</v>
      </c>
      <c r="CM608" s="17" t="s">
        <v>293</v>
      </c>
      <c r="CN608" s="17" t="s">
        <v>151</v>
      </c>
      <c r="CO608" s="17" t="s">
        <v>165</v>
      </c>
      <c r="CP608" s="22">
        <v>45565</v>
      </c>
      <c r="CQ608" s="24" t="s">
        <v>151</v>
      </c>
      <c r="CR608" s="17" t="s">
        <v>151</v>
      </c>
      <c r="CS608" s="17" t="s">
        <v>191</v>
      </c>
      <c r="CT608" s="16">
        <v>68</v>
      </c>
      <c r="CU608" s="17" t="s">
        <v>196</v>
      </c>
      <c r="CV608" s="19">
        <v>64</v>
      </c>
      <c r="CW608" s="19">
        <v>36</v>
      </c>
      <c r="CX608" s="17" t="s">
        <v>294</v>
      </c>
      <c r="CY608" s="19">
        <v>1</v>
      </c>
      <c r="CZ608" s="19">
        <v>63</v>
      </c>
      <c r="DA608" s="24" t="s">
        <v>151</v>
      </c>
      <c r="DB608" s="22" t="s">
        <v>151</v>
      </c>
      <c r="DC608" s="17" t="s">
        <v>151</v>
      </c>
      <c r="DD608" s="16" t="s">
        <v>151</v>
      </c>
      <c r="DE608" s="19">
        <v>1.73</v>
      </c>
      <c r="DF608" s="21">
        <v>98</v>
      </c>
      <c r="DG608" s="19">
        <v>0</v>
      </c>
      <c r="DH608" s="19">
        <v>0</v>
      </c>
      <c r="DI608" s="19" t="s">
        <v>151</v>
      </c>
      <c r="DJ608" s="21" t="s">
        <v>151</v>
      </c>
      <c r="DK608" s="19" t="s">
        <v>151</v>
      </c>
      <c r="DL608" s="21" t="s">
        <v>151</v>
      </c>
      <c r="DM608" s="19" t="s">
        <v>151</v>
      </c>
      <c r="DN608" s="21" t="s">
        <v>151</v>
      </c>
      <c r="DO608" s="23">
        <v>1.23</v>
      </c>
      <c r="DP608" s="21">
        <v>55</v>
      </c>
      <c r="DQ608" s="23">
        <v>0</v>
      </c>
      <c r="DR608" s="19">
        <v>0</v>
      </c>
      <c r="DS608" s="23" t="s">
        <v>151</v>
      </c>
      <c r="DT608" s="21" t="s">
        <v>151</v>
      </c>
      <c r="DU608" s="23" t="s">
        <v>151</v>
      </c>
      <c r="DV608" s="21" t="s">
        <v>151</v>
      </c>
      <c r="DW608" s="23" t="s">
        <v>151</v>
      </c>
      <c r="DX608" s="21" t="s">
        <v>151</v>
      </c>
      <c r="DY608" s="18" t="s">
        <v>151</v>
      </c>
      <c r="DZ608" s="22" t="s">
        <v>151</v>
      </c>
      <c r="EA608" s="22" t="s">
        <v>151</v>
      </c>
      <c r="EB608" s="21">
        <v>10</v>
      </c>
      <c r="EC608" s="20">
        <v>-52</v>
      </c>
      <c r="ED608" s="19">
        <v>-83.87</v>
      </c>
      <c r="EE608" s="21" t="s">
        <v>151</v>
      </c>
      <c r="EF608" s="20" t="s">
        <v>151</v>
      </c>
      <c r="EG608" s="19" t="s">
        <v>151</v>
      </c>
      <c r="EH608" s="16" t="s">
        <v>198</v>
      </c>
      <c r="EI608" s="17" t="s">
        <v>151</v>
      </c>
      <c r="EJ608" s="17" t="s">
        <v>151</v>
      </c>
      <c r="EK608" s="18" t="s">
        <v>151</v>
      </c>
      <c r="EL608" s="18" t="s">
        <v>151</v>
      </c>
      <c r="EM608" s="18" t="s">
        <v>151</v>
      </c>
      <c r="EN608" s="18" t="s">
        <v>151</v>
      </c>
      <c r="EO608" s="18" t="s">
        <v>151</v>
      </c>
      <c r="EP608" s="17" t="s">
        <v>151</v>
      </c>
      <c r="EQ608" s="16" t="s">
        <v>151</v>
      </c>
      <c r="ER608" s="16" t="s">
        <v>151</v>
      </c>
      <c r="ES608" s="3">
        <f>HYPERLINK("https://my.pitchbook.com?c=458778-07","View Company Online")</f>
      </c>
    </row>
    <row r="609">
      <c r="A609" s="30" t="s">
        <v>12624</v>
      </c>
      <c r="B609" s="30" t="s">
        <v>12625</v>
      </c>
      <c r="C609" s="31" t="s">
        <v>151</v>
      </c>
      <c r="D609" s="30" t="s">
        <v>151</v>
      </c>
      <c r="E609" s="30" t="s">
        <v>12626</v>
      </c>
      <c r="F609" s="30" t="s">
        <v>12627</v>
      </c>
      <c r="G609" s="30" t="s">
        <v>151</v>
      </c>
      <c r="H609" s="30" t="s">
        <v>151</v>
      </c>
      <c r="I609" s="30" t="s">
        <v>151</v>
      </c>
      <c r="J609" s="30" t="s">
        <v>12624</v>
      </c>
      <c r="K609" s="30" t="s">
        <v>12628</v>
      </c>
      <c r="L609" s="30" t="s">
        <v>205</v>
      </c>
      <c r="M609" s="30" t="s">
        <v>206</v>
      </c>
      <c r="N609" s="30" t="s">
        <v>269</v>
      </c>
      <c r="O609" s="30" t="s">
        <v>12629</v>
      </c>
      <c r="P609" s="30" t="s">
        <v>2618</v>
      </c>
      <c r="Q609" s="30" t="s">
        <v>12630</v>
      </c>
      <c r="R609" s="30" t="s">
        <v>151</v>
      </c>
      <c r="S609" s="30" t="s">
        <v>162</v>
      </c>
      <c r="T609" s="37">
        <v>1.15</v>
      </c>
      <c r="U609" s="30" t="s">
        <v>163</v>
      </c>
      <c r="V609" s="30" t="s">
        <v>164</v>
      </c>
      <c r="W609" s="30" t="s">
        <v>165</v>
      </c>
      <c r="X609" s="28" t="s">
        <v>12631</v>
      </c>
      <c r="Y609" s="28" t="s">
        <v>12632</v>
      </c>
      <c r="Z609" s="40">
        <v>5</v>
      </c>
      <c r="AA609" s="30" t="s">
        <v>8376</v>
      </c>
      <c r="AB609" s="30" t="s">
        <v>151</v>
      </c>
      <c r="AC609" s="30" t="s">
        <v>151</v>
      </c>
      <c r="AD609" s="39">
        <v>2020</v>
      </c>
      <c r="AE609" s="30" t="s">
        <v>151</v>
      </c>
      <c r="AF609" s="35">
        <v>45595</v>
      </c>
      <c r="AG609" s="30" t="s">
        <v>151</v>
      </c>
      <c r="AH609" s="30" t="s">
        <v>151</v>
      </c>
      <c r="AI609" s="38" t="s">
        <v>151</v>
      </c>
      <c r="AJ609" s="32" t="s">
        <v>151</v>
      </c>
      <c r="AK609" s="38" t="s">
        <v>151</v>
      </c>
      <c r="AL609" s="38" t="s">
        <v>151</v>
      </c>
      <c r="AM609" s="38" t="s">
        <v>151</v>
      </c>
      <c r="AN609" s="38" t="s">
        <v>151</v>
      </c>
      <c r="AO609" s="38" t="s">
        <v>151</v>
      </c>
      <c r="AP609" s="38" t="s">
        <v>151</v>
      </c>
      <c r="AQ609" s="38" t="s">
        <v>151</v>
      </c>
      <c r="AR609" s="29" t="s">
        <v>151</v>
      </c>
      <c r="AS609" s="30" t="s">
        <v>12633</v>
      </c>
      <c r="AT609" s="30" t="s">
        <v>12634</v>
      </c>
      <c r="AU609" s="31">
        <v>5</v>
      </c>
      <c r="AV609" s="30" t="s">
        <v>151</v>
      </c>
      <c r="AW609" s="30" t="s">
        <v>151</v>
      </c>
      <c r="AX609" s="30" t="s">
        <v>151</v>
      </c>
      <c r="AY609" s="30" t="s">
        <v>12635</v>
      </c>
      <c r="AZ609" s="30" t="s">
        <v>151</v>
      </c>
      <c r="BA609" s="30" t="s">
        <v>151</v>
      </c>
      <c r="BB609" s="30" t="s">
        <v>151</v>
      </c>
      <c r="BC609" s="30" t="s">
        <v>151</v>
      </c>
      <c r="BD609" s="30" t="s">
        <v>12636</v>
      </c>
      <c r="BE609" s="30" t="s">
        <v>12637</v>
      </c>
      <c r="BF609" s="30" t="s">
        <v>12638</v>
      </c>
      <c r="BG609" s="30" t="s">
        <v>12639</v>
      </c>
      <c r="BH609" s="30" t="s">
        <v>12640</v>
      </c>
      <c r="BI609" s="30" t="s">
        <v>3152</v>
      </c>
      <c r="BJ609" s="30" t="s">
        <v>12641</v>
      </c>
      <c r="BK609" s="30" t="s">
        <v>151</v>
      </c>
      <c r="BL609" s="30" t="s">
        <v>3154</v>
      </c>
      <c r="BM609" s="30" t="s">
        <v>3155</v>
      </c>
      <c r="BN609" s="29" t="s">
        <v>3156</v>
      </c>
      <c r="BO609" s="30" t="s">
        <v>186</v>
      </c>
      <c r="BP609" s="29" t="s">
        <v>151</v>
      </c>
      <c r="BQ609" s="29" t="s">
        <v>151</v>
      </c>
      <c r="BR609" s="30" t="s">
        <v>151</v>
      </c>
      <c r="BS609" s="30" t="s">
        <v>187</v>
      </c>
      <c r="BT609" s="30" t="s">
        <v>188</v>
      </c>
      <c r="BU609" s="35">
        <v>44562</v>
      </c>
      <c r="BV609" s="37" t="s">
        <v>151</v>
      </c>
      <c r="BW609" s="30" t="s">
        <v>151</v>
      </c>
      <c r="BX609" s="37" t="s">
        <v>151</v>
      </c>
      <c r="BY609" s="30" t="s">
        <v>151</v>
      </c>
      <c r="BZ609" s="30" t="s">
        <v>189</v>
      </c>
      <c r="CA609" s="30" t="s">
        <v>151</v>
      </c>
      <c r="CB609" s="30" t="s">
        <v>151</v>
      </c>
      <c r="CC609" s="30" t="s">
        <v>190</v>
      </c>
      <c r="CD609" s="30" t="s">
        <v>151</v>
      </c>
      <c r="CE609" s="30" t="s">
        <v>191</v>
      </c>
      <c r="CF609" s="35" t="s">
        <v>151</v>
      </c>
      <c r="CG609" s="37">
        <v>0.15</v>
      </c>
      <c r="CH609" s="30" t="s">
        <v>192</v>
      </c>
      <c r="CI609" s="37" t="s">
        <v>151</v>
      </c>
      <c r="CJ609" s="30" t="s">
        <v>151</v>
      </c>
      <c r="CK609" s="29">
        <v>0.92</v>
      </c>
      <c r="CL609" s="30" t="s">
        <v>189</v>
      </c>
      <c r="CM609" s="30" t="s">
        <v>151</v>
      </c>
      <c r="CN609" s="30" t="s">
        <v>151</v>
      </c>
      <c r="CO609" s="30" t="s">
        <v>190</v>
      </c>
      <c r="CP609" s="35" t="s">
        <v>151</v>
      </c>
      <c r="CQ609" s="37" t="s">
        <v>151</v>
      </c>
      <c r="CR609" s="30" t="s">
        <v>151</v>
      </c>
      <c r="CS609" s="30" t="s">
        <v>191</v>
      </c>
      <c r="CT609" s="29">
        <v>41</v>
      </c>
      <c r="CU609" s="30" t="s">
        <v>263</v>
      </c>
      <c r="CV609" s="32">
        <v>41</v>
      </c>
      <c r="CW609" s="32">
        <v>59</v>
      </c>
      <c r="CX609" s="30" t="s">
        <v>263</v>
      </c>
      <c r="CY609" s="32">
        <v>1</v>
      </c>
      <c r="CZ609" s="32">
        <v>40</v>
      </c>
      <c r="DA609" s="37">
        <v>3.5</v>
      </c>
      <c r="DB609" s="35">
        <v>45140</v>
      </c>
      <c r="DC609" s="30" t="s">
        <v>231</v>
      </c>
      <c r="DD609" s="29">
        <v>0.92</v>
      </c>
      <c r="DE609" s="32">
        <v>-1.04</v>
      </c>
      <c r="DF609" s="34">
        <v>4</v>
      </c>
      <c r="DG609" s="32">
        <v>0</v>
      </c>
      <c r="DH609" s="32">
        <v>0</v>
      </c>
      <c r="DI609" s="32">
        <v>0</v>
      </c>
      <c r="DJ609" s="34">
        <v>10</v>
      </c>
      <c r="DK609" s="32" t="s">
        <v>151</v>
      </c>
      <c r="DL609" s="34" t="s">
        <v>151</v>
      </c>
      <c r="DM609" s="32">
        <v>0</v>
      </c>
      <c r="DN609" s="34">
        <v>10</v>
      </c>
      <c r="DO609" s="36">
        <v>0.96</v>
      </c>
      <c r="DP609" s="34">
        <v>49</v>
      </c>
      <c r="DQ609" s="36">
        <v>0</v>
      </c>
      <c r="DR609" s="32">
        <v>0</v>
      </c>
      <c r="DS609" s="36">
        <v>1.53</v>
      </c>
      <c r="DT609" s="34">
        <v>60</v>
      </c>
      <c r="DU609" s="36" t="s">
        <v>151</v>
      </c>
      <c r="DV609" s="34" t="s">
        <v>151</v>
      </c>
      <c r="DW609" s="36">
        <v>1.53</v>
      </c>
      <c r="DX609" s="34">
        <v>59</v>
      </c>
      <c r="DY609" s="31" t="s">
        <v>151</v>
      </c>
      <c r="DZ609" s="35" t="s">
        <v>151</v>
      </c>
      <c r="EA609" s="35" t="s">
        <v>151</v>
      </c>
      <c r="EB609" s="34">
        <v>285</v>
      </c>
      <c r="EC609" s="33">
        <v>49</v>
      </c>
      <c r="ED609" s="32">
        <v>20.76</v>
      </c>
      <c r="EE609" s="34">
        <v>29</v>
      </c>
      <c r="EF609" s="33">
        <v>0</v>
      </c>
      <c r="EG609" s="32">
        <v>0</v>
      </c>
      <c r="EH609" s="29" t="s">
        <v>198</v>
      </c>
      <c r="EI609" s="30" t="s">
        <v>151</v>
      </c>
      <c r="EJ609" s="30" t="s">
        <v>151</v>
      </c>
      <c r="EK609" s="31" t="s">
        <v>151</v>
      </c>
      <c r="EL609" s="31" t="s">
        <v>151</v>
      </c>
      <c r="EM609" s="31" t="s">
        <v>151</v>
      </c>
      <c r="EN609" s="31" t="s">
        <v>151</v>
      </c>
      <c r="EO609" s="31" t="s">
        <v>151</v>
      </c>
      <c r="EP609" s="30" t="s">
        <v>151</v>
      </c>
      <c r="EQ609" s="29" t="s">
        <v>151</v>
      </c>
      <c r="ER609" s="29" t="s">
        <v>151</v>
      </c>
      <c r="ES609" s="4">
        <f>HYPERLINK("https://my.pitchbook.com?c=465690-70","View Company Online")</f>
      </c>
    </row>
    <row r="610">
      <c r="A610" s="17" t="s">
        <v>12642</v>
      </c>
      <c r="B610" s="17" t="s">
        <v>12643</v>
      </c>
      <c r="C610" s="18" t="s">
        <v>151</v>
      </c>
      <c r="D610" s="17" t="s">
        <v>151</v>
      </c>
      <c r="E610" s="17" t="s">
        <v>151</v>
      </c>
      <c r="F610" s="17" t="s">
        <v>12644</v>
      </c>
      <c r="G610" s="17" t="s">
        <v>151</v>
      </c>
      <c r="H610" s="17" t="s">
        <v>151</v>
      </c>
      <c r="I610" s="17" t="s">
        <v>151</v>
      </c>
      <c r="J610" s="17" t="s">
        <v>12642</v>
      </c>
      <c r="K610" s="17" t="s">
        <v>12645</v>
      </c>
      <c r="L610" s="17" t="s">
        <v>205</v>
      </c>
      <c r="M610" s="17" t="s">
        <v>206</v>
      </c>
      <c r="N610" s="17" t="s">
        <v>1940</v>
      </c>
      <c r="O610" s="17" t="s">
        <v>12646</v>
      </c>
      <c r="P610" s="17" t="s">
        <v>12647</v>
      </c>
      <c r="Q610" s="17" t="s">
        <v>12648</v>
      </c>
      <c r="R610" s="17" t="s">
        <v>151</v>
      </c>
      <c r="S610" s="17" t="s">
        <v>162</v>
      </c>
      <c r="T610" s="24">
        <v>7.5</v>
      </c>
      <c r="U610" s="17" t="s">
        <v>163</v>
      </c>
      <c r="V610" s="17" t="s">
        <v>164</v>
      </c>
      <c r="W610" s="17" t="s">
        <v>165</v>
      </c>
      <c r="X610" s="15" t="s">
        <v>12649</v>
      </c>
      <c r="Y610" s="15" t="s">
        <v>12650</v>
      </c>
      <c r="Z610" s="27">
        <v>16</v>
      </c>
      <c r="AA610" s="17" t="s">
        <v>12651</v>
      </c>
      <c r="AB610" s="17" t="s">
        <v>151</v>
      </c>
      <c r="AC610" s="17" t="s">
        <v>151</v>
      </c>
      <c r="AD610" s="26">
        <v>2019</v>
      </c>
      <c r="AE610" s="17" t="s">
        <v>151</v>
      </c>
      <c r="AF610" s="22">
        <v>45569</v>
      </c>
      <c r="AG610" s="17" t="s">
        <v>151</v>
      </c>
      <c r="AH610" s="17" t="s">
        <v>151</v>
      </c>
      <c r="AI610" s="25" t="s">
        <v>151</v>
      </c>
      <c r="AJ610" s="19" t="s">
        <v>151</v>
      </c>
      <c r="AK610" s="25" t="s">
        <v>151</v>
      </c>
      <c r="AL610" s="25" t="s">
        <v>151</v>
      </c>
      <c r="AM610" s="25" t="s">
        <v>151</v>
      </c>
      <c r="AN610" s="25" t="s">
        <v>151</v>
      </c>
      <c r="AO610" s="25" t="s">
        <v>151</v>
      </c>
      <c r="AP610" s="25" t="s">
        <v>151</v>
      </c>
      <c r="AQ610" s="25" t="s">
        <v>151</v>
      </c>
      <c r="AR610" s="16" t="s">
        <v>151</v>
      </c>
      <c r="AS610" s="17" t="s">
        <v>12652</v>
      </c>
      <c r="AT610" s="17" t="s">
        <v>12653</v>
      </c>
      <c r="AU610" s="18">
        <v>7</v>
      </c>
      <c r="AV610" s="17" t="s">
        <v>12654</v>
      </c>
      <c r="AW610" s="17" t="s">
        <v>151</v>
      </c>
      <c r="AX610" s="17" t="s">
        <v>151</v>
      </c>
      <c r="AY610" s="17" t="s">
        <v>12655</v>
      </c>
      <c r="AZ610" s="17" t="s">
        <v>151</v>
      </c>
      <c r="BA610" s="17" t="s">
        <v>151</v>
      </c>
      <c r="BB610" s="17" t="s">
        <v>874</v>
      </c>
      <c r="BC610" s="17" t="s">
        <v>874</v>
      </c>
      <c r="BD610" s="17" t="s">
        <v>12656</v>
      </c>
      <c r="BE610" s="17" t="s">
        <v>12657</v>
      </c>
      <c r="BF610" s="17" t="s">
        <v>221</v>
      </c>
      <c r="BG610" s="17" t="s">
        <v>12658</v>
      </c>
      <c r="BH610" s="17" t="s">
        <v>12659</v>
      </c>
      <c r="BI610" s="17" t="s">
        <v>181</v>
      </c>
      <c r="BJ610" s="17" t="s">
        <v>12660</v>
      </c>
      <c r="BK610" s="17" t="s">
        <v>151</v>
      </c>
      <c r="BL610" s="17" t="s">
        <v>183</v>
      </c>
      <c r="BM610" s="17" t="s">
        <v>184</v>
      </c>
      <c r="BN610" s="16" t="s">
        <v>12661</v>
      </c>
      <c r="BO610" s="17" t="s">
        <v>186</v>
      </c>
      <c r="BP610" s="16" t="s">
        <v>12659</v>
      </c>
      <c r="BQ610" s="16" t="s">
        <v>151</v>
      </c>
      <c r="BR610" s="17" t="s">
        <v>12662</v>
      </c>
      <c r="BS610" s="17" t="s">
        <v>187</v>
      </c>
      <c r="BT610" s="17" t="s">
        <v>188</v>
      </c>
      <c r="BU610" s="22">
        <v>44406</v>
      </c>
      <c r="BV610" s="24">
        <v>3</v>
      </c>
      <c r="BW610" s="17" t="s">
        <v>193</v>
      </c>
      <c r="BX610" s="24">
        <v>10</v>
      </c>
      <c r="BY610" s="17" t="s">
        <v>193</v>
      </c>
      <c r="BZ610" s="17" t="s">
        <v>293</v>
      </c>
      <c r="CA610" s="17" t="s">
        <v>293</v>
      </c>
      <c r="CB610" s="17" t="s">
        <v>151</v>
      </c>
      <c r="CC610" s="17" t="s">
        <v>165</v>
      </c>
      <c r="CD610" s="17" t="s">
        <v>151</v>
      </c>
      <c r="CE610" s="17" t="s">
        <v>191</v>
      </c>
      <c r="CF610" s="22">
        <v>45443</v>
      </c>
      <c r="CG610" s="24">
        <v>4.5</v>
      </c>
      <c r="CH610" s="17" t="s">
        <v>192</v>
      </c>
      <c r="CI610" s="24">
        <v>15</v>
      </c>
      <c r="CJ610" s="17" t="s">
        <v>192</v>
      </c>
      <c r="CK610" s="16">
        <v>1.05</v>
      </c>
      <c r="CL610" s="17" t="s">
        <v>293</v>
      </c>
      <c r="CM610" s="17" t="s">
        <v>661</v>
      </c>
      <c r="CN610" s="17" t="s">
        <v>151</v>
      </c>
      <c r="CO610" s="17" t="s">
        <v>165</v>
      </c>
      <c r="CP610" s="22">
        <v>45443</v>
      </c>
      <c r="CQ610" s="24" t="s">
        <v>151</v>
      </c>
      <c r="CR610" s="17" t="s">
        <v>151</v>
      </c>
      <c r="CS610" s="17" t="s">
        <v>191</v>
      </c>
      <c r="CT610" s="16">
        <v>95</v>
      </c>
      <c r="CU610" s="17" t="s">
        <v>196</v>
      </c>
      <c r="CV610" s="19">
        <v>89</v>
      </c>
      <c r="CW610" s="19">
        <v>11</v>
      </c>
      <c r="CX610" s="17" t="s">
        <v>294</v>
      </c>
      <c r="CY610" s="19">
        <v>1</v>
      </c>
      <c r="CZ610" s="19">
        <v>88</v>
      </c>
      <c r="DA610" s="24">
        <v>15</v>
      </c>
      <c r="DB610" s="22">
        <v>45443</v>
      </c>
      <c r="DC610" s="17" t="s">
        <v>293</v>
      </c>
      <c r="DD610" s="16">
        <v>1.05</v>
      </c>
      <c r="DE610" s="19">
        <v>0</v>
      </c>
      <c r="DF610" s="21">
        <v>11</v>
      </c>
      <c r="DG610" s="19">
        <v>0</v>
      </c>
      <c r="DH610" s="19">
        <v>0</v>
      </c>
      <c r="DI610" s="19">
        <v>0</v>
      </c>
      <c r="DJ610" s="21">
        <v>10</v>
      </c>
      <c r="DK610" s="19" t="s">
        <v>151</v>
      </c>
      <c r="DL610" s="21" t="s">
        <v>151</v>
      </c>
      <c r="DM610" s="19">
        <v>0</v>
      </c>
      <c r="DN610" s="21">
        <v>10</v>
      </c>
      <c r="DO610" s="23">
        <v>2.95</v>
      </c>
      <c r="DP610" s="21">
        <v>74</v>
      </c>
      <c r="DQ610" s="23">
        <v>0</v>
      </c>
      <c r="DR610" s="19">
        <v>0</v>
      </c>
      <c r="DS610" s="23">
        <v>2.95</v>
      </c>
      <c r="DT610" s="21">
        <v>74</v>
      </c>
      <c r="DU610" s="23" t="s">
        <v>151</v>
      </c>
      <c r="DV610" s="21" t="s">
        <v>151</v>
      </c>
      <c r="DW610" s="23">
        <v>2.95</v>
      </c>
      <c r="DX610" s="21">
        <v>73</v>
      </c>
      <c r="DY610" s="18" t="s">
        <v>151</v>
      </c>
      <c r="DZ610" s="22" t="s">
        <v>151</v>
      </c>
      <c r="EA610" s="22" t="s">
        <v>151</v>
      </c>
      <c r="EB610" s="21">
        <v>909</v>
      </c>
      <c r="EC610" s="20">
        <v>85</v>
      </c>
      <c r="ED610" s="19">
        <v>10.32</v>
      </c>
      <c r="EE610" s="21">
        <v>56</v>
      </c>
      <c r="EF610" s="20">
        <v>0</v>
      </c>
      <c r="EG610" s="19">
        <v>0</v>
      </c>
      <c r="EH610" s="16" t="s">
        <v>198</v>
      </c>
      <c r="EI610" s="17" t="s">
        <v>151</v>
      </c>
      <c r="EJ610" s="17" t="s">
        <v>151</v>
      </c>
      <c r="EK610" s="18" t="s">
        <v>151</v>
      </c>
      <c r="EL610" s="18" t="s">
        <v>151</v>
      </c>
      <c r="EM610" s="18" t="s">
        <v>151</v>
      </c>
      <c r="EN610" s="18" t="s">
        <v>151</v>
      </c>
      <c r="EO610" s="18" t="s">
        <v>151</v>
      </c>
      <c r="EP610" s="17" t="s">
        <v>151</v>
      </c>
      <c r="EQ610" s="16" t="s">
        <v>151</v>
      </c>
      <c r="ER610" s="16" t="s">
        <v>151</v>
      </c>
      <c r="ES610" s="3">
        <f>HYPERLINK("https://my.pitchbook.com?c=472538-17","View Company Online")</f>
      </c>
    </row>
    <row r="611">
      <c r="A611" s="30" t="s">
        <v>12663</v>
      </c>
      <c r="B611" s="30" t="s">
        <v>12664</v>
      </c>
      <c r="C611" s="31" t="s">
        <v>151</v>
      </c>
      <c r="D611" s="30" t="s">
        <v>151</v>
      </c>
      <c r="E611" s="30" t="s">
        <v>151</v>
      </c>
      <c r="F611" s="30" t="s">
        <v>12665</v>
      </c>
      <c r="G611" s="30" t="s">
        <v>151</v>
      </c>
      <c r="H611" s="30" t="s">
        <v>151</v>
      </c>
      <c r="I611" s="30" t="s">
        <v>12666</v>
      </c>
      <c r="J611" s="30" t="s">
        <v>12663</v>
      </c>
      <c r="K611" s="30" t="s">
        <v>12667</v>
      </c>
      <c r="L611" s="30" t="s">
        <v>205</v>
      </c>
      <c r="M611" s="30" t="s">
        <v>206</v>
      </c>
      <c r="N611" s="30" t="s">
        <v>269</v>
      </c>
      <c r="O611" s="30" t="s">
        <v>1819</v>
      </c>
      <c r="P611" s="30" t="s">
        <v>10200</v>
      </c>
      <c r="Q611" s="30" t="s">
        <v>12668</v>
      </c>
      <c r="R611" s="30" t="s">
        <v>151</v>
      </c>
      <c r="S611" s="30" t="s">
        <v>162</v>
      </c>
      <c r="T611" s="37">
        <v>0.73</v>
      </c>
      <c r="U611" s="30" t="s">
        <v>163</v>
      </c>
      <c r="V611" s="30" t="s">
        <v>164</v>
      </c>
      <c r="W611" s="30" t="s">
        <v>165</v>
      </c>
      <c r="X611" s="28" t="s">
        <v>12669</v>
      </c>
      <c r="Y611" s="28" t="s">
        <v>12670</v>
      </c>
      <c r="Z611" s="40">
        <v>17</v>
      </c>
      <c r="AA611" s="30" t="s">
        <v>12671</v>
      </c>
      <c r="AB611" s="30" t="s">
        <v>151</v>
      </c>
      <c r="AC611" s="30" t="s">
        <v>151</v>
      </c>
      <c r="AD611" s="39">
        <v>2018</v>
      </c>
      <c r="AE611" s="30" t="s">
        <v>151</v>
      </c>
      <c r="AF611" s="35">
        <v>45559</v>
      </c>
      <c r="AG611" s="30" t="s">
        <v>151</v>
      </c>
      <c r="AH611" s="30" t="s">
        <v>151</v>
      </c>
      <c r="AI611" s="38" t="s">
        <v>151</v>
      </c>
      <c r="AJ611" s="32" t="s">
        <v>151</v>
      </c>
      <c r="AK611" s="38" t="s">
        <v>151</v>
      </c>
      <c r="AL611" s="38" t="s">
        <v>151</v>
      </c>
      <c r="AM611" s="38" t="s">
        <v>151</v>
      </c>
      <c r="AN611" s="38" t="s">
        <v>151</v>
      </c>
      <c r="AO611" s="38" t="s">
        <v>151</v>
      </c>
      <c r="AP611" s="38" t="s">
        <v>151</v>
      </c>
      <c r="AQ611" s="38" t="s">
        <v>151</v>
      </c>
      <c r="AR611" s="29" t="s">
        <v>151</v>
      </c>
      <c r="AS611" s="30" t="s">
        <v>12672</v>
      </c>
      <c r="AT611" s="30" t="s">
        <v>12673</v>
      </c>
      <c r="AU611" s="31">
        <v>2</v>
      </c>
      <c r="AV611" s="30" t="s">
        <v>151</v>
      </c>
      <c r="AW611" s="30" t="s">
        <v>151</v>
      </c>
      <c r="AX611" s="30" t="s">
        <v>151</v>
      </c>
      <c r="AY611" s="30" t="s">
        <v>12674</v>
      </c>
      <c r="AZ611" s="30" t="s">
        <v>151</v>
      </c>
      <c r="BA611" s="30" t="s">
        <v>151</v>
      </c>
      <c r="BB611" s="30" t="s">
        <v>12675</v>
      </c>
      <c r="BC611" s="30" t="s">
        <v>151</v>
      </c>
      <c r="BD611" s="30" t="s">
        <v>12676</v>
      </c>
      <c r="BE611" s="30" t="s">
        <v>12677</v>
      </c>
      <c r="BF611" s="30" t="s">
        <v>12678</v>
      </c>
      <c r="BG611" s="30" t="s">
        <v>12679</v>
      </c>
      <c r="BH611" s="30" t="s">
        <v>12680</v>
      </c>
      <c r="BI611" s="30" t="s">
        <v>1040</v>
      </c>
      <c r="BJ611" s="30" t="s">
        <v>12681</v>
      </c>
      <c r="BK611" s="30" t="s">
        <v>151</v>
      </c>
      <c r="BL611" s="30" t="s">
        <v>1042</v>
      </c>
      <c r="BM611" s="30" t="s">
        <v>1043</v>
      </c>
      <c r="BN611" s="29" t="s">
        <v>12682</v>
      </c>
      <c r="BO611" s="30" t="s">
        <v>186</v>
      </c>
      <c r="BP611" s="29" t="s">
        <v>12680</v>
      </c>
      <c r="BQ611" s="29" t="s">
        <v>151</v>
      </c>
      <c r="BR611" s="30" t="s">
        <v>12683</v>
      </c>
      <c r="BS611" s="30" t="s">
        <v>187</v>
      </c>
      <c r="BT611" s="30" t="s">
        <v>188</v>
      </c>
      <c r="BU611" s="35">
        <v>43903</v>
      </c>
      <c r="BV611" s="37" t="s">
        <v>151</v>
      </c>
      <c r="BW611" s="30" t="s">
        <v>151</v>
      </c>
      <c r="BX611" s="37" t="s">
        <v>151</v>
      </c>
      <c r="BY611" s="30" t="s">
        <v>151</v>
      </c>
      <c r="BZ611" s="30" t="s">
        <v>189</v>
      </c>
      <c r="CA611" s="30" t="s">
        <v>151</v>
      </c>
      <c r="CB611" s="30" t="s">
        <v>151</v>
      </c>
      <c r="CC611" s="30" t="s">
        <v>190</v>
      </c>
      <c r="CD611" s="30" t="s">
        <v>151</v>
      </c>
      <c r="CE611" s="30" t="s">
        <v>191</v>
      </c>
      <c r="CF611" s="35">
        <v>44896</v>
      </c>
      <c r="CG611" s="37">
        <v>0.23</v>
      </c>
      <c r="CH611" s="30" t="s">
        <v>192</v>
      </c>
      <c r="CI611" s="37" t="s">
        <v>151</v>
      </c>
      <c r="CJ611" s="30" t="s">
        <v>151</v>
      </c>
      <c r="CK611" s="29" t="s">
        <v>151</v>
      </c>
      <c r="CL611" s="30" t="s">
        <v>231</v>
      </c>
      <c r="CM611" s="30" t="s">
        <v>151</v>
      </c>
      <c r="CN611" s="30" t="s">
        <v>151</v>
      </c>
      <c r="CO611" s="30" t="s">
        <v>165</v>
      </c>
      <c r="CP611" s="35">
        <v>44896</v>
      </c>
      <c r="CQ611" s="37">
        <v>0.23</v>
      </c>
      <c r="CR611" s="30" t="s">
        <v>12684</v>
      </c>
      <c r="CS611" s="30" t="s">
        <v>191</v>
      </c>
      <c r="CT611" s="29">
        <v>22</v>
      </c>
      <c r="CU611" s="30" t="s">
        <v>263</v>
      </c>
      <c r="CV611" s="32">
        <v>23</v>
      </c>
      <c r="CW611" s="32">
        <v>77</v>
      </c>
      <c r="CX611" s="30" t="s">
        <v>263</v>
      </c>
      <c r="CY611" s="32">
        <v>1</v>
      </c>
      <c r="CZ611" s="32">
        <v>22</v>
      </c>
      <c r="DA611" s="37" t="s">
        <v>151</v>
      </c>
      <c r="DB611" s="35" t="s">
        <v>151</v>
      </c>
      <c r="DC611" s="30" t="s">
        <v>151</v>
      </c>
      <c r="DD611" s="29" t="s">
        <v>151</v>
      </c>
      <c r="DE611" s="32">
        <v>1.25</v>
      </c>
      <c r="DF611" s="34">
        <v>97</v>
      </c>
      <c r="DG611" s="32">
        <v>0</v>
      </c>
      <c r="DH611" s="32">
        <v>0</v>
      </c>
      <c r="DI611" s="32">
        <v>0</v>
      </c>
      <c r="DJ611" s="34">
        <v>10</v>
      </c>
      <c r="DK611" s="32" t="s">
        <v>151</v>
      </c>
      <c r="DL611" s="34" t="s">
        <v>151</v>
      </c>
      <c r="DM611" s="32">
        <v>0</v>
      </c>
      <c r="DN611" s="34">
        <v>10</v>
      </c>
      <c r="DO611" s="36">
        <v>2.76</v>
      </c>
      <c r="DP611" s="34">
        <v>73</v>
      </c>
      <c r="DQ611" s="36">
        <v>0</v>
      </c>
      <c r="DR611" s="32">
        <v>0</v>
      </c>
      <c r="DS611" s="36">
        <v>4.21</v>
      </c>
      <c r="DT611" s="34">
        <v>80</v>
      </c>
      <c r="DU611" s="36" t="s">
        <v>151</v>
      </c>
      <c r="DV611" s="34" t="s">
        <v>151</v>
      </c>
      <c r="DW611" s="36">
        <v>4.21</v>
      </c>
      <c r="DX611" s="34">
        <v>79</v>
      </c>
      <c r="DY611" s="31" t="s">
        <v>151</v>
      </c>
      <c r="DZ611" s="35" t="s">
        <v>151</v>
      </c>
      <c r="EA611" s="35" t="s">
        <v>151</v>
      </c>
      <c r="EB611" s="34" t="s">
        <v>151</v>
      </c>
      <c r="EC611" s="33" t="s">
        <v>151</v>
      </c>
      <c r="ED611" s="32" t="s">
        <v>151</v>
      </c>
      <c r="EE611" s="34">
        <v>80</v>
      </c>
      <c r="EF611" s="33">
        <v>0</v>
      </c>
      <c r="EG611" s="32">
        <v>0</v>
      </c>
      <c r="EH611" s="29" t="s">
        <v>198</v>
      </c>
      <c r="EI611" s="30" t="s">
        <v>151</v>
      </c>
      <c r="EJ611" s="30" t="s">
        <v>151</v>
      </c>
      <c r="EK611" s="31" t="s">
        <v>151</v>
      </c>
      <c r="EL611" s="31" t="s">
        <v>151</v>
      </c>
      <c r="EM611" s="31" t="s">
        <v>151</v>
      </c>
      <c r="EN611" s="31" t="s">
        <v>151</v>
      </c>
      <c r="EO611" s="31" t="s">
        <v>151</v>
      </c>
      <c r="EP611" s="30" t="s">
        <v>151</v>
      </c>
      <c r="EQ611" s="29" t="s">
        <v>151</v>
      </c>
      <c r="ER611" s="29" t="s">
        <v>151</v>
      </c>
      <c r="ES611" s="4">
        <f>HYPERLINK("https://my.pitchbook.com?c=433115-38","View Company Online")</f>
      </c>
    </row>
    <row r="612">
      <c r="A612" s="17" t="s">
        <v>12685</v>
      </c>
      <c r="B612" s="17" t="s">
        <v>12686</v>
      </c>
      <c r="C612" s="18" t="s">
        <v>151</v>
      </c>
      <c r="D612" s="17" t="s">
        <v>151</v>
      </c>
      <c r="E612" s="17" t="s">
        <v>151</v>
      </c>
      <c r="F612" s="17" t="s">
        <v>12687</v>
      </c>
      <c r="G612" s="17" t="s">
        <v>151</v>
      </c>
      <c r="H612" s="17" t="s">
        <v>151</v>
      </c>
      <c r="I612" s="17" t="s">
        <v>151</v>
      </c>
      <c r="J612" s="17" t="s">
        <v>12685</v>
      </c>
      <c r="K612" s="17" t="s">
        <v>12688</v>
      </c>
      <c r="L612" s="17" t="s">
        <v>155</v>
      </c>
      <c r="M612" s="17" t="s">
        <v>156</v>
      </c>
      <c r="N612" s="17" t="s">
        <v>157</v>
      </c>
      <c r="O612" s="17" t="s">
        <v>12689</v>
      </c>
      <c r="P612" s="17" t="s">
        <v>12690</v>
      </c>
      <c r="Q612" s="17" t="s">
        <v>12691</v>
      </c>
      <c r="R612" s="17" t="s">
        <v>151</v>
      </c>
      <c r="S612" s="17" t="s">
        <v>162</v>
      </c>
      <c r="T612" s="24">
        <v>1.88</v>
      </c>
      <c r="U612" s="17" t="s">
        <v>163</v>
      </c>
      <c r="V612" s="17" t="s">
        <v>164</v>
      </c>
      <c r="W612" s="17" t="s">
        <v>165</v>
      </c>
      <c r="X612" s="15" t="s">
        <v>12692</v>
      </c>
      <c r="Y612" s="15" t="s">
        <v>12693</v>
      </c>
      <c r="Z612" s="27">
        <v>13</v>
      </c>
      <c r="AA612" s="17" t="s">
        <v>12694</v>
      </c>
      <c r="AB612" s="17" t="s">
        <v>151</v>
      </c>
      <c r="AC612" s="17" t="s">
        <v>151</v>
      </c>
      <c r="AD612" s="26">
        <v>2017</v>
      </c>
      <c r="AE612" s="17" t="s">
        <v>151</v>
      </c>
      <c r="AF612" s="22">
        <v>45476</v>
      </c>
      <c r="AG612" s="17" t="s">
        <v>151</v>
      </c>
      <c r="AH612" s="17" t="s">
        <v>151</v>
      </c>
      <c r="AI612" s="25" t="s">
        <v>151</v>
      </c>
      <c r="AJ612" s="19" t="s">
        <v>151</v>
      </c>
      <c r="AK612" s="25" t="s">
        <v>151</v>
      </c>
      <c r="AL612" s="25" t="s">
        <v>151</v>
      </c>
      <c r="AM612" s="25" t="s">
        <v>151</v>
      </c>
      <c r="AN612" s="25" t="s">
        <v>151</v>
      </c>
      <c r="AO612" s="25" t="s">
        <v>151</v>
      </c>
      <c r="AP612" s="25" t="s">
        <v>151</v>
      </c>
      <c r="AQ612" s="25" t="s">
        <v>151</v>
      </c>
      <c r="AR612" s="16" t="s">
        <v>151</v>
      </c>
      <c r="AS612" s="17" t="s">
        <v>1294</v>
      </c>
      <c r="AT612" s="17" t="s">
        <v>12695</v>
      </c>
      <c r="AU612" s="18">
        <v>18</v>
      </c>
      <c r="AV612" s="17" t="s">
        <v>151</v>
      </c>
      <c r="AW612" s="17" t="s">
        <v>151</v>
      </c>
      <c r="AX612" s="17" t="s">
        <v>151</v>
      </c>
      <c r="AY612" s="17" t="s">
        <v>12696</v>
      </c>
      <c r="AZ612" s="17" t="s">
        <v>151</v>
      </c>
      <c r="BA612" s="17" t="s">
        <v>151</v>
      </c>
      <c r="BB612" s="17" t="s">
        <v>151</v>
      </c>
      <c r="BC612" s="17" t="s">
        <v>151</v>
      </c>
      <c r="BD612" s="17" t="s">
        <v>12697</v>
      </c>
      <c r="BE612" s="17" t="s">
        <v>12698</v>
      </c>
      <c r="BF612" s="17" t="s">
        <v>546</v>
      </c>
      <c r="BG612" s="17" t="s">
        <v>12699</v>
      </c>
      <c r="BH612" s="17" t="s">
        <v>12700</v>
      </c>
      <c r="BI612" s="17" t="s">
        <v>12701</v>
      </c>
      <c r="BJ612" s="17" t="s">
        <v>12702</v>
      </c>
      <c r="BK612" s="17" t="s">
        <v>151</v>
      </c>
      <c r="BL612" s="17" t="s">
        <v>12703</v>
      </c>
      <c r="BM612" s="17" t="s">
        <v>5821</v>
      </c>
      <c r="BN612" s="16" t="s">
        <v>12704</v>
      </c>
      <c r="BO612" s="17" t="s">
        <v>186</v>
      </c>
      <c r="BP612" s="16" t="s">
        <v>12700</v>
      </c>
      <c r="BQ612" s="16" t="s">
        <v>151</v>
      </c>
      <c r="BR612" s="17" t="s">
        <v>12705</v>
      </c>
      <c r="BS612" s="17" t="s">
        <v>187</v>
      </c>
      <c r="BT612" s="17" t="s">
        <v>188</v>
      </c>
      <c r="BU612" s="22">
        <v>42856</v>
      </c>
      <c r="BV612" s="24">
        <v>0.03</v>
      </c>
      <c r="BW612" s="17" t="s">
        <v>192</v>
      </c>
      <c r="BX612" s="24" t="s">
        <v>151</v>
      </c>
      <c r="BY612" s="17" t="s">
        <v>151</v>
      </c>
      <c r="BZ612" s="17" t="s">
        <v>189</v>
      </c>
      <c r="CA612" s="17" t="s">
        <v>151</v>
      </c>
      <c r="CB612" s="17" t="s">
        <v>151</v>
      </c>
      <c r="CC612" s="17" t="s">
        <v>190</v>
      </c>
      <c r="CD612" s="17" t="s">
        <v>151</v>
      </c>
      <c r="CE612" s="17" t="s">
        <v>191</v>
      </c>
      <c r="CF612" s="22">
        <v>45444</v>
      </c>
      <c r="CG612" s="24" t="s">
        <v>151</v>
      </c>
      <c r="CH612" s="17" t="s">
        <v>151</v>
      </c>
      <c r="CI612" s="24" t="s">
        <v>151</v>
      </c>
      <c r="CJ612" s="17" t="s">
        <v>151</v>
      </c>
      <c r="CK612" s="16" t="s">
        <v>151</v>
      </c>
      <c r="CL612" s="17" t="s">
        <v>194</v>
      </c>
      <c r="CM612" s="17" t="s">
        <v>151</v>
      </c>
      <c r="CN612" s="17" t="s">
        <v>151</v>
      </c>
      <c r="CO612" s="17" t="s">
        <v>165</v>
      </c>
      <c r="CP612" s="22">
        <v>45444</v>
      </c>
      <c r="CQ612" s="24" t="s">
        <v>151</v>
      </c>
      <c r="CR612" s="17" t="s">
        <v>151</v>
      </c>
      <c r="CS612" s="17" t="s">
        <v>191</v>
      </c>
      <c r="CT612" s="16">
        <v>29</v>
      </c>
      <c r="CU612" s="17" t="s">
        <v>196</v>
      </c>
      <c r="CV612" s="19">
        <v>67</v>
      </c>
      <c r="CW612" s="19">
        <v>33</v>
      </c>
      <c r="CX612" s="17" t="s">
        <v>294</v>
      </c>
      <c r="CY612" s="19">
        <v>1</v>
      </c>
      <c r="CZ612" s="19">
        <v>66</v>
      </c>
      <c r="DA612" s="24">
        <v>6.5</v>
      </c>
      <c r="DB612" s="22">
        <v>44221</v>
      </c>
      <c r="DC612" s="17" t="s">
        <v>293</v>
      </c>
      <c r="DD612" s="16">
        <v>1</v>
      </c>
      <c r="DE612" s="19">
        <v>0</v>
      </c>
      <c r="DF612" s="21">
        <v>11</v>
      </c>
      <c r="DG612" s="19">
        <v>0</v>
      </c>
      <c r="DH612" s="19">
        <v>0</v>
      </c>
      <c r="DI612" s="19" t="s">
        <v>151</v>
      </c>
      <c r="DJ612" s="21" t="s">
        <v>151</v>
      </c>
      <c r="DK612" s="19" t="s">
        <v>151</v>
      </c>
      <c r="DL612" s="21" t="s">
        <v>151</v>
      </c>
      <c r="DM612" s="19" t="s">
        <v>151</v>
      </c>
      <c r="DN612" s="21" t="s">
        <v>151</v>
      </c>
      <c r="DO612" s="23">
        <v>1</v>
      </c>
      <c r="DP612" s="21">
        <v>49</v>
      </c>
      <c r="DQ612" s="23">
        <v>0</v>
      </c>
      <c r="DR612" s="19">
        <v>0</v>
      </c>
      <c r="DS612" s="23" t="s">
        <v>151</v>
      </c>
      <c r="DT612" s="21" t="s">
        <v>151</v>
      </c>
      <c r="DU612" s="23" t="s">
        <v>151</v>
      </c>
      <c r="DV612" s="21" t="s">
        <v>151</v>
      </c>
      <c r="DW612" s="23" t="s">
        <v>151</v>
      </c>
      <c r="DX612" s="21" t="s">
        <v>151</v>
      </c>
      <c r="DY612" s="18">
        <v>1</v>
      </c>
      <c r="DZ612" s="22">
        <v>45435</v>
      </c>
      <c r="EA612" s="22" t="s">
        <v>12706</v>
      </c>
      <c r="EB612" s="21" t="s">
        <v>151</v>
      </c>
      <c r="EC612" s="20" t="s">
        <v>151</v>
      </c>
      <c r="ED612" s="19" t="s">
        <v>151</v>
      </c>
      <c r="EE612" s="21" t="s">
        <v>151</v>
      </c>
      <c r="EF612" s="20" t="s">
        <v>151</v>
      </c>
      <c r="EG612" s="19" t="s">
        <v>151</v>
      </c>
      <c r="EH612" s="16" t="s">
        <v>198</v>
      </c>
      <c r="EI612" s="17" t="s">
        <v>151</v>
      </c>
      <c r="EJ612" s="17" t="s">
        <v>151</v>
      </c>
      <c r="EK612" s="18" t="s">
        <v>151</v>
      </c>
      <c r="EL612" s="18" t="s">
        <v>151</v>
      </c>
      <c r="EM612" s="18" t="s">
        <v>151</v>
      </c>
      <c r="EN612" s="18" t="s">
        <v>151</v>
      </c>
      <c r="EO612" s="18" t="s">
        <v>151</v>
      </c>
      <c r="EP612" s="17" t="s">
        <v>151</v>
      </c>
      <c r="EQ612" s="16" t="s">
        <v>151</v>
      </c>
      <c r="ER612" s="16" t="s">
        <v>151</v>
      </c>
      <c r="ES612" s="3">
        <f>HYPERLINK("https://my.pitchbook.com?c=181585-36","View Company Online")</f>
      </c>
    </row>
    <row r="613">
      <c r="A613" s="30" t="s">
        <v>12707</v>
      </c>
      <c r="B613" s="30" t="s">
        <v>12708</v>
      </c>
      <c r="C613" s="31" t="s">
        <v>151</v>
      </c>
      <c r="D613" s="30" t="s">
        <v>151</v>
      </c>
      <c r="E613" s="30" t="s">
        <v>12709</v>
      </c>
      <c r="F613" s="30" t="s">
        <v>12710</v>
      </c>
      <c r="G613" s="30" t="s">
        <v>151</v>
      </c>
      <c r="H613" s="30" t="s">
        <v>151</v>
      </c>
      <c r="I613" s="30" t="s">
        <v>151</v>
      </c>
      <c r="J613" s="30" t="s">
        <v>12707</v>
      </c>
      <c r="K613" s="30" t="s">
        <v>12711</v>
      </c>
      <c r="L613" s="30" t="s">
        <v>155</v>
      </c>
      <c r="M613" s="30" t="s">
        <v>361</v>
      </c>
      <c r="N613" s="30" t="s">
        <v>362</v>
      </c>
      <c r="O613" s="30" t="s">
        <v>363</v>
      </c>
      <c r="P613" s="30" t="s">
        <v>1942</v>
      </c>
      <c r="Q613" s="30" t="s">
        <v>12712</v>
      </c>
      <c r="R613" s="30" t="s">
        <v>151</v>
      </c>
      <c r="S613" s="30" t="s">
        <v>162</v>
      </c>
      <c r="T613" s="37">
        <v>4.92</v>
      </c>
      <c r="U613" s="30" t="s">
        <v>163</v>
      </c>
      <c r="V613" s="30" t="s">
        <v>164</v>
      </c>
      <c r="W613" s="30" t="s">
        <v>165</v>
      </c>
      <c r="X613" s="28" t="s">
        <v>12713</v>
      </c>
      <c r="Y613" s="28" t="s">
        <v>12714</v>
      </c>
      <c r="Z613" s="40">
        <v>70</v>
      </c>
      <c r="AA613" s="30" t="s">
        <v>12715</v>
      </c>
      <c r="AB613" s="30" t="s">
        <v>151</v>
      </c>
      <c r="AC613" s="30" t="s">
        <v>151</v>
      </c>
      <c r="AD613" s="39">
        <v>2018</v>
      </c>
      <c r="AE613" s="30" t="s">
        <v>151</v>
      </c>
      <c r="AF613" s="35">
        <v>45470</v>
      </c>
      <c r="AG613" s="30" t="s">
        <v>151</v>
      </c>
      <c r="AH613" s="30" t="s">
        <v>151</v>
      </c>
      <c r="AI613" s="38" t="s">
        <v>151</v>
      </c>
      <c r="AJ613" s="32" t="s">
        <v>151</v>
      </c>
      <c r="AK613" s="38" t="s">
        <v>151</v>
      </c>
      <c r="AL613" s="38" t="s">
        <v>151</v>
      </c>
      <c r="AM613" s="38" t="s">
        <v>151</v>
      </c>
      <c r="AN613" s="38" t="s">
        <v>151</v>
      </c>
      <c r="AO613" s="38" t="s">
        <v>151</v>
      </c>
      <c r="AP613" s="38" t="s">
        <v>151</v>
      </c>
      <c r="AQ613" s="38" t="s">
        <v>151</v>
      </c>
      <c r="AR613" s="29" t="s">
        <v>151</v>
      </c>
      <c r="AS613" s="30" t="s">
        <v>12716</v>
      </c>
      <c r="AT613" s="30" t="s">
        <v>12717</v>
      </c>
      <c r="AU613" s="31">
        <v>10</v>
      </c>
      <c r="AV613" s="30" t="s">
        <v>151</v>
      </c>
      <c r="AW613" s="30" t="s">
        <v>151</v>
      </c>
      <c r="AX613" s="30" t="s">
        <v>151</v>
      </c>
      <c r="AY613" s="30" t="s">
        <v>12718</v>
      </c>
      <c r="AZ613" s="30" t="s">
        <v>151</v>
      </c>
      <c r="BA613" s="30" t="s">
        <v>151</v>
      </c>
      <c r="BB613" s="30" t="s">
        <v>151</v>
      </c>
      <c r="BC613" s="30" t="s">
        <v>151</v>
      </c>
      <c r="BD613" s="30" t="s">
        <v>12719</v>
      </c>
      <c r="BE613" s="30" t="s">
        <v>12720</v>
      </c>
      <c r="BF613" s="30" t="s">
        <v>465</v>
      </c>
      <c r="BG613" s="30" t="s">
        <v>12721</v>
      </c>
      <c r="BH613" s="30" t="s">
        <v>12722</v>
      </c>
      <c r="BI613" s="30" t="s">
        <v>906</v>
      </c>
      <c r="BJ613" s="30" t="s">
        <v>12723</v>
      </c>
      <c r="BK613" s="30" t="s">
        <v>12724</v>
      </c>
      <c r="BL613" s="30" t="s">
        <v>259</v>
      </c>
      <c r="BM613" s="30" t="s">
        <v>259</v>
      </c>
      <c r="BN613" s="29" t="s">
        <v>4140</v>
      </c>
      <c r="BO613" s="30" t="s">
        <v>186</v>
      </c>
      <c r="BP613" s="29" t="s">
        <v>12725</v>
      </c>
      <c r="BQ613" s="29" t="s">
        <v>151</v>
      </c>
      <c r="BR613" s="30" t="s">
        <v>12726</v>
      </c>
      <c r="BS613" s="30" t="s">
        <v>187</v>
      </c>
      <c r="BT613" s="30" t="s">
        <v>188</v>
      </c>
      <c r="BU613" s="35">
        <v>44435</v>
      </c>
      <c r="BV613" s="37">
        <v>4.92</v>
      </c>
      <c r="BW613" s="30" t="s">
        <v>192</v>
      </c>
      <c r="BX613" s="37">
        <v>14.92</v>
      </c>
      <c r="BY613" s="30" t="s">
        <v>192</v>
      </c>
      <c r="BZ613" s="30" t="s">
        <v>293</v>
      </c>
      <c r="CA613" s="30" t="s">
        <v>293</v>
      </c>
      <c r="CB613" s="30" t="s">
        <v>151</v>
      </c>
      <c r="CC613" s="30" t="s">
        <v>165</v>
      </c>
      <c r="CD613" s="30" t="s">
        <v>151</v>
      </c>
      <c r="CE613" s="30" t="s">
        <v>191</v>
      </c>
      <c r="CF613" s="35">
        <v>45292</v>
      </c>
      <c r="CG613" s="37" t="s">
        <v>151</v>
      </c>
      <c r="CH613" s="30" t="s">
        <v>151</v>
      </c>
      <c r="CI613" s="37" t="s">
        <v>151</v>
      </c>
      <c r="CJ613" s="30" t="s">
        <v>151</v>
      </c>
      <c r="CK613" s="29" t="s">
        <v>151</v>
      </c>
      <c r="CL613" s="30" t="s">
        <v>293</v>
      </c>
      <c r="CM613" s="30" t="s">
        <v>293</v>
      </c>
      <c r="CN613" s="30" t="s">
        <v>151</v>
      </c>
      <c r="CO613" s="30" t="s">
        <v>165</v>
      </c>
      <c r="CP613" s="35">
        <v>45292</v>
      </c>
      <c r="CQ613" s="37" t="s">
        <v>151</v>
      </c>
      <c r="CR613" s="30" t="s">
        <v>151</v>
      </c>
      <c r="CS613" s="30" t="s">
        <v>191</v>
      </c>
      <c r="CT613" s="29">
        <v>56</v>
      </c>
      <c r="CU613" s="30" t="s">
        <v>196</v>
      </c>
      <c r="CV613" s="32">
        <v>53</v>
      </c>
      <c r="CW613" s="32">
        <v>47</v>
      </c>
      <c r="CX613" s="30" t="s">
        <v>294</v>
      </c>
      <c r="CY613" s="32">
        <v>1</v>
      </c>
      <c r="CZ613" s="32">
        <v>52</v>
      </c>
      <c r="DA613" s="37">
        <v>14.92</v>
      </c>
      <c r="DB613" s="35">
        <v>44435</v>
      </c>
      <c r="DC613" s="30" t="s">
        <v>293</v>
      </c>
      <c r="DD613" s="29" t="s">
        <v>151</v>
      </c>
      <c r="DE613" s="32" t="s">
        <v>151</v>
      </c>
      <c r="DF613" s="34" t="s">
        <v>151</v>
      </c>
      <c r="DG613" s="32" t="s">
        <v>151</v>
      </c>
      <c r="DH613" s="32" t="s">
        <v>151</v>
      </c>
      <c r="DI613" s="32" t="s">
        <v>151</v>
      </c>
      <c r="DJ613" s="34" t="s">
        <v>151</v>
      </c>
      <c r="DK613" s="32" t="s">
        <v>151</v>
      </c>
      <c r="DL613" s="34" t="s">
        <v>151</v>
      </c>
      <c r="DM613" s="32" t="s">
        <v>151</v>
      </c>
      <c r="DN613" s="34" t="s">
        <v>151</v>
      </c>
      <c r="DO613" s="36" t="s">
        <v>151</v>
      </c>
      <c r="DP613" s="34" t="s">
        <v>151</v>
      </c>
      <c r="DQ613" s="36" t="s">
        <v>151</v>
      </c>
      <c r="DR613" s="32" t="s">
        <v>151</v>
      </c>
      <c r="DS613" s="36" t="s">
        <v>151</v>
      </c>
      <c r="DT613" s="34" t="s">
        <v>151</v>
      </c>
      <c r="DU613" s="36" t="s">
        <v>151</v>
      </c>
      <c r="DV613" s="34" t="s">
        <v>151</v>
      </c>
      <c r="DW613" s="36" t="s">
        <v>151</v>
      </c>
      <c r="DX613" s="34" t="s">
        <v>151</v>
      </c>
      <c r="DY613" s="31" t="s">
        <v>151</v>
      </c>
      <c r="DZ613" s="35" t="s">
        <v>151</v>
      </c>
      <c r="EA613" s="35" t="s">
        <v>151</v>
      </c>
      <c r="EB613" s="34" t="s">
        <v>151</v>
      </c>
      <c r="EC613" s="33" t="s">
        <v>151</v>
      </c>
      <c r="ED613" s="32" t="s">
        <v>151</v>
      </c>
      <c r="EE613" s="34" t="s">
        <v>151</v>
      </c>
      <c r="EF613" s="33" t="s">
        <v>151</v>
      </c>
      <c r="EG613" s="32" t="s">
        <v>151</v>
      </c>
      <c r="EH613" s="29" t="s">
        <v>198</v>
      </c>
      <c r="EI613" s="30" t="s">
        <v>151</v>
      </c>
      <c r="EJ613" s="30" t="s">
        <v>151</v>
      </c>
      <c r="EK613" s="31" t="s">
        <v>151</v>
      </c>
      <c r="EL613" s="31" t="s">
        <v>151</v>
      </c>
      <c r="EM613" s="31" t="s">
        <v>151</v>
      </c>
      <c r="EN613" s="31" t="s">
        <v>151</v>
      </c>
      <c r="EO613" s="31" t="s">
        <v>151</v>
      </c>
      <c r="EP613" s="30" t="s">
        <v>151</v>
      </c>
      <c r="EQ613" s="29" t="s">
        <v>151</v>
      </c>
      <c r="ER613" s="29" t="s">
        <v>151</v>
      </c>
      <c r="ES613" s="4">
        <f>HYPERLINK("https://my.pitchbook.com?c=361868-95","View Company Online")</f>
      </c>
    </row>
    <row r="614">
      <c r="A614" s="17" t="s">
        <v>12727</v>
      </c>
      <c r="B614" s="17" t="s">
        <v>12728</v>
      </c>
      <c r="C614" s="18" t="s">
        <v>151</v>
      </c>
      <c r="D614" s="17" t="s">
        <v>151</v>
      </c>
      <c r="E614" s="17" t="s">
        <v>151</v>
      </c>
      <c r="F614" s="17" t="s">
        <v>12729</v>
      </c>
      <c r="G614" s="17" t="s">
        <v>151</v>
      </c>
      <c r="H614" s="17" t="s">
        <v>151</v>
      </c>
      <c r="I614" s="17" t="s">
        <v>151</v>
      </c>
      <c r="J614" s="17" t="s">
        <v>12727</v>
      </c>
      <c r="K614" s="17" t="s">
        <v>12730</v>
      </c>
      <c r="L614" s="17" t="s">
        <v>205</v>
      </c>
      <c r="M614" s="17" t="s">
        <v>206</v>
      </c>
      <c r="N614" s="17" t="s">
        <v>694</v>
      </c>
      <c r="O614" s="17" t="s">
        <v>12731</v>
      </c>
      <c r="P614" s="17" t="s">
        <v>2773</v>
      </c>
      <c r="Q614" s="17" t="s">
        <v>12732</v>
      </c>
      <c r="R614" s="17" t="s">
        <v>780</v>
      </c>
      <c r="S614" s="17" t="s">
        <v>162</v>
      </c>
      <c r="T614" s="24">
        <v>3.9</v>
      </c>
      <c r="U614" s="17" t="s">
        <v>1727</v>
      </c>
      <c r="V614" s="17" t="s">
        <v>164</v>
      </c>
      <c r="W614" s="17" t="s">
        <v>165</v>
      </c>
      <c r="X614" s="15" t="s">
        <v>12733</v>
      </c>
      <c r="Y614" s="15" t="s">
        <v>12734</v>
      </c>
      <c r="Z614" s="27">
        <v>9</v>
      </c>
      <c r="AA614" s="17" t="s">
        <v>8246</v>
      </c>
      <c r="AB614" s="17" t="s">
        <v>151</v>
      </c>
      <c r="AC614" s="17" t="s">
        <v>151</v>
      </c>
      <c r="AD614" s="26">
        <v>2022</v>
      </c>
      <c r="AE614" s="17" t="s">
        <v>151</v>
      </c>
      <c r="AF614" s="22">
        <v>45398</v>
      </c>
      <c r="AG614" s="17" t="s">
        <v>151</v>
      </c>
      <c r="AH614" s="17" t="s">
        <v>151</v>
      </c>
      <c r="AI614" s="25" t="s">
        <v>151</v>
      </c>
      <c r="AJ614" s="19" t="s">
        <v>151</v>
      </c>
      <c r="AK614" s="25" t="s">
        <v>151</v>
      </c>
      <c r="AL614" s="25" t="s">
        <v>151</v>
      </c>
      <c r="AM614" s="25" t="s">
        <v>151</v>
      </c>
      <c r="AN614" s="25" t="s">
        <v>151</v>
      </c>
      <c r="AO614" s="25" t="s">
        <v>151</v>
      </c>
      <c r="AP614" s="25" t="s">
        <v>151</v>
      </c>
      <c r="AQ614" s="25" t="s">
        <v>151</v>
      </c>
      <c r="AR614" s="16" t="s">
        <v>151</v>
      </c>
      <c r="AS614" s="17" t="s">
        <v>12735</v>
      </c>
      <c r="AT614" s="17" t="s">
        <v>12736</v>
      </c>
      <c r="AU614" s="18">
        <v>10</v>
      </c>
      <c r="AV614" s="17" t="s">
        <v>151</v>
      </c>
      <c r="AW614" s="17" t="s">
        <v>151</v>
      </c>
      <c r="AX614" s="17" t="s">
        <v>151</v>
      </c>
      <c r="AY614" s="17" t="s">
        <v>12737</v>
      </c>
      <c r="AZ614" s="17" t="s">
        <v>151</v>
      </c>
      <c r="BA614" s="17" t="s">
        <v>151</v>
      </c>
      <c r="BB614" s="17" t="s">
        <v>151</v>
      </c>
      <c r="BC614" s="17" t="s">
        <v>2424</v>
      </c>
      <c r="BD614" s="17" t="s">
        <v>12738</v>
      </c>
      <c r="BE614" s="17" t="s">
        <v>12739</v>
      </c>
      <c r="BF614" s="17" t="s">
        <v>403</v>
      </c>
      <c r="BG614" s="17" t="s">
        <v>151</v>
      </c>
      <c r="BH614" s="17" t="s">
        <v>151</v>
      </c>
      <c r="BI614" s="17" t="s">
        <v>764</v>
      </c>
      <c r="BJ614" s="17" t="s">
        <v>151</v>
      </c>
      <c r="BK614" s="17" t="s">
        <v>151</v>
      </c>
      <c r="BL614" s="17" t="s">
        <v>767</v>
      </c>
      <c r="BM614" s="17" t="s">
        <v>184</v>
      </c>
      <c r="BN614" s="16" t="s">
        <v>151</v>
      </c>
      <c r="BO614" s="17" t="s">
        <v>186</v>
      </c>
      <c r="BP614" s="16" t="s">
        <v>151</v>
      </c>
      <c r="BQ614" s="16" t="s">
        <v>151</v>
      </c>
      <c r="BR614" s="17" t="s">
        <v>151</v>
      </c>
      <c r="BS614" s="17" t="s">
        <v>187</v>
      </c>
      <c r="BT614" s="17" t="s">
        <v>188</v>
      </c>
      <c r="BU614" s="22">
        <v>45195</v>
      </c>
      <c r="BV614" s="24">
        <v>3.9</v>
      </c>
      <c r="BW614" s="17" t="s">
        <v>192</v>
      </c>
      <c r="BX614" s="24">
        <v>14.9</v>
      </c>
      <c r="BY614" s="17" t="s">
        <v>192</v>
      </c>
      <c r="BZ614" s="17" t="s">
        <v>293</v>
      </c>
      <c r="CA614" s="17" t="s">
        <v>293</v>
      </c>
      <c r="CB614" s="17" t="s">
        <v>151</v>
      </c>
      <c r="CC614" s="17" t="s">
        <v>165</v>
      </c>
      <c r="CD614" s="17" t="s">
        <v>151</v>
      </c>
      <c r="CE614" s="17" t="s">
        <v>191</v>
      </c>
      <c r="CF614" s="22">
        <v>45195</v>
      </c>
      <c r="CG614" s="24">
        <v>3.9</v>
      </c>
      <c r="CH614" s="17" t="s">
        <v>192</v>
      </c>
      <c r="CI614" s="24">
        <v>14.9</v>
      </c>
      <c r="CJ614" s="17" t="s">
        <v>192</v>
      </c>
      <c r="CK614" s="16" t="s">
        <v>151</v>
      </c>
      <c r="CL614" s="17" t="s">
        <v>293</v>
      </c>
      <c r="CM614" s="17" t="s">
        <v>293</v>
      </c>
      <c r="CN614" s="17" t="s">
        <v>151</v>
      </c>
      <c r="CO614" s="17" t="s">
        <v>165</v>
      </c>
      <c r="CP614" s="22">
        <v>45195</v>
      </c>
      <c r="CQ614" s="24" t="s">
        <v>151</v>
      </c>
      <c r="CR614" s="17" t="s">
        <v>151</v>
      </c>
      <c r="CS614" s="17" t="s">
        <v>191</v>
      </c>
      <c r="CT614" s="16" t="s">
        <v>151</v>
      </c>
      <c r="CU614" s="17" t="s">
        <v>151</v>
      </c>
      <c r="CV614" s="19" t="s">
        <v>151</v>
      </c>
      <c r="CW614" s="19" t="s">
        <v>151</v>
      </c>
      <c r="CX614" s="17" t="s">
        <v>151</v>
      </c>
      <c r="CY614" s="19" t="s">
        <v>151</v>
      </c>
      <c r="CZ614" s="19" t="s">
        <v>151</v>
      </c>
      <c r="DA614" s="24">
        <v>14.9</v>
      </c>
      <c r="DB614" s="22">
        <v>45195</v>
      </c>
      <c r="DC614" s="17" t="s">
        <v>293</v>
      </c>
      <c r="DD614" s="16" t="s">
        <v>151</v>
      </c>
      <c r="DE614" s="19">
        <v>2.64</v>
      </c>
      <c r="DF614" s="21">
        <v>99</v>
      </c>
      <c r="DG614" s="19">
        <v>0</v>
      </c>
      <c r="DH614" s="19">
        <v>0</v>
      </c>
      <c r="DI614" s="19">
        <v>2.64</v>
      </c>
      <c r="DJ614" s="21">
        <v>99</v>
      </c>
      <c r="DK614" s="19">
        <v>5.28</v>
      </c>
      <c r="DL614" s="21">
        <v>98</v>
      </c>
      <c r="DM614" s="19">
        <v>0</v>
      </c>
      <c r="DN614" s="21">
        <v>10</v>
      </c>
      <c r="DO614" s="23">
        <v>10.68</v>
      </c>
      <c r="DP614" s="21">
        <v>91</v>
      </c>
      <c r="DQ614" s="23">
        <v>0</v>
      </c>
      <c r="DR614" s="19">
        <v>0</v>
      </c>
      <c r="DS614" s="23">
        <v>10.68</v>
      </c>
      <c r="DT614" s="21">
        <v>91</v>
      </c>
      <c r="DU614" s="23">
        <v>15.68</v>
      </c>
      <c r="DV614" s="21">
        <v>90</v>
      </c>
      <c r="DW614" s="23">
        <v>5.68</v>
      </c>
      <c r="DX614" s="21">
        <v>83</v>
      </c>
      <c r="DY614" s="18" t="s">
        <v>151</v>
      </c>
      <c r="DZ614" s="22" t="s">
        <v>151</v>
      </c>
      <c r="EA614" s="22" t="s">
        <v>151</v>
      </c>
      <c r="EB614" s="21">
        <v>3231</v>
      </c>
      <c r="EC614" s="20">
        <v>233</v>
      </c>
      <c r="ED614" s="19">
        <v>7.77</v>
      </c>
      <c r="EE614" s="21">
        <v>108</v>
      </c>
      <c r="EF614" s="20">
        <v>0</v>
      </c>
      <c r="EG614" s="19">
        <v>0</v>
      </c>
      <c r="EH614" s="16" t="s">
        <v>198</v>
      </c>
      <c r="EI614" s="17" t="s">
        <v>151</v>
      </c>
      <c r="EJ614" s="17" t="s">
        <v>151</v>
      </c>
      <c r="EK614" s="18" t="s">
        <v>151</v>
      </c>
      <c r="EL614" s="18" t="s">
        <v>151</v>
      </c>
      <c r="EM614" s="18" t="s">
        <v>151</v>
      </c>
      <c r="EN614" s="18" t="s">
        <v>151</v>
      </c>
      <c r="EO614" s="18" t="s">
        <v>151</v>
      </c>
      <c r="EP614" s="17" t="s">
        <v>151</v>
      </c>
      <c r="EQ614" s="16" t="s">
        <v>151</v>
      </c>
      <c r="ER614" s="16" t="s">
        <v>151</v>
      </c>
      <c r="ES614" s="3">
        <f>HYPERLINK("https://my.pitchbook.com?c=525645-73","View Company Online")</f>
      </c>
    </row>
    <row r="615">
      <c r="A615" s="30" t="s">
        <v>12740</v>
      </c>
      <c r="B615" s="30" t="s">
        <v>12741</v>
      </c>
      <c r="C615" s="31" t="s">
        <v>151</v>
      </c>
      <c r="D615" s="30" t="s">
        <v>12742</v>
      </c>
      <c r="E615" s="30" t="s">
        <v>151</v>
      </c>
      <c r="F615" s="30" t="s">
        <v>12743</v>
      </c>
      <c r="G615" s="30" t="s">
        <v>151</v>
      </c>
      <c r="H615" s="30" t="s">
        <v>151</v>
      </c>
      <c r="I615" s="30" t="s">
        <v>151</v>
      </c>
      <c r="J615" s="30" t="s">
        <v>12740</v>
      </c>
      <c r="K615" s="30" t="s">
        <v>12744</v>
      </c>
      <c r="L615" s="30" t="s">
        <v>616</v>
      </c>
      <c r="M615" s="30" t="s">
        <v>834</v>
      </c>
      <c r="N615" s="30" t="s">
        <v>835</v>
      </c>
      <c r="O615" s="30" t="s">
        <v>12745</v>
      </c>
      <c r="P615" s="30" t="s">
        <v>12746</v>
      </c>
      <c r="Q615" s="30" t="s">
        <v>12747</v>
      </c>
      <c r="R615" s="30" t="s">
        <v>151</v>
      </c>
      <c r="S615" s="30" t="s">
        <v>162</v>
      </c>
      <c r="T615" s="37">
        <v>0.52</v>
      </c>
      <c r="U615" s="30" t="s">
        <v>163</v>
      </c>
      <c r="V615" s="30" t="s">
        <v>164</v>
      </c>
      <c r="W615" s="30" t="s">
        <v>165</v>
      </c>
      <c r="X615" s="28" t="s">
        <v>12748</v>
      </c>
      <c r="Y615" s="28" t="s">
        <v>12749</v>
      </c>
      <c r="Z615" s="40">
        <v>7</v>
      </c>
      <c r="AA615" s="30" t="s">
        <v>12750</v>
      </c>
      <c r="AB615" s="30" t="s">
        <v>151</v>
      </c>
      <c r="AC615" s="30" t="s">
        <v>151</v>
      </c>
      <c r="AD615" s="39">
        <v>2018</v>
      </c>
      <c r="AE615" s="30" t="s">
        <v>151</v>
      </c>
      <c r="AF615" s="35">
        <v>45531</v>
      </c>
      <c r="AG615" s="30" t="s">
        <v>151</v>
      </c>
      <c r="AH615" s="30" t="s">
        <v>151</v>
      </c>
      <c r="AI615" s="38" t="s">
        <v>151</v>
      </c>
      <c r="AJ615" s="32" t="s">
        <v>151</v>
      </c>
      <c r="AK615" s="38" t="s">
        <v>151</v>
      </c>
      <c r="AL615" s="38" t="s">
        <v>151</v>
      </c>
      <c r="AM615" s="38" t="s">
        <v>151</v>
      </c>
      <c r="AN615" s="38" t="s">
        <v>151</v>
      </c>
      <c r="AO615" s="38" t="s">
        <v>151</v>
      </c>
      <c r="AP615" s="38" t="s">
        <v>151</v>
      </c>
      <c r="AQ615" s="38" t="s">
        <v>151</v>
      </c>
      <c r="AR615" s="29" t="s">
        <v>151</v>
      </c>
      <c r="AS615" s="30" t="s">
        <v>12751</v>
      </c>
      <c r="AT615" s="30" t="s">
        <v>12752</v>
      </c>
      <c r="AU615" s="31">
        <v>2</v>
      </c>
      <c r="AV615" s="30" t="s">
        <v>151</v>
      </c>
      <c r="AW615" s="30" t="s">
        <v>151</v>
      </c>
      <c r="AX615" s="30" t="s">
        <v>151</v>
      </c>
      <c r="AY615" s="30" t="s">
        <v>12753</v>
      </c>
      <c r="AZ615" s="30" t="s">
        <v>151</v>
      </c>
      <c r="BA615" s="30" t="s">
        <v>151</v>
      </c>
      <c r="BB615" s="30" t="s">
        <v>151</v>
      </c>
      <c r="BC615" s="30" t="s">
        <v>151</v>
      </c>
      <c r="BD615" s="30" t="s">
        <v>12754</v>
      </c>
      <c r="BE615" s="30" t="s">
        <v>12755</v>
      </c>
      <c r="BF615" s="30" t="s">
        <v>221</v>
      </c>
      <c r="BG615" s="30" t="s">
        <v>12756</v>
      </c>
      <c r="BH615" s="30" t="s">
        <v>12757</v>
      </c>
      <c r="BI615" s="30" t="s">
        <v>12758</v>
      </c>
      <c r="BJ615" s="30" t="s">
        <v>12759</v>
      </c>
      <c r="BK615" s="30" t="s">
        <v>151</v>
      </c>
      <c r="BL615" s="30" t="s">
        <v>12760</v>
      </c>
      <c r="BM615" s="30" t="s">
        <v>1983</v>
      </c>
      <c r="BN615" s="29" t="s">
        <v>12761</v>
      </c>
      <c r="BO615" s="30" t="s">
        <v>186</v>
      </c>
      <c r="BP615" s="29" t="s">
        <v>12757</v>
      </c>
      <c r="BQ615" s="29" t="s">
        <v>151</v>
      </c>
      <c r="BR615" s="30" t="s">
        <v>12762</v>
      </c>
      <c r="BS615" s="30" t="s">
        <v>187</v>
      </c>
      <c r="BT615" s="30" t="s">
        <v>188</v>
      </c>
      <c r="BU615" s="35">
        <v>43252</v>
      </c>
      <c r="BV615" s="37">
        <v>0.02</v>
      </c>
      <c r="BW615" s="30" t="s">
        <v>192</v>
      </c>
      <c r="BX615" s="37" t="s">
        <v>151</v>
      </c>
      <c r="BY615" s="30" t="s">
        <v>151</v>
      </c>
      <c r="BZ615" s="30" t="s">
        <v>189</v>
      </c>
      <c r="CA615" s="30" t="s">
        <v>151</v>
      </c>
      <c r="CB615" s="30" t="s">
        <v>151</v>
      </c>
      <c r="CC615" s="30" t="s">
        <v>190</v>
      </c>
      <c r="CD615" s="30" t="s">
        <v>151</v>
      </c>
      <c r="CE615" s="30" t="s">
        <v>191</v>
      </c>
      <c r="CF615" s="35">
        <v>44515</v>
      </c>
      <c r="CG615" s="37">
        <v>0.5</v>
      </c>
      <c r="CH615" s="30" t="s">
        <v>192</v>
      </c>
      <c r="CI615" s="37" t="s">
        <v>151</v>
      </c>
      <c r="CJ615" s="30" t="s">
        <v>151</v>
      </c>
      <c r="CK615" s="29" t="s">
        <v>151</v>
      </c>
      <c r="CL615" s="30" t="s">
        <v>293</v>
      </c>
      <c r="CM615" s="30" t="s">
        <v>293</v>
      </c>
      <c r="CN615" s="30" t="s">
        <v>151</v>
      </c>
      <c r="CO615" s="30" t="s">
        <v>165</v>
      </c>
      <c r="CP615" s="35">
        <v>44515</v>
      </c>
      <c r="CQ615" s="37">
        <v>0.35</v>
      </c>
      <c r="CR615" s="30" t="s">
        <v>12763</v>
      </c>
      <c r="CS615" s="30" t="s">
        <v>191</v>
      </c>
      <c r="CT615" s="29" t="s">
        <v>151</v>
      </c>
      <c r="CU615" s="30" t="s">
        <v>151</v>
      </c>
      <c r="CV615" s="32" t="s">
        <v>151</v>
      </c>
      <c r="CW615" s="32" t="s">
        <v>151</v>
      </c>
      <c r="CX615" s="30" t="s">
        <v>151</v>
      </c>
      <c r="CY615" s="32" t="s">
        <v>151</v>
      </c>
      <c r="CZ615" s="32" t="s">
        <v>151</v>
      </c>
      <c r="DA615" s="37" t="s">
        <v>151</v>
      </c>
      <c r="DB615" s="35" t="s">
        <v>151</v>
      </c>
      <c r="DC615" s="30" t="s">
        <v>151</v>
      </c>
      <c r="DD615" s="29" t="s">
        <v>151</v>
      </c>
      <c r="DE615" s="32">
        <v>0</v>
      </c>
      <c r="DF615" s="34">
        <v>11</v>
      </c>
      <c r="DG615" s="32">
        <v>0</v>
      </c>
      <c r="DH615" s="32">
        <v>0</v>
      </c>
      <c r="DI615" s="32">
        <v>0</v>
      </c>
      <c r="DJ615" s="34">
        <v>10</v>
      </c>
      <c r="DK615" s="32" t="s">
        <v>151</v>
      </c>
      <c r="DL615" s="34" t="s">
        <v>151</v>
      </c>
      <c r="DM615" s="32">
        <v>0</v>
      </c>
      <c r="DN615" s="34">
        <v>10</v>
      </c>
      <c r="DO615" s="36">
        <v>1.77</v>
      </c>
      <c r="DP615" s="34">
        <v>63</v>
      </c>
      <c r="DQ615" s="36">
        <v>0</v>
      </c>
      <c r="DR615" s="32">
        <v>0</v>
      </c>
      <c r="DS615" s="36">
        <v>3</v>
      </c>
      <c r="DT615" s="34">
        <v>74</v>
      </c>
      <c r="DU615" s="36" t="s">
        <v>151</v>
      </c>
      <c r="DV615" s="34" t="s">
        <v>151</v>
      </c>
      <c r="DW615" s="36">
        <v>3</v>
      </c>
      <c r="DX615" s="34">
        <v>74</v>
      </c>
      <c r="DY615" s="31">
        <v>3</v>
      </c>
      <c r="DZ615" s="35">
        <v>44634</v>
      </c>
      <c r="EA615" s="35" t="s">
        <v>151</v>
      </c>
      <c r="EB615" s="34" t="s">
        <v>151</v>
      </c>
      <c r="EC615" s="33" t="s">
        <v>151</v>
      </c>
      <c r="ED615" s="32" t="s">
        <v>151</v>
      </c>
      <c r="EE615" s="34">
        <v>57</v>
      </c>
      <c r="EF615" s="33">
        <v>0</v>
      </c>
      <c r="EG615" s="32">
        <v>0</v>
      </c>
      <c r="EH615" s="29" t="s">
        <v>198</v>
      </c>
      <c r="EI615" s="30" t="s">
        <v>151</v>
      </c>
      <c r="EJ615" s="30" t="s">
        <v>151</v>
      </c>
      <c r="EK615" s="31" t="s">
        <v>151</v>
      </c>
      <c r="EL615" s="31" t="s">
        <v>151</v>
      </c>
      <c r="EM615" s="31" t="s">
        <v>151</v>
      </c>
      <c r="EN615" s="31" t="s">
        <v>151</v>
      </c>
      <c r="EO615" s="31" t="s">
        <v>151</v>
      </c>
      <c r="EP615" s="30" t="s">
        <v>151</v>
      </c>
      <c r="EQ615" s="29" t="s">
        <v>151</v>
      </c>
      <c r="ER615" s="29" t="s">
        <v>151</v>
      </c>
      <c r="ES615" s="4">
        <f>HYPERLINK("https://my.pitchbook.com?c=232914-34","View Company Online")</f>
      </c>
    </row>
    <row r="616">
      <c r="A616" s="17" t="s">
        <v>12764</v>
      </c>
      <c r="B616" s="17" t="s">
        <v>12765</v>
      </c>
      <c r="C616" s="18" t="s">
        <v>151</v>
      </c>
      <c r="D616" s="17" t="s">
        <v>151</v>
      </c>
      <c r="E616" s="17" t="s">
        <v>151</v>
      </c>
      <c r="F616" s="17" t="s">
        <v>12766</v>
      </c>
      <c r="G616" s="17" t="s">
        <v>151</v>
      </c>
      <c r="H616" s="17" t="s">
        <v>151</v>
      </c>
      <c r="I616" s="17" t="s">
        <v>12767</v>
      </c>
      <c r="J616" s="17" t="s">
        <v>12764</v>
      </c>
      <c r="K616" s="17" t="s">
        <v>12768</v>
      </c>
      <c r="L616" s="17" t="s">
        <v>205</v>
      </c>
      <c r="M616" s="17" t="s">
        <v>206</v>
      </c>
      <c r="N616" s="17" t="s">
        <v>917</v>
      </c>
      <c r="O616" s="17" t="s">
        <v>12769</v>
      </c>
      <c r="P616" s="17" t="s">
        <v>12770</v>
      </c>
      <c r="Q616" s="17" t="s">
        <v>12771</v>
      </c>
      <c r="R616" s="17" t="s">
        <v>151</v>
      </c>
      <c r="S616" s="17" t="s">
        <v>162</v>
      </c>
      <c r="T616" s="24">
        <v>2.58</v>
      </c>
      <c r="U616" s="17" t="s">
        <v>163</v>
      </c>
      <c r="V616" s="17" t="s">
        <v>164</v>
      </c>
      <c r="W616" s="17" t="s">
        <v>165</v>
      </c>
      <c r="X616" s="15" t="s">
        <v>12772</v>
      </c>
      <c r="Y616" s="15" t="s">
        <v>12773</v>
      </c>
      <c r="Z616" s="27">
        <v>6</v>
      </c>
      <c r="AA616" s="17" t="s">
        <v>12774</v>
      </c>
      <c r="AB616" s="17" t="s">
        <v>151</v>
      </c>
      <c r="AC616" s="17" t="s">
        <v>151</v>
      </c>
      <c r="AD616" s="26">
        <v>2016</v>
      </c>
      <c r="AE616" s="17" t="s">
        <v>151</v>
      </c>
      <c r="AF616" s="22">
        <v>45516</v>
      </c>
      <c r="AG616" s="17" t="s">
        <v>151</v>
      </c>
      <c r="AH616" s="17" t="s">
        <v>151</v>
      </c>
      <c r="AI616" s="25">
        <v>0.31</v>
      </c>
      <c r="AJ616" s="19" t="s">
        <v>151</v>
      </c>
      <c r="AK616" s="25" t="s">
        <v>151</v>
      </c>
      <c r="AL616" s="25" t="s">
        <v>151</v>
      </c>
      <c r="AM616" s="25" t="s">
        <v>151</v>
      </c>
      <c r="AN616" s="25" t="s">
        <v>151</v>
      </c>
      <c r="AO616" s="25" t="s">
        <v>151</v>
      </c>
      <c r="AP616" s="25" t="s">
        <v>151</v>
      </c>
      <c r="AQ616" s="25" t="s">
        <v>151</v>
      </c>
      <c r="AR616" s="16" t="s">
        <v>810</v>
      </c>
      <c r="AS616" s="17" t="s">
        <v>12775</v>
      </c>
      <c r="AT616" s="17" t="s">
        <v>12776</v>
      </c>
      <c r="AU616" s="18">
        <v>13</v>
      </c>
      <c r="AV616" s="17" t="s">
        <v>151</v>
      </c>
      <c r="AW616" s="17" t="s">
        <v>151</v>
      </c>
      <c r="AX616" s="17" t="s">
        <v>151</v>
      </c>
      <c r="AY616" s="17" t="s">
        <v>12777</v>
      </c>
      <c r="AZ616" s="17" t="s">
        <v>151</v>
      </c>
      <c r="BA616" s="17" t="s">
        <v>151</v>
      </c>
      <c r="BB616" s="17" t="s">
        <v>151</v>
      </c>
      <c r="BC616" s="17" t="s">
        <v>12778</v>
      </c>
      <c r="BD616" s="17" t="s">
        <v>12779</v>
      </c>
      <c r="BE616" s="17" t="s">
        <v>12780</v>
      </c>
      <c r="BF616" s="17" t="s">
        <v>282</v>
      </c>
      <c r="BG616" s="17" t="s">
        <v>12781</v>
      </c>
      <c r="BH616" s="17" t="s">
        <v>151</v>
      </c>
      <c r="BI616" s="17" t="s">
        <v>764</v>
      </c>
      <c r="BJ616" s="17" t="s">
        <v>12782</v>
      </c>
      <c r="BK616" s="17" t="s">
        <v>12783</v>
      </c>
      <c r="BL616" s="17" t="s">
        <v>767</v>
      </c>
      <c r="BM616" s="17" t="s">
        <v>184</v>
      </c>
      <c r="BN616" s="16" t="s">
        <v>5006</v>
      </c>
      <c r="BO616" s="17" t="s">
        <v>186</v>
      </c>
      <c r="BP616" s="16" t="s">
        <v>12784</v>
      </c>
      <c r="BQ616" s="16" t="s">
        <v>151</v>
      </c>
      <c r="BR616" s="17" t="s">
        <v>12785</v>
      </c>
      <c r="BS616" s="17" t="s">
        <v>187</v>
      </c>
      <c r="BT616" s="17" t="s">
        <v>188</v>
      </c>
      <c r="BU616" s="22">
        <v>42457</v>
      </c>
      <c r="BV616" s="24">
        <v>0.03</v>
      </c>
      <c r="BW616" s="17" t="s">
        <v>192</v>
      </c>
      <c r="BX616" s="24" t="s">
        <v>151</v>
      </c>
      <c r="BY616" s="17" t="s">
        <v>151</v>
      </c>
      <c r="BZ616" s="17" t="s">
        <v>1075</v>
      </c>
      <c r="CA616" s="17" t="s">
        <v>1075</v>
      </c>
      <c r="CB616" s="17" t="s">
        <v>151</v>
      </c>
      <c r="CC616" s="17" t="s">
        <v>585</v>
      </c>
      <c r="CD616" s="17" t="s">
        <v>151</v>
      </c>
      <c r="CE616" s="17" t="s">
        <v>191</v>
      </c>
      <c r="CF616" s="22">
        <v>45510</v>
      </c>
      <c r="CG616" s="24">
        <v>0.5</v>
      </c>
      <c r="CH616" s="17" t="s">
        <v>192</v>
      </c>
      <c r="CI616" s="24" t="s">
        <v>151</v>
      </c>
      <c r="CJ616" s="17" t="s">
        <v>151</v>
      </c>
      <c r="CK616" s="16" t="s">
        <v>151</v>
      </c>
      <c r="CL616" s="17" t="s">
        <v>194</v>
      </c>
      <c r="CM616" s="17" t="s">
        <v>151</v>
      </c>
      <c r="CN616" s="17" t="s">
        <v>151</v>
      </c>
      <c r="CO616" s="17" t="s">
        <v>165</v>
      </c>
      <c r="CP616" s="22">
        <v>45510</v>
      </c>
      <c r="CQ616" s="24" t="s">
        <v>151</v>
      </c>
      <c r="CR616" s="17" t="s">
        <v>151</v>
      </c>
      <c r="CS616" s="17" t="s">
        <v>191</v>
      </c>
      <c r="CT616" s="16">
        <v>73</v>
      </c>
      <c r="CU616" s="17" t="s">
        <v>196</v>
      </c>
      <c r="CV616" s="19">
        <v>68</v>
      </c>
      <c r="CW616" s="19">
        <v>32</v>
      </c>
      <c r="CX616" s="17" t="s">
        <v>294</v>
      </c>
      <c r="CY616" s="19">
        <v>1</v>
      </c>
      <c r="CZ616" s="19">
        <v>67</v>
      </c>
      <c r="DA616" s="24">
        <v>7.02</v>
      </c>
      <c r="DB616" s="22">
        <v>44796</v>
      </c>
      <c r="DC616" s="17" t="s">
        <v>1363</v>
      </c>
      <c r="DD616" s="16" t="s">
        <v>151</v>
      </c>
      <c r="DE616" s="19">
        <v>0</v>
      </c>
      <c r="DF616" s="21">
        <v>11</v>
      </c>
      <c r="DG616" s="19">
        <v>0</v>
      </c>
      <c r="DH616" s="19">
        <v>0</v>
      </c>
      <c r="DI616" s="19" t="s">
        <v>151</v>
      </c>
      <c r="DJ616" s="21" t="s">
        <v>151</v>
      </c>
      <c r="DK616" s="19" t="s">
        <v>151</v>
      </c>
      <c r="DL616" s="21" t="s">
        <v>151</v>
      </c>
      <c r="DM616" s="19" t="s">
        <v>151</v>
      </c>
      <c r="DN616" s="21" t="s">
        <v>151</v>
      </c>
      <c r="DO616" s="23">
        <v>0.07</v>
      </c>
      <c r="DP616" s="21">
        <v>5</v>
      </c>
      <c r="DQ616" s="23">
        <v>0</v>
      </c>
      <c r="DR616" s="19">
        <v>0</v>
      </c>
      <c r="DS616" s="23" t="s">
        <v>151</v>
      </c>
      <c r="DT616" s="21" t="s">
        <v>151</v>
      </c>
      <c r="DU616" s="23" t="s">
        <v>151</v>
      </c>
      <c r="DV616" s="21" t="s">
        <v>151</v>
      </c>
      <c r="DW616" s="23" t="s">
        <v>151</v>
      </c>
      <c r="DX616" s="21" t="s">
        <v>151</v>
      </c>
      <c r="DY616" s="18" t="s">
        <v>151</v>
      </c>
      <c r="DZ616" s="22" t="s">
        <v>151</v>
      </c>
      <c r="EA616" s="22" t="s">
        <v>151</v>
      </c>
      <c r="EB616" s="21">
        <v>279</v>
      </c>
      <c r="EC616" s="20">
        <v>27</v>
      </c>
      <c r="ED616" s="19">
        <v>10.71</v>
      </c>
      <c r="EE616" s="21" t="s">
        <v>151</v>
      </c>
      <c r="EF616" s="20" t="s">
        <v>151</v>
      </c>
      <c r="EG616" s="19" t="s">
        <v>151</v>
      </c>
      <c r="EH616" s="16" t="s">
        <v>198</v>
      </c>
      <c r="EI616" s="17" t="s">
        <v>151</v>
      </c>
      <c r="EJ616" s="17" t="s">
        <v>151</v>
      </c>
      <c r="EK616" s="18" t="s">
        <v>151</v>
      </c>
      <c r="EL616" s="18" t="s">
        <v>151</v>
      </c>
      <c r="EM616" s="18" t="s">
        <v>151</v>
      </c>
      <c r="EN616" s="18" t="s">
        <v>151</v>
      </c>
      <c r="EO616" s="18" t="s">
        <v>151</v>
      </c>
      <c r="EP616" s="17" t="s">
        <v>151</v>
      </c>
      <c r="EQ616" s="16" t="s">
        <v>151</v>
      </c>
      <c r="ER616" s="16" t="s">
        <v>151</v>
      </c>
      <c r="ES616" s="3">
        <f>HYPERLINK("https://my.pitchbook.com?c=166160-44","View Company Online")</f>
      </c>
    </row>
    <row r="617">
      <c r="A617" s="30" t="s">
        <v>12786</v>
      </c>
      <c r="B617" s="30" t="s">
        <v>12787</v>
      </c>
      <c r="C617" s="31" t="s">
        <v>151</v>
      </c>
      <c r="D617" s="30" t="s">
        <v>151</v>
      </c>
      <c r="E617" s="30" t="s">
        <v>151</v>
      </c>
      <c r="F617" s="30" t="s">
        <v>12788</v>
      </c>
      <c r="G617" s="30" t="s">
        <v>151</v>
      </c>
      <c r="H617" s="30" t="s">
        <v>151</v>
      </c>
      <c r="I617" s="30" t="s">
        <v>151</v>
      </c>
      <c r="J617" s="30" t="s">
        <v>12786</v>
      </c>
      <c r="K617" s="30" t="s">
        <v>12789</v>
      </c>
      <c r="L617" s="30" t="s">
        <v>616</v>
      </c>
      <c r="M617" s="30" t="s">
        <v>834</v>
      </c>
      <c r="N617" s="30" t="s">
        <v>2059</v>
      </c>
      <c r="O617" s="30" t="s">
        <v>12790</v>
      </c>
      <c r="P617" s="30" t="s">
        <v>5652</v>
      </c>
      <c r="Q617" s="30" t="s">
        <v>12791</v>
      </c>
      <c r="R617" s="30" t="s">
        <v>151</v>
      </c>
      <c r="S617" s="30" t="s">
        <v>162</v>
      </c>
      <c r="T617" s="37">
        <v>5.5</v>
      </c>
      <c r="U617" s="30" t="s">
        <v>163</v>
      </c>
      <c r="V617" s="30" t="s">
        <v>164</v>
      </c>
      <c r="W617" s="30" t="s">
        <v>165</v>
      </c>
      <c r="X617" s="28" t="s">
        <v>12792</v>
      </c>
      <c r="Y617" s="28" t="s">
        <v>12793</v>
      </c>
      <c r="Z617" s="40">
        <v>57</v>
      </c>
      <c r="AA617" s="30" t="s">
        <v>12794</v>
      </c>
      <c r="AB617" s="30" t="s">
        <v>151</v>
      </c>
      <c r="AC617" s="30" t="s">
        <v>151</v>
      </c>
      <c r="AD617" s="39">
        <v>2019</v>
      </c>
      <c r="AE617" s="30" t="s">
        <v>151</v>
      </c>
      <c r="AF617" s="35">
        <v>45439</v>
      </c>
      <c r="AG617" s="30" t="s">
        <v>151</v>
      </c>
      <c r="AH617" s="30" t="s">
        <v>151</v>
      </c>
      <c r="AI617" s="38" t="s">
        <v>151</v>
      </c>
      <c r="AJ617" s="32" t="s">
        <v>151</v>
      </c>
      <c r="AK617" s="38" t="s">
        <v>151</v>
      </c>
      <c r="AL617" s="38" t="s">
        <v>151</v>
      </c>
      <c r="AM617" s="38" t="s">
        <v>151</v>
      </c>
      <c r="AN617" s="38" t="s">
        <v>151</v>
      </c>
      <c r="AO617" s="38" t="s">
        <v>151</v>
      </c>
      <c r="AP617" s="38" t="s">
        <v>151</v>
      </c>
      <c r="AQ617" s="38" t="s">
        <v>151</v>
      </c>
      <c r="AR617" s="29" t="s">
        <v>151</v>
      </c>
      <c r="AS617" s="30" t="s">
        <v>12795</v>
      </c>
      <c r="AT617" s="30" t="s">
        <v>12796</v>
      </c>
      <c r="AU617" s="31">
        <v>11</v>
      </c>
      <c r="AV617" s="30" t="s">
        <v>151</v>
      </c>
      <c r="AW617" s="30" t="s">
        <v>151</v>
      </c>
      <c r="AX617" s="30" t="s">
        <v>151</v>
      </c>
      <c r="AY617" s="30" t="s">
        <v>12797</v>
      </c>
      <c r="AZ617" s="30" t="s">
        <v>151</v>
      </c>
      <c r="BA617" s="30" t="s">
        <v>151</v>
      </c>
      <c r="BB617" s="30" t="s">
        <v>151</v>
      </c>
      <c r="BC617" s="30" t="s">
        <v>151</v>
      </c>
      <c r="BD617" s="30" t="s">
        <v>12798</v>
      </c>
      <c r="BE617" s="30" t="s">
        <v>12799</v>
      </c>
      <c r="BF617" s="30" t="s">
        <v>12800</v>
      </c>
      <c r="BG617" s="30" t="s">
        <v>12801</v>
      </c>
      <c r="BH617" s="30" t="s">
        <v>151</v>
      </c>
      <c r="BI617" s="30" t="s">
        <v>906</v>
      </c>
      <c r="BJ617" s="30" t="s">
        <v>151</v>
      </c>
      <c r="BK617" s="30" t="s">
        <v>151</v>
      </c>
      <c r="BL617" s="30" t="s">
        <v>259</v>
      </c>
      <c r="BM617" s="30" t="s">
        <v>259</v>
      </c>
      <c r="BN617" s="29" t="s">
        <v>151</v>
      </c>
      <c r="BO617" s="30" t="s">
        <v>186</v>
      </c>
      <c r="BP617" s="29" t="s">
        <v>151</v>
      </c>
      <c r="BQ617" s="29" t="s">
        <v>151</v>
      </c>
      <c r="BR617" s="30" t="s">
        <v>151</v>
      </c>
      <c r="BS617" s="30" t="s">
        <v>187</v>
      </c>
      <c r="BT617" s="30" t="s">
        <v>188</v>
      </c>
      <c r="BU617" s="35">
        <v>44134</v>
      </c>
      <c r="BV617" s="37">
        <v>2</v>
      </c>
      <c r="BW617" s="30" t="s">
        <v>193</v>
      </c>
      <c r="BX617" s="37">
        <v>5</v>
      </c>
      <c r="BY617" s="30" t="s">
        <v>192</v>
      </c>
      <c r="BZ617" s="30" t="s">
        <v>293</v>
      </c>
      <c r="CA617" s="30" t="s">
        <v>293</v>
      </c>
      <c r="CB617" s="30" t="s">
        <v>151</v>
      </c>
      <c r="CC617" s="30" t="s">
        <v>165</v>
      </c>
      <c r="CD617" s="30" t="s">
        <v>151</v>
      </c>
      <c r="CE617" s="30" t="s">
        <v>191</v>
      </c>
      <c r="CF617" s="35">
        <v>44638</v>
      </c>
      <c r="CG617" s="37">
        <v>3.5</v>
      </c>
      <c r="CH617" s="30" t="s">
        <v>193</v>
      </c>
      <c r="CI617" s="37">
        <v>17.5</v>
      </c>
      <c r="CJ617" s="30" t="s">
        <v>192</v>
      </c>
      <c r="CK617" s="29">
        <v>2.8</v>
      </c>
      <c r="CL617" s="30" t="s">
        <v>293</v>
      </c>
      <c r="CM617" s="30" t="s">
        <v>661</v>
      </c>
      <c r="CN617" s="30" t="s">
        <v>151</v>
      </c>
      <c r="CO617" s="30" t="s">
        <v>165</v>
      </c>
      <c r="CP617" s="35">
        <v>44638</v>
      </c>
      <c r="CQ617" s="37" t="s">
        <v>151</v>
      </c>
      <c r="CR617" s="30" t="s">
        <v>151</v>
      </c>
      <c r="CS617" s="30" t="s">
        <v>191</v>
      </c>
      <c r="CT617" s="29">
        <v>53</v>
      </c>
      <c r="CU617" s="30" t="s">
        <v>196</v>
      </c>
      <c r="CV617" s="32">
        <v>51</v>
      </c>
      <c r="CW617" s="32">
        <v>49</v>
      </c>
      <c r="CX617" s="30" t="s">
        <v>294</v>
      </c>
      <c r="CY617" s="32">
        <v>1</v>
      </c>
      <c r="CZ617" s="32">
        <v>50</v>
      </c>
      <c r="DA617" s="37">
        <v>17.5</v>
      </c>
      <c r="DB617" s="35">
        <v>44638</v>
      </c>
      <c r="DC617" s="30" t="s">
        <v>293</v>
      </c>
      <c r="DD617" s="29">
        <v>2.8</v>
      </c>
      <c r="DE617" s="32">
        <v>0</v>
      </c>
      <c r="DF617" s="34">
        <v>11</v>
      </c>
      <c r="DG617" s="32">
        <v>0</v>
      </c>
      <c r="DH617" s="32">
        <v>0</v>
      </c>
      <c r="DI617" s="32">
        <v>0</v>
      </c>
      <c r="DJ617" s="34">
        <v>10</v>
      </c>
      <c r="DK617" s="32" t="s">
        <v>151</v>
      </c>
      <c r="DL617" s="34" t="s">
        <v>151</v>
      </c>
      <c r="DM617" s="32">
        <v>0</v>
      </c>
      <c r="DN617" s="34">
        <v>10</v>
      </c>
      <c r="DO617" s="36">
        <v>2.26</v>
      </c>
      <c r="DP617" s="34">
        <v>69</v>
      </c>
      <c r="DQ617" s="36">
        <v>0</v>
      </c>
      <c r="DR617" s="32">
        <v>0</v>
      </c>
      <c r="DS617" s="36">
        <v>2.26</v>
      </c>
      <c r="DT617" s="34">
        <v>69</v>
      </c>
      <c r="DU617" s="36" t="s">
        <v>151</v>
      </c>
      <c r="DV617" s="34" t="s">
        <v>151</v>
      </c>
      <c r="DW617" s="36">
        <v>2.26</v>
      </c>
      <c r="DX617" s="34">
        <v>68</v>
      </c>
      <c r="DY617" s="31" t="s">
        <v>151</v>
      </c>
      <c r="DZ617" s="35" t="s">
        <v>151</v>
      </c>
      <c r="EA617" s="35" t="s">
        <v>151</v>
      </c>
      <c r="EB617" s="34">
        <v>718</v>
      </c>
      <c r="EC617" s="33">
        <v>11</v>
      </c>
      <c r="ED617" s="32">
        <v>1.56</v>
      </c>
      <c r="EE617" s="34">
        <v>43</v>
      </c>
      <c r="EF617" s="33">
        <v>1</v>
      </c>
      <c r="EG617" s="32">
        <v>2.38</v>
      </c>
      <c r="EH617" s="29" t="s">
        <v>198</v>
      </c>
      <c r="EI617" s="30" t="s">
        <v>151</v>
      </c>
      <c r="EJ617" s="30" t="s">
        <v>151</v>
      </c>
      <c r="EK617" s="31" t="s">
        <v>151</v>
      </c>
      <c r="EL617" s="31" t="s">
        <v>151</v>
      </c>
      <c r="EM617" s="31" t="s">
        <v>151</v>
      </c>
      <c r="EN617" s="31" t="s">
        <v>151</v>
      </c>
      <c r="EO617" s="31" t="s">
        <v>151</v>
      </c>
      <c r="EP617" s="30" t="s">
        <v>151</v>
      </c>
      <c r="EQ617" s="29" t="s">
        <v>151</v>
      </c>
      <c r="ER617" s="29" t="s">
        <v>151</v>
      </c>
      <c r="ES617" s="4">
        <f>HYPERLINK("https://my.pitchbook.com?c=433392-85","View Company Online")</f>
      </c>
    </row>
    <row r="618">
      <c r="A618" s="17" t="s">
        <v>12802</v>
      </c>
      <c r="B618" s="17" t="s">
        <v>12803</v>
      </c>
      <c r="C618" s="18" t="s">
        <v>151</v>
      </c>
      <c r="D618" s="17" t="s">
        <v>151</v>
      </c>
      <c r="E618" s="17" t="s">
        <v>151</v>
      </c>
      <c r="F618" s="17" t="s">
        <v>12804</v>
      </c>
      <c r="G618" s="17" t="s">
        <v>151</v>
      </c>
      <c r="H618" s="17" t="s">
        <v>151</v>
      </c>
      <c r="I618" s="17" t="s">
        <v>151</v>
      </c>
      <c r="J618" s="17" t="s">
        <v>12802</v>
      </c>
      <c r="K618" s="17" t="s">
        <v>12805</v>
      </c>
      <c r="L618" s="17" t="s">
        <v>205</v>
      </c>
      <c r="M618" s="17" t="s">
        <v>206</v>
      </c>
      <c r="N618" s="17" t="s">
        <v>269</v>
      </c>
      <c r="O618" s="17" t="s">
        <v>12806</v>
      </c>
      <c r="P618" s="17" t="s">
        <v>10200</v>
      </c>
      <c r="Q618" s="17" t="s">
        <v>12807</v>
      </c>
      <c r="R618" s="17" t="s">
        <v>151</v>
      </c>
      <c r="S618" s="17" t="s">
        <v>162</v>
      </c>
      <c r="T618" s="24">
        <v>7.25</v>
      </c>
      <c r="U618" s="17" t="s">
        <v>163</v>
      </c>
      <c r="V618" s="17" t="s">
        <v>164</v>
      </c>
      <c r="W618" s="17" t="s">
        <v>165</v>
      </c>
      <c r="X618" s="15" t="s">
        <v>12808</v>
      </c>
      <c r="Y618" s="15" t="s">
        <v>12809</v>
      </c>
      <c r="Z618" s="27">
        <v>21</v>
      </c>
      <c r="AA618" s="17" t="s">
        <v>12810</v>
      </c>
      <c r="AB618" s="17" t="s">
        <v>151</v>
      </c>
      <c r="AC618" s="17" t="s">
        <v>151</v>
      </c>
      <c r="AD618" s="26">
        <v>2018</v>
      </c>
      <c r="AE618" s="17" t="s">
        <v>151</v>
      </c>
      <c r="AF618" s="22">
        <v>45555</v>
      </c>
      <c r="AG618" s="17" t="s">
        <v>151</v>
      </c>
      <c r="AH618" s="17" t="s">
        <v>151</v>
      </c>
      <c r="AI618" s="25" t="s">
        <v>151</v>
      </c>
      <c r="AJ618" s="19" t="s">
        <v>151</v>
      </c>
      <c r="AK618" s="25" t="s">
        <v>151</v>
      </c>
      <c r="AL618" s="25" t="s">
        <v>151</v>
      </c>
      <c r="AM618" s="25" t="s">
        <v>151</v>
      </c>
      <c r="AN618" s="25" t="s">
        <v>151</v>
      </c>
      <c r="AO618" s="25" t="s">
        <v>151</v>
      </c>
      <c r="AP618" s="25" t="s">
        <v>151</v>
      </c>
      <c r="AQ618" s="25" t="s">
        <v>151</v>
      </c>
      <c r="AR618" s="16" t="s">
        <v>151</v>
      </c>
      <c r="AS618" s="17" t="s">
        <v>12811</v>
      </c>
      <c r="AT618" s="17" t="s">
        <v>12812</v>
      </c>
      <c r="AU618" s="18">
        <v>12</v>
      </c>
      <c r="AV618" s="17" t="s">
        <v>151</v>
      </c>
      <c r="AW618" s="17" t="s">
        <v>151</v>
      </c>
      <c r="AX618" s="17" t="s">
        <v>151</v>
      </c>
      <c r="AY618" s="17" t="s">
        <v>12813</v>
      </c>
      <c r="AZ618" s="17" t="s">
        <v>151</v>
      </c>
      <c r="BA618" s="17" t="s">
        <v>151</v>
      </c>
      <c r="BB618" s="17" t="s">
        <v>151</v>
      </c>
      <c r="BC618" s="17" t="s">
        <v>151</v>
      </c>
      <c r="BD618" s="17" t="s">
        <v>12814</v>
      </c>
      <c r="BE618" s="17" t="s">
        <v>12815</v>
      </c>
      <c r="BF618" s="17" t="s">
        <v>221</v>
      </c>
      <c r="BG618" s="17" t="s">
        <v>151</v>
      </c>
      <c r="BH618" s="17" t="s">
        <v>151</v>
      </c>
      <c r="BI618" s="17" t="s">
        <v>12816</v>
      </c>
      <c r="BJ618" s="17" t="s">
        <v>12817</v>
      </c>
      <c r="BK618" s="17" t="s">
        <v>12818</v>
      </c>
      <c r="BL618" s="17" t="s">
        <v>12819</v>
      </c>
      <c r="BM618" s="17" t="s">
        <v>2591</v>
      </c>
      <c r="BN618" s="16" t="s">
        <v>12820</v>
      </c>
      <c r="BO618" s="17" t="s">
        <v>186</v>
      </c>
      <c r="BP618" s="16" t="s">
        <v>151</v>
      </c>
      <c r="BQ618" s="16" t="s">
        <v>151</v>
      </c>
      <c r="BR618" s="17" t="s">
        <v>12821</v>
      </c>
      <c r="BS618" s="17" t="s">
        <v>187</v>
      </c>
      <c r="BT618" s="17" t="s">
        <v>188</v>
      </c>
      <c r="BU618" s="22">
        <v>44498</v>
      </c>
      <c r="BV618" s="24">
        <v>0.1</v>
      </c>
      <c r="BW618" s="17" t="s">
        <v>192</v>
      </c>
      <c r="BX618" s="24" t="s">
        <v>151</v>
      </c>
      <c r="BY618" s="17" t="s">
        <v>151</v>
      </c>
      <c r="BZ618" s="17" t="s">
        <v>501</v>
      </c>
      <c r="CA618" s="17" t="s">
        <v>151</v>
      </c>
      <c r="CB618" s="17" t="s">
        <v>151</v>
      </c>
      <c r="CC618" s="17" t="s">
        <v>190</v>
      </c>
      <c r="CD618" s="17" t="s">
        <v>151</v>
      </c>
      <c r="CE618" s="17" t="s">
        <v>191</v>
      </c>
      <c r="CF618" s="22">
        <v>44986</v>
      </c>
      <c r="CG618" s="24">
        <v>3.5</v>
      </c>
      <c r="CH618" s="17" t="s">
        <v>192</v>
      </c>
      <c r="CI618" s="24" t="s">
        <v>151</v>
      </c>
      <c r="CJ618" s="17" t="s">
        <v>151</v>
      </c>
      <c r="CK618" s="16" t="s">
        <v>151</v>
      </c>
      <c r="CL618" s="17" t="s">
        <v>293</v>
      </c>
      <c r="CM618" s="17" t="s">
        <v>293</v>
      </c>
      <c r="CN618" s="17" t="s">
        <v>151</v>
      </c>
      <c r="CO618" s="17" t="s">
        <v>165</v>
      </c>
      <c r="CP618" s="22">
        <v>44986</v>
      </c>
      <c r="CQ618" s="24" t="s">
        <v>151</v>
      </c>
      <c r="CR618" s="17" t="s">
        <v>151</v>
      </c>
      <c r="CS618" s="17" t="s">
        <v>191</v>
      </c>
      <c r="CT618" s="16">
        <v>77</v>
      </c>
      <c r="CU618" s="17" t="s">
        <v>196</v>
      </c>
      <c r="CV618" s="19">
        <v>71</v>
      </c>
      <c r="CW618" s="19">
        <v>29</v>
      </c>
      <c r="CX618" s="17" t="s">
        <v>294</v>
      </c>
      <c r="CY618" s="19">
        <v>1</v>
      </c>
      <c r="CZ618" s="19">
        <v>70</v>
      </c>
      <c r="DA618" s="24" t="s">
        <v>151</v>
      </c>
      <c r="DB618" s="22" t="s">
        <v>151</v>
      </c>
      <c r="DC618" s="17" t="s">
        <v>151</v>
      </c>
      <c r="DD618" s="16" t="s">
        <v>151</v>
      </c>
      <c r="DE618" s="19">
        <v>1.01</v>
      </c>
      <c r="DF618" s="21">
        <v>96</v>
      </c>
      <c r="DG618" s="19">
        <v>0</v>
      </c>
      <c r="DH618" s="19">
        <v>0</v>
      </c>
      <c r="DI618" s="19">
        <v>1.39</v>
      </c>
      <c r="DJ618" s="21">
        <v>97</v>
      </c>
      <c r="DK618" s="19" t="s">
        <v>151</v>
      </c>
      <c r="DL618" s="21" t="s">
        <v>151</v>
      </c>
      <c r="DM618" s="19">
        <v>1.39</v>
      </c>
      <c r="DN618" s="21">
        <v>97</v>
      </c>
      <c r="DO618" s="23">
        <v>7.86</v>
      </c>
      <c r="DP618" s="21">
        <v>88</v>
      </c>
      <c r="DQ618" s="23">
        <v>0</v>
      </c>
      <c r="DR618" s="19">
        <v>0</v>
      </c>
      <c r="DS618" s="23">
        <v>14.11</v>
      </c>
      <c r="DT618" s="21">
        <v>93</v>
      </c>
      <c r="DU618" s="23" t="s">
        <v>151</v>
      </c>
      <c r="DV618" s="21" t="s">
        <v>151</v>
      </c>
      <c r="DW618" s="23">
        <v>14.11</v>
      </c>
      <c r="DX618" s="21">
        <v>93</v>
      </c>
      <c r="DY618" s="18" t="s">
        <v>151</v>
      </c>
      <c r="DZ618" s="22" t="s">
        <v>151</v>
      </c>
      <c r="EA618" s="22" t="s">
        <v>151</v>
      </c>
      <c r="EB618" s="21">
        <v>5518</v>
      </c>
      <c r="EC618" s="20">
        <v>-235</v>
      </c>
      <c r="ED618" s="19">
        <v>-4.08</v>
      </c>
      <c r="EE618" s="21">
        <v>268</v>
      </c>
      <c r="EF618" s="20">
        <v>3</v>
      </c>
      <c r="EG618" s="19">
        <v>1.13</v>
      </c>
      <c r="EH618" s="16" t="s">
        <v>198</v>
      </c>
      <c r="EI618" s="17" t="s">
        <v>151</v>
      </c>
      <c r="EJ618" s="17" t="s">
        <v>151</v>
      </c>
      <c r="EK618" s="18" t="s">
        <v>151</v>
      </c>
      <c r="EL618" s="18" t="s">
        <v>151</v>
      </c>
      <c r="EM618" s="18" t="s">
        <v>151</v>
      </c>
      <c r="EN618" s="18" t="s">
        <v>151</v>
      </c>
      <c r="EO618" s="18" t="s">
        <v>151</v>
      </c>
      <c r="EP618" s="17" t="s">
        <v>151</v>
      </c>
      <c r="EQ618" s="16" t="s">
        <v>151</v>
      </c>
      <c r="ER618" s="16" t="s">
        <v>151</v>
      </c>
      <c r="ES618" s="3">
        <f>HYPERLINK("https://my.pitchbook.com?c=484268-86","View Company Online")</f>
      </c>
    </row>
    <row r="619">
      <c r="A619" s="30" t="s">
        <v>12822</v>
      </c>
      <c r="B619" s="30" t="s">
        <v>12823</v>
      </c>
      <c r="C619" s="31" t="s">
        <v>151</v>
      </c>
      <c r="D619" s="30" t="s">
        <v>151</v>
      </c>
      <c r="E619" s="30" t="s">
        <v>151</v>
      </c>
      <c r="F619" s="30" t="s">
        <v>12824</v>
      </c>
      <c r="G619" s="30" t="s">
        <v>151</v>
      </c>
      <c r="H619" s="30" t="s">
        <v>151</v>
      </c>
      <c r="I619" s="30" t="s">
        <v>12825</v>
      </c>
      <c r="J619" s="30" t="s">
        <v>12822</v>
      </c>
      <c r="K619" s="30" t="s">
        <v>12826</v>
      </c>
      <c r="L619" s="30" t="s">
        <v>155</v>
      </c>
      <c r="M619" s="30" t="s">
        <v>361</v>
      </c>
      <c r="N619" s="30" t="s">
        <v>3162</v>
      </c>
      <c r="O619" s="30" t="s">
        <v>3163</v>
      </c>
      <c r="P619" s="30" t="s">
        <v>12827</v>
      </c>
      <c r="Q619" s="30" t="s">
        <v>12828</v>
      </c>
      <c r="R619" s="30" t="s">
        <v>151</v>
      </c>
      <c r="S619" s="30" t="s">
        <v>162</v>
      </c>
      <c r="T619" s="37">
        <v>0.6</v>
      </c>
      <c r="U619" s="30" t="s">
        <v>163</v>
      </c>
      <c r="V619" s="30" t="s">
        <v>164</v>
      </c>
      <c r="W619" s="30" t="s">
        <v>165</v>
      </c>
      <c r="X619" s="28" t="s">
        <v>12829</v>
      </c>
      <c r="Y619" s="28" t="s">
        <v>12830</v>
      </c>
      <c r="Z619" s="40">
        <v>25</v>
      </c>
      <c r="AA619" s="30" t="s">
        <v>12831</v>
      </c>
      <c r="AB619" s="30" t="s">
        <v>151</v>
      </c>
      <c r="AC619" s="30" t="s">
        <v>151</v>
      </c>
      <c r="AD619" s="39">
        <v>2015</v>
      </c>
      <c r="AE619" s="30" t="s">
        <v>151</v>
      </c>
      <c r="AF619" s="35">
        <v>45569</v>
      </c>
      <c r="AG619" s="30" t="s">
        <v>151</v>
      </c>
      <c r="AH619" s="30" t="s">
        <v>151</v>
      </c>
      <c r="AI619" s="38" t="s">
        <v>151</v>
      </c>
      <c r="AJ619" s="32" t="s">
        <v>151</v>
      </c>
      <c r="AK619" s="38" t="s">
        <v>151</v>
      </c>
      <c r="AL619" s="38" t="s">
        <v>151</v>
      </c>
      <c r="AM619" s="38" t="s">
        <v>151</v>
      </c>
      <c r="AN619" s="38" t="s">
        <v>151</v>
      </c>
      <c r="AO619" s="38" t="s">
        <v>151</v>
      </c>
      <c r="AP619" s="38" t="s">
        <v>151</v>
      </c>
      <c r="AQ619" s="38" t="s">
        <v>151</v>
      </c>
      <c r="AR619" s="29" t="s">
        <v>151</v>
      </c>
      <c r="AS619" s="30" t="s">
        <v>12832</v>
      </c>
      <c r="AT619" s="30" t="s">
        <v>12833</v>
      </c>
      <c r="AU619" s="31">
        <v>8</v>
      </c>
      <c r="AV619" s="30" t="s">
        <v>151</v>
      </c>
      <c r="AW619" s="30" t="s">
        <v>151</v>
      </c>
      <c r="AX619" s="30" t="s">
        <v>151</v>
      </c>
      <c r="AY619" s="30" t="s">
        <v>12834</v>
      </c>
      <c r="AZ619" s="30" t="s">
        <v>151</v>
      </c>
      <c r="BA619" s="30" t="s">
        <v>151</v>
      </c>
      <c r="BB619" s="30" t="s">
        <v>12835</v>
      </c>
      <c r="BC619" s="30" t="s">
        <v>5404</v>
      </c>
      <c r="BD619" s="30" t="s">
        <v>12836</v>
      </c>
      <c r="BE619" s="30" t="s">
        <v>12837</v>
      </c>
      <c r="BF619" s="30" t="s">
        <v>2427</v>
      </c>
      <c r="BG619" s="30" t="s">
        <v>12838</v>
      </c>
      <c r="BH619" s="30" t="s">
        <v>12839</v>
      </c>
      <c r="BI619" s="30" t="s">
        <v>764</v>
      </c>
      <c r="BJ619" s="30" t="s">
        <v>12840</v>
      </c>
      <c r="BK619" s="30" t="s">
        <v>151</v>
      </c>
      <c r="BL619" s="30" t="s">
        <v>767</v>
      </c>
      <c r="BM619" s="30" t="s">
        <v>184</v>
      </c>
      <c r="BN619" s="29" t="s">
        <v>4698</v>
      </c>
      <c r="BO619" s="30" t="s">
        <v>186</v>
      </c>
      <c r="BP619" s="29" t="s">
        <v>12839</v>
      </c>
      <c r="BQ619" s="29" t="s">
        <v>151</v>
      </c>
      <c r="BR619" s="30" t="s">
        <v>151</v>
      </c>
      <c r="BS619" s="30" t="s">
        <v>187</v>
      </c>
      <c r="BT619" s="30" t="s">
        <v>188</v>
      </c>
      <c r="BU619" s="35">
        <v>42217</v>
      </c>
      <c r="BV619" s="37">
        <v>0.01</v>
      </c>
      <c r="BW619" s="30" t="s">
        <v>192</v>
      </c>
      <c r="BX619" s="37" t="s">
        <v>151</v>
      </c>
      <c r="BY619" s="30" t="s">
        <v>151</v>
      </c>
      <c r="BZ619" s="30" t="s">
        <v>858</v>
      </c>
      <c r="CA619" s="30" t="s">
        <v>151</v>
      </c>
      <c r="CB619" s="30" t="s">
        <v>151</v>
      </c>
      <c r="CC619" s="30" t="s">
        <v>585</v>
      </c>
      <c r="CD619" s="30" t="s">
        <v>151</v>
      </c>
      <c r="CE619" s="30" t="s">
        <v>191</v>
      </c>
      <c r="CF619" s="35" t="s">
        <v>151</v>
      </c>
      <c r="CG619" s="37" t="s">
        <v>151</v>
      </c>
      <c r="CH619" s="30" t="s">
        <v>151</v>
      </c>
      <c r="CI619" s="37" t="s">
        <v>151</v>
      </c>
      <c r="CJ619" s="30" t="s">
        <v>151</v>
      </c>
      <c r="CK619" s="29" t="s">
        <v>151</v>
      </c>
      <c r="CL619" s="30" t="s">
        <v>194</v>
      </c>
      <c r="CM619" s="30" t="s">
        <v>151</v>
      </c>
      <c r="CN619" s="30" t="s">
        <v>151</v>
      </c>
      <c r="CO619" s="30" t="s">
        <v>165</v>
      </c>
      <c r="CP619" s="35" t="s">
        <v>151</v>
      </c>
      <c r="CQ619" s="37" t="s">
        <v>151</v>
      </c>
      <c r="CR619" s="30" t="s">
        <v>151</v>
      </c>
      <c r="CS619" s="30" t="s">
        <v>191</v>
      </c>
      <c r="CT619" s="29">
        <v>32</v>
      </c>
      <c r="CU619" s="30" t="s">
        <v>263</v>
      </c>
      <c r="CV619" s="32">
        <v>44</v>
      </c>
      <c r="CW619" s="32">
        <v>56</v>
      </c>
      <c r="CX619" s="30" t="s">
        <v>263</v>
      </c>
      <c r="CY619" s="32">
        <v>1</v>
      </c>
      <c r="CZ619" s="32">
        <v>43</v>
      </c>
      <c r="DA619" s="37" t="s">
        <v>151</v>
      </c>
      <c r="DB619" s="35" t="s">
        <v>151</v>
      </c>
      <c r="DC619" s="30" t="s">
        <v>151</v>
      </c>
      <c r="DD619" s="29" t="s">
        <v>151</v>
      </c>
      <c r="DE619" s="32">
        <v>0.94</v>
      </c>
      <c r="DF619" s="34">
        <v>96</v>
      </c>
      <c r="DG619" s="32">
        <v>0</v>
      </c>
      <c r="DH619" s="32">
        <v>0</v>
      </c>
      <c r="DI619" s="32">
        <v>0.94</v>
      </c>
      <c r="DJ619" s="34">
        <v>96</v>
      </c>
      <c r="DK619" s="32" t="s">
        <v>151</v>
      </c>
      <c r="DL619" s="34" t="s">
        <v>151</v>
      </c>
      <c r="DM619" s="32">
        <v>0.94</v>
      </c>
      <c r="DN619" s="34">
        <v>96</v>
      </c>
      <c r="DO619" s="36">
        <v>26.95</v>
      </c>
      <c r="DP619" s="34">
        <v>96</v>
      </c>
      <c r="DQ619" s="36">
        <v>0</v>
      </c>
      <c r="DR619" s="32">
        <v>0</v>
      </c>
      <c r="DS619" s="36">
        <v>26.95</v>
      </c>
      <c r="DT619" s="34">
        <v>96</v>
      </c>
      <c r="DU619" s="36" t="s">
        <v>151</v>
      </c>
      <c r="DV619" s="34" t="s">
        <v>151</v>
      </c>
      <c r="DW619" s="36">
        <v>26.95</v>
      </c>
      <c r="DX619" s="34">
        <v>96</v>
      </c>
      <c r="DY619" s="31" t="s">
        <v>151</v>
      </c>
      <c r="DZ619" s="35" t="s">
        <v>151</v>
      </c>
      <c r="EA619" s="35" t="s">
        <v>151</v>
      </c>
      <c r="EB619" s="34">
        <v>16338</v>
      </c>
      <c r="EC619" s="33">
        <v>248</v>
      </c>
      <c r="ED619" s="32">
        <v>1.54</v>
      </c>
      <c r="EE619" s="34">
        <v>512</v>
      </c>
      <c r="EF619" s="33">
        <v>2</v>
      </c>
      <c r="EG619" s="32">
        <v>0.39</v>
      </c>
      <c r="EH619" s="29" t="s">
        <v>198</v>
      </c>
      <c r="EI619" s="30" t="s">
        <v>151</v>
      </c>
      <c r="EJ619" s="30" t="s">
        <v>151</v>
      </c>
      <c r="EK619" s="31" t="s">
        <v>151</v>
      </c>
      <c r="EL619" s="31" t="s">
        <v>151</v>
      </c>
      <c r="EM619" s="31" t="s">
        <v>151</v>
      </c>
      <c r="EN619" s="31" t="s">
        <v>151</v>
      </c>
      <c r="EO619" s="31" t="s">
        <v>151</v>
      </c>
      <c r="EP619" s="30" t="s">
        <v>151</v>
      </c>
      <c r="EQ619" s="29" t="s">
        <v>151</v>
      </c>
      <c r="ER619" s="29" t="s">
        <v>151</v>
      </c>
      <c r="ES619" s="4">
        <f>HYPERLINK("https://my.pitchbook.com?c=223768-36","View Company Online")</f>
      </c>
    </row>
    <row r="620">
      <c r="A620" s="17" t="s">
        <v>12841</v>
      </c>
      <c r="B620" s="17" t="s">
        <v>12842</v>
      </c>
      <c r="C620" s="18" t="s">
        <v>151</v>
      </c>
      <c r="D620" s="17" t="s">
        <v>151</v>
      </c>
      <c r="E620" s="17" t="s">
        <v>151</v>
      </c>
      <c r="F620" s="17" t="s">
        <v>12843</v>
      </c>
      <c r="G620" s="17" t="s">
        <v>151</v>
      </c>
      <c r="H620" s="17" t="s">
        <v>151</v>
      </c>
      <c r="I620" s="17" t="s">
        <v>12844</v>
      </c>
      <c r="J620" s="17" t="s">
        <v>12841</v>
      </c>
      <c r="K620" s="17" t="s">
        <v>12845</v>
      </c>
      <c r="L620" s="17" t="s">
        <v>205</v>
      </c>
      <c r="M620" s="17" t="s">
        <v>206</v>
      </c>
      <c r="N620" s="17" t="s">
        <v>269</v>
      </c>
      <c r="O620" s="17" t="s">
        <v>1420</v>
      </c>
      <c r="P620" s="17" t="s">
        <v>12846</v>
      </c>
      <c r="Q620" s="17" t="s">
        <v>12847</v>
      </c>
      <c r="R620" s="17" t="s">
        <v>151</v>
      </c>
      <c r="S620" s="17" t="s">
        <v>162</v>
      </c>
      <c r="T620" s="24">
        <v>74.5</v>
      </c>
      <c r="U620" s="17" t="s">
        <v>163</v>
      </c>
      <c r="V620" s="17" t="s">
        <v>164</v>
      </c>
      <c r="W620" s="17" t="s">
        <v>165</v>
      </c>
      <c r="X620" s="15" t="s">
        <v>12848</v>
      </c>
      <c r="Y620" s="15" t="s">
        <v>12849</v>
      </c>
      <c r="Z620" s="27">
        <v>118</v>
      </c>
      <c r="AA620" s="17" t="s">
        <v>12850</v>
      </c>
      <c r="AB620" s="17" t="s">
        <v>151</v>
      </c>
      <c r="AC620" s="17" t="s">
        <v>151</v>
      </c>
      <c r="AD620" s="26">
        <v>2020</v>
      </c>
      <c r="AE620" s="17" t="s">
        <v>151</v>
      </c>
      <c r="AF620" s="22">
        <v>45483</v>
      </c>
      <c r="AG620" s="17" t="s">
        <v>151</v>
      </c>
      <c r="AH620" s="17" t="s">
        <v>12851</v>
      </c>
      <c r="AI620" s="25">
        <v>0.36</v>
      </c>
      <c r="AJ620" s="19" t="s">
        <v>151</v>
      </c>
      <c r="AK620" s="25" t="s">
        <v>151</v>
      </c>
      <c r="AL620" s="25" t="s">
        <v>151</v>
      </c>
      <c r="AM620" s="25" t="s">
        <v>151</v>
      </c>
      <c r="AN620" s="25" t="s">
        <v>151</v>
      </c>
      <c r="AO620" s="25" t="s">
        <v>151</v>
      </c>
      <c r="AP620" s="25" t="s">
        <v>151</v>
      </c>
      <c r="AQ620" s="25" t="s">
        <v>151</v>
      </c>
      <c r="AR620" s="16" t="s">
        <v>456</v>
      </c>
      <c r="AS620" s="17" t="s">
        <v>12852</v>
      </c>
      <c r="AT620" s="17" t="s">
        <v>12853</v>
      </c>
      <c r="AU620" s="18">
        <v>23</v>
      </c>
      <c r="AV620" s="17" t="s">
        <v>151</v>
      </c>
      <c r="AW620" s="17" t="s">
        <v>151</v>
      </c>
      <c r="AX620" s="17" t="s">
        <v>151</v>
      </c>
      <c r="AY620" s="17" t="s">
        <v>12854</v>
      </c>
      <c r="AZ620" s="17" t="s">
        <v>151</v>
      </c>
      <c r="BA620" s="17" t="s">
        <v>151</v>
      </c>
      <c r="BB620" s="17" t="s">
        <v>151</v>
      </c>
      <c r="BC620" s="17" t="s">
        <v>374</v>
      </c>
      <c r="BD620" s="17" t="s">
        <v>12855</v>
      </c>
      <c r="BE620" s="17" t="s">
        <v>12856</v>
      </c>
      <c r="BF620" s="17" t="s">
        <v>3087</v>
      </c>
      <c r="BG620" s="17" t="s">
        <v>12857</v>
      </c>
      <c r="BH620" s="17" t="s">
        <v>151</v>
      </c>
      <c r="BI620" s="17" t="s">
        <v>764</v>
      </c>
      <c r="BJ620" s="17" t="s">
        <v>12858</v>
      </c>
      <c r="BK620" s="17" t="s">
        <v>12859</v>
      </c>
      <c r="BL620" s="17" t="s">
        <v>767</v>
      </c>
      <c r="BM620" s="17" t="s">
        <v>184</v>
      </c>
      <c r="BN620" s="16" t="s">
        <v>10913</v>
      </c>
      <c r="BO620" s="17" t="s">
        <v>186</v>
      </c>
      <c r="BP620" s="16" t="s">
        <v>151</v>
      </c>
      <c r="BQ620" s="16" t="s">
        <v>151</v>
      </c>
      <c r="BR620" s="17" t="s">
        <v>12860</v>
      </c>
      <c r="BS620" s="17" t="s">
        <v>187</v>
      </c>
      <c r="BT620" s="17" t="s">
        <v>188</v>
      </c>
      <c r="BU620" s="22" t="s">
        <v>151</v>
      </c>
      <c r="BV620" s="24" t="s">
        <v>151</v>
      </c>
      <c r="BW620" s="17" t="s">
        <v>151</v>
      </c>
      <c r="BX620" s="24" t="s">
        <v>151</v>
      </c>
      <c r="BY620" s="17" t="s">
        <v>151</v>
      </c>
      <c r="BZ620" s="17" t="s">
        <v>1075</v>
      </c>
      <c r="CA620" s="17" t="s">
        <v>1075</v>
      </c>
      <c r="CB620" s="17" t="s">
        <v>151</v>
      </c>
      <c r="CC620" s="17" t="s">
        <v>585</v>
      </c>
      <c r="CD620" s="17" t="s">
        <v>151</v>
      </c>
      <c r="CE620" s="17" t="s">
        <v>191</v>
      </c>
      <c r="CF620" s="22">
        <v>44818</v>
      </c>
      <c r="CG620" s="24">
        <v>55</v>
      </c>
      <c r="CH620" s="17" t="s">
        <v>192</v>
      </c>
      <c r="CI620" s="24">
        <v>315</v>
      </c>
      <c r="CJ620" s="17" t="s">
        <v>192</v>
      </c>
      <c r="CK620" s="16">
        <v>3.38</v>
      </c>
      <c r="CL620" s="17" t="s">
        <v>231</v>
      </c>
      <c r="CM620" s="17" t="s">
        <v>326</v>
      </c>
      <c r="CN620" s="17" t="s">
        <v>151</v>
      </c>
      <c r="CO620" s="17" t="s">
        <v>165</v>
      </c>
      <c r="CP620" s="22">
        <v>44818</v>
      </c>
      <c r="CQ620" s="24" t="s">
        <v>151</v>
      </c>
      <c r="CR620" s="17" t="s">
        <v>151</v>
      </c>
      <c r="CS620" s="17" t="s">
        <v>191</v>
      </c>
      <c r="CT620" s="16">
        <v>86</v>
      </c>
      <c r="CU620" s="17" t="s">
        <v>196</v>
      </c>
      <c r="CV620" s="19">
        <v>93</v>
      </c>
      <c r="CW620" s="19">
        <v>7</v>
      </c>
      <c r="CX620" s="17" t="s">
        <v>294</v>
      </c>
      <c r="CY620" s="19">
        <v>11</v>
      </c>
      <c r="CZ620" s="19">
        <v>82</v>
      </c>
      <c r="DA620" s="24">
        <v>315</v>
      </c>
      <c r="DB620" s="22">
        <v>44818</v>
      </c>
      <c r="DC620" s="17" t="s">
        <v>231</v>
      </c>
      <c r="DD620" s="16">
        <v>3.38</v>
      </c>
      <c r="DE620" s="19">
        <v>0.11</v>
      </c>
      <c r="DF620" s="21">
        <v>90</v>
      </c>
      <c r="DG620" s="19">
        <v>0</v>
      </c>
      <c r="DH620" s="19">
        <v>0</v>
      </c>
      <c r="DI620" s="19" t="s">
        <v>151</v>
      </c>
      <c r="DJ620" s="21" t="s">
        <v>151</v>
      </c>
      <c r="DK620" s="19" t="s">
        <v>151</v>
      </c>
      <c r="DL620" s="21" t="s">
        <v>151</v>
      </c>
      <c r="DM620" s="19" t="s">
        <v>151</v>
      </c>
      <c r="DN620" s="21" t="s">
        <v>151</v>
      </c>
      <c r="DO620" s="23">
        <v>9.08</v>
      </c>
      <c r="DP620" s="21">
        <v>89</v>
      </c>
      <c r="DQ620" s="23">
        <v>0</v>
      </c>
      <c r="DR620" s="19">
        <v>0</v>
      </c>
      <c r="DS620" s="23" t="s">
        <v>151</v>
      </c>
      <c r="DT620" s="21" t="s">
        <v>151</v>
      </c>
      <c r="DU620" s="23" t="s">
        <v>151</v>
      </c>
      <c r="DV620" s="21" t="s">
        <v>151</v>
      </c>
      <c r="DW620" s="23" t="s">
        <v>151</v>
      </c>
      <c r="DX620" s="21" t="s">
        <v>151</v>
      </c>
      <c r="DY620" s="18" t="s">
        <v>151</v>
      </c>
      <c r="DZ620" s="22" t="s">
        <v>151</v>
      </c>
      <c r="EA620" s="22" t="s">
        <v>151</v>
      </c>
      <c r="EB620" s="21">
        <v>37544</v>
      </c>
      <c r="EC620" s="20">
        <v>49</v>
      </c>
      <c r="ED620" s="19">
        <v>0.13</v>
      </c>
      <c r="EE620" s="21" t="s">
        <v>151</v>
      </c>
      <c r="EF620" s="20" t="s">
        <v>151</v>
      </c>
      <c r="EG620" s="19" t="s">
        <v>151</v>
      </c>
      <c r="EH620" s="16" t="s">
        <v>198</v>
      </c>
      <c r="EI620" s="17" t="s">
        <v>151</v>
      </c>
      <c r="EJ620" s="17" t="s">
        <v>151</v>
      </c>
      <c r="EK620" s="18" t="s">
        <v>151</v>
      </c>
      <c r="EL620" s="18" t="s">
        <v>151</v>
      </c>
      <c r="EM620" s="18" t="s">
        <v>151</v>
      </c>
      <c r="EN620" s="18" t="s">
        <v>151</v>
      </c>
      <c r="EO620" s="18" t="s">
        <v>151</v>
      </c>
      <c r="EP620" s="17" t="s">
        <v>151</v>
      </c>
      <c r="EQ620" s="16" t="s">
        <v>151</v>
      </c>
      <c r="ER620" s="16" t="s">
        <v>151</v>
      </c>
      <c r="ES620" s="3">
        <f>HYPERLINK("https://my.pitchbook.com?c=459033-58","View Company Online")</f>
      </c>
    </row>
    <row r="621">
      <c r="A621" s="30" t="s">
        <v>12861</v>
      </c>
      <c r="B621" s="30" t="s">
        <v>12862</v>
      </c>
      <c r="C621" s="31" t="s">
        <v>151</v>
      </c>
      <c r="D621" s="30" t="s">
        <v>151</v>
      </c>
      <c r="E621" s="30" t="s">
        <v>151</v>
      </c>
      <c r="F621" s="30" t="s">
        <v>12863</v>
      </c>
      <c r="G621" s="30" t="s">
        <v>151</v>
      </c>
      <c r="H621" s="30" t="s">
        <v>151</v>
      </c>
      <c r="I621" s="30" t="s">
        <v>12864</v>
      </c>
      <c r="J621" s="30" t="s">
        <v>12861</v>
      </c>
      <c r="K621" s="30" t="s">
        <v>12865</v>
      </c>
      <c r="L621" s="30" t="s">
        <v>205</v>
      </c>
      <c r="M621" s="30" t="s">
        <v>12866</v>
      </c>
      <c r="N621" s="30" t="s">
        <v>12867</v>
      </c>
      <c r="O621" s="30" t="s">
        <v>12868</v>
      </c>
      <c r="P621" s="30" t="s">
        <v>12869</v>
      </c>
      <c r="Q621" s="30" t="s">
        <v>12870</v>
      </c>
      <c r="R621" s="30" t="s">
        <v>12871</v>
      </c>
      <c r="S621" s="30" t="s">
        <v>162</v>
      </c>
      <c r="T621" s="37">
        <v>4.45</v>
      </c>
      <c r="U621" s="30" t="s">
        <v>1727</v>
      </c>
      <c r="V621" s="30" t="s">
        <v>164</v>
      </c>
      <c r="W621" s="30" t="s">
        <v>165</v>
      </c>
      <c r="X621" s="28" t="s">
        <v>12872</v>
      </c>
      <c r="Y621" s="28" t="s">
        <v>12873</v>
      </c>
      <c r="Z621" s="40">
        <v>8</v>
      </c>
      <c r="AA621" s="30" t="s">
        <v>9632</v>
      </c>
      <c r="AB621" s="30" t="s">
        <v>151</v>
      </c>
      <c r="AC621" s="30" t="s">
        <v>151</v>
      </c>
      <c r="AD621" s="39">
        <v>2023</v>
      </c>
      <c r="AE621" s="30" t="s">
        <v>151</v>
      </c>
      <c r="AF621" s="35">
        <v>45596</v>
      </c>
      <c r="AG621" s="30" t="s">
        <v>151</v>
      </c>
      <c r="AH621" s="30" t="s">
        <v>151</v>
      </c>
      <c r="AI621" s="38" t="s">
        <v>151</v>
      </c>
      <c r="AJ621" s="32" t="s">
        <v>151</v>
      </c>
      <c r="AK621" s="38" t="s">
        <v>151</v>
      </c>
      <c r="AL621" s="38" t="s">
        <v>151</v>
      </c>
      <c r="AM621" s="38" t="s">
        <v>151</v>
      </c>
      <c r="AN621" s="38" t="s">
        <v>151</v>
      </c>
      <c r="AO621" s="38" t="s">
        <v>151</v>
      </c>
      <c r="AP621" s="38" t="s">
        <v>151</v>
      </c>
      <c r="AQ621" s="38" t="s">
        <v>151</v>
      </c>
      <c r="AR621" s="29" t="s">
        <v>151</v>
      </c>
      <c r="AS621" s="30" t="s">
        <v>12874</v>
      </c>
      <c r="AT621" s="30" t="s">
        <v>12875</v>
      </c>
      <c r="AU621" s="31">
        <v>8</v>
      </c>
      <c r="AV621" s="30" t="s">
        <v>151</v>
      </c>
      <c r="AW621" s="30" t="s">
        <v>151</v>
      </c>
      <c r="AX621" s="30" t="s">
        <v>151</v>
      </c>
      <c r="AY621" s="30" t="s">
        <v>12876</v>
      </c>
      <c r="AZ621" s="30" t="s">
        <v>151</v>
      </c>
      <c r="BA621" s="30" t="s">
        <v>151</v>
      </c>
      <c r="BB621" s="30" t="s">
        <v>151</v>
      </c>
      <c r="BC621" s="30" t="s">
        <v>374</v>
      </c>
      <c r="BD621" s="30" t="s">
        <v>12877</v>
      </c>
      <c r="BE621" s="30" t="s">
        <v>12878</v>
      </c>
      <c r="BF621" s="30" t="s">
        <v>221</v>
      </c>
      <c r="BG621" s="30" t="s">
        <v>12879</v>
      </c>
      <c r="BH621" s="30" t="s">
        <v>151</v>
      </c>
      <c r="BI621" s="30" t="s">
        <v>12265</v>
      </c>
      <c r="BJ621" s="30" t="s">
        <v>12880</v>
      </c>
      <c r="BK621" s="30" t="s">
        <v>12881</v>
      </c>
      <c r="BL621" s="30" t="s">
        <v>12268</v>
      </c>
      <c r="BM621" s="30" t="s">
        <v>855</v>
      </c>
      <c r="BN621" s="29" t="s">
        <v>12882</v>
      </c>
      <c r="BO621" s="30" t="s">
        <v>186</v>
      </c>
      <c r="BP621" s="29" t="s">
        <v>151</v>
      </c>
      <c r="BQ621" s="29" t="s">
        <v>151</v>
      </c>
      <c r="BR621" s="30" t="s">
        <v>12883</v>
      </c>
      <c r="BS621" s="30" t="s">
        <v>187</v>
      </c>
      <c r="BT621" s="30" t="s">
        <v>188</v>
      </c>
      <c r="BU621" s="35">
        <v>45315</v>
      </c>
      <c r="BV621" s="37">
        <v>0.75</v>
      </c>
      <c r="BW621" s="30" t="s">
        <v>192</v>
      </c>
      <c r="BX621" s="37" t="s">
        <v>151</v>
      </c>
      <c r="BY621" s="30" t="s">
        <v>151</v>
      </c>
      <c r="BZ621" s="30" t="s">
        <v>189</v>
      </c>
      <c r="CA621" s="30" t="s">
        <v>151</v>
      </c>
      <c r="CB621" s="30" t="s">
        <v>151</v>
      </c>
      <c r="CC621" s="30" t="s">
        <v>190</v>
      </c>
      <c r="CD621" s="30" t="s">
        <v>151</v>
      </c>
      <c r="CE621" s="30" t="s">
        <v>191</v>
      </c>
      <c r="CF621" s="35" t="s">
        <v>151</v>
      </c>
      <c r="CG621" s="37" t="s">
        <v>151</v>
      </c>
      <c r="CH621" s="30" t="s">
        <v>151</v>
      </c>
      <c r="CI621" s="37" t="s">
        <v>151</v>
      </c>
      <c r="CJ621" s="30" t="s">
        <v>151</v>
      </c>
      <c r="CK621" s="29" t="s">
        <v>151</v>
      </c>
      <c r="CL621" s="30" t="s">
        <v>189</v>
      </c>
      <c r="CM621" s="30" t="s">
        <v>151</v>
      </c>
      <c r="CN621" s="30" t="s">
        <v>151</v>
      </c>
      <c r="CO621" s="30" t="s">
        <v>190</v>
      </c>
      <c r="CP621" s="35" t="s">
        <v>151</v>
      </c>
      <c r="CQ621" s="37" t="s">
        <v>151</v>
      </c>
      <c r="CR621" s="30" t="s">
        <v>151</v>
      </c>
      <c r="CS621" s="30" t="s">
        <v>191</v>
      </c>
      <c r="CT621" s="29" t="s">
        <v>151</v>
      </c>
      <c r="CU621" s="30" t="s">
        <v>151</v>
      </c>
      <c r="CV621" s="32" t="s">
        <v>151</v>
      </c>
      <c r="CW621" s="32" t="s">
        <v>151</v>
      </c>
      <c r="CX621" s="30" t="s">
        <v>151</v>
      </c>
      <c r="CY621" s="32" t="s">
        <v>151</v>
      </c>
      <c r="CZ621" s="32" t="s">
        <v>151</v>
      </c>
      <c r="DA621" s="37" t="s">
        <v>151</v>
      </c>
      <c r="DB621" s="35" t="s">
        <v>151</v>
      </c>
      <c r="DC621" s="30" t="s">
        <v>151</v>
      </c>
      <c r="DD621" s="29" t="s">
        <v>151</v>
      </c>
      <c r="DE621" s="32">
        <v>3.18</v>
      </c>
      <c r="DF621" s="34">
        <v>99</v>
      </c>
      <c r="DG621" s="32">
        <v>0</v>
      </c>
      <c r="DH621" s="32">
        <v>0</v>
      </c>
      <c r="DI621" s="32">
        <v>0</v>
      </c>
      <c r="DJ621" s="34">
        <v>10</v>
      </c>
      <c r="DK621" s="32" t="s">
        <v>151</v>
      </c>
      <c r="DL621" s="34" t="s">
        <v>151</v>
      </c>
      <c r="DM621" s="32">
        <v>0</v>
      </c>
      <c r="DN621" s="34">
        <v>10</v>
      </c>
      <c r="DO621" s="36">
        <v>0.81</v>
      </c>
      <c r="DP621" s="34">
        <v>45</v>
      </c>
      <c r="DQ621" s="36">
        <v>0</v>
      </c>
      <c r="DR621" s="32">
        <v>0</v>
      </c>
      <c r="DS621" s="36">
        <v>1</v>
      </c>
      <c r="DT621" s="34">
        <v>50</v>
      </c>
      <c r="DU621" s="36" t="s">
        <v>151</v>
      </c>
      <c r="DV621" s="34" t="s">
        <v>151</v>
      </c>
      <c r="DW621" s="36">
        <v>1</v>
      </c>
      <c r="DX621" s="34">
        <v>49</v>
      </c>
      <c r="DY621" s="31" t="s">
        <v>151</v>
      </c>
      <c r="DZ621" s="35" t="s">
        <v>151</v>
      </c>
      <c r="EA621" s="35" t="s">
        <v>151</v>
      </c>
      <c r="EB621" s="34" t="s">
        <v>151</v>
      </c>
      <c r="EC621" s="33" t="s">
        <v>151</v>
      </c>
      <c r="ED621" s="32" t="s">
        <v>151</v>
      </c>
      <c r="EE621" s="34">
        <v>19</v>
      </c>
      <c r="EF621" s="33">
        <v>2</v>
      </c>
      <c r="EG621" s="32">
        <v>11.76</v>
      </c>
      <c r="EH621" s="29" t="s">
        <v>198</v>
      </c>
      <c r="EI621" s="30" t="s">
        <v>151</v>
      </c>
      <c r="EJ621" s="30" t="s">
        <v>151</v>
      </c>
      <c r="EK621" s="31" t="s">
        <v>151</v>
      </c>
      <c r="EL621" s="31" t="s">
        <v>151</v>
      </c>
      <c r="EM621" s="31" t="s">
        <v>151</v>
      </c>
      <c r="EN621" s="31" t="s">
        <v>151</v>
      </c>
      <c r="EO621" s="31" t="s">
        <v>151</v>
      </c>
      <c r="EP621" s="30" t="s">
        <v>151</v>
      </c>
      <c r="EQ621" s="29" t="s">
        <v>151</v>
      </c>
      <c r="ER621" s="29" t="s">
        <v>151</v>
      </c>
      <c r="ES621" s="4">
        <f>HYPERLINK("https://my.pitchbook.com?c=571565-35","View Company Online")</f>
      </c>
    </row>
    <row r="622">
      <c r="A622" s="17" t="s">
        <v>12884</v>
      </c>
      <c r="B622" s="17" t="s">
        <v>12885</v>
      </c>
      <c r="C622" s="18" t="s">
        <v>151</v>
      </c>
      <c r="D622" s="17" t="s">
        <v>151</v>
      </c>
      <c r="E622" s="17" t="s">
        <v>151</v>
      </c>
      <c r="F622" s="17" t="s">
        <v>12886</v>
      </c>
      <c r="G622" s="17" t="s">
        <v>151</v>
      </c>
      <c r="H622" s="17" t="s">
        <v>151</v>
      </c>
      <c r="I622" s="17" t="s">
        <v>151</v>
      </c>
      <c r="J622" s="17" t="s">
        <v>12884</v>
      </c>
      <c r="K622" s="17" t="s">
        <v>12887</v>
      </c>
      <c r="L622" s="17" t="s">
        <v>205</v>
      </c>
      <c r="M622" s="17" t="s">
        <v>206</v>
      </c>
      <c r="N622" s="17" t="s">
        <v>269</v>
      </c>
      <c r="O622" s="17" t="s">
        <v>3558</v>
      </c>
      <c r="P622" s="17" t="s">
        <v>12888</v>
      </c>
      <c r="Q622" s="17" t="s">
        <v>12889</v>
      </c>
      <c r="R622" s="17" t="s">
        <v>211</v>
      </c>
      <c r="S622" s="17" t="s">
        <v>162</v>
      </c>
      <c r="T622" s="24">
        <v>5.5</v>
      </c>
      <c r="U622" s="17" t="s">
        <v>163</v>
      </c>
      <c r="V622" s="17" t="s">
        <v>164</v>
      </c>
      <c r="W622" s="17" t="s">
        <v>165</v>
      </c>
      <c r="X622" s="15" t="s">
        <v>12890</v>
      </c>
      <c r="Y622" s="15" t="s">
        <v>12891</v>
      </c>
      <c r="Z622" s="27">
        <v>10</v>
      </c>
      <c r="AA622" s="17" t="s">
        <v>12892</v>
      </c>
      <c r="AB622" s="17" t="s">
        <v>151</v>
      </c>
      <c r="AC622" s="17" t="s">
        <v>151</v>
      </c>
      <c r="AD622" s="26">
        <v>2022</v>
      </c>
      <c r="AE622" s="17" t="s">
        <v>151</v>
      </c>
      <c r="AF622" s="22">
        <v>45503</v>
      </c>
      <c r="AG622" s="17" t="s">
        <v>151</v>
      </c>
      <c r="AH622" s="17" t="s">
        <v>151</v>
      </c>
      <c r="AI622" s="25" t="s">
        <v>151</v>
      </c>
      <c r="AJ622" s="19" t="s">
        <v>151</v>
      </c>
      <c r="AK622" s="25" t="s">
        <v>151</v>
      </c>
      <c r="AL622" s="25" t="s">
        <v>151</v>
      </c>
      <c r="AM622" s="25" t="s">
        <v>151</v>
      </c>
      <c r="AN622" s="25" t="s">
        <v>151</v>
      </c>
      <c r="AO622" s="25" t="s">
        <v>151</v>
      </c>
      <c r="AP622" s="25" t="s">
        <v>151</v>
      </c>
      <c r="AQ622" s="25" t="s">
        <v>151</v>
      </c>
      <c r="AR622" s="16" t="s">
        <v>151</v>
      </c>
      <c r="AS622" s="17" t="s">
        <v>12893</v>
      </c>
      <c r="AT622" s="17" t="s">
        <v>12894</v>
      </c>
      <c r="AU622" s="18">
        <v>6</v>
      </c>
      <c r="AV622" s="17" t="s">
        <v>151</v>
      </c>
      <c r="AW622" s="17" t="s">
        <v>151</v>
      </c>
      <c r="AX622" s="17" t="s">
        <v>151</v>
      </c>
      <c r="AY622" s="17" t="s">
        <v>12895</v>
      </c>
      <c r="AZ622" s="17" t="s">
        <v>151</v>
      </c>
      <c r="BA622" s="17" t="s">
        <v>151</v>
      </c>
      <c r="BB622" s="17" t="s">
        <v>151</v>
      </c>
      <c r="BC622" s="17" t="s">
        <v>1214</v>
      </c>
      <c r="BD622" s="17" t="s">
        <v>12896</v>
      </c>
      <c r="BE622" s="17" t="s">
        <v>12897</v>
      </c>
      <c r="BF622" s="17" t="s">
        <v>221</v>
      </c>
      <c r="BG622" s="17" t="s">
        <v>12898</v>
      </c>
      <c r="BH622" s="17" t="s">
        <v>12899</v>
      </c>
      <c r="BI622" s="17" t="s">
        <v>12900</v>
      </c>
      <c r="BJ622" s="17" t="s">
        <v>12901</v>
      </c>
      <c r="BK622" s="17" t="s">
        <v>151</v>
      </c>
      <c r="BL622" s="17" t="s">
        <v>12902</v>
      </c>
      <c r="BM622" s="17" t="s">
        <v>823</v>
      </c>
      <c r="BN622" s="16" t="s">
        <v>12903</v>
      </c>
      <c r="BO622" s="17" t="s">
        <v>186</v>
      </c>
      <c r="BP622" s="16" t="s">
        <v>12904</v>
      </c>
      <c r="BQ622" s="16" t="s">
        <v>151</v>
      </c>
      <c r="BR622" s="17" t="s">
        <v>151</v>
      </c>
      <c r="BS622" s="17" t="s">
        <v>187</v>
      </c>
      <c r="BT622" s="17" t="s">
        <v>188</v>
      </c>
      <c r="BU622" s="22">
        <v>44754</v>
      </c>
      <c r="BV622" s="24">
        <v>0.5</v>
      </c>
      <c r="BW622" s="17" t="s">
        <v>192</v>
      </c>
      <c r="BX622" s="24">
        <v>5.5</v>
      </c>
      <c r="BY622" s="17" t="s">
        <v>192</v>
      </c>
      <c r="BZ622" s="17" t="s">
        <v>293</v>
      </c>
      <c r="CA622" s="17" t="s">
        <v>472</v>
      </c>
      <c r="CB622" s="17" t="s">
        <v>151</v>
      </c>
      <c r="CC622" s="17" t="s">
        <v>165</v>
      </c>
      <c r="CD622" s="17" t="s">
        <v>151</v>
      </c>
      <c r="CE622" s="17" t="s">
        <v>191</v>
      </c>
      <c r="CF622" s="22" t="s">
        <v>151</v>
      </c>
      <c r="CG622" s="24" t="s">
        <v>151</v>
      </c>
      <c r="CH622" s="17" t="s">
        <v>151</v>
      </c>
      <c r="CI622" s="24" t="s">
        <v>151</v>
      </c>
      <c r="CJ622" s="17" t="s">
        <v>151</v>
      </c>
      <c r="CK622" s="16" t="s">
        <v>151</v>
      </c>
      <c r="CL622" s="17" t="s">
        <v>231</v>
      </c>
      <c r="CM622" s="17" t="s">
        <v>232</v>
      </c>
      <c r="CN622" s="17" t="s">
        <v>151</v>
      </c>
      <c r="CO622" s="17" t="s">
        <v>165</v>
      </c>
      <c r="CP622" s="22" t="s">
        <v>151</v>
      </c>
      <c r="CQ622" s="24" t="s">
        <v>151</v>
      </c>
      <c r="CR622" s="17" t="s">
        <v>151</v>
      </c>
      <c r="CS622" s="17" t="s">
        <v>1887</v>
      </c>
      <c r="CT622" s="16" t="s">
        <v>151</v>
      </c>
      <c r="CU622" s="17" t="s">
        <v>151</v>
      </c>
      <c r="CV622" s="19" t="s">
        <v>151</v>
      </c>
      <c r="CW622" s="19" t="s">
        <v>151</v>
      </c>
      <c r="CX622" s="17" t="s">
        <v>151</v>
      </c>
      <c r="CY622" s="19" t="s">
        <v>151</v>
      </c>
      <c r="CZ622" s="19" t="s">
        <v>151</v>
      </c>
      <c r="DA622" s="24">
        <v>17.6</v>
      </c>
      <c r="DB622" s="22">
        <v>44833</v>
      </c>
      <c r="DC622" s="17" t="s">
        <v>1363</v>
      </c>
      <c r="DD622" s="16" t="s">
        <v>151</v>
      </c>
      <c r="DE622" s="19">
        <v>0</v>
      </c>
      <c r="DF622" s="21">
        <v>11</v>
      </c>
      <c r="DG622" s="19">
        <v>0</v>
      </c>
      <c r="DH622" s="19">
        <v>0</v>
      </c>
      <c r="DI622" s="19">
        <v>0</v>
      </c>
      <c r="DJ622" s="21">
        <v>10</v>
      </c>
      <c r="DK622" s="19">
        <v>0</v>
      </c>
      <c r="DL622" s="21">
        <v>11</v>
      </c>
      <c r="DM622" s="19">
        <v>0</v>
      </c>
      <c r="DN622" s="21">
        <v>10</v>
      </c>
      <c r="DO622" s="23">
        <v>2.07</v>
      </c>
      <c r="DP622" s="21">
        <v>67</v>
      </c>
      <c r="DQ622" s="23">
        <v>0</v>
      </c>
      <c r="DR622" s="19">
        <v>0</v>
      </c>
      <c r="DS622" s="23">
        <v>2.07</v>
      </c>
      <c r="DT622" s="21">
        <v>67</v>
      </c>
      <c r="DU622" s="23">
        <v>1.76</v>
      </c>
      <c r="DV622" s="21">
        <v>68</v>
      </c>
      <c r="DW622" s="23">
        <v>2.37</v>
      </c>
      <c r="DX622" s="21">
        <v>69</v>
      </c>
      <c r="DY622" s="18" t="s">
        <v>151</v>
      </c>
      <c r="DZ622" s="22" t="s">
        <v>151</v>
      </c>
      <c r="EA622" s="22" t="s">
        <v>151</v>
      </c>
      <c r="EB622" s="21">
        <v>383</v>
      </c>
      <c r="EC622" s="20">
        <v>-62</v>
      </c>
      <c r="ED622" s="19">
        <v>-13.93</v>
      </c>
      <c r="EE622" s="21">
        <v>45</v>
      </c>
      <c r="EF622" s="20">
        <v>0</v>
      </c>
      <c r="EG622" s="19">
        <v>0</v>
      </c>
      <c r="EH622" s="16" t="s">
        <v>198</v>
      </c>
      <c r="EI622" s="17" t="s">
        <v>151</v>
      </c>
      <c r="EJ622" s="17" t="s">
        <v>151</v>
      </c>
      <c r="EK622" s="18" t="s">
        <v>151</v>
      </c>
      <c r="EL622" s="18" t="s">
        <v>151</v>
      </c>
      <c r="EM622" s="18" t="s">
        <v>151</v>
      </c>
      <c r="EN622" s="18" t="s">
        <v>151</v>
      </c>
      <c r="EO622" s="18" t="s">
        <v>151</v>
      </c>
      <c r="EP622" s="17" t="s">
        <v>151</v>
      </c>
      <c r="EQ622" s="16" t="s">
        <v>151</v>
      </c>
      <c r="ER622" s="16" t="s">
        <v>151</v>
      </c>
      <c r="ES622" s="3">
        <f>HYPERLINK("https://my.pitchbook.com?c=501546-88","View Company Online")</f>
      </c>
    </row>
    <row r="623">
      <c r="A623" s="30" t="s">
        <v>12905</v>
      </c>
      <c r="B623" s="30" t="s">
        <v>12906</v>
      </c>
      <c r="C623" s="31" t="s">
        <v>151</v>
      </c>
      <c r="D623" s="30" t="s">
        <v>151</v>
      </c>
      <c r="E623" s="30" t="s">
        <v>12907</v>
      </c>
      <c r="F623" s="30" t="s">
        <v>12908</v>
      </c>
      <c r="G623" s="30" t="s">
        <v>151</v>
      </c>
      <c r="H623" s="30" t="s">
        <v>151</v>
      </c>
      <c r="I623" s="30" t="s">
        <v>12909</v>
      </c>
      <c r="J623" s="30" t="s">
        <v>12905</v>
      </c>
      <c r="K623" s="30" t="s">
        <v>12910</v>
      </c>
      <c r="L623" s="30" t="s">
        <v>616</v>
      </c>
      <c r="M623" s="30" t="s">
        <v>834</v>
      </c>
      <c r="N623" s="30" t="s">
        <v>1246</v>
      </c>
      <c r="O623" s="30" t="s">
        <v>12911</v>
      </c>
      <c r="P623" s="30" t="s">
        <v>7208</v>
      </c>
      <c r="Q623" s="30" t="s">
        <v>12912</v>
      </c>
      <c r="R623" s="30" t="s">
        <v>151</v>
      </c>
      <c r="S623" s="30" t="s">
        <v>162</v>
      </c>
      <c r="T623" s="37">
        <v>5</v>
      </c>
      <c r="U623" s="30" t="s">
        <v>163</v>
      </c>
      <c r="V623" s="30" t="s">
        <v>164</v>
      </c>
      <c r="W623" s="30" t="s">
        <v>165</v>
      </c>
      <c r="X623" s="28" t="s">
        <v>12913</v>
      </c>
      <c r="Y623" s="28" t="s">
        <v>12914</v>
      </c>
      <c r="Z623" s="40">
        <v>26</v>
      </c>
      <c r="AA623" s="30" t="s">
        <v>12915</v>
      </c>
      <c r="AB623" s="30" t="s">
        <v>151</v>
      </c>
      <c r="AC623" s="30" t="s">
        <v>151</v>
      </c>
      <c r="AD623" s="39">
        <v>2015</v>
      </c>
      <c r="AE623" s="30" t="s">
        <v>151</v>
      </c>
      <c r="AF623" s="35">
        <v>45427</v>
      </c>
      <c r="AG623" s="30" t="s">
        <v>151</v>
      </c>
      <c r="AH623" s="30" t="s">
        <v>151</v>
      </c>
      <c r="AI623" s="38" t="s">
        <v>151</v>
      </c>
      <c r="AJ623" s="32" t="s">
        <v>151</v>
      </c>
      <c r="AK623" s="38" t="s">
        <v>151</v>
      </c>
      <c r="AL623" s="38" t="s">
        <v>151</v>
      </c>
      <c r="AM623" s="38" t="s">
        <v>151</v>
      </c>
      <c r="AN623" s="38" t="s">
        <v>151</v>
      </c>
      <c r="AO623" s="38" t="s">
        <v>151</v>
      </c>
      <c r="AP623" s="38" t="s">
        <v>151</v>
      </c>
      <c r="AQ623" s="38" t="s">
        <v>151</v>
      </c>
      <c r="AR623" s="29" t="s">
        <v>151</v>
      </c>
      <c r="AS623" s="30" t="s">
        <v>12916</v>
      </c>
      <c r="AT623" s="30" t="s">
        <v>12917</v>
      </c>
      <c r="AU623" s="31">
        <v>7</v>
      </c>
      <c r="AV623" s="30" t="s">
        <v>151</v>
      </c>
      <c r="AW623" s="30" t="s">
        <v>6018</v>
      </c>
      <c r="AX623" s="30" t="s">
        <v>151</v>
      </c>
      <c r="AY623" s="30" t="s">
        <v>12918</v>
      </c>
      <c r="AZ623" s="30" t="s">
        <v>6020</v>
      </c>
      <c r="BA623" s="30" t="s">
        <v>151</v>
      </c>
      <c r="BB623" s="30" t="s">
        <v>151</v>
      </c>
      <c r="BC623" s="30" t="s">
        <v>151</v>
      </c>
      <c r="BD623" s="30" t="s">
        <v>12919</v>
      </c>
      <c r="BE623" s="30" t="s">
        <v>12920</v>
      </c>
      <c r="BF623" s="30" t="s">
        <v>403</v>
      </c>
      <c r="BG623" s="30" t="s">
        <v>12921</v>
      </c>
      <c r="BH623" s="30" t="s">
        <v>12922</v>
      </c>
      <c r="BI623" s="30" t="s">
        <v>906</v>
      </c>
      <c r="BJ623" s="30" t="s">
        <v>12923</v>
      </c>
      <c r="BK623" s="30" t="s">
        <v>151</v>
      </c>
      <c r="BL623" s="30" t="s">
        <v>259</v>
      </c>
      <c r="BM623" s="30" t="s">
        <v>259</v>
      </c>
      <c r="BN623" s="29" t="s">
        <v>4398</v>
      </c>
      <c r="BO623" s="30" t="s">
        <v>186</v>
      </c>
      <c r="BP623" s="29" t="s">
        <v>12922</v>
      </c>
      <c r="BQ623" s="29" t="s">
        <v>151</v>
      </c>
      <c r="BR623" s="30" t="s">
        <v>12924</v>
      </c>
      <c r="BS623" s="30" t="s">
        <v>187</v>
      </c>
      <c r="BT623" s="30" t="s">
        <v>188</v>
      </c>
      <c r="BU623" s="35">
        <v>44397</v>
      </c>
      <c r="BV623" s="37">
        <v>5</v>
      </c>
      <c r="BW623" s="30" t="s">
        <v>192</v>
      </c>
      <c r="BX623" s="37">
        <v>30</v>
      </c>
      <c r="BY623" s="30" t="s">
        <v>192</v>
      </c>
      <c r="BZ623" s="30" t="s">
        <v>293</v>
      </c>
      <c r="CA623" s="30" t="s">
        <v>293</v>
      </c>
      <c r="CB623" s="30" t="s">
        <v>151</v>
      </c>
      <c r="CC623" s="30" t="s">
        <v>165</v>
      </c>
      <c r="CD623" s="30" t="s">
        <v>151</v>
      </c>
      <c r="CE623" s="30" t="s">
        <v>191</v>
      </c>
      <c r="CF623" s="35">
        <v>44974</v>
      </c>
      <c r="CG623" s="37" t="s">
        <v>151</v>
      </c>
      <c r="CH623" s="30" t="s">
        <v>151</v>
      </c>
      <c r="CI623" s="37" t="s">
        <v>151</v>
      </c>
      <c r="CJ623" s="30" t="s">
        <v>151</v>
      </c>
      <c r="CK623" s="29" t="s">
        <v>151</v>
      </c>
      <c r="CL623" s="30" t="s">
        <v>911</v>
      </c>
      <c r="CM623" s="30" t="s">
        <v>151</v>
      </c>
      <c r="CN623" s="30" t="s">
        <v>151</v>
      </c>
      <c r="CO623" s="30" t="s">
        <v>165</v>
      </c>
      <c r="CP623" s="35">
        <v>44974</v>
      </c>
      <c r="CQ623" s="37" t="s">
        <v>151</v>
      </c>
      <c r="CR623" s="30" t="s">
        <v>151</v>
      </c>
      <c r="CS623" s="30" t="s">
        <v>191</v>
      </c>
      <c r="CT623" s="29" t="s">
        <v>151</v>
      </c>
      <c r="CU623" s="30" t="s">
        <v>151</v>
      </c>
      <c r="CV623" s="32" t="s">
        <v>151</v>
      </c>
      <c r="CW623" s="32" t="s">
        <v>151</v>
      </c>
      <c r="CX623" s="30" t="s">
        <v>151</v>
      </c>
      <c r="CY623" s="32" t="s">
        <v>151</v>
      </c>
      <c r="CZ623" s="32" t="s">
        <v>151</v>
      </c>
      <c r="DA623" s="37">
        <v>30</v>
      </c>
      <c r="DB623" s="35">
        <v>44397</v>
      </c>
      <c r="DC623" s="30" t="s">
        <v>293</v>
      </c>
      <c r="DD623" s="29" t="s">
        <v>151</v>
      </c>
      <c r="DE623" s="32">
        <v>0.25</v>
      </c>
      <c r="DF623" s="34">
        <v>92</v>
      </c>
      <c r="DG623" s="32">
        <v>0</v>
      </c>
      <c r="DH623" s="32">
        <v>0</v>
      </c>
      <c r="DI623" s="32">
        <v>0</v>
      </c>
      <c r="DJ623" s="34">
        <v>10</v>
      </c>
      <c r="DK623" s="32" t="s">
        <v>151</v>
      </c>
      <c r="DL623" s="34" t="s">
        <v>151</v>
      </c>
      <c r="DM623" s="32">
        <v>0</v>
      </c>
      <c r="DN623" s="34">
        <v>10</v>
      </c>
      <c r="DO623" s="36">
        <v>1.84</v>
      </c>
      <c r="DP623" s="34">
        <v>64</v>
      </c>
      <c r="DQ623" s="36">
        <v>0</v>
      </c>
      <c r="DR623" s="32">
        <v>0</v>
      </c>
      <c r="DS623" s="36">
        <v>1.68</v>
      </c>
      <c r="DT623" s="34">
        <v>62</v>
      </c>
      <c r="DU623" s="36" t="s">
        <v>151</v>
      </c>
      <c r="DV623" s="34" t="s">
        <v>151</v>
      </c>
      <c r="DW623" s="36">
        <v>1.68</v>
      </c>
      <c r="DX623" s="34">
        <v>61</v>
      </c>
      <c r="DY623" s="31" t="s">
        <v>151</v>
      </c>
      <c r="DZ623" s="35" t="s">
        <v>151</v>
      </c>
      <c r="EA623" s="35" t="s">
        <v>151</v>
      </c>
      <c r="EB623" s="34">
        <v>5</v>
      </c>
      <c r="EC623" s="33">
        <v>-27</v>
      </c>
      <c r="ED623" s="32">
        <v>-84.38</v>
      </c>
      <c r="EE623" s="34">
        <v>32</v>
      </c>
      <c r="EF623" s="33">
        <v>0</v>
      </c>
      <c r="EG623" s="32">
        <v>0</v>
      </c>
      <c r="EH623" s="29" t="s">
        <v>198</v>
      </c>
      <c r="EI623" s="30" t="s">
        <v>151</v>
      </c>
      <c r="EJ623" s="30" t="s">
        <v>151</v>
      </c>
      <c r="EK623" s="31" t="s">
        <v>151</v>
      </c>
      <c r="EL623" s="31" t="s">
        <v>151</v>
      </c>
      <c r="EM623" s="31" t="s">
        <v>151</v>
      </c>
      <c r="EN623" s="31" t="s">
        <v>151</v>
      </c>
      <c r="EO623" s="31" t="s">
        <v>151</v>
      </c>
      <c r="EP623" s="30" t="s">
        <v>151</v>
      </c>
      <c r="EQ623" s="29" t="s">
        <v>151</v>
      </c>
      <c r="ER623" s="29" t="s">
        <v>151</v>
      </c>
      <c r="ES623" s="4">
        <f>HYPERLINK("https://my.pitchbook.com?c=466978-06","View Company Online")</f>
      </c>
    </row>
    <row r="624">
      <c r="A624" s="17" t="s">
        <v>12925</v>
      </c>
      <c r="B624" s="17" t="s">
        <v>12926</v>
      </c>
      <c r="C624" s="18" t="s">
        <v>151</v>
      </c>
      <c r="D624" s="17" t="s">
        <v>151</v>
      </c>
      <c r="E624" s="17" t="s">
        <v>12927</v>
      </c>
      <c r="F624" s="17" t="s">
        <v>12928</v>
      </c>
      <c r="G624" s="17" t="s">
        <v>151</v>
      </c>
      <c r="H624" s="17" t="s">
        <v>151</v>
      </c>
      <c r="I624" s="17" t="s">
        <v>12929</v>
      </c>
      <c r="J624" s="17" t="s">
        <v>12925</v>
      </c>
      <c r="K624" s="17" t="s">
        <v>12930</v>
      </c>
      <c r="L624" s="17" t="s">
        <v>1792</v>
      </c>
      <c r="M624" s="17" t="s">
        <v>5329</v>
      </c>
      <c r="N624" s="17" t="s">
        <v>5330</v>
      </c>
      <c r="O624" s="17" t="s">
        <v>12931</v>
      </c>
      <c r="P624" s="17" t="s">
        <v>12932</v>
      </c>
      <c r="Q624" s="17" t="s">
        <v>12933</v>
      </c>
      <c r="R624" s="17" t="s">
        <v>151</v>
      </c>
      <c r="S624" s="17" t="s">
        <v>162</v>
      </c>
      <c r="T624" s="24">
        <v>100.6</v>
      </c>
      <c r="U624" s="17" t="s">
        <v>163</v>
      </c>
      <c r="V624" s="17" t="s">
        <v>164</v>
      </c>
      <c r="W624" s="17" t="s">
        <v>165</v>
      </c>
      <c r="X624" s="15" t="s">
        <v>12934</v>
      </c>
      <c r="Y624" s="15" t="s">
        <v>12935</v>
      </c>
      <c r="Z624" s="27">
        <v>250</v>
      </c>
      <c r="AA624" s="17" t="s">
        <v>12936</v>
      </c>
      <c r="AB624" s="17" t="s">
        <v>151</v>
      </c>
      <c r="AC624" s="17" t="s">
        <v>151</v>
      </c>
      <c r="AD624" s="26">
        <v>2021</v>
      </c>
      <c r="AE624" s="17" t="s">
        <v>151</v>
      </c>
      <c r="AF624" s="22">
        <v>45585</v>
      </c>
      <c r="AG624" s="17" t="s">
        <v>151</v>
      </c>
      <c r="AH624" s="17" t="s">
        <v>151</v>
      </c>
      <c r="AI624" s="25">
        <v>28</v>
      </c>
      <c r="AJ624" s="19">
        <v>300</v>
      </c>
      <c r="AK624" s="25" t="s">
        <v>151</v>
      </c>
      <c r="AL624" s="25" t="s">
        <v>151</v>
      </c>
      <c r="AM624" s="25" t="s">
        <v>151</v>
      </c>
      <c r="AN624" s="25" t="s">
        <v>151</v>
      </c>
      <c r="AO624" s="25" t="s">
        <v>151</v>
      </c>
      <c r="AP624" s="25" t="s">
        <v>151</v>
      </c>
      <c r="AQ624" s="25" t="s">
        <v>151</v>
      </c>
      <c r="AR624" s="16" t="s">
        <v>170</v>
      </c>
      <c r="AS624" s="17" t="s">
        <v>12937</v>
      </c>
      <c r="AT624" s="17" t="s">
        <v>12938</v>
      </c>
      <c r="AU624" s="18">
        <v>30</v>
      </c>
      <c r="AV624" s="17" t="s">
        <v>151</v>
      </c>
      <c r="AW624" s="17" t="s">
        <v>151</v>
      </c>
      <c r="AX624" s="17" t="s">
        <v>151</v>
      </c>
      <c r="AY624" s="17" t="s">
        <v>12939</v>
      </c>
      <c r="AZ624" s="17" t="s">
        <v>151</v>
      </c>
      <c r="BA624" s="17" t="s">
        <v>151</v>
      </c>
      <c r="BB624" s="17" t="s">
        <v>1777</v>
      </c>
      <c r="BC624" s="17" t="s">
        <v>12940</v>
      </c>
      <c r="BD624" s="17" t="s">
        <v>12941</v>
      </c>
      <c r="BE624" s="17" t="s">
        <v>12942</v>
      </c>
      <c r="BF624" s="17" t="s">
        <v>493</v>
      </c>
      <c r="BG624" s="17" t="s">
        <v>12943</v>
      </c>
      <c r="BH624" s="17" t="s">
        <v>12944</v>
      </c>
      <c r="BI624" s="17" t="s">
        <v>934</v>
      </c>
      <c r="BJ624" s="17" t="s">
        <v>12945</v>
      </c>
      <c r="BK624" s="17" t="s">
        <v>12946</v>
      </c>
      <c r="BL624" s="17" t="s">
        <v>937</v>
      </c>
      <c r="BM624" s="17" t="s">
        <v>184</v>
      </c>
      <c r="BN624" s="16" t="s">
        <v>12947</v>
      </c>
      <c r="BO624" s="17" t="s">
        <v>186</v>
      </c>
      <c r="BP624" s="16" t="s">
        <v>12948</v>
      </c>
      <c r="BQ624" s="16" t="s">
        <v>151</v>
      </c>
      <c r="BR624" s="17" t="s">
        <v>12949</v>
      </c>
      <c r="BS624" s="17" t="s">
        <v>187</v>
      </c>
      <c r="BT624" s="17" t="s">
        <v>188</v>
      </c>
      <c r="BU624" s="22">
        <v>44459</v>
      </c>
      <c r="BV624" s="24">
        <v>3.5</v>
      </c>
      <c r="BW624" s="17" t="s">
        <v>192</v>
      </c>
      <c r="BX624" s="24" t="s">
        <v>151</v>
      </c>
      <c r="BY624" s="17" t="s">
        <v>151</v>
      </c>
      <c r="BZ624" s="17" t="s">
        <v>231</v>
      </c>
      <c r="CA624" s="17" t="s">
        <v>151</v>
      </c>
      <c r="CB624" s="17" t="s">
        <v>151</v>
      </c>
      <c r="CC624" s="17" t="s">
        <v>165</v>
      </c>
      <c r="CD624" s="17" t="s">
        <v>151</v>
      </c>
      <c r="CE624" s="17" t="s">
        <v>191</v>
      </c>
      <c r="CF624" s="22">
        <v>45358</v>
      </c>
      <c r="CG624" s="24">
        <v>63</v>
      </c>
      <c r="CH624" s="17" t="s">
        <v>192</v>
      </c>
      <c r="CI624" s="24" t="s">
        <v>151</v>
      </c>
      <c r="CJ624" s="17" t="s">
        <v>151</v>
      </c>
      <c r="CK624" s="16" t="s">
        <v>151</v>
      </c>
      <c r="CL624" s="17" t="s">
        <v>231</v>
      </c>
      <c r="CM624" s="17" t="s">
        <v>326</v>
      </c>
      <c r="CN624" s="17" t="s">
        <v>151</v>
      </c>
      <c r="CO624" s="17" t="s">
        <v>165</v>
      </c>
      <c r="CP624" s="22">
        <v>45358</v>
      </c>
      <c r="CQ624" s="24" t="s">
        <v>151</v>
      </c>
      <c r="CR624" s="17" t="s">
        <v>151</v>
      </c>
      <c r="CS624" s="17" t="s">
        <v>191</v>
      </c>
      <c r="CT624" s="16">
        <v>87</v>
      </c>
      <c r="CU624" s="17" t="s">
        <v>196</v>
      </c>
      <c r="CV624" s="19">
        <v>93</v>
      </c>
      <c r="CW624" s="19">
        <v>7</v>
      </c>
      <c r="CX624" s="17" t="s">
        <v>294</v>
      </c>
      <c r="CY624" s="19">
        <v>24</v>
      </c>
      <c r="CZ624" s="19">
        <v>69</v>
      </c>
      <c r="DA624" s="24">
        <v>75</v>
      </c>
      <c r="DB624" s="22">
        <v>45196</v>
      </c>
      <c r="DC624" s="17" t="s">
        <v>231</v>
      </c>
      <c r="DD624" s="16">
        <v>1.79</v>
      </c>
      <c r="DE624" s="19">
        <v>1.91</v>
      </c>
      <c r="DF624" s="21">
        <v>98</v>
      </c>
      <c r="DG624" s="19">
        <v>0</v>
      </c>
      <c r="DH624" s="19">
        <v>0</v>
      </c>
      <c r="DI624" s="19" t="s">
        <v>151</v>
      </c>
      <c r="DJ624" s="21" t="s">
        <v>151</v>
      </c>
      <c r="DK624" s="19" t="s">
        <v>151</v>
      </c>
      <c r="DL624" s="21" t="s">
        <v>151</v>
      </c>
      <c r="DM624" s="19" t="s">
        <v>151</v>
      </c>
      <c r="DN624" s="21" t="s">
        <v>151</v>
      </c>
      <c r="DO624" s="23">
        <v>19.23</v>
      </c>
      <c r="DP624" s="21">
        <v>95</v>
      </c>
      <c r="DQ624" s="23">
        <v>0</v>
      </c>
      <c r="DR624" s="19">
        <v>0</v>
      </c>
      <c r="DS624" s="23" t="s">
        <v>151</v>
      </c>
      <c r="DT624" s="21" t="s">
        <v>151</v>
      </c>
      <c r="DU624" s="23" t="s">
        <v>151</v>
      </c>
      <c r="DV624" s="21" t="s">
        <v>151</v>
      </c>
      <c r="DW624" s="23" t="s">
        <v>151</v>
      </c>
      <c r="DX624" s="21" t="s">
        <v>151</v>
      </c>
      <c r="DY624" s="18" t="s">
        <v>151</v>
      </c>
      <c r="DZ624" s="22" t="s">
        <v>151</v>
      </c>
      <c r="EA624" s="22" t="s">
        <v>151</v>
      </c>
      <c r="EB624" s="21">
        <v>15118</v>
      </c>
      <c r="EC624" s="20">
        <v>740</v>
      </c>
      <c r="ED624" s="19">
        <v>5.15</v>
      </c>
      <c r="EE624" s="21" t="s">
        <v>151</v>
      </c>
      <c r="EF624" s="20" t="s">
        <v>151</v>
      </c>
      <c r="EG624" s="19" t="s">
        <v>151</v>
      </c>
      <c r="EH624" s="16" t="s">
        <v>198</v>
      </c>
      <c r="EI624" s="17" t="s">
        <v>151</v>
      </c>
      <c r="EJ624" s="17" t="s">
        <v>151</v>
      </c>
      <c r="EK624" s="18" t="s">
        <v>151</v>
      </c>
      <c r="EL624" s="18" t="s">
        <v>151</v>
      </c>
      <c r="EM624" s="18" t="s">
        <v>151</v>
      </c>
      <c r="EN624" s="18" t="s">
        <v>151</v>
      </c>
      <c r="EO624" s="18" t="s">
        <v>151</v>
      </c>
      <c r="EP624" s="17" t="s">
        <v>151</v>
      </c>
      <c r="EQ624" s="16" t="s">
        <v>151</v>
      </c>
      <c r="ER624" s="16" t="s">
        <v>151</v>
      </c>
      <c r="ES624" s="3">
        <f>HYPERLINK("https://my.pitchbook.com?c=491598-10","View Company Online")</f>
      </c>
    </row>
    <row r="625">
      <c r="A625" s="30" t="s">
        <v>12950</v>
      </c>
      <c r="B625" s="30" t="s">
        <v>12951</v>
      </c>
      <c r="C625" s="31" t="s">
        <v>151</v>
      </c>
      <c r="D625" s="30" t="s">
        <v>151</v>
      </c>
      <c r="E625" s="30" t="s">
        <v>151</v>
      </c>
      <c r="F625" s="30" t="s">
        <v>12952</v>
      </c>
      <c r="G625" s="30" t="s">
        <v>151</v>
      </c>
      <c r="H625" s="30" t="s">
        <v>151</v>
      </c>
      <c r="I625" s="30" t="s">
        <v>151</v>
      </c>
      <c r="J625" s="30" t="s">
        <v>12950</v>
      </c>
      <c r="K625" s="30" t="s">
        <v>12953</v>
      </c>
      <c r="L625" s="30" t="s">
        <v>205</v>
      </c>
      <c r="M625" s="30" t="s">
        <v>206</v>
      </c>
      <c r="N625" s="30" t="s">
        <v>207</v>
      </c>
      <c r="O625" s="30" t="s">
        <v>2707</v>
      </c>
      <c r="P625" s="30" t="s">
        <v>2640</v>
      </c>
      <c r="Q625" s="30" t="s">
        <v>12954</v>
      </c>
      <c r="R625" s="30" t="s">
        <v>151</v>
      </c>
      <c r="S625" s="30" t="s">
        <v>162</v>
      </c>
      <c r="T625" s="37">
        <v>2.5</v>
      </c>
      <c r="U625" s="30" t="s">
        <v>163</v>
      </c>
      <c r="V625" s="30" t="s">
        <v>164</v>
      </c>
      <c r="W625" s="30" t="s">
        <v>165</v>
      </c>
      <c r="X625" s="28" t="s">
        <v>12955</v>
      </c>
      <c r="Y625" s="28" t="s">
        <v>12956</v>
      </c>
      <c r="Z625" s="40">
        <v>4</v>
      </c>
      <c r="AA625" s="30" t="s">
        <v>12957</v>
      </c>
      <c r="AB625" s="30" t="s">
        <v>151</v>
      </c>
      <c r="AC625" s="30" t="s">
        <v>151</v>
      </c>
      <c r="AD625" s="39">
        <v>2021</v>
      </c>
      <c r="AE625" s="30" t="s">
        <v>151</v>
      </c>
      <c r="AF625" s="35">
        <v>45337</v>
      </c>
      <c r="AG625" s="30" t="s">
        <v>151</v>
      </c>
      <c r="AH625" s="30" t="s">
        <v>151</v>
      </c>
      <c r="AI625" s="38" t="s">
        <v>151</v>
      </c>
      <c r="AJ625" s="32" t="s">
        <v>151</v>
      </c>
      <c r="AK625" s="38" t="s">
        <v>151</v>
      </c>
      <c r="AL625" s="38" t="s">
        <v>151</v>
      </c>
      <c r="AM625" s="38" t="s">
        <v>151</v>
      </c>
      <c r="AN625" s="38" t="s">
        <v>151</v>
      </c>
      <c r="AO625" s="38" t="s">
        <v>151</v>
      </c>
      <c r="AP625" s="38" t="s">
        <v>151</v>
      </c>
      <c r="AQ625" s="38" t="s">
        <v>151</v>
      </c>
      <c r="AR625" s="29" t="s">
        <v>151</v>
      </c>
      <c r="AS625" s="30" t="s">
        <v>12958</v>
      </c>
      <c r="AT625" s="30" t="s">
        <v>12959</v>
      </c>
      <c r="AU625" s="31">
        <v>2</v>
      </c>
      <c r="AV625" s="30" t="s">
        <v>151</v>
      </c>
      <c r="AW625" s="30" t="s">
        <v>151</v>
      </c>
      <c r="AX625" s="30" t="s">
        <v>151</v>
      </c>
      <c r="AY625" s="30" t="s">
        <v>12960</v>
      </c>
      <c r="AZ625" s="30" t="s">
        <v>151</v>
      </c>
      <c r="BA625" s="30" t="s">
        <v>151</v>
      </c>
      <c r="BB625" s="30" t="s">
        <v>151</v>
      </c>
      <c r="BC625" s="30" t="s">
        <v>12961</v>
      </c>
      <c r="BD625" s="30" t="s">
        <v>12962</v>
      </c>
      <c r="BE625" s="30" t="s">
        <v>12963</v>
      </c>
      <c r="BF625" s="30" t="s">
        <v>789</v>
      </c>
      <c r="BG625" s="30" t="s">
        <v>12964</v>
      </c>
      <c r="BH625" s="30" t="s">
        <v>151</v>
      </c>
      <c r="BI625" s="30" t="s">
        <v>12965</v>
      </c>
      <c r="BJ625" s="30" t="s">
        <v>12966</v>
      </c>
      <c r="BK625" s="30" t="s">
        <v>2678</v>
      </c>
      <c r="BL625" s="30" t="s">
        <v>12967</v>
      </c>
      <c r="BM625" s="30" t="s">
        <v>184</v>
      </c>
      <c r="BN625" s="29" t="s">
        <v>12968</v>
      </c>
      <c r="BO625" s="30" t="s">
        <v>186</v>
      </c>
      <c r="BP625" s="29" t="s">
        <v>12969</v>
      </c>
      <c r="BQ625" s="29" t="s">
        <v>151</v>
      </c>
      <c r="BR625" s="30" t="s">
        <v>151</v>
      </c>
      <c r="BS625" s="30" t="s">
        <v>187</v>
      </c>
      <c r="BT625" s="30" t="s">
        <v>188</v>
      </c>
      <c r="BU625" s="35">
        <v>44652</v>
      </c>
      <c r="BV625" s="37">
        <v>2.5</v>
      </c>
      <c r="BW625" s="30" t="s">
        <v>193</v>
      </c>
      <c r="BX625" s="37">
        <v>8.5</v>
      </c>
      <c r="BY625" s="30" t="s">
        <v>192</v>
      </c>
      <c r="BZ625" s="30" t="s">
        <v>293</v>
      </c>
      <c r="CA625" s="30" t="s">
        <v>293</v>
      </c>
      <c r="CB625" s="30" t="s">
        <v>151</v>
      </c>
      <c r="CC625" s="30" t="s">
        <v>165</v>
      </c>
      <c r="CD625" s="30" t="s">
        <v>151</v>
      </c>
      <c r="CE625" s="30" t="s">
        <v>191</v>
      </c>
      <c r="CF625" s="35">
        <v>44652</v>
      </c>
      <c r="CG625" s="37">
        <v>2.5</v>
      </c>
      <c r="CH625" s="30" t="s">
        <v>193</v>
      </c>
      <c r="CI625" s="37">
        <v>8.5</v>
      </c>
      <c r="CJ625" s="30" t="s">
        <v>192</v>
      </c>
      <c r="CK625" s="29" t="s">
        <v>151</v>
      </c>
      <c r="CL625" s="30" t="s">
        <v>293</v>
      </c>
      <c r="CM625" s="30" t="s">
        <v>293</v>
      </c>
      <c r="CN625" s="30" t="s">
        <v>151</v>
      </c>
      <c r="CO625" s="30" t="s">
        <v>165</v>
      </c>
      <c r="CP625" s="35">
        <v>44652</v>
      </c>
      <c r="CQ625" s="37" t="s">
        <v>151</v>
      </c>
      <c r="CR625" s="30" t="s">
        <v>151</v>
      </c>
      <c r="CS625" s="30" t="s">
        <v>191</v>
      </c>
      <c r="CT625" s="29" t="s">
        <v>151</v>
      </c>
      <c r="CU625" s="30" t="s">
        <v>151</v>
      </c>
      <c r="CV625" s="32" t="s">
        <v>151</v>
      </c>
      <c r="CW625" s="32" t="s">
        <v>151</v>
      </c>
      <c r="CX625" s="30" t="s">
        <v>151</v>
      </c>
      <c r="CY625" s="32" t="s">
        <v>151</v>
      </c>
      <c r="CZ625" s="32" t="s">
        <v>151</v>
      </c>
      <c r="DA625" s="37">
        <v>8.5</v>
      </c>
      <c r="DB625" s="35">
        <v>44652</v>
      </c>
      <c r="DC625" s="30" t="s">
        <v>293</v>
      </c>
      <c r="DD625" s="29" t="s">
        <v>151</v>
      </c>
      <c r="DE625" s="32">
        <v>-0.92</v>
      </c>
      <c r="DF625" s="34">
        <v>5</v>
      </c>
      <c r="DG625" s="32">
        <v>0</v>
      </c>
      <c r="DH625" s="32">
        <v>0</v>
      </c>
      <c r="DI625" s="32">
        <v>0.66</v>
      </c>
      <c r="DJ625" s="34">
        <v>95</v>
      </c>
      <c r="DK625" s="32">
        <v>0.66</v>
      </c>
      <c r="DL625" s="34">
        <v>91</v>
      </c>
      <c r="DM625" s="32" t="s">
        <v>151</v>
      </c>
      <c r="DN625" s="34" t="s">
        <v>151</v>
      </c>
      <c r="DO625" s="36">
        <v>2.71</v>
      </c>
      <c r="DP625" s="34">
        <v>73</v>
      </c>
      <c r="DQ625" s="36">
        <v>0</v>
      </c>
      <c r="DR625" s="32">
        <v>0</v>
      </c>
      <c r="DS625" s="36">
        <v>5.11</v>
      </c>
      <c r="DT625" s="34">
        <v>82</v>
      </c>
      <c r="DU625" s="36">
        <v>5.11</v>
      </c>
      <c r="DV625" s="34">
        <v>82</v>
      </c>
      <c r="DW625" s="36" t="s">
        <v>151</v>
      </c>
      <c r="DX625" s="34" t="s">
        <v>151</v>
      </c>
      <c r="DY625" s="31" t="s">
        <v>151</v>
      </c>
      <c r="DZ625" s="35" t="s">
        <v>151</v>
      </c>
      <c r="EA625" s="35" t="s">
        <v>151</v>
      </c>
      <c r="EB625" s="34">
        <v>1053</v>
      </c>
      <c r="EC625" s="33">
        <v>114</v>
      </c>
      <c r="ED625" s="32">
        <v>12.14</v>
      </c>
      <c r="EE625" s="34" t="s">
        <v>151</v>
      </c>
      <c r="EF625" s="33" t="s">
        <v>151</v>
      </c>
      <c r="EG625" s="32" t="s">
        <v>151</v>
      </c>
      <c r="EH625" s="29" t="s">
        <v>198</v>
      </c>
      <c r="EI625" s="30" t="s">
        <v>151</v>
      </c>
      <c r="EJ625" s="30" t="s">
        <v>151</v>
      </c>
      <c r="EK625" s="31" t="s">
        <v>151</v>
      </c>
      <c r="EL625" s="31" t="s">
        <v>151</v>
      </c>
      <c r="EM625" s="31" t="s">
        <v>151</v>
      </c>
      <c r="EN625" s="31" t="s">
        <v>151</v>
      </c>
      <c r="EO625" s="31" t="s">
        <v>151</v>
      </c>
      <c r="EP625" s="30" t="s">
        <v>151</v>
      </c>
      <c r="EQ625" s="29" t="s">
        <v>151</v>
      </c>
      <c r="ER625" s="29" t="s">
        <v>151</v>
      </c>
      <c r="ES625" s="4">
        <f>HYPERLINK("https://my.pitchbook.com?c=494801-74","View Company Online")</f>
      </c>
    </row>
    <row r="626">
      <c r="A626" s="17" t="s">
        <v>12970</v>
      </c>
      <c r="B626" s="17" t="s">
        <v>12971</v>
      </c>
      <c r="C626" s="18" t="s">
        <v>151</v>
      </c>
      <c r="D626" s="17" t="s">
        <v>151</v>
      </c>
      <c r="E626" s="17" t="s">
        <v>151</v>
      </c>
      <c r="F626" s="17" t="s">
        <v>12972</v>
      </c>
      <c r="G626" s="17" t="s">
        <v>151</v>
      </c>
      <c r="H626" s="17" t="s">
        <v>151</v>
      </c>
      <c r="I626" s="17" t="s">
        <v>151</v>
      </c>
      <c r="J626" s="17" t="s">
        <v>12970</v>
      </c>
      <c r="K626" s="17" t="s">
        <v>12973</v>
      </c>
      <c r="L626" s="17" t="s">
        <v>205</v>
      </c>
      <c r="M626" s="17" t="s">
        <v>206</v>
      </c>
      <c r="N626" s="17" t="s">
        <v>207</v>
      </c>
      <c r="O626" s="17" t="s">
        <v>12974</v>
      </c>
      <c r="P626" s="17" t="s">
        <v>1421</v>
      </c>
      <c r="Q626" s="17" t="s">
        <v>12975</v>
      </c>
      <c r="R626" s="17" t="s">
        <v>151</v>
      </c>
      <c r="S626" s="17" t="s">
        <v>162</v>
      </c>
      <c r="T626" s="24">
        <v>0.3</v>
      </c>
      <c r="U626" s="17" t="s">
        <v>163</v>
      </c>
      <c r="V626" s="17" t="s">
        <v>164</v>
      </c>
      <c r="W626" s="17" t="s">
        <v>165</v>
      </c>
      <c r="X626" s="15" t="s">
        <v>12976</v>
      </c>
      <c r="Y626" s="15" t="s">
        <v>12977</v>
      </c>
      <c r="Z626" s="27">
        <v>2</v>
      </c>
      <c r="AA626" s="17" t="s">
        <v>12978</v>
      </c>
      <c r="AB626" s="17" t="s">
        <v>151</v>
      </c>
      <c r="AC626" s="17" t="s">
        <v>151</v>
      </c>
      <c r="AD626" s="26">
        <v>2020</v>
      </c>
      <c r="AE626" s="17" t="s">
        <v>151</v>
      </c>
      <c r="AF626" s="22">
        <v>45523</v>
      </c>
      <c r="AG626" s="17" t="s">
        <v>151</v>
      </c>
      <c r="AH626" s="17" t="s">
        <v>151</v>
      </c>
      <c r="AI626" s="25" t="s">
        <v>151</v>
      </c>
      <c r="AJ626" s="19" t="s">
        <v>151</v>
      </c>
      <c r="AK626" s="25" t="s">
        <v>151</v>
      </c>
      <c r="AL626" s="25" t="s">
        <v>151</v>
      </c>
      <c r="AM626" s="25" t="s">
        <v>151</v>
      </c>
      <c r="AN626" s="25" t="s">
        <v>151</v>
      </c>
      <c r="AO626" s="25" t="s">
        <v>151</v>
      </c>
      <c r="AP626" s="25" t="s">
        <v>151</v>
      </c>
      <c r="AQ626" s="25" t="s">
        <v>151</v>
      </c>
      <c r="AR626" s="16" t="s">
        <v>151</v>
      </c>
      <c r="AS626" s="17" t="s">
        <v>12979</v>
      </c>
      <c r="AT626" s="17" t="s">
        <v>12980</v>
      </c>
      <c r="AU626" s="18">
        <v>7</v>
      </c>
      <c r="AV626" s="17" t="s">
        <v>151</v>
      </c>
      <c r="AW626" s="17" t="s">
        <v>12981</v>
      </c>
      <c r="AX626" s="17" t="s">
        <v>151</v>
      </c>
      <c r="AY626" s="17" t="s">
        <v>12982</v>
      </c>
      <c r="AZ626" s="17" t="s">
        <v>12983</v>
      </c>
      <c r="BA626" s="17" t="s">
        <v>151</v>
      </c>
      <c r="BB626" s="17" t="s">
        <v>151</v>
      </c>
      <c r="BC626" s="17" t="s">
        <v>151</v>
      </c>
      <c r="BD626" s="17" t="s">
        <v>151</v>
      </c>
      <c r="BE626" s="17" t="s">
        <v>151</v>
      </c>
      <c r="BF626" s="17" t="s">
        <v>151</v>
      </c>
      <c r="BG626" s="17" t="s">
        <v>151</v>
      </c>
      <c r="BH626" s="17" t="s">
        <v>151</v>
      </c>
      <c r="BI626" s="17" t="s">
        <v>764</v>
      </c>
      <c r="BJ626" s="17" t="s">
        <v>151</v>
      </c>
      <c r="BK626" s="17" t="s">
        <v>151</v>
      </c>
      <c r="BL626" s="17" t="s">
        <v>767</v>
      </c>
      <c r="BM626" s="17" t="s">
        <v>184</v>
      </c>
      <c r="BN626" s="16" t="s">
        <v>151</v>
      </c>
      <c r="BO626" s="17" t="s">
        <v>186</v>
      </c>
      <c r="BP626" s="16" t="s">
        <v>151</v>
      </c>
      <c r="BQ626" s="16" t="s">
        <v>151</v>
      </c>
      <c r="BR626" s="17" t="s">
        <v>151</v>
      </c>
      <c r="BS626" s="17" t="s">
        <v>187</v>
      </c>
      <c r="BT626" s="17" t="s">
        <v>188</v>
      </c>
      <c r="BU626" s="22">
        <v>44600</v>
      </c>
      <c r="BV626" s="24">
        <v>0.3</v>
      </c>
      <c r="BW626" s="17" t="s">
        <v>192</v>
      </c>
      <c r="BX626" s="24" t="s">
        <v>151</v>
      </c>
      <c r="BY626" s="17" t="s">
        <v>151</v>
      </c>
      <c r="BZ626" s="17" t="s">
        <v>293</v>
      </c>
      <c r="CA626" s="17" t="s">
        <v>293</v>
      </c>
      <c r="CB626" s="17" t="s">
        <v>151</v>
      </c>
      <c r="CC626" s="17" t="s">
        <v>165</v>
      </c>
      <c r="CD626" s="17" t="s">
        <v>151</v>
      </c>
      <c r="CE626" s="17" t="s">
        <v>191</v>
      </c>
      <c r="CF626" s="22">
        <v>45505</v>
      </c>
      <c r="CG626" s="24" t="s">
        <v>151</v>
      </c>
      <c r="CH626" s="17" t="s">
        <v>151</v>
      </c>
      <c r="CI626" s="24" t="s">
        <v>151</v>
      </c>
      <c r="CJ626" s="17" t="s">
        <v>151</v>
      </c>
      <c r="CK626" s="16" t="s">
        <v>151</v>
      </c>
      <c r="CL626" s="17" t="s">
        <v>911</v>
      </c>
      <c r="CM626" s="17" t="s">
        <v>151</v>
      </c>
      <c r="CN626" s="17" t="s">
        <v>151</v>
      </c>
      <c r="CO626" s="17" t="s">
        <v>165</v>
      </c>
      <c r="CP626" s="22">
        <v>45505</v>
      </c>
      <c r="CQ626" s="24" t="s">
        <v>151</v>
      </c>
      <c r="CR626" s="17" t="s">
        <v>151</v>
      </c>
      <c r="CS626" s="17" t="s">
        <v>191</v>
      </c>
      <c r="CT626" s="16" t="s">
        <v>151</v>
      </c>
      <c r="CU626" s="17" t="s">
        <v>151</v>
      </c>
      <c r="CV626" s="19" t="s">
        <v>151</v>
      </c>
      <c r="CW626" s="19" t="s">
        <v>151</v>
      </c>
      <c r="CX626" s="17" t="s">
        <v>151</v>
      </c>
      <c r="CY626" s="19" t="s">
        <v>151</v>
      </c>
      <c r="CZ626" s="19" t="s">
        <v>151</v>
      </c>
      <c r="DA626" s="24" t="s">
        <v>151</v>
      </c>
      <c r="DB626" s="22" t="s">
        <v>151</v>
      </c>
      <c r="DC626" s="17" t="s">
        <v>151</v>
      </c>
      <c r="DD626" s="16" t="s">
        <v>151</v>
      </c>
      <c r="DE626" s="19">
        <v>0</v>
      </c>
      <c r="DF626" s="21">
        <v>11</v>
      </c>
      <c r="DG626" s="19">
        <v>0</v>
      </c>
      <c r="DH626" s="19">
        <v>0</v>
      </c>
      <c r="DI626" s="19">
        <v>0</v>
      </c>
      <c r="DJ626" s="21">
        <v>10</v>
      </c>
      <c r="DK626" s="19" t="s">
        <v>151</v>
      </c>
      <c r="DL626" s="21" t="s">
        <v>151</v>
      </c>
      <c r="DM626" s="19">
        <v>0</v>
      </c>
      <c r="DN626" s="21">
        <v>10</v>
      </c>
      <c r="DO626" s="23">
        <v>2.37</v>
      </c>
      <c r="DP626" s="21">
        <v>70</v>
      </c>
      <c r="DQ626" s="23">
        <v>0</v>
      </c>
      <c r="DR626" s="19">
        <v>0</v>
      </c>
      <c r="DS626" s="23">
        <v>2.37</v>
      </c>
      <c r="DT626" s="21">
        <v>70</v>
      </c>
      <c r="DU626" s="23" t="s">
        <v>151</v>
      </c>
      <c r="DV626" s="21" t="s">
        <v>151</v>
      </c>
      <c r="DW626" s="23">
        <v>2.37</v>
      </c>
      <c r="DX626" s="21">
        <v>69</v>
      </c>
      <c r="DY626" s="18" t="s">
        <v>151</v>
      </c>
      <c r="DZ626" s="22" t="s">
        <v>151</v>
      </c>
      <c r="EA626" s="22" t="s">
        <v>151</v>
      </c>
      <c r="EB626" s="21">
        <v>169</v>
      </c>
      <c r="EC626" s="20">
        <v>-13</v>
      </c>
      <c r="ED626" s="19">
        <v>-7.14</v>
      </c>
      <c r="EE626" s="21">
        <v>45</v>
      </c>
      <c r="EF626" s="20">
        <v>0</v>
      </c>
      <c r="EG626" s="19">
        <v>0</v>
      </c>
      <c r="EH626" s="16" t="s">
        <v>198</v>
      </c>
      <c r="EI626" s="17" t="s">
        <v>151</v>
      </c>
      <c r="EJ626" s="17" t="s">
        <v>151</v>
      </c>
      <c r="EK626" s="18" t="s">
        <v>151</v>
      </c>
      <c r="EL626" s="18" t="s">
        <v>151</v>
      </c>
      <c r="EM626" s="18" t="s">
        <v>151</v>
      </c>
      <c r="EN626" s="18" t="s">
        <v>151</v>
      </c>
      <c r="EO626" s="18" t="s">
        <v>151</v>
      </c>
      <c r="EP626" s="17" t="s">
        <v>151</v>
      </c>
      <c r="EQ626" s="16" t="s">
        <v>151</v>
      </c>
      <c r="ER626" s="16" t="s">
        <v>151</v>
      </c>
      <c r="ES626" s="3">
        <f>HYPERLINK("https://my.pitchbook.com?c=500001-13","View Company Online")</f>
      </c>
    </row>
    <row r="627">
      <c r="A627" s="30" t="s">
        <v>12984</v>
      </c>
      <c r="B627" s="30" t="s">
        <v>12985</v>
      </c>
      <c r="C627" s="31" t="s">
        <v>151</v>
      </c>
      <c r="D627" s="30" t="s">
        <v>151</v>
      </c>
      <c r="E627" s="30" t="s">
        <v>151</v>
      </c>
      <c r="F627" s="30" t="s">
        <v>12986</v>
      </c>
      <c r="G627" s="30" t="s">
        <v>151</v>
      </c>
      <c r="H627" s="30" t="s">
        <v>151</v>
      </c>
      <c r="I627" s="30" t="s">
        <v>151</v>
      </c>
      <c r="J627" s="30" t="s">
        <v>12984</v>
      </c>
      <c r="K627" s="30" t="s">
        <v>12987</v>
      </c>
      <c r="L627" s="30" t="s">
        <v>1792</v>
      </c>
      <c r="M627" s="30" t="s">
        <v>5329</v>
      </c>
      <c r="N627" s="30" t="s">
        <v>10106</v>
      </c>
      <c r="O627" s="30" t="s">
        <v>12988</v>
      </c>
      <c r="P627" s="30" t="s">
        <v>304</v>
      </c>
      <c r="Q627" s="30" t="s">
        <v>12989</v>
      </c>
      <c r="R627" s="30" t="s">
        <v>151</v>
      </c>
      <c r="S627" s="30" t="s">
        <v>162</v>
      </c>
      <c r="T627" s="37">
        <v>1.2</v>
      </c>
      <c r="U627" s="30" t="s">
        <v>4045</v>
      </c>
      <c r="V627" s="30" t="s">
        <v>164</v>
      </c>
      <c r="W627" s="30" t="s">
        <v>165</v>
      </c>
      <c r="X627" s="28" t="s">
        <v>12990</v>
      </c>
      <c r="Y627" s="28" t="s">
        <v>12991</v>
      </c>
      <c r="Z627" s="40">
        <v>6</v>
      </c>
      <c r="AA627" s="30" t="s">
        <v>12393</v>
      </c>
      <c r="AB627" s="30" t="s">
        <v>151</v>
      </c>
      <c r="AC627" s="30" t="s">
        <v>151</v>
      </c>
      <c r="AD627" s="39">
        <v>2022</v>
      </c>
      <c r="AE627" s="30" t="s">
        <v>151</v>
      </c>
      <c r="AF627" s="35">
        <v>45497</v>
      </c>
      <c r="AG627" s="30" t="s">
        <v>151</v>
      </c>
      <c r="AH627" s="30" t="s">
        <v>151</v>
      </c>
      <c r="AI627" s="38" t="s">
        <v>151</v>
      </c>
      <c r="AJ627" s="32" t="s">
        <v>151</v>
      </c>
      <c r="AK627" s="38" t="s">
        <v>151</v>
      </c>
      <c r="AL627" s="38" t="s">
        <v>151</v>
      </c>
      <c r="AM627" s="38" t="s">
        <v>151</v>
      </c>
      <c r="AN627" s="38" t="s">
        <v>151</v>
      </c>
      <c r="AO627" s="38" t="s">
        <v>151</v>
      </c>
      <c r="AP627" s="38" t="s">
        <v>151</v>
      </c>
      <c r="AQ627" s="38" t="s">
        <v>151</v>
      </c>
      <c r="AR627" s="29" t="s">
        <v>151</v>
      </c>
      <c r="AS627" s="30" t="s">
        <v>12992</v>
      </c>
      <c r="AT627" s="30" t="s">
        <v>12993</v>
      </c>
      <c r="AU627" s="31">
        <v>2</v>
      </c>
      <c r="AV627" s="30" t="s">
        <v>151</v>
      </c>
      <c r="AW627" s="30" t="s">
        <v>151</v>
      </c>
      <c r="AX627" s="30" t="s">
        <v>151</v>
      </c>
      <c r="AY627" s="30" t="s">
        <v>11422</v>
      </c>
      <c r="AZ627" s="30" t="s">
        <v>151</v>
      </c>
      <c r="BA627" s="30" t="s">
        <v>151</v>
      </c>
      <c r="BB627" s="30" t="s">
        <v>151</v>
      </c>
      <c r="BC627" s="30" t="s">
        <v>151</v>
      </c>
      <c r="BD627" s="30" t="s">
        <v>12994</v>
      </c>
      <c r="BE627" s="30" t="s">
        <v>12995</v>
      </c>
      <c r="BF627" s="30" t="s">
        <v>221</v>
      </c>
      <c r="BG627" s="30" t="s">
        <v>151</v>
      </c>
      <c r="BH627" s="30" t="s">
        <v>151</v>
      </c>
      <c r="BI627" s="30" t="s">
        <v>6102</v>
      </c>
      <c r="BJ627" s="30" t="s">
        <v>12996</v>
      </c>
      <c r="BK627" s="30" t="s">
        <v>1712</v>
      </c>
      <c r="BL627" s="30" t="s">
        <v>6104</v>
      </c>
      <c r="BM627" s="30" t="s">
        <v>184</v>
      </c>
      <c r="BN627" s="29" t="s">
        <v>12997</v>
      </c>
      <c r="BO627" s="30" t="s">
        <v>186</v>
      </c>
      <c r="BP627" s="29" t="s">
        <v>12998</v>
      </c>
      <c r="BQ627" s="29" t="s">
        <v>151</v>
      </c>
      <c r="BR627" s="30" t="s">
        <v>12999</v>
      </c>
      <c r="BS627" s="30" t="s">
        <v>187</v>
      </c>
      <c r="BT627" s="30" t="s">
        <v>188</v>
      </c>
      <c r="BU627" s="35">
        <v>45108</v>
      </c>
      <c r="BV627" s="37">
        <v>1.2</v>
      </c>
      <c r="BW627" s="30" t="s">
        <v>192</v>
      </c>
      <c r="BX627" s="37" t="s">
        <v>151</v>
      </c>
      <c r="BY627" s="30" t="s">
        <v>151</v>
      </c>
      <c r="BZ627" s="30" t="s">
        <v>293</v>
      </c>
      <c r="CA627" s="30" t="s">
        <v>293</v>
      </c>
      <c r="CB627" s="30" t="s">
        <v>151</v>
      </c>
      <c r="CC627" s="30" t="s">
        <v>165</v>
      </c>
      <c r="CD627" s="30" t="s">
        <v>151</v>
      </c>
      <c r="CE627" s="30" t="s">
        <v>191</v>
      </c>
      <c r="CF627" s="35">
        <v>45108</v>
      </c>
      <c r="CG627" s="37">
        <v>1.2</v>
      </c>
      <c r="CH627" s="30" t="s">
        <v>192</v>
      </c>
      <c r="CI627" s="37" t="s">
        <v>151</v>
      </c>
      <c r="CJ627" s="30" t="s">
        <v>151</v>
      </c>
      <c r="CK627" s="29" t="s">
        <v>151</v>
      </c>
      <c r="CL627" s="30" t="s">
        <v>293</v>
      </c>
      <c r="CM627" s="30" t="s">
        <v>293</v>
      </c>
      <c r="CN627" s="30" t="s">
        <v>151</v>
      </c>
      <c r="CO627" s="30" t="s">
        <v>165</v>
      </c>
      <c r="CP627" s="35">
        <v>45108</v>
      </c>
      <c r="CQ627" s="37" t="s">
        <v>151</v>
      </c>
      <c r="CR627" s="30" t="s">
        <v>151</v>
      </c>
      <c r="CS627" s="30" t="s">
        <v>191</v>
      </c>
      <c r="CT627" s="29" t="s">
        <v>151</v>
      </c>
      <c r="CU627" s="30" t="s">
        <v>151</v>
      </c>
      <c r="CV627" s="32" t="s">
        <v>151</v>
      </c>
      <c r="CW627" s="32" t="s">
        <v>151</v>
      </c>
      <c r="CX627" s="30" t="s">
        <v>151</v>
      </c>
      <c r="CY627" s="32" t="s">
        <v>151</v>
      </c>
      <c r="CZ627" s="32" t="s">
        <v>151</v>
      </c>
      <c r="DA627" s="37" t="s">
        <v>151</v>
      </c>
      <c r="DB627" s="35" t="s">
        <v>151</v>
      </c>
      <c r="DC627" s="30" t="s">
        <v>151</v>
      </c>
      <c r="DD627" s="29" t="s">
        <v>151</v>
      </c>
      <c r="DE627" s="32">
        <v>0</v>
      </c>
      <c r="DF627" s="34">
        <v>11</v>
      </c>
      <c r="DG627" s="32">
        <v>0</v>
      </c>
      <c r="DH627" s="32">
        <v>0</v>
      </c>
      <c r="DI627" s="32">
        <v>0</v>
      </c>
      <c r="DJ627" s="34">
        <v>10</v>
      </c>
      <c r="DK627" s="32" t="s">
        <v>151</v>
      </c>
      <c r="DL627" s="34" t="s">
        <v>151</v>
      </c>
      <c r="DM627" s="32">
        <v>0</v>
      </c>
      <c r="DN627" s="34">
        <v>10</v>
      </c>
      <c r="DO627" s="36">
        <v>3.26</v>
      </c>
      <c r="DP627" s="34">
        <v>76</v>
      </c>
      <c r="DQ627" s="36">
        <v>0</v>
      </c>
      <c r="DR627" s="32">
        <v>0</v>
      </c>
      <c r="DS627" s="36">
        <v>3.26</v>
      </c>
      <c r="DT627" s="34">
        <v>76</v>
      </c>
      <c r="DU627" s="36" t="s">
        <v>151</v>
      </c>
      <c r="DV627" s="34" t="s">
        <v>151</v>
      </c>
      <c r="DW627" s="36">
        <v>3.26</v>
      </c>
      <c r="DX627" s="34">
        <v>75</v>
      </c>
      <c r="DY627" s="31" t="s">
        <v>151</v>
      </c>
      <c r="DZ627" s="35" t="s">
        <v>151</v>
      </c>
      <c r="EA627" s="35" t="s">
        <v>151</v>
      </c>
      <c r="EB627" s="34">
        <v>729</v>
      </c>
      <c r="EC627" s="33">
        <v>69</v>
      </c>
      <c r="ED627" s="32">
        <v>10.45</v>
      </c>
      <c r="EE627" s="34">
        <v>62</v>
      </c>
      <c r="EF627" s="33">
        <v>1</v>
      </c>
      <c r="EG627" s="32">
        <v>1.64</v>
      </c>
      <c r="EH627" s="29" t="s">
        <v>198</v>
      </c>
      <c r="EI627" s="30" t="s">
        <v>151</v>
      </c>
      <c r="EJ627" s="30" t="s">
        <v>151</v>
      </c>
      <c r="EK627" s="31" t="s">
        <v>151</v>
      </c>
      <c r="EL627" s="31" t="s">
        <v>151</v>
      </c>
      <c r="EM627" s="31" t="s">
        <v>151</v>
      </c>
      <c r="EN627" s="31" t="s">
        <v>151</v>
      </c>
      <c r="EO627" s="31" t="s">
        <v>151</v>
      </c>
      <c r="EP627" s="30" t="s">
        <v>151</v>
      </c>
      <c r="EQ627" s="29" t="s">
        <v>151</v>
      </c>
      <c r="ER627" s="29" t="s">
        <v>151</v>
      </c>
      <c r="ES627" s="4">
        <f>HYPERLINK("https://my.pitchbook.com?c=534795-49","View Company Online")</f>
      </c>
    </row>
    <row r="628">
      <c r="A628" s="17" t="s">
        <v>13000</v>
      </c>
      <c r="B628" s="17" t="s">
        <v>13001</v>
      </c>
      <c r="C628" s="18" t="s">
        <v>151</v>
      </c>
      <c r="D628" s="17" t="s">
        <v>151</v>
      </c>
      <c r="E628" s="17" t="s">
        <v>151</v>
      </c>
      <c r="F628" s="17" t="s">
        <v>13002</v>
      </c>
      <c r="G628" s="17" t="s">
        <v>151</v>
      </c>
      <c r="H628" s="17" t="s">
        <v>151</v>
      </c>
      <c r="I628" s="17" t="s">
        <v>151</v>
      </c>
      <c r="J628" s="17" t="s">
        <v>13000</v>
      </c>
      <c r="K628" s="17" t="s">
        <v>13003</v>
      </c>
      <c r="L628" s="17" t="s">
        <v>205</v>
      </c>
      <c r="M628" s="17" t="s">
        <v>206</v>
      </c>
      <c r="N628" s="17" t="s">
        <v>917</v>
      </c>
      <c r="O628" s="17" t="s">
        <v>13004</v>
      </c>
      <c r="P628" s="17" t="s">
        <v>2416</v>
      </c>
      <c r="Q628" s="17" t="s">
        <v>13005</v>
      </c>
      <c r="R628" s="17" t="s">
        <v>151</v>
      </c>
      <c r="S628" s="17" t="s">
        <v>162</v>
      </c>
      <c r="T628" s="24">
        <v>0.05</v>
      </c>
      <c r="U628" s="17" t="s">
        <v>163</v>
      </c>
      <c r="V628" s="17" t="s">
        <v>164</v>
      </c>
      <c r="W628" s="17" t="s">
        <v>165</v>
      </c>
      <c r="X628" s="15" t="s">
        <v>13006</v>
      </c>
      <c r="Y628" s="15" t="s">
        <v>13007</v>
      </c>
      <c r="Z628" s="27">
        <v>2</v>
      </c>
      <c r="AA628" s="17" t="s">
        <v>13008</v>
      </c>
      <c r="AB628" s="17" t="s">
        <v>151</v>
      </c>
      <c r="AC628" s="17" t="s">
        <v>151</v>
      </c>
      <c r="AD628" s="26">
        <v>2020</v>
      </c>
      <c r="AE628" s="17" t="s">
        <v>151</v>
      </c>
      <c r="AF628" s="22">
        <v>45267</v>
      </c>
      <c r="AG628" s="17" t="s">
        <v>151</v>
      </c>
      <c r="AH628" s="17" t="s">
        <v>151</v>
      </c>
      <c r="AI628" s="25" t="s">
        <v>151</v>
      </c>
      <c r="AJ628" s="19" t="s">
        <v>151</v>
      </c>
      <c r="AK628" s="25" t="s">
        <v>151</v>
      </c>
      <c r="AL628" s="25" t="s">
        <v>151</v>
      </c>
      <c r="AM628" s="25" t="s">
        <v>151</v>
      </c>
      <c r="AN628" s="25" t="s">
        <v>151</v>
      </c>
      <c r="AO628" s="25" t="s">
        <v>151</v>
      </c>
      <c r="AP628" s="25" t="s">
        <v>151</v>
      </c>
      <c r="AQ628" s="25" t="s">
        <v>151</v>
      </c>
      <c r="AR628" s="16" t="s">
        <v>151</v>
      </c>
      <c r="AS628" s="17" t="s">
        <v>13009</v>
      </c>
      <c r="AT628" s="17" t="s">
        <v>13010</v>
      </c>
      <c r="AU628" s="18">
        <v>1</v>
      </c>
      <c r="AV628" s="17" t="s">
        <v>151</v>
      </c>
      <c r="AW628" s="17" t="s">
        <v>151</v>
      </c>
      <c r="AX628" s="17" t="s">
        <v>151</v>
      </c>
      <c r="AY628" s="17" t="s">
        <v>13011</v>
      </c>
      <c r="AZ628" s="17" t="s">
        <v>151</v>
      </c>
      <c r="BA628" s="17" t="s">
        <v>151</v>
      </c>
      <c r="BB628" s="17" t="s">
        <v>151</v>
      </c>
      <c r="BC628" s="17" t="s">
        <v>151</v>
      </c>
      <c r="BD628" s="17" t="s">
        <v>13012</v>
      </c>
      <c r="BE628" s="17" t="s">
        <v>13013</v>
      </c>
      <c r="BF628" s="17" t="s">
        <v>403</v>
      </c>
      <c r="BG628" s="17" t="s">
        <v>13014</v>
      </c>
      <c r="BH628" s="17" t="s">
        <v>151</v>
      </c>
      <c r="BI628" s="17" t="s">
        <v>549</v>
      </c>
      <c r="BJ628" s="17" t="s">
        <v>13015</v>
      </c>
      <c r="BK628" s="17" t="s">
        <v>151</v>
      </c>
      <c r="BL628" s="17" t="s">
        <v>552</v>
      </c>
      <c r="BM628" s="17" t="s">
        <v>322</v>
      </c>
      <c r="BN628" s="16" t="s">
        <v>13016</v>
      </c>
      <c r="BO628" s="17" t="s">
        <v>186</v>
      </c>
      <c r="BP628" s="16" t="s">
        <v>151</v>
      </c>
      <c r="BQ628" s="16" t="s">
        <v>151</v>
      </c>
      <c r="BR628" s="17" t="s">
        <v>151</v>
      </c>
      <c r="BS628" s="17" t="s">
        <v>187</v>
      </c>
      <c r="BT628" s="17" t="s">
        <v>188</v>
      </c>
      <c r="BU628" s="22">
        <v>44504</v>
      </c>
      <c r="BV628" s="24">
        <v>0.05</v>
      </c>
      <c r="BW628" s="17" t="s">
        <v>192</v>
      </c>
      <c r="BX628" s="24" t="s">
        <v>151</v>
      </c>
      <c r="BY628" s="17" t="s">
        <v>151</v>
      </c>
      <c r="BZ628" s="17" t="s">
        <v>293</v>
      </c>
      <c r="CA628" s="17" t="s">
        <v>293</v>
      </c>
      <c r="CB628" s="17" t="s">
        <v>151</v>
      </c>
      <c r="CC628" s="17" t="s">
        <v>165</v>
      </c>
      <c r="CD628" s="17" t="s">
        <v>151</v>
      </c>
      <c r="CE628" s="17" t="s">
        <v>191</v>
      </c>
      <c r="CF628" s="22">
        <v>44504</v>
      </c>
      <c r="CG628" s="24">
        <v>0.05</v>
      </c>
      <c r="CH628" s="17" t="s">
        <v>192</v>
      </c>
      <c r="CI628" s="24" t="s">
        <v>151</v>
      </c>
      <c r="CJ628" s="17" t="s">
        <v>151</v>
      </c>
      <c r="CK628" s="16" t="s">
        <v>151</v>
      </c>
      <c r="CL628" s="17" t="s">
        <v>293</v>
      </c>
      <c r="CM628" s="17" t="s">
        <v>293</v>
      </c>
      <c r="CN628" s="17" t="s">
        <v>151</v>
      </c>
      <c r="CO628" s="17" t="s">
        <v>165</v>
      </c>
      <c r="CP628" s="22">
        <v>44504</v>
      </c>
      <c r="CQ628" s="24" t="s">
        <v>151</v>
      </c>
      <c r="CR628" s="17" t="s">
        <v>151</v>
      </c>
      <c r="CS628" s="17" t="s">
        <v>191</v>
      </c>
      <c r="CT628" s="16" t="s">
        <v>151</v>
      </c>
      <c r="CU628" s="17" t="s">
        <v>151</v>
      </c>
      <c r="CV628" s="19" t="s">
        <v>151</v>
      </c>
      <c r="CW628" s="19" t="s">
        <v>151</v>
      </c>
      <c r="CX628" s="17" t="s">
        <v>151</v>
      </c>
      <c r="CY628" s="19" t="s">
        <v>151</v>
      </c>
      <c r="CZ628" s="19" t="s">
        <v>151</v>
      </c>
      <c r="DA628" s="24" t="s">
        <v>151</v>
      </c>
      <c r="DB628" s="22" t="s">
        <v>151</v>
      </c>
      <c r="DC628" s="17" t="s">
        <v>151</v>
      </c>
      <c r="DD628" s="16" t="s">
        <v>151</v>
      </c>
      <c r="DE628" s="19">
        <v>0</v>
      </c>
      <c r="DF628" s="21">
        <v>11</v>
      </c>
      <c r="DG628" s="19">
        <v>0</v>
      </c>
      <c r="DH628" s="19">
        <v>0</v>
      </c>
      <c r="DI628" s="19">
        <v>0</v>
      </c>
      <c r="DJ628" s="21">
        <v>10</v>
      </c>
      <c r="DK628" s="19">
        <v>0</v>
      </c>
      <c r="DL628" s="21">
        <v>11</v>
      </c>
      <c r="DM628" s="19">
        <v>0</v>
      </c>
      <c r="DN628" s="21">
        <v>10</v>
      </c>
      <c r="DO628" s="23">
        <v>0.6</v>
      </c>
      <c r="DP628" s="21">
        <v>38</v>
      </c>
      <c r="DQ628" s="23">
        <v>0</v>
      </c>
      <c r="DR628" s="19">
        <v>0</v>
      </c>
      <c r="DS628" s="23">
        <v>0.6</v>
      </c>
      <c r="DT628" s="21">
        <v>38</v>
      </c>
      <c r="DU628" s="23">
        <v>0.62</v>
      </c>
      <c r="DV628" s="21">
        <v>37</v>
      </c>
      <c r="DW628" s="23">
        <v>0.58</v>
      </c>
      <c r="DX628" s="21">
        <v>36</v>
      </c>
      <c r="DY628" s="18" t="s">
        <v>151</v>
      </c>
      <c r="DZ628" s="22" t="s">
        <v>151</v>
      </c>
      <c r="EA628" s="22" t="s">
        <v>151</v>
      </c>
      <c r="EB628" s="21">
        <v>0</v>
      </c>
      <c r="EC628" s="20">
        <v>0</v>
      </c>
      <c r="ED628" s="19">
        <v>0</v>
      </c>
      <c r="EE628" s="21">
        <v>11</v>
      </c>
      <c r="EF628" s="20">
        <v>0</v>
      </c>
      <c r="EG628" s="19">
        <v>0</v>
      </c>
      <c r="EH628" s="16" t="s">
        <v>198</v>
      </c>
      <c r="EI628" s="17" t="s">
        <v>151</v>
      </c>
      <c r="EJ628" s="17" t="s">
        <v>151</v>
      </c>
      <c r="EK628" s="18" t="s">
        <v>151</v>
      </c>
      <c r="EL628" s="18" t="s">
        <v>151</v>
      </c>
      <c r="EM628" s="18" t="s">
        <v>151</v>
      </c>
      <c r="EN628" s="18" t="s">
        <v>151</v>
      </c>
      <c r="EO628" s="18" t="s">
        <v>151</v>
      </c>
      <c r="EP628" s="17" t="s">
        <v>151</v>
      </c>
      <c r="EQ628" s="16" t="s">
        <v>151</v>
      </c>
      <c r="ER628" s="16" t="s">
        <v>151</v>
      </c>
      <c r="ES628" s="3">
        <f>HYPERLINK("https://my.pitchbook.com?c=489951-82","View Company Online")</f>
      </c>
    </row>
    <row r="629">
      <c r="A629" s="30" t="s">
        <v>13017</v>
      </c>
      <c r="B629" s="30" t="s">
        <v>13018</v>
      </c>
      <c r="C629" s="31" t="s">
        <v>151</v>
      </c>
      <c r="D629" s="30" t="s">
        <v>151</v>
      </c>
      <c r="E629" s="30" t="s">
        <v>151</v>
      </c>
      <c r="F629" s="30" t="s">
        <v>13019</v>
      </c>
      <c r="G629" s="30" t="s">
        <v>151</v>
      </c>
      <c r="H629" s="30" t="s">
        <v>151</v>
      </c>
      <c r="I629" s="30" t="s">
        <v>151</v>
      </c>
      <c r="J629" s="30" t="s">
        <v>13017</v>
      </c>
      <c r="K629" s="30" t="s">
        <v>13020</v>
      </c>
      <c r="L629" s="30" t="s">
        <v>205</v>
      </c>
      <c r="M629" s="30" t="s">
        <v>206</v>
      </c>
      <c r="N629" s="30" t="s">
        <v>917</v>
      </c>
      <c r="O629" s="30" t="s">
        <v>13021</v>
      </c>
      <c r="P629" s="30" t="s">
        <v>151</v>
      </c>
      <c r="Q629" s="30" t="s">
        <v>13022</v>
      </c>
      <c r="R629" s="30" t="s">
        <v>151</v>
      </c>
      <c r="S629" s="30" t="s">
        <v>162</v>
      </c>
      <c r="T629" s="37">
        <v>3.5</v>
      </c>
      <c r="U629" s="30" t="s">
        <v>163</v>
      </c>
      <c r="V629" s="30" t="s">
        <v>164</v>
      </c>
      <c r="W629" s="30" t="s">
        <v>165</v>
      </c>
      <c r="X629" s="28" t="s">
        <v>13023</v>
      </c>
      <c r="Y629" s="28" t="s">
        <v>13024</v>
      </c>
      <c r="Z629" s="40">
        <v>5</v>
      </c>
      <c r="AA629" s="30" t="s">
        <v>13025</v>
      </c>
      <c r="AB629" s="30" t="s">
        <v>151</v>
      </c>
      <c r="AC629" s="30" t="s">
        <v>151</v>
      </c>
      <c r="AD629" s="39">
        <v>2016</v>
      </c>
      <c r="AE629" s="30" t="s">
        <v>151</v>
      </c>
      <c r="AF629" s="35">
        <v>45509</v>
      </c>
      <c r="AG629" s="30" t="s">
        <v>151</v>
      </c>
      <c r="AH629" s="30" t="s">
        <v>151</v>
      </c>
      <c r="AI629" s="38" t="s">
        <v>151</v>
      </c>
      <c r="AJ629" s="32" t="s">
        <v>151</v>
      </c>
      <c r="AK629" s="38" t="s">
        <v>151</v>
      </c>
      <c r="AL629" s="38" t="s">
        <v>151</v>
      </c>
      <c r="AM629" s="38" t="s">
        <v>151</v>
      </c>
      <c r="AN629" s="38" t="s">
        <v>151</v>
      </c>
      <c r="AO629" s="38" t="s">
        <v>151</v>
      </c>
      <c r="AP629" s="38" t="s">
        <v>151</v>
      </c>
      <c r="AQ629" s="38" t="s">
        <v>151</v>
      </c>
      <c r="AR629" s="29" t="s">
        <v>151</v>
      </c>
      <c r="AS629" s="30" t="s">
        <v>13026</v>
      </c>
      <c r="AT629" s="30" t="s">
        <v>13027</v>
      </c>
      <c r="AU629" s="31">
        <v>10</v>
      </c>
      <c r="AV629" s="30" t="s">
        <v>151</v>
      </c>
      <c r="AW629" s="30" t="s">
        <v>151</v>
      </c>
      <c r="AX629" s="30" t="s">
        <v>151</v>
      </c>
      <c r="AY629" s="30" t="s">
        <v>13028</v>
      </c>
      <c r="AZ629" s="30" t="s">
        <v>151</v>
      </c>
      <c r="BA629" s="30" t="s">
        <v>151</v>
      </c>
      <c r="BB629" s="30" t="s">
        <v>151</v>
      </c>
      <c r="BC629" s="30" t="s">
        <v>151</v>
      </c>
      <c r="BD629" s="30" t="s">
        <v>13029</v>
      </c>
      <c r="BE629" s="30" t="s">
        <v>13030</v>
      </c>
      <c r="BF629" s="30" t="s">
        <v>2761</v>
      </c>
      <c r="BG629" s="30" t="s">
        <v>151</v>
      </c>
      <c r="BH629" s="30" t="s">
        <v>151</v>
      </c>
      <c r="BI629" s="30" t="s">
        <v>3443</v>
      </c>
      <c r="BJ629" s="30" t="s">
        <v>9205</v>
      </c>
      <c r="BK629" s="30" t="s">
        <v>151</v>
      </c>
      <c r="BL629" s="30" t="s">
        <v>3446</v>
      </c>
      <c r="BM629" s="30" t="s">
        <v>184</v>
      </c>
      <c r="BN629" s="29" t="s">
        <v>9207</v>
      </c>
      <c r="BO629" s="30" t="s">
        <v>186</v>
      </c>
      <c r="BP629" s="29" t="s">
        <v>229</v>
      </c>
      <c r="BQ629" s="29" t="s">
        <v>151</v>
      </c>
      <c r="BR629" s="30" t="s">
        <v>151</v>
      </c>
      <c r="BS629" s="30" t="s">
        <v>187</v>
      </c>
      <c r="BT629" s="30" t="s">
        <v>188</v>
      </c>
      <c r="BU629" s="35">
        <v>45290</v>
      </c>
      <c r="BV629" s="37">
        <v>3.5</v>
      </c>
      <c r="BW629" s="30" t="s">
        <v>192</v>
      </c>
      <c r="BX629" s="37" t="s">
        <v>151</v>
      </c>
      <c r="BY629" s="30" t="s">
        <v>151</v>
      </c>
      <c r="BZ629" s="30" t="s">
        <v>293</v>
      </c>
      <c r="CA629" s="30" t="s">
        <v>293</v>
      </c>
      <c r="CB629" s="30" t="s">
        <v>151</v>
      </c>
      <c r="CC629" s="30" t="s">
        <v>165</v>
      </c>
      <c r="CD629" s="30" t="s">
        <v>151</v>
      </c>
      <c r="CE629" s="30" t="s">
        <v>191</v>
      </c>
      <c r="CF629" s="35">
        <v>45290</v>
      </c>
      <c r="CG629" s="37">
        <v>3.5</v>
      </c>
      <c r="CH629" s="30" t="s">
        <v>192</v>
      </c>
      <c r="CI629" s="37" t="s">
        <v>151</v>
      </c>
      <c r="CJ629" s="30" t="s">
        <v>151</v>
      </c>
      <c r="CK629" s="29" t="s">
        <v>151</v>
      </c>
      <c r="CL629" s="30" t="s">
        <v>293</v>
      </c>
      <c r="CM629" s="30" t="s">
        <v>293</v>
      </c>
      <c r="CN629" s="30" t="s">
        <v>151</v>
      </c>
      <c r="CO629" s="30" t="s">
        <v>165</v>
      </c>
      <c r="CP629" s="35">
        <v>45290</v>
      </c>
      <c r="CQ629" s="37" t="s">
        <v>151</v>
      </c>
      <c r="CR629" s="30" t="s">
        <v>151</v>
      </c>
      <c r="CS629" s="30" t="s">
        <v>191</v>
      </c>
      <c r="CT629" s="29" t="s">
        <v>151</v>
      </c>
      <c r="CU629" s="30" t="s">
        <v>151</v>
      </c>
      <c r="CV629" s="32" t="s">
        <v>151</v>
      </c>
      <c r="CW629" s="32" t="s">
        <v>151</v>
      </c>
      <c r="CX629" s="30" t="s">
        <v>151</v>
      </c>
      <c r="CY629" s="32" t="s">
        <v>151</v>
      </c>
      <c r="CZ629" s="32" t="s">
        <v>151</v>
      </c>
      <c r="DA629" s="37" t="s">
        <v>151</v>
      </c>
      <c r="DB629" s="35" t="s">
        <v>151</v>
      </c>
      <c r="DC629" s="30" t="s">
        <v>151</v>
      </c>
      <c r="DD629" s="29" t="s">
        <v>151</v>
      </c>
      <c r="DE629" s="32">
        <v>1.07</v>
      </c>
      <c r="DF629" s="34">
        <v>96</v>
      </c>
      <c r="DG629" s="32">
        <v>0</v>
      </c>
      <c r="DH629" s="32">
        <v>0</v>
      </c>
      <c r="DI629" s="32">
        <v>-0.36</v>
      </c>
      <c r="DJ629" s="34">
        <v>8</v>
      </c>
      <c r="DK629" s="32" t="s">
        <v>151</v>
      </c>
      <c r="DL629" s="34" t="s">
        <v>151</v>
      </c>
      <c r="DM629" s="32">
        <v>-0.36</v>
      </c>
      <c r="DN629" s="34">
        <v>8</v>
      </c>
      <c r="DO629" s="36">
        <v>12.07</v>
      </c>
      <c r="DP629" s="34">
        <v>92</v>
      </c>
      <c r="DQ629" s="36">
        <v>0</v>
      </c>
      <c r="DR629" s="32">
        <v>0</v>
      </c>
      <c r="DS629" s="36">
        <v>23.68</v>
      </c>
      <c r="DT629" s="34">
        <v>96</v>
      </c>
      <c r="DU629" s="36" t="s">
        <v>151</v>
      </c>
      <c r="DV629" s="34" t="s">
        <v>151</v>
      </c>
      <c r="DW629" s="36">
        <v>23.68</v>
      </c>
      <c r="DX629" s="34">
        <v>96</v>
      </c>
      <c r="DY629" s="31" t="s">
        <v>151</v>
      </c>
      <c r="DZ629" s="35" t="s">
        <v>151</v>
      </c>
      <c r="EA629" s="35" t="s">
        <v>151</v>
      </c>
      <c r="EB629" s="34" t="s">
        <v>151</v>
      </c>
      <c r="EC629" s="33" t="s">
        <v>151</v>
      </c>
      <c r="ED629" s="32" t="s">
        <v>151</v>
      </c>
      <c r="EE629" s="34">
        <v>450</v>
      </c>
      <c r="EF629" s="33">
        <v>-1</v>
      </c>
      <c r="EG629" s="32">
        <v>-0.22</v>
      </c>
      <c r="EH629" s="29" t="s">
        <v>198</v>
      </c>
      <c r="EI629" s="30" t="s">
        <v>151</v>
      </c>
      <c r="EJ629" s="30" t="s">
        <v>151</v>
      </c>
      <c r="EK629" s="31" t="s">
        <v>151</v>
      </c>
      <c r="EL629" s="31" t="s">
        <v>151</v>
      </c>
      <c r="EM629" s="31" t="s">
        <v>151</v>
      </c>
      <c r="EN629" s="31" t="s">
        <v>151</v>
      </c>
      <c r="EO629" s="31" t="s">
        <v>151</v>
      </c>
      <c r="EP629" s="30" t="s">
        <v>151</v>
      </c>
      <c r="EQ629" s="29" t="s">
        <v>151</v>
      </c>
      <c r="ER629" s="29" t="s">
        <v>151</v>
      </c>
      <c r="ES629" s="4">
        <f>HYPERLINK("https://my.pitchbook.com?c=266229-91","View Company Online")</f>
      </c>
    </row>
    <row r="630">
      <c r="A630" s="17" t="s">
        <v>13031</v>
      </c>
      <c r="B630" s="17" t="s">
        <v>13032</v>
      </c>
      <c r="C630" s="18" t="s">
        <v>151</v>
      </c>
      <c r="D630" s="17" t="s">
        <v>151</v>
      </c>
      <c r="E630" s="17" t="s">
        <v>151</v>
      </c>
      <c r="F630" s="17" t="s">
        <v>13033</v>
      </c>
      <c r="G630" s="17" t="s">
        <v>151</v>
      </c>
      <c r="H630" s="17" t="s">
        <v>151</v>
      </c>
      <c r="I630" s="17" t="s">
        <v>151</v>
      </c>
      <c r="J630" s="17" t="s">
        <v>13031</v>
      </c>
      <c r="K630" s="17" t="s">
        <v>13034</v>
      </c>
      <c r="L630" s="17" t="s">
        <v>155</v>
      </c>
      <c r="M630" s="17" t="s">
        <v>361</v>
      </c>
      <c r="N630" s="17" t="s">
        <v>362</v>
      </c>
      <c r="O630" s="17" t="s">
        <v>13035</v>
      </c>
      <c r="P630" s="17" t="s">
        <v>4707</v>
      </c>
      <c r="Q630" s="17" t="s">
        <v>13036</v>
      </c>
      <c r="R630" s="17" t="s">
        <v>151</v>
      </c>
      <c r="S630" s="17" t="s">
        <v>162</v>
      </c>
      <c r="T630" s="24">
        <v>0.8</v>
      </c>
      <c r="U630" s="17" t="s">
        <v>163</v>
      </c>
      <c r="V630" s="17" t="s">
        <v>164</v>
      </c>
      <c r="W630" s="17" t="s">
        <v>165</v>
      </c>
      <c r="X630" s="15" t="s">
        <v>13037</v>
      </c>
      <c r="Y630" s="15" t="s">
        <v>13038</v>
      </c>
      <c r="Z630" s="27">
        <v>7</v>
      </c>
      <c r="AA630" s="17" t="s">
        <v>7501</v>
      </c>
      <c r="AB630" s="17" t="s">
        <v>151</v>
      </c>
      <c r="AC630" s="17" t="s">
        <v>151</v>
      </c>
      <c r="AD630" s="26">
        <v>2020</v>
      </c>
      <c r="AE630" s="17" t="s">
        <v>151</v>
      </c>
      <c r="AF630" s="22">
        <v>45596</v>
      </c>
      <c r="AG630" s="17" t="s">
        <v>151</v>
      </c>
      <c r="AH630" s="17" t="s">
        <v>151</v>
      </c>
      <c r="AI630" s="25" t="s">
        <v>151</v>
      </c>
      <c r="AJ630" s="19" t="s">
        <v>151</v>
      </c>
      <c r="AK630" s="25" t="s">
        <v>151</v>
      </c>
      <c r="AL630" s="25" t="s">
        <v>151</v>
      </c>
      <c r="AM630" s="25" t="s">
        <v>151</v>
      </c>
      <c r="AN630" s="25" t="s">
        <v>151</v>
      </c>
      <c r="AO630" s="25" t="s">
        <v>151</v>
      </c>
      <c r="AP630" s="25" t="s">
        <v>151</v>
      </c>
      <c r="AQ630" s="25" t="s">
        <v>151</v>
      </c>
      <c r="AR630" s="16" t="s">
        <v>151</v>
      </c>
      <c r="AS630" s="17" t="s">
        <v>13039</v>
      </c>
      <c r="AT630" s="17" t="s">
        <v>13040</v>
      </c>
      <c r="AU630" s="18">
        <v>5</v>
      </c>
      <c r="AV630" s="17" t="s">
        <v>151</v>
      </c>
      <c r="AW630" s="17" t="s">
        <v>151</v>
      </c>
      <c r="AX630" s="17" t="s">
        <v>151</v>
      </c>
      <c r="AY630" s="17" t="s">
        <v>13041</v>
      </c>
      <c r="AZ630" s="17" t="s">
        <v>151</v>
      </c>
      <c r="BA630" s="17" t="s">
        <v>151</v>
      </c>
      <c r="BB630" s="17" t="s">
        <v>151</v>
      </c>
      <c r="BC630" s="17" t="s">
        <v>151</v>
      </c>
      <c r="BD630" s="17" t="s">
        <v>13042</v>
      </c>
      <c r="BE630" s="17" t="s">
        <v>13043</v>
      </c>
      <c r="BF630" s="17" t="s">
        <v>493</v>
      </c>
      <c r="BG630" s="17" t="s">
        <v>13044</v>
      </c>
      <c r="BH630" s="17" t="s">
        <v>13045</v>
      </c>
      <c r="BI630" s="17" t="s">
        <v>6179</v>
      </c>
      <c r="BJ630" s="17" t="s">
        <v>13046</v>
      </c>
      <c r="BK630" s="17" t="s">
        <v>151</v>
      </c>
      <c r="BL630" s="17" t="s">
        <v>6182</v>
      </c>
      <c r="BM630" s="17" t="s">
        <v>184</v>
      </c>
      <c r="BN630" s="16" t="s">
        <v>13047</v>
      </c>
      <c r="BO630" s="17" t="s">
        <v>186</v>
      </c>
      <c r="BP630" s="16" t="s">
        <v>13045</v>
      </c>
      <c r="BQ630" s="16" t="s">
        <v>151</v>
      </c>
      <c r="BR630" s="17" t="s">
        <v>13048</v>
      </c>
      <c r="BS630" s="17" t="s">
        <v>187</v>
      </c>
      <c r="BT630" s="17" t="s">
        <v>188</v>
      </c>
      <c r="BU630" s="22">
        <v>44629</v>
      </c>
      <c r="BV630" s="24">
        <v>0.8</v>
      </c>
      <c r="BW630" s="17" t="s">
        <v>192</v>
      </c>
      <c r="BX630" s="24" t="s">
        <v>151</v>
      </c>
      <c r="BY630" s="17" t="s">
        <v>151</v>
      </c>
      <c r="BZ630" s="17" t="s">
        <v>293</v>
      </c>
      <c r="CA630" s="17" t="s">
        <v>293</v>
      </c>
      <c r="CB630" s="17" t="s">
        <v>151</v>
      </c>
      <c r="CC630" s="17" t="s">
        <v>165</v>
      </c>
      <c r="CD630" s="17" t="s">
        <v>151</v>
      </c>
      <c r="CE630" s="17" t="s">
        <v>191</v>
      </c>
      <c r="CF630" s="22" t="s">
        <v>151</v>
      </c>
      <c r="CG630" s="24" t="s">
        <v>151</v>
      </c>
      <c r="CH630" s="17" t="s">
        <v>151</v>
      </c>
      <c r="CI630" s="24" t="s">
        <v>151</v>
      </c>
      <c r="CJ630" s="17" t="s">
        <v>151</v>
      </c>
      <c r="CK630" s="16" t="s">
        <v>151</v>
      </c>
      <c r="CL630" s="17" t="s">
        <v>189</v>
      </c>
      <c r="CM630" s="17" t="s">
        <v>151</v>
      </c>
      <c r="CN630" s="17" t="s">
        <v>151</v>
      </c>
      <c r="CO630" s="17" t="s">
        <v>190</v>
      </c>
      <c r="CP630" s="22" t="s">
        <v>151</v>
      </c>
      <c r="CQ630" s="24" t="s">
        <v>151</v>
      </c>
      <c r="CR630" s="17" t="s">
        <v>151</v>
      </c>
      <c r="CS630" s="17" t="s">
        <v>191</v>
      </c>
      <c r="CT630" s="16" t="s">
        <v>151</v>
      </c>
      <c r="CU630" s="17" t="s">
        <v>151</v>
      </c>
      <c r="CV630" s="19" t="s">
        <v>151</v>
      </c>
      <c r="CW630" s="19" t="s">
        <v>151</v>
      </c>
      <c r="CX630" s="17" t="s">
        <v>151</v>
      </c>
      <c r="CY630" s="19" t="s">
        <v>151</v>
      </c>
      <c r="CZ630" s="19" t="s">
        <v>151</v>
      </c>
      <c r="DA630" s="24" t="s">
        <v>151</v>
      </c>
      <c r="DB630" s="22" t="s">
        <v>151</v>
      </c>
      <c r="DC630" s="17" t="s">
        <v>151</v>
      </c>
      <c r="DD630" s="16" t="s">
        <v>151</v>
      </c>
      <c r="DE630" s="19">
        <v>-0.78</v>
      </c>
      <c r="DF630" s="21">
        <v>5</v>
      </c>
      <c r="DG630" s="19">
        <v>0</v>
      </c>
      <c r="DH630" s="19">
        <v>0</v>
      </c>
      <c r="DI630" s="19">
        <v>0</v>
      </c>
      <c r="DJ630" s="21">
        <v>10</v>
      </c>
      <c r="DK630" s="19" t="s">
        <v>151</v>
      </c>
      <c r="DL630" s="21" t="s">
        <v>151</v>
      </c>
      <c r="DM630" s="19">
        <v>0</v>
      </c>
      <c r="DN630" s="21">
        <v>10</v>
      </c>
      <c r="DO630" s="23">
        <v>0.74</v>
      </c>
      <c r="DP630" s="21">
        <v>42</v>
      </c>
      <c r="DQ630" s="23">
        <v>0</v>
      </c>
      <c r="DR630" s="19">
        <v>0</v>
      </c>
      <c r="DS630" s="23">
        <v>0.95</v>
      </c>
      <c r="DT630" s="21">
        <v>49</v>
      </c>
      <c r="DU630" s="23" t="s">
        <v>151</v>
      </c>
      <c r="DV630" s="21" t="s">
        <v>151</v>
      </c>
      <c r="DW630" s="23">
        <v>0.95</v>
      </c>
      <c r="DX630" s="21">
        <v>48</v>
      </c>
      <c r="DY630" s="18" t="s">
        <v>151</v>
      </c>
      <c r="DZ630" s="22" t="s">
        <v>151</v>
      </c>
      <c r="EA630" s="22" t="s">
        <v>151</v>
      </c>
      <c r="EB630" s="21">
        <v>0</v>
      </c>
      <c r="EC630" s="20">
        <v>0</v>
      </c>
      <c r="ED630" s="19">
        <v>0</v>
      </c>
      <c r="EE630" s="21">
        <v>18</v>
      </c>
      <c r="EF630" s="20">
        <v>0</v>
      </c>
      <c r="EG630" s="19">
        <v>0</v>
      </c>
      <c r="EH630" s="16" t="s">
        <v>198</v>
      </c>
      <c r="EI630" s="17" t="s">
        <v>151</v>
      </c>
      <c r="EJ630" s="17" t="s">
        <v>151</v>
      </c>
      <c r="EK630" s="18" t="s">
        <v>151</v>
      </c>
      <c r="EL630" s="18" t="s">
        <v>151</v>
      </c>
      <c r="EM630" s="18" t="s">
        <v>151</v>
      </c>
      <c r="EN630" s="18" t="s">
        <v>151</v>
      </c>
      <c r="EO630" s="18" t="s">
        <v>151</v>
      </c>
      <c r="EP630" s="17" t="s">
        <v>151</v>
      </c>
      <c r="EQ630" s="16" t="s">
        <v>151</v>
      </c>
      <c r="ER630" s="16" t="s">
        <v>151</v>
      </c>
      <c r="ES630" s="3">
        <f>HYPERLINK("https://my.pitchbook.com?c=493616-53","View Company Online")</f>
      </c>
    </row>
    <row r="631">
      <c r="A631" s="30" t="s">
        <v>13049</v>
      </c>
      <c r="B631" s="30" t="s">
        <v>13050</v>
      </c>
      <c r="C631" s="31" t="s">
        <v>151</v>
      </c>
      <c r="D631" s="30" t="s">
        <v>151</v>
      </c>
      <c r="E631" s="30" t="s">
        <v>13051</v>
      </c>
      <c r="F631" s="30" t="s">
        <v>13052</v>
      </c>
      <c r="G631" s="30" t="s">
        <v>151</v>
      </c>
      <c r="H631" s="30" t="s">
        <v>151</v>
      </c>
      <c r="I631" s="30" t="s">
        <v>13053</v>
      </c>
      <c r="J631" s="30" t="s">
        <v>13049</v>
      </c>
      <c r="K631" s="30" t="s">
        <v>13054</v>
      </c>
      <c r="L631" s="30" t="s">
        <v>205</v>
      </c>
      <c r="M631" s="30" t="s">
        <v>206</v>
      </c>
      <c r="N631" s="30" t="s">
        <v>998</v>
      </c>
      <c r="O631" s="30" t="s">
        <v>13055</v>
      </c>
      <c r="P631" s="30" t="s">
        <v>13056</v>
      </c>
      <c r="Q631" s="30" t="s">
        <v>13057</v>
      </c>
      <c r="R631" s="30" t="s">
        <v>211</v>
      </c>
      <c r="S631" s="30" t="s">
        <v>162</v>
      </c>
      <c r="T631" s="37">
        <v>20.04</v>
      </c>
      <c r="U631" s="30" t="s">
        <v>163</v>
      </c>
      <c r="V631" s="30" t="s">
        <v>164</v>
      </c>
      <c r="W631" s="30" t="s">
        <v>165</v>
      </c>
      <c r="X631" s="28" t="s">
        <v>13058</v>
      </c>
      <c r="Y631" s="28" t="s">
        <v>13059</v>
      </c>
      <c r="Z631" s="40">
        <v>8</v>
      </c>
      <c r="AA631" s="30" t="s">
        <v>3458</v>
      </c>
      <c r="AB631" s="30" t="s">
        <v>151</v>
      </c>
      <c r="AC631" s="30" t="s">
        <v>151</v>
      </c>
      <c r="AD631" s="39">
        <v>2021</v>
      </c>
      <c r="AE631" s="30" t="s">
        <v>151</v>
      </c>
      <c r="AF631" s="35">
        <v>45586</v>
      </c>
      <c r="AG631" s="30" t="s">
        <v>151</v>
      </c>
      <c r="AH631" s="30" t="s">
        <v>151</v>
      </c>
      <c r="AI631" s="38" t="s">
        <v>151</v>
      </c>
      <c r="AJ631" s="32" t="s">
        <v>151</v>
      </c>
      <c r="AK631" s="38" t="s">
        <v>151</v>
      </c>
      <c r="AL631" s="38" t="s">
        <v>151</v>
      </c>
      <c r="AM631" s="38" t="s">
        <v>151</v>
      </c>
      <c r="AN631" s="38" t="s">
        <v>151</v>
      </c>
      <c r="AO631" s="38" t="s">
        <v>151</v>
      </c>
      <c r="AP631" s="38" t="s">
        <v>151</v>
      </c>
      <c r="AQ631" s="38" t="s">
        <v>151</v>
      </c>
      <c r="AR631" s="29" t="s">
        <v>151</v>
      </c>
      <c r="AS631" s="30" t="s">
        <v>13060</v>
      </c>
      <c r="AT631" s="30" t="s">
        <v>13061</v>
      </c>
      <c r="AU631" s="31">
        <v>12</v>
      </c>
      <c r="AV631" s="30" t="s">
        <v>151</v>
      </c>
      <c r="AW631" s="30" t="s">
        <v>151</v>
      </c>
      <c r="AX631" s="30" t="s">
        <v>151</v>
      </c>
      <c r="AY631" s="30" t="s">
        <v>13062</v>
      </c>
      <c r="AZ631" s="30" t="s">
        <v>151</v>
      </c>
      <c r="BA631" s="30" t="s">
        <v>151</v>
      </c>
      <c r="BB631" s="30" t="s">
        <v>151</v>
      </c>
      <c r="BC631" s="30" t="s">
        <v>601</v>
      </c>
      <c r="BD631" s="30" t="s">
        <v>13063</v>
      </c>
      <c r="BE631" s="30" t="s">
        <v>13064</v>
      </c>
      <c r="BF631" s="30" t="s">
        <v>3400</v>
      </c>
      <c r="BG631" s="30" t="s">
        <v>13065</v>
      </c>
      <c r="BH631" s="30" t="s">
        <v>13066</v>
      </c>
      <c r="BI631" s="30" t="s">
        <v>764</v>
      </c>
      <c r="BJ631" s="30" t="s">
        <v>3969</v>
      </c>
      <c r="BK631" s="30" t="s">
        <v>13067</v>
      </c>
      <c r="BL631" s="30" t="s">
        <v>767</v>
      </c>
      <c r="BM631" s="30" t="s">
        <v>184</v>
      </c>
      <c r="BN631" s="29" t="s">
        <v>794</v>
      </c>
      <c r="BO631" s="30" t="s">
        <v>186</v>
      </c>
      <c r="BP631" s="29" t="s">
        <v>13068</v>
      </c>
      <c r="BQ631" s="29" t="s">
        <v>151</v>
      </c>
      <c r="BR631" s="30" t="s">
        <v>13069</v>
      </c>
      <c r="BS631" s="30" t="s">
        <v>187</v>
      </c>
      <c r="BT631" s="30" t="s">
        <v>188</v>
      </c>
      <c r="BU631" s="35">
        <v>44537</v>
      </c>
      <c r="BV631" s="37">
        <v>4</v>
      </c>
      <c r="BW631" s="30" t="s">
        <v>192</v>
      </c>
      <c r="BX631" s="37">
        <v>19</v>
      </c>
      <c r="BY631" s="30" t="s">
        <v>192</v>
      </c>
      <c r="BZ631" s="30" t="s">
        <v>293</v>
      </c>
      <c r="CA631" s="30" t="s">
        <v>293</v>
      </c>
      <c r="CB631" s="30" t="s">
        <v>151</v>
      </c>
      <c r="CC631" s="30" t="s">
        <v>165</v>
      </c>
      <c r="CD631" s="30" t="s">
        <v>151</v>
      </c>
      <c r="CE631" s="30" t="s">
        <v>191</v>
      </c>
      <c r="CF631" s="35">
        <v>45166</v>
      </c>
      <c r="CG631" s="37">
        <v>10.04</v>
      </c>
      <c r="CH631" s="30" t="s">
        <v>192</v>
      </c>
      <c r="CI631" s="37" t="s">
        <v>151</v>
      </c>
      <c r="CJ631" s="30" t="s">
        <v>151</v>
      </c>
      <c r="CK631" s="29" t="s">
        <v>151</v>
      </c>
      <c r="CL631" s="30" t="s">
        <v>231</v>
      </c>
      <c r="CM631" s="30" t="s">
        <v>151</v>
      </c>
      <c r="CN631" s="30" t="s">
        <v>151</v>
      </c>
      <c r="CO631" s="30" t="s">
        <v>165</v>
      </c>
      <c r="CP631" s="35">
        <v>45166</v>
      </c>
      <c r="CQ631" s="37" t="s">
        <v>151</v>
      </c>
      <c r="CR631" s="30" t="s">
        <v>151</v>
      </c>
      <c r="CS631" s="30" t="s">
        <v>191</v>
      </c>
      <c r="CT631" s="29">
        <v>83</v>
      </c>
      <c r="CU631" s="30" t="s">
        <v>196</v>
      </c>
      <c r="CV631" s="32">
        <v>76</v>
      </c>
      <c r="CW631" s="32">
        <v>24</v>
      </c>
      <c r="CX631" s="30" t="s">
        <v>294</v>
      </c>
      <c r="CY631" s="32">
        <v>1</v>
      </c>
      <c r="CZ631" s="32">
        <v>75</v>
      </c>
      <c r="DA631" s="37">
        <v>32</v>
      </c>
      <c r="DB631" s="35">
        <v>45091</v>
      </c>
      <c r="DC631" s="30" t="s">
        <v>293</v>
      </c>
      <c r="DD631" s="29">
        <v>1.37</v>
      </c>
      <c r="DE631" s="32">
        <v>0</v>
      </c>
      <c r="DF631" s="34">
        <v>11</v>
      </c>
      <c r="DG631" s="32">
        <v>0</v>
      </c>
      <c r="DH631" s="32">
        <v>0</v>
      </c>
      <c r="DI631" s="32">
        <v>0</v>
      </c>
      <c r="DJ631" s="34">
        <v>10</v>
      </c>
      <c r="DK631" s="32">
        <v>0</v>
      </c>
      <c r="DL631" s="34">
        <v>11</v>
      </c>
      <c r="DM631" s="32" t="s">
        <v>151</v>
      </c>
      <c r="DN631" s="34" t="s">
        <v>151</v>
      </c>
      <c r="DO631" s="36">
        <v>0.88</v>
      </c>
      <c r="DP631" s="34">
        <v>47</v>
      </c>
      <c r="DQ631" s="36">
        <v>0</v>
      </c>
      <c r="DR631" s="32">
        <v>0</v>
      </c>
      <c r="DS631" s="36">
        <v>1.14</v>
      </c>
      <c r="DT631" s="34">
        <v>53</v>
      </c>
      <c r="DU631" s="36">
        <v>1.14</v>
      </c>
      <c r="DV631" s="34">
        <v>57</v>
      </c>
      <c r="DW631" s="36" t="s">
        <v>151</v>
      </c>
      <c r="DX631" s="34" t="s">
        <v>151</v>
      </c>
      <c r="DY631" s="31" t="s">
        <v>151</v>
      </c>
      <c r="DZ631" s="35" t="s">
        <v>151</v>
      </c>
      <c r="EA631" s="35" t="s">
        <v>151</v>
      </c>
      <c r="EB631" s="34">
        <v>234</v>
      </c>
      <c r="EC631" s="33">
        <v>1</v>
      </c>
      <c r="ED631" s="32">
        <v>0.43</v>
      </c>
      <c r="EE631" s="34" t="s">
        <v>151</v>
      </c>
      <c r="EF631" s="33" t="s">
        <v>151</v>
      </c>
      <c r="EG631" s="32" t="s">
        <v>151</v>
      </c>
      <c r="EH631" s="29" t="s">
        <v>198</v>
      </c>
      <c r="EI631" s="30" t="s">
        <v>151</v>
      </c>
      <c r="EJ631" s="30" t="s">
        <v>151</v>
      </c>
      <c r="EK631" s="31" t="s">
        <v>151</v>
      </c>
      <c r="EL631" s="31" t="s">
        <v>151</v>
      </c>
      <c r="EM631" s="31" t="s">
        <v>151</v>
      </c>
      <c r="EN631" s="31" t="s">
        <v>151</v>
      </c>
      <c r="EO631" s="31" t="s">
        <v>151</v>
      </c>
      <c r="EP631" s="30" t="s">
        <v>151</v>
      </c>
      <c r="EQ631" s="29" t="s">
        <v>151</v>
      </c>
      <c r="ER631" s="29" t="s">
        <v>151</v>
      </c>
      <c r="ES631" s="4">
        <f>HYPERLINK("https://my.pitchbook.com?c=481698-28","View Company Online")</f>
      </c>
    </row>
    <row r="632">
      <c r="A632" s="17" t="s">
        <v>13070</v>
      </c>
      <c r="B632" s="17" t="s">
        <v>13071</v>
      </c>
      <c r="C632" s="18" t="s">
        <v>151</v>
      </c>
      <c r="D632" s="17" t="s">
        <v>151</v>
      </c>
      <c r="E632" s="17" t="s">
        <v>151</v>
      </c>
      <c r="F632" s="17" t="s">
        <v>13072</v>
      </c>
      <c r="G632" s="17" t="s">
        <v>151</v>
      </c>
      <c r="H632" s="17" t="s">
        <v>151</v>
      </c>
      <c r="I632" s="17" t="s">
        <v>13073</v>
      </c>
      <c r="J632" s="17" t="s">
        <v>13070</v>
      </c>
      <c r="K632" s="17" t="s">
        <v>13074</v>
      </c>
      <c r="L632" s="17" t="s">
        <v>205</v>
      </c>
      <c r="M632" s="17" t="s">
        <v>206</v>
      </c>
      <c r="N632" s="17" t="s">
        <v>269</v>
      </c>
      <c r="O632" s="17" t="s">
        <v>3558</v>
      </c>
      <c r="P632" s="17" t="s">
        <v>5652</v>
      </c>
      <c r="Q632" s="17" t="s">
        <v>13075</v>
      </c>
      <c r="R632" s="17" t="s">
        <v>151</v>
      </c>
      <c r="S632" s="17" t="s">
        <v>162</v>
      </c>
      <c r="T632" s="24">
        <v>12.43</v>
      </c>
      <c r="U632" s="17" t="s">
        <v>163</v>
      </c>
      <c r="V632" s="17" t="s">
        <v>164</v>
      </c>
      <c r="W632" s="17" t="s">
        <v>165</v>
      </c>
      <c r="X632" s="15" t="s">
        <v>13076</v>
      </c>
      <c r="Y632" s="15" t="s">
        <v>13077</v>
      </c>
      <c r="Z632" s="27">
        <v>33</v>
      </c>
      <c r="AA632" s="17" t="s">
        <v>13078</v>
      </c>
      <c r="AB632" s="17" t="s">
        <v>151</v>
      </c>
      <c r="AC632" s="17" t="s">
        <v>151</v>
      </c>
      <c r="AD632" s="26">
        <v>2021</v>
      </c>
      <c r="AE632" s="17" t="s">
        <v>151</v>
      </c>
      <c r="AF632" s="22">
        <v>45428</v>
      </c>
      <c r="AG632" s="17" t="s">
        <v>151</v>
      </c>
      <c r="AH632" s="17" t="s">
        <v>151</v>
      </c>
      <c r="AI632" s="25" t="s">
        <v>151</v>
      </c>
      <c r="AJ632" s="19" t="s">
        <v>151</v>
      </c>
      <c r="AK632" s="25" t="s">
        <v>151</v>
      </c>
      <c r="AL632" s="25" t="s">
        <v>151</v>
      </c>
      <c r="AM632" s="25" t="s">
        <v>151</v>
      </c>
      <c r="AN632" s="25" t="s">
        <v>151</v>
      </c>
      <c r="AO632" s="25" t="s">
        <v>151</v>
      </c>
      <c r="AP632" s="25" t="s">
        <v>151</v>
      </c>
      <c r="AQ632" s="25" t="s">
        <v>151</v>
      </c>
      <c r="AR632" s="16" t="s">
        <v>151</v>
      </c>
      <c r="AS632" s="17" t="s">
        <v>13079</v>
      </c>
      <c r="AT632" s="17" t="s">
        <v>13080</v>
      </c>
      <c r="AU632" s="18">
        <v>9</v>
      </c>
      <c r="AV632" s="17" t="s">
        <v>151</v>
      </c>
      <c r="AW632" s="17" t="s">
        <v>151</v>
      </c>
      <c r="AX632" s="17" t="s">
        <v>151</v>
      </c>
      <c r="AY632" s="17" t="s">
        <v>13081</v>
      </c>
      <c r="AZ632" s="17" t="s">
        <v>151</v>
      </c>
      <c r="BA632" s="17" t="s">
        <v>151</v>
      </c>
      <c r="BB632" s="17" t="s">
        <v>151</v>
      </c>
      <c r="BC632" s="17" t="s">
        <v>1115</v>
      </c>
      <c r="BD632" s="17" t="s">
        <v>13082</v>
      </c>
      <c r="BE632" s="17" t="s">
        <v>13083</v>
      </c>
      <c r="BF632" s="17" t="s">
        <v>221</v>
      </c>
      <c r="BG632" s="17" t="s">
        <v>13084</v>
      </c>
      <c r="BH632" s="17" t="s">
        <v>151</v>
      </c>
      <c r="BI632" s="17" t="s">
        <v>764</v>
      </c>
      <c r="BJ632" s="17" t="s">
        <v>13085</v>
      </c>
      <c r="BK632" s="17" t="s">
        <v>151</v>
      </c>
      <c r="BL632" s="17" t="s">
        <v>767</v>
      </c>
      <c r="BM632" s="17" t="s">
        <v>184</v>
      </c>
      <c r="BN632" s="16" t="s">
        <v>794</v>
      </c>
      <c r="BO632" s="17" t="s">
        <v>186</v>
      </c>
      <c r="BP632" s="16" t="s">
        <v>151</v>
      </c>
      <c r="BQ632" s="16" t="s">
        <v>151</v>
      </c>
      <c r="BR632" s="17" t="s">
        <v>13086</v>
      </c>
      <c r="BS632" s="17" t="s">
        <v>187</v>
      </c>
      <c r="BT632" s="17" t="s">
        <v>188</v>
      </c>
      <c r="BU632" s="22">
        <v>44279</v>
      </c>
      <c r="BV632" s="24">
        <v>0.13</v>
      </c>
      <c r="BW632" s="17" t="s">
        <v>192</v>
      </c>
      <c r="BX632" s="24">
        <v>1.79</v>
      </c>
      <c r="BY632" s="17" t="s">
        <v>192</v>
      </c>
      <c r="BZ632" s="17" t="s">
        <v>189</v>
      </c>
      <c r="CA632" s="17" t="s">
        <v>151</v>
      </c>
      <c r="CB632" s="17" t="s">
        <v>151</v>
      </c>
      <c r="CC632" s="17" t="s">
        <v>190</v>
      </c>
      <c r="CD632" s="17" t="s">
        <v>151</v>
      </c>
      <c r="CE632" s="17" t="s">
        <v>191</v>
      </c>
      <c r="CF632" s="22">
        <v>44796</v>
      </c>
      <c r="CG632" s="24">
        <v>9</v>
      </c>
      <c r="CH632" s="17" t="s">
        <v>192</v>
      </c>
      <c r="CI632" s="24">
        <v>59</v>
      </c>
      <c r="CJ632" s="17" t="s">
        <v>192</v>
      </c>
      <c r="CK632" s="16">
        <v>2.73</v>
      </c>
      <c r="CL632" s="17" t="s">
        <v>231</v>
      </c>
      <c r="CM632" s="17" t="s">
        <v>232</v>
      </c>
      <c r="CN632" s="17" t="s">
        <v>151</v>
      </c>
      <c r="CO632" s="17" t="s">
        <v>165</v>
      </c>
      <c r="CP632" s="22">
        <v>44796</v>
      </c>
      <c r="CQ632" s="24" t="s">
        <v>151</v>
      </c>
      <c r="CR632" s="17" t="s">
        <v>151</v>
      </c>
      <c r="CS632" s="17" t="s">
        <v>191</v>
      </c>
      <c r="CT632" s="16">
        <v>93</v>
      </c>
      <c r="CU632" s="17" t="s">
        <v>196</v>
      </c>
      <c r="CV632" s="19">
        <v>87</v>
      </c>
      <c r="CW632" s="19">
        <v>13</v>
      </c>
      <c r="CX632" s="17" t="s">
        <v>294</v>
      </c>
      <c r="CY632" s="19">
        <v>1</v>
      </c>
      <c r="CZ632" s="19">
        <v>86</v>
      </c>
      <c r="DA632" s="24">
        <v>59</v>
      </c>
      <c r="DB632" s="22">
        <v>44796</v>
      </c>
      <c r="DC632" s="17" t="s">
        <v>231</v>
      </c>
      <c r="DD632" s="16">
        <v>2.73</v>
      </c>
      <c r="DE632" s="19">
        <v>-0.75</v>
      </c>
      <c r="DF632" s="21">
        <v>5</v>
      </c>
      <c r="DG632" s="19">
        <v>0</v>
      </c>
      <c r="DH632" s="19">
        <v>0</v>
      </c>
      <c r="DI632" s="19">
        <v>-2.3</v>
      </c>
      <c r="DJ632" s="21">
        <v>2</v>
      </c>
      <c r="DK632" s="19" t="s">
        <v>151</v>
      </c>
      <c r="DL632" s="21" t="s">
        <v>151</v>
      </c>
      <c r="DM632" s="19">
        <v>-2.3</v>
      </c>
      <c r="DN632" s="21">
        <v>2</v>
      </c>
      <c r="DO632" s="23">
        <v>3.8</v>
      </c>
      <c r="DP632" s="21">
        <v>78</v>
      </c>
      <c r="DQ632" s="23">
        <v>0</v>
      </c>
      <c r="DR632" s="19">
        <v>0</v>
      </c>
      <c r="DS632" s="23">
        <v>5.05</v>
      </c>
      <c r="DT632" s="21">
        <v>82</v>
      </c>
      <c r="DU632" s="23" t="s">
        <v>151</v>
      </c>
      <c r="DV632" s="21" t="s">
        <v>151</v>
      </c>
      <c r="DW632" s="23">
        <v>5.05</v>
      </c>
      <c r="DX632" s="21">
        <v>82</v>
      </c>
      <c r="DY632" s="18" t="s">
        <v>151</v>
      </c>
      <c r="DZ632" s="22" t="s">
        <v>151</v>
      </c>
      <c r="EA632" s="22" t="s">
        <v>151</v>
      </c>
      <c r="EB632" s="21">
        <v>376</v>
      </c>
      <c r="EC632" s="20">
        <v>65</v>
      </c>
      <c r="ED632" s="19">
        <v>20.9</v>
      </c>
      <c r="EE632" s="21">
        <v>96</v>
      </c>
      <c r="EF632" s="20">
        <v>-6</v>
      </c>
      <c r="EG632" s="19">
        <v>-5.88</v>
      </c>
      <c r="EH632" s="16" t="s">
        <v>198</v>
      </c>
      <c r="EI632" s="17" t="s">
        <v>151</v>
      </c>
      <c r="EJ632" s="17" t="s">
        <v>151</v>
      </c>
      <c r="EK632" s="18" t="s">
        <v>151</v>
      </c>
      <c r="EL632" s="18" t="s">
        <v>151</v>
      </c>
      <c r="EM632" s="18" t="s">
        <v>151</v>
      </c>
      <c r="EN632" s="18" t="s">
        <v>151</v>
      </c>
      <c r="EO632" s="18" t="s">
        <v>151</v>
      </c>
      <c r="EP632" s="17" t="s">
        <v>151</v>
      </c>
      <c r="EQ632" s="16" t="s">
        <v>151</v>
      </c>
      <c r="ER632" s="16" t="s">
        <v>151</v>
      </c>
      <c r="ES632" s="3">
        <f>HYPERLINK("https://my.pitchbook.com?c=463304-35","View Company Online")</f>
      </c>
    </row>
    <row r="633">
      <c r="A633" s="30" t="s">
        <v>13087</v>
      </c>
      <c r="B633" s="30" t="s">
        <v>13088</v>
      </c>
      <c r="C633" s="31" t="s">
        <v>151</v>
      </c>
      <c r="D633" s="30" t="s">
        <v>151</v>
      </c>
      <c r="E633" s="30" t="s">
        <v>151</v>
      </c>
      <c r="F633" s="30" t="s">
        <v>13089</v>
      </c>
      <c r="G633" s="30" t="s">
        <v>151</v>
      </c>
      <c r="H633" s="30" t="s">
        <v>151</v>
      </c>
      <c r="I633" s="30" t="s">
        <v>13090</v>
      </c>
      <c r="J633" s="30" t="s">
        <v>13087</v>
      </c>
      <c r="K633" s="30" t="s">
        <v>13091</v>
      </c>
      <c r="L633" s="30" t="s">
        <v>205</v>
      </c>
      <c r="M633" s="30" t="s">
        <v>206</v>
      </c>
      <c r="N633" s="30" t="s">
        <v>1130</v>
      </c>
      <c r="O633" s="30" t="s">
        <v>1131</v>
      </c>
      <c r="P633" s="30" t="s">
        <v>11225</v>
      </c>
      <c r="Q633" s="30" t="s">
        <v>13092</v>
      </c>
      <c r="R633" s="30" t="s">
        <v>151</v>
      </c>
      <c r="S633" s="30" t="s">
        <v>162</v>
      </c>
      <c r="T633" s="37">
        <v>240.25</v>
      </c>
      <c r="U633" s="30" t="s">
        <v>163</v>
      </c>
      <c r="V633" s="30" t="s">
        <v>164</v>
      </c>
      <c r="W633" s="30" t="s">
        <v>165</v>
      </c>
      <c r="X633" s="28" t="s">
        <v>13093</v>
      </c>
      <c r="Y633" s="28" t="s">
        <v>13094</v>
      </c>
      <c r="Z633" s="40">
        <v>199</v>
      </c>
      <c r="AA633" s="30" t="s">
        <v>13095</v>
      </c>
      <c r="AB633" s="30" t="s">
        <v>151</v>
      </c>
      <c r="AC633" s="30" t="s">
        <v>151</v>
      </c>
      <c r="AD633" s="39">
        <v>2019</v>
      </c>
      <c r="AE633" s="30" t="s">
        <v>151</v>
      </c>
      <c r="AF633" s="35">
        <v>45533</v>
      </c>
      <c r="AG633" s="30" t="s">
        <v>151</v>
      </c>
      <c r="AH633" s="30" t="s">
        <v>151</v>
      </c>
      <c r="AI633" s="38" t="s">
        <v>151</v>
      </c>
      <c r="AJ633" s="32" t="s">
        <v>151</v>
      </c>
      <c r="AK633" s="38" t="s">
        <v>151</v>
      </c>
      <c r="AL633" s="38" t="s">
        <v>151</v>
      </c>
      <c r="AM633" s="38" t="s">
        <v>151</v>
      </c>
      <c r="AN633" s="38" t="s">
        <v>151</v>
      </c>
      <c r="AO633" s="38" t="s">
        <v>151</v>
      </c>
      <c r="AP633" s="38" t="s">
        <v>151</v>
      </c>
      <c r="AQ633" s="38" t="s">
        <v>151</v>
      </c>
      <c r="AR633" s="29" t="s">
        <v>151</v>
      </c>
      <c r="AS633" s="30" t="s">
        <v>13096</v>
      </c>
      <c r="AT633" s="30" t="s">
        <v>13097</v>
      </c>
      <c r="AU633" s="31">
        <v>10</v>
      </c>
      <c r="AV633" s="30" t="s">
        <v>151</v>
      </c>
      <c r="AW633" s="30" t="s">
        <v>151</v>
      </c>
      <c r="AX633" s="30" t="s">
        <v>151</v>
      </c>
      <c r="AY633" s="30" t="s">
        <v>13098</v>
      </c>
      <c r="AZ633" s="30" t="s">
        <v>151</v>
      </c>
      <c r="BA633" s="30" t="s">
        <v>151</v>
      </c>
      <c r="BB633" s="30" t="s">
        <v>151</v>
      </c>
      <c r="BC633" s="30" t="s">
        <v>490</v>
      </c>
      <c r="BD633" s="30" t="s">
        <v>13099</v>
      </c>
      <c r="BE633" s="30" t="s">
        <v>13100</v>
      </c>
      <c r="BF633" s="30" t="s">
        <v>221</v>
      </c>
      <c r="BG633" s="30" t="s">
        <v>13101</v>
      </c>
      <c r="BH633" s="30" t="s">
        <v>12998</v>
      </c>
      <c r="BI633" s="30" t="s">
        <v>764</v>
      </c>
      <c r="BJ633" s="30" t="s">
        <v>1434</v>
      </c>
      <c r="BK633" s="30" t="s">
        <v>13102</v>
      </c>
      <c r="BL633" s="30" t="s">
        <v>767</v>
      </c>
      <c r="BM633" s="30" t="s">
        <v>184</v>
      </c>
      <c r="BN633" s="29" t="s">
        <v>4531</v>
      </c>
      <c r="BO633" s="30" t="s">
        <v>186</v>
      </c>
      <c r="BP633" s="29" t="s">
        <v>12998</v>
      </c>
      <c r="BQ633" s="29" t="s">
        <v>151</v>
      </c>
      <c r="BR633" s="30" t="s">
        <v>13103</v>
      </c>
      <c r="BS633" s="30" t="s">
        <v>187</v>
      </c>
      <c r="BT633" s="30" t="s">
        <v>188</v>
      </c>
      <c r="BU633" s="35">
        <v>43927</v>
      </c>
      <c r="BV633" s="37">
        <v>16</v>
      </c>
      <c r="BW633" s="30" t="s">
        <v>192</v>
      </c>
      <c r="BX633" s="37">
        <v>46</v>
      </c>
      <c r="BY633" s="30" t="s">
        <v>192</v>
      </c>
      <c r="BZ633" s="30" t="s">
        <v>231</v>
      </c>
      <c r="CA633" s="30" t="s">
        <v>232</v>
      </c>
      <c r="CB633" s="30" t="s">
        <v>151</v>
      </c>
      <c r="CC633" s="30" t="s">
        <v>165</v>
      </c>
      <c r="CD633" s="30" t="s">
        <v>151</v>
      </c>
      <c r="CE633" s="30" t="s">
        <v>191</v>
      </c>
      <c r="CF633" s="35">
        <v>44705</v>
      </c>
      <c r="CG633" s="37">
        <v>135</v>
      </c>
      <c r="CH633" s="30" t="s">
        <v>192</v>
      </c>
      <c r="CI633" s="37">
        <v>1600.1</v>
      </c>
      <c r="CJ633" s="30" t="s">
        <v>192</v>
      </c>
      <c r="CK633" s="29">
        <v>3.03</v>
      </c>
      <c r="CL633" s="30" t="s">
        <v>194</v>
      </c>
      <c r="CM633" s="30" t="s">
        <v>13104</v>
      </c>
      <c r="CN633" s="30" t="s">
        <v>151</v>
      </c>
      <c r="CO633" s="30" t="s">
        <v>165</v>
      </c>
      <c r="CP633" s="35">
        <v>44705</v>
      </c>
      <c r="CQ633" s="37">
        <v>2.9</v>
      </c>
      <c r="CR633" s="30" t="s">
        <v>7320</v>
      </c>
      <c r="CS633" s="30" t="s">
        <v>191</v>
      </c>
      <c r="CT633" s="29">
        <v>59</v>
      </c>
      <c r="CU633" s="30" t="s">
        <v>196</v>
      </c>
      <c r="CV633" s="32">
        <v>97</v>
      </c>
      <c r="CW633" s="32">
        <v>3</v>
      </c>
      <c r="CX633" s="30" t="s">
        <v>294</v>
      </c>
      <c r="CY633" s="32">
        <v>34</v>
      </c>
      <c r="CZ633" s="32">
        <v>63</v>
      </c>
      <c r="DA633" s="37">
        <v>1600.1</v>
      </c>
      <c r="DB633" s="35">
        <v>44705</v>
      </c>
      <c r="DC633" s="30" t="s">
        <v>194</v>
      </c>
      <c r="DD633" s="29">
        <v>3.03</v>
      </c>
      <c r="DE633" s="32">
        <v>0.13</v>
      </c>
      <c r="DF633" s="34">
        <v>91</v>
      </c>
      <c r="DG633" s="32">
        <v>0</v>
      </c>
      <c r="DH633" s="32">
        <v>0</v>
      </c>
      <c r="DI633" s="32">
        <v>0.13</v>
      </c>
      <c r="DJ633" s="34">
        <v>93</v>
      </c>
      <c r="DK633" s="32">
        <v>0.25</v>
      </c>
      <c r="DL633" s="34">
        <v>90</v>
      </c>
      <c r="DM633" s="32">
        <v>0.02</v>
      </c>
      <c r="DN633" s="34">
        <v>92</v>
      </c>
      <c r="DO633" s="36">
        <v>105.33</v>
      </c>
      <c r="DP633" s="34">
        <v>99</v>
      </c>
      <c r="DQ633" s="36">
        <v>0</v>
      </c>
      <c r="DR633" s="32">
        <v>0</v>
      </c>
      <c r="DS633" s="36">
        <v>105.33</v>
      </c>
      <c r="DT633" s="34">
        <v>99</v>
      </c>
      <c r="DU633" s="36">
        <v>145.67</v>
      </c>
      <c r="DV633" s="34">
        <v>98</v>
      </c>
      <c r="DW633" s="36">
        <v>65</v>
      </c>
      <c r="DX633" s="34">
        <v>99</v>
      </c>
      <c r="DY633" s="31" t="s">
        <v>151</v>
      </c>
      <c r="DZ633" s="35" t="s">
        <v>151</v>
      </c>
      <c r="EA633" s="35" t="s">
        <v>151</v>
      </c>
      <c r="EB633" s="34">
        <v>29825</v>
      </c>
      <c r="EC633" s="33">
        <v>547</v>
      </c>
      <c r="ED633" s="32">
        <v>1.87</v>
      </c>
      <c r="EE633" s="34">
        <v>1235</v>
      </c>
      <c r="EF633" s="33">
        <v>5</v>
      </c>
      <c r="EG633" s="32">
        <v>0.41</v>
      </c>
      <c r="EH633" s="29" t="s">
        <v>198</v>
      </c>
      <c r="EI633" s="30" t="s">
        <v>151</v>
      </c>
      <c r="EJ633" s="30" t="s">
        <v>151</v>
      </c>
      <c r="EK633" s="31" t="s">
        <v>151</v>
      </c>
      <c r="EL633" s="31" t="s">
        <v>151</v>
      </c>
      <c r="EM633" s="31" t="s">
        <v>151</v>
      </c>
      <c r="EN633" s="31" t="s">
        <v>151</v>
      </c>
      <c r="EO633" s="31" t="s">
        <v>151</v>
      </c>
      <c r="EP633" s="30" t="s">
        <v>151</v>
      </c>
      <c r="EQ633" s="29" t="s">
        <v>151</v>
      </c>
      <c r="ER633" s="29" t="s">
        <v>151</v>
      </c>
      <c r="ES633" s="4">
        <f>HYPERLINK("https://my.pitchbook.com?c=437715-73","View Company Online")</f>
      </c>
    </row>
    <row r="634">
      <c r="A634" s="17" t="s">
        <v>13105</v>
      </c>
      <c r="B634" s="17" t="s">
        <v>13106</v>
      </c>
      <c r="C634" s="18" t="s">
        <v>151</v>
      </c>
      <c r="D634" s="17" t="s">
        <v>151</v>
      </c>
      <c r="E634" s="17" t="s">
        <v>13107</v>
      </c>
      <c r="F634" s="17" t="s">
        <v>13108</v>
      </c>
      <c r="G634" s="17" t="s">
        <v>151</v>
      </c>
      <c r="H634" s="17" t="s">
        <v>151</v>
      </c>
      <c r="I634" s="17" t="s">
        <v>13109</v>
      </c>
      <c r="J634" s="17" t="s">
        <v>13105</v>
      </c>
      <c r="K634" s="17" t="s">
        <v>13110</v>
      </c>
      <c r="L634" s="17" t="s">
        <v>205</v>
      </c>
      <c r="M634" s="17" t="s">
        <v>206</v>
      </c>
      <c r="N634" s="17" t="s">
        <v>269</v>
      </c>
      <c r="O634" s="17" t="s">
        <v>563</v>
      </c>
      <c r="P634" s="17" t="s">
        <v>1153</v>
      </c>
      <c r="Q634" s="17" t="s">
        <v>13111</v>
      </c>
      <c r="R634" s="17" t="s">
        <v>780</v>
      </c>
      <c r="S634" s="17" t="s">
        <v>162</v>
      </c>
      <c r="T634" s="24">
        <v>2.76</v>
      </c>
      <c r="U634" s="17" t="s">
        <v>163</v>
      </c>
      <c r="V634" s="17" t="s">
        <v>164</v>
      </c>
      <c r="W634" s="17" t="s">
        <v>165</v>
      </c>
      <c r="X634" s="15" t="s">
        <v>13112</v>
      </c>
      <c r="Y634" s="15" t="s">
        <v>13113</v>
      </c>
      <c r="Z634" s="27">
        <v>12</v>
      </c>
      <c r="AA634" s="17" t="s">
        <v>13114</v>
      </c>
      <c r="AB634" s="17" t="s">
        <v>151</v>
      </c>
      <c r="AC634" s="17" t="s">
        <v>151</v>
      </c>
      <c r="AD634" s="26">
        <v>2022</v>
      </c>
      <c r="AE634" s="17" t="s">
        <v>151</v>
      </c>
      <c r="AF634" s="22">
        <v>45616</v>
      </c>
      <c r="AG634" s="17" t="s">
        <v>151</v>
      </c>
      <c r="AH634" s="17" t="s">
        <v>151</v>
      </c>
      <c r="AI634" s="25" t="s">
        <v>151</v>
      </c>
      <c r="AJ634" s="19" t="s">
        <v>151</v>
      </c>
      <c r="AK634" s="25" t="s">
        <v>151</v>
      </c>
      <c r="AL634" s="25" t="s">
        <v>151</v>
      </c>
      <c r="AM634" s="25" t="s">
        <v>151</v>
      </c>
      <c r="AN634" s="25" t="s">
        <v>151</v>
      </c>
      <c r="AO634" s="25" t="s">
        <v>151</v>
      </c>
      <c r="AP634" s="25" t="s">
        <v>151</v>
      </c>
      <c r="AQ634" s="25" t="s">
        <v>151</v>
      </c>
      <c r="AR634" s="16" t="s">
        <v>151</v>
      </c>
      <c r="AS634" s="17" t="s">
        <v>13115</v>
      </c>
      <c r="AT634" s="17" t="s">
        <v>13116</v>
      </c>
      <c r="AU634" s="18">
        <v>34</v>
      </c>
      <c r="AV634" s="17" t="s">
        <v>151</v>
      </c>
      <c r="AW634" s="17" t="s">
        <v>151</v>
      </c>
      <c r="AX634" s="17" t="s">
        <v>151</v>
      </c>
      <c r="AY634" s="17" t="s">
        <v>13117</v>
      </c>
      <c r="AZ634" s="17" t="s">
        <v>151</v>
      </c>
      <c r="BA634" s="17" t="s">
        <v>151</v>
      </c>
      <c r="BB634" s="17" t="s">
        <v>151</v>
      </c>
      <c r="BC634" s="17" t="s">
        <v>151</v>
      </c>
      <c r="BD634" s="17" t="s">
        <v>13118</v>
      </c>
      <c r="BE634" s="17" t="s">
        <v>13119</v>
      </c>
      <c r="BF634" s="17" t="s">
        <v>493</v>
      </c>
      <c r="BG634" s="17" t="s">
        <v>13120</v>
      </c>
      <c r="BH634" s="17" t="s">
        <v>13121</v>
      </c>
      <c r="BI634" s="17" t="s">
        <v>13122</v>
      </c>
      <c r="BJ634" s="17" t="s">
        <v>13123</v>
      </c>
      <c r="BK634" s="17" t="s">
        <v>151</v>
      </c>
      <c r="BL634" s="17" t="s">
        <v>13124</v>
      </c>
      <c r="BM634" s="17" t="s">
        <v>184</v>
      </c>
      <c r="BN634" s="16" t="s">
        <v>13125</v>
      </c>
      <c r="BO634" s="17" t="s">
        <v>186</v>
      </c>
      <c r="BP634" s="16" t="s">
        <v>13121</v>
      </c>
      <c r="BQ634" s="16" t="s">
        <v>151</v>
      </c>
      <c r="BR634" s="17" t="s">
        <v>13126</v>
      </c>
      <c r="BS634" s="17" t="s">
        <v>187</v>
      </c>
      <c r="BT634" s="17" t="s">
        <v>188</v>
      </c>
      <c r="BU634" s="22" t="s">
        <v>151</v>
      </c>
      <c r="BV634" s="24" t="s">
        <v>151</v>
      </c>
      <c r="BW634" s="17" t="s">
        <v>151</v>
      </c>
      <c r="BX634" s="24" t="s">
        <v>151</v>
      </c>
      <c r="BY634" s="17" t="s">
        <v>151</v>
      </c>
      <c r="BZ634" s="17" t="s">
        <v>189</v>
      </c>
      <c r="CA634" s="17" t="s">
        <v>151</v>
      </c>
      <c r="CB634" s="17" t="s">
        <v>151</v>
      </c>
      <c r="CC634" s="17" t="s">
        <v>190</v>
      </c>
      <c r="CD634" s="17" t="s">
        <v>151</v>
      </c>
      <c r="CE634" s="17" t="s">
        <v>191</v>
      </c>
      <c r="CF634" s="22">
        <v>45386</v>
      </c>
      <c r="CG634" s="24" t="s">
        <v>151</v>
      </c>
      <c r="CH634" s="17" t="s">
        <v>151</v>
      </c>
      <c r="CI634" s="24" t="s">
        <v>151</v>
      </c>
      <c r="CJ634" s="17" t="s">
        <v>151</v>
      </c>
      <c r="CK634" s="16" t="s">
        <v>151</v>
      </c>
      <c r="CL634" s="17" t="s">
        <v>189</v>
      </c>
      <c r="CM634" s="17" t="s">
        <v>151</v>
      </c>
      <c r="CN634" s="17" t="s">
        <v>151</v>
      </c>
      <c r="CO634" s="17" t="s">
        <v>190</v>
      </c>
      <c r="CP634" s="22">
        <v>45386</v>
      </c>
      <c r="CQ634" s="24" t="s">
        <v>151</v>
      </c>
      <c r="CR634" s="17" t="s">
        <v>151</v>
      </c>
      <c r="CS634" s="17" t="s">
        <v>191</v>
      </c>
      <c r="CT634" s="16">
        <v>81</v>
      </c>
      <c r="CU634" s="17" t="s">
        <v>196</v>
      </c>
      <c r="CV634" s="19">
        <v>74</v>
      </c>
      <c r="CW634" s="19">
        <v>26</v>
      </c>
      <c r="CX634" s="17" t="s">
        <v>294</v>
      </c>
      <c r="CY634" s="19">
        <v>1</v>
      </c>
      <c r="CZ634" s="19">
        <v>73</v>
      </c>
      <c r="DA634" s="24">
        <v>35</v>
      </c>
      <c r="DB634" s="22">
        <v>45030</v>
      </c>
      <c r="DC634" s="17" t="s">
        <v>293</v>
      </c>
      <c r="DD634" s="16" t="s">
        <v>151</v>
      </c>
      <c r="DE634" s="19">
        <v>-6.25</v>
      </c>
      <c r="DF634" s="21">
        <v>1</v>
      </c>
      <c r="DG634" s="19">
        <v>0</v>
      </c>
      <c r="DH634" s="19">
        <v>0</v>
      </c>
      <c r="DI634" s="19">
        <v>-6.25</v>
      </c>
      <c r="DJ634" s="21">
        <v>1</v>
      </c>
      <c r="DK634" s="19">
        <v>-13.25</v>
      </c>
      <c r="DL634" s="21">
        <v>1</v>
      </c>
      <c r="DM634" s="19">
        <v>0.76</v>
      </c>
      <c r="DN634" s="21">
        <v>96</v>
      </c>
      <c r="DO634" s="23">
        <v>14.68</v>
      </c>
      <c r="DP634" s="21">
        <v>93</v>
      </c>
      <c r="DQ634" s="23">
        <v>0</v>
      </c>
      <c r="DR634" s="19">
        <v>0</v>
      </c>
      <c r="DS634" s="23">
        <v>14.68</v>
      </c>
      <c r="DT634" s="21">
        <v>93</v>
      </c>
      <c r="DU634" s="23">
        <v>13.1</v>
      </c>
      <c r="DV634" s="21">
        <v>89</v>
      </c>
      <c r="DW634" s="23">
        <v>16.26</v>
      </c>
      <c r="DX634" s="21">
        <v>94</v>
      </c>
      <c r="DY634" s="18" t="s">
        <v>151</v>
      </c>
      <c r="DZ634" s="22" t="s">
        <v>151</v>
      </c>
      <c r="EA634" s="22" t="s">
        <v>151</v>
      </c>
      <c r="EB634" s="21">
        <v>2723</v>
      </c>
      <c r="EC634" s="20">
        <v>-222</v>
      </c>
      <c r="ED634" s="19">
        <v>-7.54</v>
      </c>
      <c r="EE634" s="21">
        <v>309</v>
      </c>
      <c r="EF634" s="20">
        <v>0</v>
      </c>
      <c r="EG634" s="19">
        <v>0</v>
      </c>
      <c r="EH634" s="16" t="s">
        <v>198</v>
      </c>
      <c r="EI634" s="17" t="s">
        <v>151</v>
      </c>
      <c r="EJ634" s="17" t="s">
        <v>151</v>
      </c>
      <c r="EK634" s="18" t="s">
        <v>151</v>
      </c>
      <c r="EL634" s="18" t="s">
        <v>151</v>
      </c>
      <c r="EM634" s="18" t="s">
        <v>151</v>
      </c>
      <c r="EN634" s="18" t="s">
        <v>151</v>
      </c>
      <c r="EO634" s="18" t="s">
        <v>151</v>
      </c>
      <c r="EP634" s="17" t="s">
        <v>151</v>
      </c>
      <c r="EQ634" s="16" t="s">
        <v>151</v>
      </c>
      <c r="ER634" s="16" t="s">
        <v>151</v>
      </c>
      <c r="ES634" s="3">
        <f>HYPERLINK("https://my.pitchbook.com?c=501459-76","View Company Online")</f>
      </c>
    </row>
    <row r="635">
      <c r="A635" s="30" t="s">
        <v>13127</v>
      </c>
      <c r="B635" s="30" t="s">
        <v>13128</v>
      </c>
      <c r="C635" s="31" t="s">
        <v>151</v>
      </c>
      <c r="D635" s="30" t="s">
        <v>151</v>
      </c>
      <c r="E635" s="30" t="s">
        <v>151</v>
      </c>
      <c r="F635" s="30" t="s">
        <v>13129</v>
      </c>
      <c r="G635" s="30" t="s">
        <v>151</v>
      </c>
      <c r="H635" s="30" t="s">
        <v>151</v>
      </c>
      <c r="I635" s="30" t="s">
        <v>151</v>
      </c>
      <c r="J635" s="30" t="s">
        <v>13127</v>
      </c>
      <c r="K635" s="30" t="s">
        <v>13130</v>
      </c>
      <c r="L635" s="30" t="s">
        <v>205</v>
      </c>
      <c r="M635" s="30" t="s">
        <v>206</v>
      </c>
      <c r="N635" s="30" t="s">
        <v>269</v>
      </c>
      <c r="O635" s="30" t="s">
        <v>3558</v>
      </c>
      <c r="P635" s="30" t="s">
        <v>13131</v>
      </c>
      <c r="Q635" s="30" t="s">
        <v>13132</v>
      </c>
      <c r="R635" s="30" t="s">
        <v>780</v>
      </c>
      <c r="S635" s="30" t="s">
        <v>162</v>
      </c>
      <c r="T635" s="37">
        <v>0.3</v>
      </c>
      <c r="U635" s="30" t="s">
        <v>163</v>
      </c>
      <c r="V635" s="30" t="s">
        <v>164</v>
      </c>
      <c r="W635" s="30" t="s">
        <v>165</v>
      </c>
      <c r="X635" s="28" t="s">
        <v>13133</v>
      </c>
      <c r="Y635" s="28" t="s">
        <v>13134</v>
      </c>
      <c r="Z635" s="40">
        <v>10</v>
      </c>
      <c r="AA635" s="30" t="s">
        <v>13135</v>
      </c>
      <c r="AB635" s="30" t="s">
        <v>151</v>
      </c>
      <c r="AC635" s="30" t="s">
        <v>151</v>
      </c>
      <c r="AD635" s="39">
        <v>2018</v>
      </c>
      <c r="AE635" s="30" t="s">
        <v>151</v>
      </c>
      <c r="AF635" s="35">
        <v>45610</v>
      </c>
      <c r="AG635" s="30" t="s">
        <v>151</v>
      </c>
      <c r="AH635" s="30" t="s">
        <v>151</v>
      </c>
      <c r="AI635" s="38" t="s">
        <v>151</v>
      </c>
      <c r="AJ635" s="32" t="s">
        <v>151</v>
      </c>
      <c r="AK635" s="38" t="s">
        <v>151</v>
      </c>
      <c r="AL635" s="38" t="s">
        <v>151</v>
      </c>
      <c r="AM635" s="38" t="s">
        <v>151</v>
      </c>
      <c r="AN635" s="38" t="s">
        <v>151</v>
      </c>
      <c r="AO635" s="38" t="s">
        <v>151</v>
      </c>
      <c r="AP635" s="38" t="s">
        <v>151</v>
      </c>
      <c r="AQ635" s="38" t="s">
        <v>151</v>
      </c>
      <c r="AR635" s="29" t="s">
        <v>151</v>
      </c>
      <c r="AS635" s="30" t="s">
        <v>13136</v>
      </c>
      <c r="AT635" s="30" t="s">
        <v>13137</v>
      </c>
      <c r="AU635" s="31">
        <v>7</v>
      </c>
      <c r="AV635" s="30" t="s">
        <v>151</v>
      </c>
      <c r="AW635" s="30" t="s">
        <v>151</v>
      </c>
      <c r="AX635" s="30" t="s">
        <v>151</v>
      </c>
      <c r="AY635" s="30" t="s">
        <v>13138</v>
      </c>
      <c r="AZ635" s="30" t="s">
        <v>151</v>
      </c>
      <c r="BA635" s="30" t="s">
        <v>151</v>
      </c>
      <c r="BB635" s="30" t="s">
        <v>151</v>
      </c>
      <c r="BC635" s="30" t="s">
        <v>151</v>
      </c>
      <c r="BD635" s="30" t="s">
        <v>13139</v>
      </c>
      <c r="BE635" s="30" t="s">
        <v>13140</v>
      </c>
      <c r="BF635" s="30" t="s">
        <v>221</v>
      </c>
      <c r="BG635" s="30" t="s">
        <v>13141</v>
      </c>
      <c r="BH635" s="30" t="s">
        <v>13142</v>
      </c>
      <c r="BI635" s="30" t="s">
        <v>906</v>
      </c>
      <c r="BJ635" s="30" t="s">
        <v>13143</v>
      </c>
      <c r="BK635" s="30" t="s">
        <v>4778</v>
      </c>
      <c r="BL635" s="30" t="s">
        <v>259</v>
      </c>
      <c r="BM635" s="30" t="s">
        <v>259</v>
      </c>
      <c r="BN635" s="29" t="s">
        <v>1306</v>
      </c>
      <c r="BO635" s="30" t="s">
        <v>186</v>
      </c>
      <c r="BP635" s="29" t="s">
        <v>13142</v>
      </c>
      <c r="BQ635" s="29" t="s">
        <v>151</v>
      </c>
      <c r="BR635" s="30" t="s">
        <v>13144</v>
      </c>
      <c r="BS635" s="30" t="s">
        <v>187</v>
      </c>
      <c r="BT635" s="30" t="s">
        <v>188</v>
      </c>
      <c r="BU635" s="35" t="s">
        <v>151</v>
      </c>
      <c r="BV635" s="37">
        <v>0.05</v>
      </c>
      <c r="BW635" s="30" t="s">
        <v>192</v>
      </c>
      <c r="BX635" s="37">
        <v>1</v>
      </c>
      <c r="BY635" s="30" t="s">
        <v>192</v>
      </c>
      <c r="BZ635" s="30" t="s">
        <v>189</v>
      </c>
      <c r="CA635" s="30" t="s">
        <v>151</v>
      </c>
      <c r="CB635" s="30" t="s">
        <v>151</v>
      </c>
      <c r="CC635" s="30" t="s">
        <v>190</v>
      </c>
      <c r="CD635" s="30" t="s">
        <v>151</v>
      </c>
      <c r="CE635" s="30" t="s">
        <v>191</v>
      </c>
      <c r="CF635" s="35">
        <v>45358</v>
      </c>
      <c r="CG635" s="37" t="s">
        <v>151</v>
      </c>
      <c r="CH635" s="30" t="s">
        <v>151</v>
      </c>
      <c r="CI635" s="37" t="s">
        <v>151</v>
      </c>
      <c r="CJ635" s="30" t="s">
        <v>151</v>
      </c>
      <c r="CK635" s="29">
        <v>5.52</v>
      </c>
      <c r="CL635" s="30" t="s">
        <v>189</v>
      </c>
      <c r="CM635" s="30" t="s">
        <v>151</v>
      </c>
      <c r="CN635" s="30" t="s">
        <v>151</v>
      </c>
      <c r="CO635" s="30" t="s">
        <v>190</v>
      </c>
      <c r="CP635" s="35">
        <v>45358</v>
      </c>
      <c r="CQ635" s="37" t="s">
        <v>151</v>
      </c>
      <c r="CR635" s="30" t="s">
        <v>151</v>
      </c>
      <c r="CS635" s="30" t="s">
        <v>191</v>
      </c>
      <c r="CT635" s="29">
        <v>52</v>
      </c>
      <c r="CU635" s="30" t="s">
        <v>263</v>
      </c>
      <c r="CV635" s="32">
        <v>50</v>
      </c>
      <c r="CW635" s="32">
        <v>50</v>
      </c>
      <c r="CX635" s="30" t="s">
        <v>263</v>
      </c>
      <c r="CY635" s="32">
        <v>1</v>
      </c>
      <c r="CZ635" s="32">
        <v>49</v>
      </c>
      <c r="DA635" s="37">
        <v>1.45</v>
      </c>
      <c r="DB635" s="35">
        <v>44231</v>
      </c>
      <c r="DC635" s="30" t="s">
        <v>293</v>
      </c>
      <c r="DD635" s="29">
        <v>5.52</v>
      </c>
      <c r="DE635" s="32">
        <v>0</v>
      </c>
      <c r="DF635" s="34">
        <v>11</v>
      </c>
      <c r="DG635" s="32">
        <v>0</v>
      </c>
      <c r="DH635" s="32">
        <v>0</v>
      </c>
      <c r="DI635" s="32">
        <v>0</v>
      </c>
      <c r="DJ635" s="34">
        <v>10</v>
      </c>
      <c r="DK635" s="32" t="s">
        <v>151</v>
      </c>
      <c r="DL635" s="34" t="s">
        <v>151</v>
      </c>
      <c r="DM635" s="32">
        <v>0</v>
      </c>
      <c r="DN635" s="34">
        <v>10</v>
      </c>
      <c r="DO635" s="36">
        <v>4.74</v>
      </c>
      <c r="DP635" s="34">
        <v>82</v>
      </c>
      <c r="DQ635" s="36">
        <v>0</v>
      </c>
      <c r="DR635" s="32">
        <v>0</v>
      </c>
      <c r="DS635" s="36">
        <v>4.74</v>
      </c>
      <c r="DT635" s="34">
        <v>81</v>
      </c>
      <c r="DU635" s="36" t="s">
        <v>151</v>
      </c>
      <c r="DV635" s="34" t="s">
        <v>151</v>
      </c>
      <c r="DW635" s="36">
        <v>4.74</v>
      </c>
      <c r="DX635" s="34">
        <v>81</v>
      </c>
      <c r="DY635" s="31" t="s">
        <v>151</v>
      </c>
      <c r="DZ635" s="35" t="s">
        <v>151</v>
      </c>
      <c r="EA635" s="35" t="s">
        <v>151</v>
      </c>
      <c r="EB635" s="34" t="s">
        <v>151</v>
      </c>
      <c r="EC635" s="33" t="s">
        <v>151</v>
      </c>
      <c r="ED635" s="32" t="s">
        <v>151</v>
      </c>
      <c r="EE635" s="34">
        <v>90</v>
      </c>
      <c r="EF635" s="33">
        <v>1</v>
      </c>
      <c r="EG635" s="32">
        <v>1.12</v>
      </c>
      <c r="EH635" s="29" t="s">
        <v>198</v>
      </c>
      <c r="EI635" s="30" t="s">
        <v>151</v>
      </c>
      <c r="EJ635" s="30" t="s">
        <v>151</v>
      </c>
      <c r="EK635" s="31" t="s">
        <v>151</v>
      </c>
      <c r="EL635" s="31" t="s">
        <v>151</v>
      </c>
      <c r="EM635" s="31" t="s">
        <v>151</v>
      </c>
      <c r="EN635" s="31" t="s">
        <v>151</v>
      </c>
      <c r="EO635" s="31" t="s">
        <v>151</v>
      </c>
      <c r="EP635" s="30" t="s">
        <v>151</v>
      </c>
      <c r="EQ635" s="29" t="s">
        <v>151</v>
      </c>
      <c r="ER635" s="29" t="s">
        <v>151</v>
      </c>
      <c r="ES635" s="4">
        <f>HYPERLINK("https://my.pitchbook.com?c=399075-58","View Company Online")</f>
      </c>
    </row>
    <row r="636">
      <c r="A636" s="17" t="s">
        <v>13145</v>
      </c>
      <c r="B636" s="17" t="s">
        <v>13146</v>
      </c>
      <c r="C636" s="18" t="s">
        <v>151</v>
      </c>
      <c r="D636" s="17" t="s">
        <v>151</v>
      </c>
      <c r="E636" s="17" t="s">
        <v>151</v>
      </c>
      <c r="F636" s="17" t="s">
        <v>13147</v>
      </c>
      <c r="G636" s="17" t="s">
        <v>151</v>
      </c>
      <c r="H636" s="17" t="s">
        <v>151</v>
      </c>
      <c r="I636" s="17" t="s">
        <v>13148</v>
      </c>
      <c r="J636" s="17" t="s">
        <v>13145</v>
      </c>
      <c r="K636" s="17" t="s">
        <v>13149</v>
      </c>
      <c r="L636" s="17" t="s">
        <v>616</v>
      </c>
      <c r="M636" s="17" t="s">
        <v>834</v>
      </c>
      <c r="N636" s="17" t="s">
        <v>3076</v>
      </c>
      <c r="O636" s="17" t="s">
        <v>13150</v>
      </c>
      <c r="P636" s="17" t="s">
        <v>304</v>
      </c>
      <c r="Q636" s="17" t="s">
        <v>13151</v>
      </c>
      <c r="R636" s="17" t="s">
        <v>151</v>
      </c>
      <c r="S636" s="17" t="s">
        <v>162</v>
      </c>
      <c r="T636" s="24">
        <v>10</v>
      </c>
      <c r="U636" s="17" t="s">
        <v>163</v>
      </c>
      <c r="V636" s="17" t="s">
        <v>164</v>
      </c>
      <c r="W636" s="17" t="s">
        <v>165</v>
      </c>
      <c r="X636" s="15" t="s">
        <v>13152</v>
      </c>
      <c r="Y636" s="15" t="s">
        <v>13153</v>
      </c>
      <c r="Z636" s="27">
        <v>42</v>
      </c>
      <c r="AA636" s="17" t="s">
        <v>13154</v>
      </c>
      <c r="AB636" s="17" t="s">
        <v>151</v>
      </c>
      <c r="AC636" s="17" t="s">
        <v>151</v>
      </c>
      <c r="AD636" s="26">
        <v>2022</v>
      </c>
      <c r="AE636" s="17" t="s">
        <v>151</v>
      </c>
      <c r="AF636" s="22">
        <v>45470</v>
      </c>
      <c r="AG636" s="17" t="s">
        <v>151</v>
      </c>
      <c r="AH636" s="17" t="s">
        <v>151</v>
      </c>
      <c r="AI636" s="25" t="s">
        <v>151</v>
      </c>
      <c r="AJ636" s="19" t="s">
        <v>151</v>
      </c>
      <c r="AK636" s="25" t="s">
        <v>151</v>
      </c>
      <c r="AL636" s="25" t="s">
        <v>151</v>
      </c>
      <c r="AM636" s="25" t="s">
        <v>151</v>
      </c>
      <c r="AN636" s="25" t="s">
        <v>151</v>
      </c>
      <c r="AO636" s="25" t="s">
        <v>151</v>
      </c>
      <c r="AP636" s="25" t="s">
        <v>151</v>
      </c>
      <c r="AQ636" s="25" t="s">
        <v>151</v>
      </c>
      <c r="AR636" s="16" t="s">
        <v>151</v>
      </c>
      <c r="AS636" s="17" t="s">
        <v>13155</v>
      </c>
      <c r="AT636" s="17" t="s">
        <v>13156</v>
      </c>
      <c r="AU636" s="18">
        <v>10</v>
      </c>
      <c r="AV636" s="17" t="s">
        <v>151</v>
      </c>
      <c r="AW636" s="17" t="s">
        <v>151</v>
      </c>
      <c r="AX636" s="17" t="s">
        <v>151</v>
      </c>
      <c r="AY636" s="17" t="s">
        <v>13157</v>
      </c>
      <c r="AZ636" s="17" t="s">
        <v>151</v>
      </c>
      <c r="BA636" s="17" t="s">
        <v>151</v>
      </c>
      <c r="BB636" s="17" t="s">
        <v>13158</v>
      </c>
      <c r="BC636" s="17" t="s">
        <v>374</v>
      </c>
      <c r="BD636" s="17" t="s">
        <v>13159</v>
      </c>
      <c r="BE636" s="17" t="s">
        <v>13160</v>
      </c>
      <c r="BF636" s="17" t="s">
        <v>282</v>
      </c>
      <c r="BG636" s="17" t="s">
        <v>13161</v>
      </c>
      <c r="BH636" s="17" t="s">
        <v>13162</v>
      </c>
      <c r="BI636" s="17" t="s">
        <v>433</v>
      </c>
      <c r="BJ636" s="17" t="s">
        <v>13163</v>
      </c>
      <c r="BK636" s="17" t="s">
        <v>6976</v>
      </c>
      <c r="BL636" s="17" t="s">
        <v>436</v>
      </c>
      <c r="BM636" s="17" t="s">
        <v>184</v>
      </c>
      <c r="BN636" s="16" t="s">
        <v>437</v>
      </c>
      <c r="BO636" s="17" t="s">
        <v>186</v>
      </c>
      <c r="BP636" s="16" t="s">
        <v>13162</v>
      </c>
      <c r="BQ636" s="16" t="s">
        <v>151</v>
      </c>
      <c r="BR636" s="17" t="s">
        <v>13164</v>
      </c>
      <c r="BS636" s="17" t="s">
        <v>187</v>
      </c>
      <c r="BT636" s="17" t="s">
        <v>188</v>
      </c>
      <c r="BU636" s="22" t="s">
        <v>151</v>
      </c>
      <c r="BV636" s="24" t="s">
        <v>151</v>
      </c>
      <c r="BW636" s="17" t="s">
        <v>151</v>
      </c>
      <c r="BX636" s="24" t="s">
        <v>151</v>
      </c>
      <c r="BY636" s="17" t="s">
        <v>151</v>
      </c>
      <c r="BZ636" s="17" t="s">
        <v>189</v>
      </c>
      <c r="CA636" s="17" t="s">
        <v>151</v>
      </c>
      <c r="CB636" s="17" t="s">
        <v>151</v>
      </c>
      <c r="CC636" s="17" t="s">
        <v>190</v>
      </c>
      <c r="CD636" s="17" t="s">
        <v>151</v>
      </c>
      <c r="CE636" s="17" t="s">
        <v>191</v>
      </c>
      <c r="CF636" s="22">
        <v>45210</v>
      </c>
      <c r="CG636" s="24">
        <v>10</v>
      </c>
      <c r="CH636" s="17" t="s">
        <v>192</v>
      </c>
      <c r="CI636" s="24" t="s">
        <v>151</v>
      </c>
      <c r="CJ636" s="17" t="s">
        <v>151</v>
      </c>
      <c r="CK636" s="16" t="s">
        <v>151</v>
      </c>
      <c r="CL636" s="17" t="s">
        <v>293</v>
      </c>
      <c r="CM636" s="17" t="s">
        <v>293</v>
      </c>
      <c r="CN636" s="17" t="s">
        <v>151</v>
      </c>
      <c r="CO636" s="17" t="s">
        <v>165</v>
      </c>
      <c r="CP636" s="22">
        <v>45210</v>
      </c>
      <c r="CQ636" s="24" t="s">
        <v>151</v>
      </c>
      <c r="CR636" s="17" t="s">
        <v>151</v>
      </c>
      <c r="CS636" s="17" t="s">
        <v>191</v>
      </c>
      <c r="CT636" s="16" t="s">
        <v>151</v>
      </c>
      <c r="CU636" s="17" t="s">
        <v>151</v>
      </c>
      <c r="CV636" s="19" t="s">
        <v>151</v>
      </c>
      <c r="CW636" s="19" t="s">
        <v>151</v>
      </c>
      <c r="CX636" s="17" t="s">
        <v>151</v>
      </c>
      <c r="CY636" s="19" t="s">
        <v>151</v>
      </c>
      <c r="CZ636" s="19" t="s">
        <v>151</v>
      </c>
      <c r="DA636" s="24" t="s">
        <v>151</v>
      </c>
      <c r="DB636" s="22" t="s">
        <v>151</v>
      </c>
      <c r="DC636" s="17" t="s">
        <v>151</v>
      </c>
      <c r="DD636" s="16" t="s">
        <v>151</v>
      </c>
      <c r="DE636" s="19">
        <v>-0.79</v>
      </c>
      <c r="DF636" s="21">
        <v>5</v>
      </c>
      <c r="DG636" s="19">
        <v>0</v>
      </c>
      <c r="DH636" s="19">
        <v>0</v>
      </c>
      <c r="DI636" s="19">
        <v>-2.21</v>
      </c>
      <c r="DJ636" s="21">
        <v>2</v>
      </c>
      <c r="DK636" s="19" t="s">
        <v>151</v>
      </c>
      <c r="DL636" s="21" t="s">
        <v>151</v>
      </c>
      <c r="DM636" s="19">
        <v>-2.21</v>
      </c>
      <c r="DN636" s="21">
        <v>2</v>
      </c>
      <c r="DO636" s="23">
        <v>6.17</v>
      </c>
      <c r="DP636" s="21">
        <v>85</v>
      </c>
      <c r="DQ636" s="23">
        <v>0</v>
      </c>
      <c r="DR636" s="19">
        <v>0</v>
      </c>
      <c r="DS636" s="23">
        <v>9.11</v>
      </c>
      <c r="DT636" s="21">
        <v>89</v>
      </c>
      <c r="DU636" s="23" t="s">
        <v>151</v>
      </c>
      <c r="DV636" s="21" t="s">
        <v>151</v>
      </c>
      <c r="DW636" s="23">
        <v>9.11</v>
      </c>
      <c r="DX636" s="21">
        <v>89</v>
      </c>
      <c r="DY636" s="18" t="s">
        <v>151</v>
      </c>
      <c r="DZ636" s="22" t="s">
        <v>151</v>
      </c>
      <c r="EA636" s="22" t="s">
        <v>151</v>
      </c>
      <c r="EB636" s="21">
        <v>5784</v>
      </c>
      <c r="EC636" s="20">
        <v>46</v>
      </c>
      <c r="ED636" s="19">
        <v>0.8</v>
      </c>
      <c r="EE636" s="21">
        <v>173</v>
      </c>
      <c r="EF636" s="20">
        <v>2</v>
      </c>
      <c r="EG636" s="19">
        <v>1.17</v>
      </c>
      <c r="EH636" s="16" t="s">
        <v>198</v>
      </c>
      <c r="EI636" s="17" t="s">
        <v>151</v>
      </c>
      <c r="EJ636" s="17" t="s">
        <v>151</v>
      </c>
      <c r="EK636" s="18" t="s">
        <v>151</v>
      </c>
      <c r="EL636" s="18" t="s">
        <v>151</v>
      </c>
      <c r="EM636" s="18" t="s">
        <v>151</v>
      </c>
      <c r="EN636" s="18" t="s">
        <v>151</v>
      </c>
      <c r="EO636" s="18" t="s">
        <v>151</v>
      </c>
      <c r="EP636" s="17" t="s">
        <v>151</v>
      </c>
      <c r="EQ636" s="16" t="s">
        <v>151</v>
      </c>
      <c r="ER636" s="16" t="s">
        <v>151</v>
      </c>
      <c r="ES636" s="3">
        <f>HYPERLINK("https://my.pitchbook.com?c=506928-16","View Company Online")</f>
      </c>
    </row>
    <row r="637">
      <c r="A637" s="30" t="s">
        <v>13165</v>
      </c>
      <c r="B637" s="30" t="s">
        <v>13166</v>
      </c>
      <c r="C637" s="31" t="s">
        <v>151</v>
      </c>
      <c r="D637" s="30" t="s">
        <v>151</v>
      </c>
      <c r="E637" s="30" t="s">
        <v>13167</v>
      </c>
      <c r="F637" s="30" t="s">
        <v>13168</v>
      </c>
      <c r="G637" s="30" t="s">
        <v>151</v>
      </c>
      <c r="H637" s="30" t="s">
        <v>151</v>
      </c>
      <c r="I637" s="30" t="s">
        <v>151</v>
      </c>
      <c r="J637" s="30" t="s">
        <v>13165</v>
      </c>
      <c r="K637" s="30" t="s">
        <v>13169</v>
      </c>
      <c r="L637" s="30" t="s">
        <v>205</v>
      </c>
      <c r="M637" s="30" t="s">
        <v>206</v>
      </c>
      <c r="N637" s="30" t="s">
        <v>207</v>
      </c>
      <c r="O637" s="30" t="s">
        <v>2707</v>
      </c>
      <c r="P637" s="30" t="s">
        <v>3577</v>
      </c>
      <c r="Q637" s="30" t="s">
        <v>13170</v>
      </c>
      <c r="R637" s="30" t="s">
        <v>151</v>
      </c>
      <c r="S637" s="30" t="s">
        <v>162</v>
      </c>
      <c r="T637" s="37">
        <v>5</v>
      </c>
      <c r="U637" s="30" t="s">
        <v>163</v>
      </c>
      <c r="V637" s="30" t="s">
        <v>164</v>
      </c>
      <c r="W637" s="30" t="s">
        <v>165</v>
      </c>
      <c r="X637" s="28" t="s">
        <v>13171</v>
      </c>
      <c r="Y637" s="28" t="s">
        <v>13172</v>
      </c>
      <c r="Z637" s="40">
        <v>12</v>
      </c>
      <c r="AA637" s="30" t="s">
        <v>13173</v>
      </c>
      <c r="AB637" s="30" t="s">
        <v>151</v>
      </c>
      <c r="AC637" s="30" t="s">
        <v>151</v>
      </c>
      <c r="AD637" s="39">
        <v>2023</v>
      </c>
      <c r="AE637" s="30" t="s">
        <v>151</v>
      </c>
      <c r="AF637" s="35">
        <v>45602</v>
      </c>
      <c r="AG637" s="30" t="s">
        <v>151</v>
      </c>
      <c r="AH637" s="30" t="s">
        <v>151</v>
      </c>
      <c r="AI637" s="38" t="s">
        <v>151</v>
      </c>
      <c r="AJ637" s="32" t="s">
        <v>151</v>
      </c>
      <c r="AK637" s="38" t="s">
        <v>151</v>
      </c>
      <c r="AL637" s="38" t="s">
        <v>151</v>
      </c>
      <c r="AM637" s="38" t="s">
        <v>151</v>
      </c>
      <c r="AN637" s="38" t="s">
        <v>151</v>
      </c>
      <c r="AO637" s="38" t="s">
        <v>151</v>
      </c>
      <c r="AP637" s="38" t="s">
        <v>151</v>
      </c>
      <c r="AQ637" s="38" t="s">
        <v>151</v>
      </c>
      <c r="AR637" s="29" t="s">
        <v>151</v>
      </c>
      <c r="AS637" s="30" t="s">
        <v>13174</v>
      </c>
      <c r="AT637" s="30" t="s">
        <v>13175</v>
      </c>
      <c r="AU637" s="31">
        <v>3</v>
      </c>
      <c r="AV637" s="30" t="s">
        <v>151</v>
      </c>
      <c r="AW637" s="30" t="s">
        <v>151</v>
      </c>
      <c r="AX637" s="30" t="s">
        <v>151</v>
      </c>
      <c r="AY637" s="30" t="s">
        <v>13176</v>
      </c>
      <c r="AZ637" s="30" t="s">
        <v>151</v>
      </c>
      <c r="BA637" s="30" t="s">
        <v>151</v>
      </c>
      <c r="BB637" s="30" t="s">
        <v>151</v>
      </c>
      <c r="BC637" s="30" t="s">
        <v>151</v>
      </c>
      <c r="BD637" s="30" t="s">
        <v>13177</v>
      </c>
      <c r="BE637" s="30" t="s">
        <v>13178</v>
      </c>
      <c r="BF637" s="30" t="s">
        <v>221</v>
      </c>
      <c r="BG637" s="30" t="s">
        <v>151</v>
      </c>
      <c r="BH637" s="30" t="s">
        <v>151</v>
      </c>
      <c r="BI637" s="30" t="s">
        <v>906</v>
      </c>
      <c r="BJ637" s="30" t="s">
        <v>13179</v>
      </c>
      <c r="BK637" s="30" t="s">
        <v>13180</v>
      </c>
      <c r="BL637" s="30" t="s">
        <v>259</v>
      </c>
      <c r="BM637" s="30" t="s">
        <v>259</v>
      </c>
      <c r="BN637" s="29" t="s">
        <v>11019</v>
      </c>
      <c r="BO637" s="30" t="s">
        <v>186</v>
      </c>
      <c r="BP637" s="29" t="s">
        <v>151</v>
      </c>
      <c r="BQ637" s="29" t="s">
        <v>151</v>
      </c>
      <c r="BR637" s="30" t="s">
        <v>151</v>
      </c>
      <c r="BS637" s="30" t="s">
        <v>187</v>
      </c>
      <c r="BT637" s="30" t="s">
        <v>188</v>
      </c>
      <c r="BU637" s="35">
        <v>45545</v>
      </c>
      <c r="BV637" s="37">
        <v>5</v>
      </c>
      <c r="BW637" s="30" t="s">
        <v>192</v>
      </c>
      <c r="BX637" s="37" t="s">
        <v>151</v>
      </c>
      <c r="BY637" s="30" t="s">
        <v>151</v>
      </c>
      <c r="BZ637" s="30" t="s">
        <v>293</v>
      </c>
      <c r="CA637" s="30" t="s">
        <v>293</v>
      </c>
      <c r="CB637" s="30" t="s">
        <v>151</v>
      </c>
      <c r="CC637" s="30" t="s">
        <v>165</v>
      </c>
      <c r="CD637" s="30" t="s">
        <v>151</v>
      </c>
      <c r="CE637" s="30" t="s">
        <v>191</v>
      </c>
      <c r="CF637" s="35">
        <v>45545</v>
      </c>
      <c r="CG637" s="37">
        <v>5</v>
      </c>
      <c r="CH637" s="30" t="s">
        <v>192</v>
      </c>
      <c r="CI637" s="37" t="s">
        <v>151</v>
      </c>
      <c r="CJ637" s="30" t="s">
        <v>151</v>
      </c>
      <c r="CK637" s="29" t="s">
        <v>151</v>
      </c>
      <c r="CL637" s="30" t="s">
        <v>293</v>
      </c>
      <c r="CM637" s="30" t="s">
        <v>293</v>
      </c>
      <c r="CN637" s="30" t="s">
        <v>151</v>
      </c>
      <c r="CO637" s="30" t="s">
        <v>165</v>
      </c>
      <c r="CP637" s="35">
        <v>45545</v>
      </c>
      <c r="CQ637" s="37" t="s">
        <v>151</v>
      </c>
      <c r="CR637" s="30" t="s">
        <v>151</v>
      </c>
      <c r="CS637" s="30" t="s">
        <v>191</v>
      </c>
      <c r="CT637" s="29" t="s">
        <v>151</v>
      </c>
      <c r="CU637" s="30" t="s">
        <v>151</v>
      </c>
      <c r="CV637" s="32" t="s">
        <v>151</v>
      </c>
      <c r="CW637" s="32" t="s">
        <v>151</v>
      </c>
      <c r="CX637" s="30" t="s">
        <v>151</v>
      </c>
      <c r="CY637" s="32" t="s">
        <v>151</v>
      </c>
      <c r="CZ637" s="32" t="s">
        <v>151</v>
      </c>
      <c r="DA637" s="37" t="s">
        <v>151</v>
      </c>
      <c r="DB637" s="35" t="s">
        <v>151</v>
      </c>
      <c r="DC637" s="30" t="s">
        <v>151</v>
      </c>
      <c r="DD637" s="29" t="s">
        <v>151</v>
      </c>
      <c r="DE637" s="32">
        <v>0</v>
      </c>
      <c r="DF637" s="34">
        <v>11</v>
      </c>
      <c r="DG637" s="32">
        <v>0</v>
      </c>
      <c r="DH637" s="32">
        <v>0</v>
      </c>
      <c r="DI637" s="32">
        <v>0</v>
      </c>
      <c r="DJ637" s="34">
        <v>10</v>
      </c>
      <c r="DK637" s="32">
        <v>0</v>
      </c>
      <c r="DL637" s="34">
        <v>11</v>
      </c>
      <c r="DM637" s="32" t="s">
        <v>151</v>
      </c>
      <c r="DN637" s="34" t="s">
        <v>151</v>
      </c>
      <c r="DO637" s="36">
        <v>1.97</v>
      </c>
      <c r="DP637" s="34">
        <v>66</v>
      </c>
      <c r="DQ637" s="36">
        <v>0</v>
      </c>
      <c r="DR637" s="32">
        <v>0</v>
      </c>
      <c r="DS637" s="36">
        <v>1.97</v>
      </c>
      <c r="DT637" s="34">
        <v>66</v>
      </c>
      <c r="DU637" s="36">
        <v>1.97</v>
      </c>
      <c r="DV637" s="34">
        <v>70</v>
      </c>
      <c r="DW637" s="36" t="s">
        <v>151</v>
      </c>
      <c r="DX637" s="34" t="s">
        <v>151</v>
      </c>
      <c r="DY637" s="31" t="s">
        <v>151</v>
      </c>
      <c r="DZ637" s="35" t="s">
        <v>151</v>
      </c>
      <c r="EA637" s="35" t="s">
        <v>151</v>
      </c>
      <c r="EB637" s="34">
        <v>405</v>
      </c>
      <c r="EC637" s="33">
        <v>52</v>
      </c>
      <c r="ED637" s="32">
        <v>14.73</v>
      </c>
      <c r="EE637" s="34" t="s">
        <v>151</v>
      </c>
      <c r="EF637" s="33" t="s">
        <v>151</v>
      </c>
      <c r="EG637" s="32" t="s">
        <v>151</v>
      </c>
      <c r="EH637" s="29" t="s">
        <v>198</v>
      </c>
      <c r="EI637" s="30" t="s">
        <v>151</v>
      </c>
      <c r="EJ637" s="30" t="s">
        <v>151</v>
      </c>
      <c r="EK637" s="31" t="s">
        <v>151</v>
      </c>
      <c r="EL637" s="31" t="s">
        <v>151</v>
      </c>
      <c r="EM637" s="31" t="s">
        <v>151</v>
      </c>
      <c r="EN637" s="31" t="s">
        <v>151</v>
      </c>
      <c r="EO637" s="31" t="s">
        <v>151</v>
      </c>
      <c r="EP637" s="30" t="s">
        <v>151</v>
      </c>
      <c r="EQ637" s="29" t="s">
        <v>151</v>
      </c>
      <c r="ER637" s="29" t="s">
        <v>151</v>
      </c>
      <c r="ES637" s="4">
        <f>HYPERLINK("https://my.pitchbook.com?c=652522-33","View Company Online")</f>
      </c>
    </row>
    <row r="638">
      <c r="A638" s="17" t="s">
        <v>13181</v>
      </c>
      <c r="B638" s="17" t="s">
        <v>13182</v>
      </c>
      <c r="C638" s="18" t="s">
        <v>151</v>
      </c>
      <c r="D638" s="17" t="s">
        <v>151</v>
      </c>
      <c r="E638" s="17" t="s">
        <v>151</v>
      </c>
      <c r="F638" s="17" t="s">
        <v>13183</v>
      </c>
      <c r="G638" s="17" t="s">
        <v>151</v>
      </c>
      <c r="H638" s="17" t="s">
        <v>151</v>
      </c>
      <c r="I638" s="17" t="s">
        <v>151</v>
      </c>
      <c r="J638" s="17" t="s">
        <v>13181</v>
      </c>
      <c r="K638" s="17" t="s">
        <v>13184</v>
      </c>
      <c r="L638" s="17" t="s">
        <v>616</v>
      </c>
      <c r="M638" s="17" t="s">
        <v>834</v>
      </c>
      <c r="N638" s="17" t="s">
        <v>835</v>
      </c>
      <c r="O638" s="17" t="s">
        <v>13185</v>
      </c>
      <c r="P638" s="17" t="s">
        <v>151</v>
      </c>
      <c r="Q638" s="17" t="s">
        <v>13186</v>
      </c>
      <c r="R638" s="17" t="s">
        <v>211</v>
      </c>
      <c r="S638" s="17" t="s">
        <v>162</v>
      </c>
      <c r="T638" s="24">
        <v>3.3</v>
      </c>
      <c r="U638" s="17" t="s">
        <v>163</v>
      </c>
      <c r="V638" s="17" t="s">
        <v>164</v>
      </c>
      <c r="W638" s="17" t="s">
        <v>165</v>
      </c>
      <c r="X638" s="15" t="s">
        <v>13187</v>
      </c>
      <c r="Y638" s="15" t="s">
        <v>13188</v>
      </c>
      <c r="Z638" s="27">
        <v>6</v>
      </c>
      <c r="AA638" s="17" t="s">
        <v>13189</v>
      </c>
      <c r="AB638" s="17" t="s">
        <v>151</v>
      </c>
      <c r="AC638" s="17" t="s">
        <v>151</v>
      </c>
      <c r="AD638" s="26">
        <v>2021</v>
      </c>
      <c r="AE638" s="17" t="s">
        <v>151</v>
      </c>
      <c r="AF638" s="22">
        <v>45572</v>
      </c>
      <c r="AG638" s="17" t="s">
        <v>151</v>
      </c>
      <c r="AH638" s="17" t="s">
        <v>151</v>
      </c>
      <c r="AI638" s="25" t="s">
        <v>151</v>
      </c>
      <c r="AJ638" s="19" t="s">
        <v>151</v>
      </c>
      <c r="AK638" s="25" t="s">
        <v>151</v>
      </c>
      <c r="AL638" s="25" t="s">
        <v>151</v>
      </c>
      <c r="AM638" s="25" t="s">
        <v>151</v>
      </c>
      <c r="AN638" s="25" t="s">
        <v>151</v>
      </c>
      <c r="AO638" s="25" t="s">
        <v>151</v>
      </c>
      <c r="AP638" s="25" t="s">
        <v>151</v>
      </c>
      <c r="AQ638" s="25" t="s">
        <v>151</v>
      </c>
      <c r="AR638" s="16" t="s">
        <v>151</v>
      </c>
      <c r="AS638" s="17" t="s">
        <v>13190</v>
      </c>
      <c r="AT638" s="17" t="s">
        <v>13191</v>
      </c>
      <c r="AU638" s="18">
        <v>6</v>
      </c>
      <c r="AV638" s="17" t="s">
        <v>151</v>
      </c>
      <c r="AW638" s="17" t="s">
        <v>151</v>
      </c>
      <c r="AX638" s="17" t="s">
        <v>151</v>
      </c>
      <c r="AY638" s="17" t="s">
        <v>13192</v>
      </c>
      <c r="AZ638" s="17" t="s">
        <v>151</v>
      </c>
      <c r="BA638" s="17" t="s">
        <v>151</v>
      </c>
      <c r="BB638" s="17" t="s">
        <v>151</v>
      </c>
      <c r="BC638" s="17" t="s">
        <v>151</v>
      </c>
      <c r="BD638" s="17" t="s">
        <v>13193</v>
      </c>
      <c r="BE638" s="17" t="s">
        <v>13194</v>
      </c>
      <c r="BF638" s="17" t="s">
        <v>13195</v>
      </c>
      <c r="BG638" s="17" t="s">
        <v>13196</v>
      </c>
      <c r="BH638" s="17" t="s">
        <v>13197</v>
      </c>
      <c r="BI638" s="17" t="s">
        <v>1409</v>
      </c>
      <c r="BJ638" s="17" t="s">
        <v>13198</v>
      </c>
      <c r="BK638" s="17" t="s">
        <v>13199</v>
      </c>
      <c r="BL638" s="17" t="s">
        <v>1412</v>
      </c>
      <c r="BM638" s="17" t="s">
        <v>823</v>
      </c>
      <c r="BN638" s="16" t="s">
        <v>1621</v>
      </c>
      <c r="BO638" s="17" t="s">
        <v>186</v>
      </c>
      <c r="BP638" s="16" t="s">
        <v>13197</v>
      </c>
      <c r="BQ638" s="16" t="s">
        <v>151</v>
      </c>
      <c r="BR638" s="17" t="s">
        <v>151</v>
      </c>
      <c r="BS638" s="17" t="s">
        <v>187</v>
      </c>
      <c r="BT638" s="17" t="s">
        <v>188</v>
      </c>
      <c r="BU638" s="22">
        <v>44670</v>
      </c>
      <c r="BV638" s="24">
        <v>3.3</v>
      </c>
      <c r="BW638" s="17" t="s">
        <v>192</v>
      </c>
      <c r="BX638" s="24" t="s">
        <v>151</v>
      </c>
      <c r="BY638" s="17" t="s">
        <v>151</v>
      </c>
      <c r="BZ638" s="17" t="s">
        <v>293</v>
      </c>
      <c r="CA638" s="17" t="s">
        <v>293</v>
      </c>
      <c r="CB638" s="17" t="s">
        <v>151</v>
      </c>
      <c r="CC638" s="17" t="s">
        <v>165</v>
      </c>
      <c r="CD638" s="17" t="s">
        <v>151</v>
      </c>
      <c r="CE638" s="17" t="s">
        <v>191</v>
      </c>
      <c r="CF638" s="22">
        <v>44670</v>
      </c>
      <c r="CG638" s="24">
        <v>3.3</v>
      </c>
      <c r="CH638" s="17" t="s">
        <v>192</v>
      </c>
      <c r="CI638" s="24" t="s">
        <v>151</v>
      </c>
      <c r="CJ638" s="17" t="s">
        <v>151</v>
      </c>
      <c r="CK638" s="16" t="s">
        <v>151</v>
      </c>
      <c r="CL638" s="17" t="s">
        <v>293</v>
      </c>
      <c r="CM638" s="17" t="s">
        <v>293</v>
      </c>
      <c r="CN638" s="17" t="s">
        <v>151</v>
      </c>
      <c r="CO638" s="17" t="s">
        <v>165</v>
      </c>
      <c r="CP638" s="22">
        <v>44670</v>
      </c>
      <c r="CQ638" s="24" t="s">
        <v>151</v>
      </c>
      <c r="CR638" s="17" t="s">
        <v>151</v>
      </c>
      <c r="CS638" s="17" t="s">
        <v>191</v>
      </c>
      <c r="CT638" s="16" t="s">
        <v>151</v>
      </c>
      <c r="CU638" s="17" t="s">
        <v>151</v>
      </c>
      <c r="CV638" s="19" t="s">
        <v>151</v>
      </c>
      <c r="CW638" s="19" t="s">
        <v>151</v>
      </c>
      <c r="CX638" s="17" t="s">
        <v>151</v>
      </c>
      <c r="CY638" s="19" t="s">
        <v>151</v>
      </c>
      <c r="CZ638" s="19" t="s">
        <v>151</v>
      </c>
      <c r="DA638" s="24" t="s">
        <v>151</v>
      </c>
      <c r="DB638" s="22" t="s">
        <v>151</v>
      </c>
      <c r="DC638" s="17" t="s">
        <v>151</v>
      </c>
      <c r="DD638" s="16" t="s">
        <v>151</v>
      </c>
      <c r="DE638" s="19">
        <v>0</v>
      </c>
      <c r="DF638" s="21">
        <v>11</v>
      </c>
      <c r="DG638" s="19">
        <v>0</v>
      </c>
      <c r="DH638" s="19">
        <v>0</v>
      </c>
      <c r="DI638" s="19">
        <v>0</v>
      </c>
      <c r="DJ638" s="21">
        <v>10</v>
      </c>
      <c r="DK638" s="19" t="s">
        <v>151</v>
      </c>
      <c r="DL638" s="21" t="s">
        <v>151</v>
      </c>
      <c r="DM638" s="19">
        <v>0</v>
      </c>
      <c r="DN638" s="21">
        <v>10</v>
      </c>
      <c r="DO638" s="23">
        <v>0.55</v>
      </c>
      <c r="DP638" s="21">
        <v>36</v>
      </c>
      <c r="DQ638" s="23">
        <v>0</v>
      </c>
      <c r="DR638" s="19">
        <v>0</v>
      </c>
      <c r="DS638" s="23">
        <v>0.63</v>
      </c>
      <c r="DT638" s="21">
        <v>39</v>
      </c>
      <c r="DU638" s="23" t="s">
        <v>151</v>
      </c>
      <c r="DV638" s="21" t="s">
        <v>151</v>
      </c>
      <c r="DW638" s="23">
        <v>0.63</v>
      </c>
      <c r="DX638" s="21">
        <v>38</v>
      </c>
      <c r="DY638" s="18" t="s">
        <v>151</v>
      </c>
      <c r="DZ638" s="22" t="s">
        <v>151</v>
      </c>
      <c r="EA638" s="22" t="s">
        <v>151</v>
      </c>
      <c r="EB638" s="21">
        <v>413</v>
      </c>
      <c r="EC638" s="20">
        <v>4</v>
      </c>
      <c r="ED638" s="19">
        <v>0.98</v>
      </c>
      <c r="EE638" s="21">
        <v>12</v>
      </c>
      <c r="EF638" s="20">
        <v>0</v>
      </c>
      <c r="EG638" s="19">
        <v>0</v>
      </c>
      <c r="EH638" s="16" t="s">
        <v>198</v>
      </c>
      <c r="EI638" s="17" t="s">
        <v>151</v>
      </c>
      <c r="EJ638" s="17" t="s">
        <v>151</v>
      </c>
      <c r="EK638" s="18" t="s">
        <v>151</v>
      </c>
      <c r="EL638" s="18" t="s">
        <v>151</v>
      </c>
      <c r="EM638" s="18" t="s">
        <v>151</v>
      </c>
      <c r="EN638" s="18" t="s">
        <v>151</v>
      </c>
      <c r="EO638" s="18" t="s">
        <v>151</v>
      </c>
      <c r="EP638" s="17" t="s">
        <v>151</v>
      </c>
      <c r="EQ638" s="16" t="s">
        <v>151</v>
      </c>
      <c r="ER638" s="16" t="s">
        <v>151</v>
      </c>
      <c r="ES638" s="3">
        <f>HYPERLINK("https://my.pitchbook.com?c=495509-86","View Company Online")</f>
      </c>
    </row>
    <row r="639">
      <c r="A639" s="30" t="s">
        <v>13200</v>
      </c>
      <c r="B639" s="30" t="s">
        <v>13201</v>
      </c>
      <c r="C639" s="31" t="s">
        <v>151</v>
      </c>
      <c r="D639" s="30" t="s">
        <v>151</v>
      </c>
      <c r="E639" s="30" t="s">
        <v>151</v>
      </c>
      <c r="F639" s="30" t="s">
        <v>13202</v>
      </c>
      <c r="G639" s="30" t="s">
        <v>151</v>
      </c>
      <c r="H639" s="30" t="s">
        <v>151</v>
      </c>
      <c r="I639" s="30" t="s">
        <v>13203</v>
      </c>
      <c r="J639" s="30" t="s">
        <v>13200</v>
      </c>
      <c r="K639" s="30" t="s">
        <v>13204</v>
      </c>
      <c r="L639" s="30" t="s">
        <v>205</v>
      </c>
      <c r="M639" s="30" t="s">
        <v>206</v>
      </c>
      <c r="N639" s="30" t="s">
        <v>998</v>
      </c>
      <c r="O639" s="30" t="s">
        <v>1768</v>
      </c>
      <c r="P639" s="30" t="s">
        <v>1107</v>
      </c>
      <c r="Q639" s="30" t="s">
        <v>13205</v>
      </c>
      <c r="R639" s="30" t="s">
        <v>151</v>
      </c>
      <c r="S639" s="30" t="s">
        <v>162</v>
      </c>
      <c r="T639" s="37">
        <v>3</v>
      </c>
      <c r="U639" s="30" t="s">
        <v>336</v>
      </c>
      <c r="V639" s="30" t="s">
        <v>164</v>
      </c>
      <c r="W639" s="30" t="s">
        <v>165</v>
      </c>
      <c r="X639" s="28" t="s">
        <v>13206</v>
      </c>
      <c r="Y639" s="28" t="s">
        <v>13207</v>
      </c>
      <c r="Z639" s="40">
        <v>10</v>
      </c>
      <c r="AA639" s="30" t="s">
        <v>5417</v>
      </c>
      <c r="AB639" s="30" t="s">
        <v>151</v>
      </c>
      <c r="AC639" s="30" t="s">
        <v>151</v>
      </c>
      <c r="AD639" s="39">
        <v>2023</v>
      </c>
      <c r="AE639" s="30" t="s">
        <v>151</v>
      </c>
      <c r="AF639" s="35">
        <v>45559</v>
      </c>
      <c r="AG639" s="30" t="s">
        <v>151</v>
      </c>
      <c r="AH639" s="30" t="s">
        <v>151</v>
      </c>
      <c r="AI639" s="38" t="s">
        <v>151</v>
      </c>
      <c r="AJ639" s="32" t="s">
        <v>151</v>
      </c>
      <c r="AK639" s="38" t="s">
        <v>151</v>
      </c>
      <c r="AL639" s="38" t="s">
        <v>151</v>
      </c>
      <c r="AM639" s="38" t="s">
        <v>151</v>
      </c>
      <c r="AN639" s="38" t="s">
        <v>151</v>
      </c>
      <c r="AO639" s="38" t="s">
        <v>151</v>
      </c>
      <c r="AP639" s="38" t="s">
        <v>151</v>
      </c>
      <c r="AQ639" s="38" t="s">
        <v>151</v>
      </c>
      <c r="AR639" s="29" t="s">
        <v>151</v>
      </c>
      <c r="AS639" s="30" t="s">
        <v>13208</v>
      </c>
      <c r="AT639" s="30" t="s">
        <v>13209</v>
      </c>
      <c r="AU639" s="31">
        <v>6</v>
      </c>
      <c r="AV639" s="30" t="s">
        <v>151</v>
      </c>
      <c r="AW639" s="30" t="s">
        <v>151</v>
      </c>
      <c r="AX639" s="30" t="s">
        <v>151</v>
      </c>
      <c r="AY639" s="30" t="s">
        <v>13210</v>
      </c>
      <c r="AZ639" s="30" t="s">
        <v>151</v>
      </c>
      <c r="BA639" s="30" t="s">
        <v>151</v>
      </c>
      <c r="BB639" s="30" t="s">
        <v>151</v>
      </c>
      <c r="BC639" s="30" t="s">
        <v>1636</v>
      </c>
      <c r="BD639" s="30" t="s">
        <v>13211</v>
      </c>
      <c r="BE639" s="30" t="s">
        <v>13212</v>
      </c>
      <c r="BF639" s="30" t="s">
        <v>221</v>
      </c>
      <c r="BG639" s="30" t="s">
        <v>13213</v>
      </c>
      <c r="BH639" s="30" t="s">
        <v>151</v>
      </c>
      <c r="BI639" s="30" t="s">
        <v>906</v>
      </c>
      <c r="BJ639" s="30" t="s">
        <v>151</v>
      </c>
      <c r="BK639" s="30" t="s">
        <v>151</v>
      </c>
      <c r="BL639" s="30" t="s">
        <v>259</v>
      </c>
      <c r="BM639" s="30" t="s">
        <v>259</v>
      </c>
      <c r="BN639" s="29" t="s">
        <v>151</v>
      </c>
      <c r="BO639" s="30" t="s">
        <v>186</v>
      </c>
      <c r="BP639" s="29" t="s">
        <v>151</v>
      </c>
      <c r="BQ639" s="29" t="s">
        <v>151</v>
      </c>
      <c r="BR639" s="30" t="s">
        <v>13214</v>
      </c>
      <c r="BS639" s="30" t="s">
        <v>187</v>
      </c>
      <c r="BT639" s="30" t="s">
        <v>188</v>
      </c>
      <c r="BU639" s="35">
        <v>45147</v>
      </c>
      <c r="BV639" s="37">
        <v>3</v>
      </c>
      <c r="BW639" s="30" t="s">
        <v>192</v>
      </c>
      <c r="BX639" s="37">
        <v>10</v>
      </c>
      <c r="BY639" s="30" t="s">
        <v>192</v>
      </c>
      <c r="BZ639" s="30" t="s">
        <v>293</v>
      </c>
      <c r="CA639" s="30" t="s">
        <v>293</v>
      </c>
      <c r="CB639" s="30" t="s">
        <v>151</v>
      </c>
      <c r="CC639" s="30" t="s">
        <v>165</v>
      </c>
      <c r="CD639" s="30" t="s">
        <v>151</v>
      </c>
      <c r="CE639" s="30" t="s">
        <v>191</v>
      </c>
      <c r="CF639" s="35">
        <v>45147</v>
      </c>
      <c r="CG639" s="37">
        <v>3</v>
      </c>
      <c r="CH639" s="30" t="s">
        <v>192</v>
      </c>
      <c r="CI639" s="37">
        <v>10</v>
      </c>
      <c r="CJ639" s="30" t="s">
        <v>192</v>
      </c>
      <c r="CK639" s="29" t="s">
        <v>151</v>
      </c>
      <c r="CL639" s="30" t="s">
        <v>293</v>
      </c>
      <c r="CM639" s="30" t="s">
        <v>293</v>
      </c>
      <c r="CN639" s="30" t="s">
        <v>151</v>
      </c>
      <c r="CO639" s="30" t="s">
        <v>165</v>
      </c>
      <c r="CP639" s="35">
        <v>45147</v>
      </c>
      <c r="CQ639" s="37" t="s">
        <v>151</v>
      </c>
      <c r="CR639" s="30" t="s">
        <v>151</v>
      </c>
      <c r="CS639" s="30" t="s">
        <v>191</v>
      </c>
      <c r="CT639" s="29" t="s">
        <v>151</v>
      </c>
      <c r="CU639" s="30" t="s">
        <v>151</v>
      </c>
      <c r="CV639" s="32" t="s">
        <v>151</v>
      </c>
      <c r="CW639" s="32" t="s">
        <v>151</v>
      </c>
      <c r="CX639" s="30" t="s">
        <v>151</v>
      </c>
      <c r="CY639" s="32" t="s">
        <v>151</v>
      </c>
      <c r="CZ639" s="32" t="s">
        <v>151</v>
      </c>
      <c r="DA639" s="37">
        <v>10</v>
      </c>
      <c r="DB639" s="35">
        <v>45147</v>
      </c>
      <c r="DC639" s="30" t="s">
        <v>293</v>
      </c>
      <c r="DD639" s="29" t="s">
        <v>151</v>
      </c>
      <c r="DE639" s="32">
        <v>0</v>
      </c>
      <c r="DF639" s="34">
        <v>11</v>
      </c>
      <c r="DG639" s="32">
        <v>0</v>
      </c>
      <c r="DH639" s="32">
        <v>0</v>
      </c>
      <c r="DI639" s="32">
        <v>0</v>
      </c>
      <c r="DJ639" s="34">
        <v>10</v>
      </c>
      <c r="DK639" s="32" t="s">
        <v>151</v>
      </c>
      <c r="DL639" s="34" t="s">
        <v>151</v>
      </c>
      <c r="DM639" s="32">
        <v>0</v>
      </c>
      <c r="DN639" s="34">
        <v>10</v>
      </c>
      <c r="DO639" s="36">
        <v>4.32</v>
      </c>
      <c r="DP639" s="34">
        <v>80</v>
      </c>
      <c r="DQ639" s="36">
        <v>0</v>
      </c>
      <c r="DR639" s="32">
        <v>0</v>
      </c>
      <c r="DS639" s="36">
        <v>4.32</v>
      </c>
      <c r="DT639" s="34">
        <v>80</v>
      </c>
      <c r="DU639" s="36" t="s">
        <v>151</v>
      </c>
      <c r="DV639" s="34" t="s">
        <v>151</v>
      </c>
      <c r="DW639" s="36">
        <v>4.32</v>
      </c>
      <c r="DX639" s="34">
        <v>80</v>
      </c>
      <c r="DY639" s="31" t="s">
        <v>151</v>
      </c>
      <c r="DZ639" s="35" t="s">
        <v>151</v>
      </c>
      <c r="EA639" s="35" t="s">
        <v>151</v>
      </c>
      <c r="EB639" s="34">
        <v>761</v>
      </c>
      <c r="EC639" s="33">
        <v>57</v>
      </c>
      <c r="ED639" s="32">
        <v>8.1</v>
      </c>
      <c r="EE639" s="34">
        <v>82</v>
      </c>
      <c r="EF639" s="33">
        <v>2</v>
      </c>
      <c r="EG639" s="32">
        <v>2.5</v>
      </c>
      <c r="EH639" s="29" t="s">
        <v>198</v>
      </c>
      <c r="EI639" s="30" t="s">
        <v>151</v>
      </c>
      <c r="EJ639" s="30" t="s">
        <v>151</v>
      </c>
      <c r="EK639" s="31" t="s">
        <v>151</v>
      </c>
      <c r="EL639" s="31" t="s">
        <v>151</v>
      </c>
      <c r="EM639" s="31" t="s">
        <v>151</v>
      </c>
      <c r="EN639" s="31" t="s">
        <v>151</v>
      </c>
      <c r="EO639" s="31" t="s">
        <v>151</v>
      </c>
      <c r="EP639" s="30" t="s">
        <v>151</v>
      </c>
      <c r="EQ639" s="29" t="s">
        <v>151</v>
      </c>
      <c r="ER639" s="29" t="s">
        <v>151</v>
      </c>
      <c r="ES639" s="4">
        <f>HYPERLINK("https://my.pitchbook.com?c=533109-97","View Company Online")</f>
      </c>
    </row>
    <row r="640">
      <c r="A640" s="17" t="s">
        <v>13215</v>
      </c>
      <c r="B640" s="17" t="s">
        <v>13216</v>
      </c>
      <c r="C640" s="18" t="s">
        <v>151</v>
      </c>
      <c r="D640" s="17" t="s">
        <v>151</v>
      </c>
      <c r="E640" s="17" t="s">
        <v>13217</v>
      </c>
      <c r="F640" s="17" t="s">
        <v>13218</v>
      </c>
      <c r="G640" s="17" t="s">
        <v>151</v>
      </c>
      <c r="H640" s="17" t="s">
        <v>151</v>
      </c>
      <c r="I640" s="17" t="s">
        <v>151</v>
      </c>
      <c r="J640" s="17" t="s">
        <v>13215</v>
      </c>
      <c r="K640" s="17" t="s">
        <v>13219</v>
      </c>
      <c r="L640" s="17" t="s">
        <v>155</v>
      </c>
      <c r="M640" s="17" t="s">
        <v>2320</v>
      </c>
      <c r="N640" s="17" t="s">
        <v>2321</v>
      </c>
      <c r="O640" s="17" t="s">
        <v>13220</v>
      </c>
      <c r="P640" s="17" t="s">
        <v>151</v>
      </c>
      <c r="Q640" s="17" t="s">
        <v>13221</v>
      </c>
      <c r="R640" s="17" t="s">
        <v>151</v>
      </c>
      <c r="S640" s="17" t="s">
        <v>162</v>
      </c>
      <c r="T640" s="24">
        <v>1.06</v>
      </c>
      <c r="U640" s="17" t="s">
        <v>163</v>
      </c>
      <c r="V640" s="17" t="s">
        <v>164</v>
      </c>
      <c r="W640" s="17" t="s">
        <v>165</v>
      </c>
      <c r="X640" s="15" t="s">
        <v>13222</v>
      </c>
      <c r="Y640" s="15" t="s">
        <v>13223</v>
      </c>
      <c r="Z640" s="27">
        <v>5</v>
      </c>
      <c r="AA640" s="17" t="s">
        <v>13224</v>
      </c>
      <c r="AB640" s="17" t="s">
        <v>151</v>
      </c>
      <c r="AC640" s="17" t="s">
        <v>151</v>
      </c>
      <c r="AD640" s="26">
        <v>2019</v>
      </c>
      <c r="AE640" s="17" t="s">
        <v>151</v>
      </c>
      <c r="AF640" s="22">
        <v>45384</v>
      </c>
      <c r="AG640" s="17" t="s">
        <v>151</v>
      </c>
      <c r="AH640" s="17" t="s">
        <v>151</v>
      </c>
      <c r="AI640" s="25" t="s">
        <v>151</v>
      </c>
      <c r="AJ640" s="19" t="s">
        <v>151</v>
      </c>
      <c r="AK640" s="25" t="s">
        <v>151</v>
      </c>
      <c r="AL640" s="25" t="s">
        <v>151</v>
      </c>
      <c r="AM640" s="25" t="s">
        <v>151</v>
      </c>
      <c r="AN640" s="25" t="s">
        <v>151</v>
      </c>
      <c r="AO640" s="25" t="s">
        <v>151</v>
      </c>
      <c r="AP640" s="25" t="s">
        <v>151</v>
      </c>
      <c r="AQ640" s="25" t="s">
        <v>151</v>
      </c>
      <c r="AR640" s="16" t="s">
        <v>151</v>
      </c>
      <c r="AS640" s="17" t="s">
        <v>13225</v>
      </c>
      <c r="AT640" s="17" t="s">
        <v>13226</v>
      </c>
      <c r="AU640" s="18">
        <v>11</v>
      </c>
      <c r="AV640" s="17" t="s">
        <v>151</v>
      </c>
      <c r="AW640" s="17" t="s">
        <v>2257</v>
      </c>
      <c r="AX640" s="17" t="s">
        <v>151</v>
      </c>
      <c r="AY640" s="17" t="s">
        <v>13227</v>
      </c>
      <c r="AZ640" s="17" t="s">
        <v>2259</v>
      </c>
      <c r="BA640" s="17" t="s">
        <v>151</v>
      </c>
      <c r="BB640" s="17" t="s">
        <v>151</v>
      </c>
      <c r="BC640" s="17" t="s">
        <v>151</v>
      </c>
      <c r="BD640" s="17" t="s">
        <v>13228</v>
      </c>
      <c r="BE640" s="17" t="s">
        <v>13229</v>
      </c>
      <c r="BF640" s="17" t="s">
        <v>13230</v>
      </c>
      <c r="BG640" s="17" t="s">
        <v>13231</v>
      </c>
      <c r="BH640" s="17" t="s">
        <v>151</v>
      </c>
      <c r="BI640" s="17" t="s">
        <v>1409</v>
      </c>
      <c r="BJ640" s="17" t="s">
        <v>151</v>
      </c>
      <c r="BK640" s="17" t="s">
        <v>151</v>
      </c>
      <c r="BL640" s="17" t="s">
        <v>1412</v>
      </c>
      <c r="BM640" s="17" t="s">
        <v>823</v>
      </c>
      <c r="BN640" s="16" t="s">
        <v>151</v>
      </c>
      <c r="BO640" s="17" t="s">
        <v>186</v>
      </c>
      <c r="BP640" s="16" t="s">
        <v>151</v>
      </c>
      <c r="BQ640" s="16" t="s">
        <v>151</v>
      </c>
      <c r="BR640" s="17" t="s">
        <v>13232</v>
      </c>
      <c r="BS640" s="17" t="s">
        <v>187</v>
      </c>
      <c r="BT640" s="17" t="s">
        <v>188</v>
      </c>
      <c r="BU640" s="22">
        <v>44409</v>
      </c>
      <c r="BV640" s="24">
        <v>0.95</v>
      </c>
      <c r="BW640" s="17" t="s">
        <v>193</v>
      </c>
      <c r="BX640" s="24" t="s">
        <v>151</v>
      </c>
      <c r="BY640" s="17" t="s">
        <v>151</v>
      </c>
      <c r="BZ640" s="17" t="s">
        <v>293</v>
      </c>
      <c r="CA640" s="17" t="s">
        <v>293</v>
      </c>
      <c r="CB640" s="17" t="s">
        <v>151</v>
      </c>
      <c r="CC640" s="17" t="s">
        <v>165</v>
      </c>
      <c r="CD640" s="17" t="s">
        <v>151</v>
      </c>
      <c r="CE640" s="17" t="s">
        <v>191</v>
      </c>
      <c r="CF640" s="22">
        <v>45231</v>
      </c>
      <c r="CG640" s="24" t="s">
        <v>151</v>
      </c>
      <c r="CH640" s="17" t="s">
        <v>151</v>
      </c>
      <c r="CI640" s="24" t="s">
        <v>151</v>
      </c>
      <c r="CJ640" s="17" t="s">
        <v>151</v>
      </c>
      <c r="CK640" s="16" t="s">
        <v>151</v>
      </c>
      <c r="CL640" s="17" t="s">
        <v>911</v>
      </c>
      <c r="CM640" s="17" t="s">
        <v>151</v>
      </c>
      <c r="CN640" s="17" t="s">
        <v>151</v>
      </c>
      <c r="CO640" s="17" t="s">
        <v>165</v>
      </c>
      <c r="CP640" s="22">
        <v>45231</v>
      </c>
      <c r="CQ640" s="24" t="s">
        <v>151</v>
      </c>
      <c r="CR640" s="17" t="s">
        <v>151</v>
      </c>
      <c r="CS640" s="17" t="s">
        <v>191</v>
      </c>
      <c r="CT640" s="16">
        <v>39</v>
      </c>
      <c r="CU640" s="17" t="s">
        <v>263</v>
      </c>
      <c r="CV640" s="19">
        <v>39</v>
      </c>
      <c r="CW640" s="19">
        <v>61</v>
      </c>
      <c r="CX640" s="17" t="s">
        <v>263</v>
      </c>
      <c r="CY640" s="19">
        <v>1</v>
      </c>
      <c r="CZ640" s="19">
        <v>38</v>
      </c>
      <c r="DA640" s="24" t="s">
        <v>151</v>
      </c>
      <c r="DB640" s="22" t="s">
        <v>151</v>
      </c>
      <c r="DC640" s="17" t="s">
        <v>151</v>
      </c>
      <c r="DD640" s="16" t="s">
        <v>151</v>
      </c>
      <c r="DE640" s="19">
        <v>-1.04</v>
      </c>
      <c r="DF640" s="21">
        <v>4</v>
      </c>
      <c r="DG640" s="19">
        <v>0</v>
      </c>
      <c r="DH640" s="19">
        <v>0</v>
      </c>
      <c r="DI640" s="19">
        <v>0</v>
      </c>
      <c r="DJ640" s="21">
        <v>10</v>
      </c>
      <c r="DK640" s="19" t="s">
        <v>151</v>
      </c>
      <c r="DL640" s="21" t="s">
        <v>151</v>
      </c>
      <c r="DM640" s="19">
        <v>0</v>
      </c>
      <c r="DN640" s="21">
        <v>10</v>
      </c>
      <c r="DO640" s="23">
        <v>1.35</v>
      </c>
      <c r="DP640" s="21">
        <v>57</v>
      </c>
      <c r="DQ640" s="23">
        <v>0</v>
      </c>
      <c r="DR640" s="19">
        <v>0</v>
      </c>
      <c r="DS640" s="23">
        <v>2.32</v>
      </c>
      <c r="DT640" s="21">
        <v>69</v>
      </c>
      <c r="DU640" s="23" t="s">
        <v>151</v>
      </c>
      <c r="DV640" s="21" t="s">
        <v>151</v>
      </c>
      <c r="DW640" s="23">
        <v>2.32</v>
      </c>
      <c r="DX640" s="21">
        <v>69</v>
      </c>
      <c r="DY640" s="18" t="s">
        <v>151</v>
      </c>
      <c r="DZ640" s="22" t="s">
        <v>151</v>
      </c>
      <c r="EA640" s="22" t="s">
        <v>151</v>
      </c>
      <c r="EB640" s="21">
        <v>7</v>
      </c>
      <c r="EC640" s="20">
        <v>-34</v>
      </c>
      <c r="ED640" s="19">
        <v>-82.93</v>
      </c>
      <c r="EE640" s="21">
        <v>44</v>
      </c>
      <c r="EF640" s="20">
        <v>-1</v>
      </c>
      <c r="EG640" s="19">
        <v>-2.22</v>
      </c>
      <c r="EH640" s="16" t="s">
        <v>198</v>
      </c>
      <c r="EI640" s="17" t="s">
        <v>151</v>
      </c>
      <c r="EJ640" s="17" t="s">
        <v>151</v>
      </c>
      <c r="EK640" s="18" t="s">
        <v>151</v>
      </c>
      <c r="EL640" s="18" t="s">
        <v>151</v>
      </c>
      <c r="EM640" s="18" t="s">
        <v>151</v>
      </c>
      <c r="EN640" s="18" t="s">
        <v>151</v>
      </c>
      <c r="EO640" s="18" t="s">
        <v>151</v>
      </c>
      <c r="EP640" s="17" t="s">
        <v>151</v>
      </c>
      <c r="EQ640" s="16" t="s">
        <v>151</v>
      </c>
      <c r="ER640" s="16" t="s">
        <v>151</v>
      </c>
      <c r="ES640" s="3">
        <f>HYPERLINK("https://my.pitchbook.com?c=467721-19","View Company Online")</f>
      </c>
    </row>
    <row r="641">
      <c r="A641" s="30" t="s">
        <v>13233</v>
      </c>
      <c r="B641" s="30" t="s">
        <v>13234</v>
      </c>
      <c r="C641" s="31" t="s">
        <v>151</v>
      </c>
      <c r="D641" s="30" t="s">
        <v>151</v>
      </c>
      <c r="E641" s="30" t="s">
        <v>13235</v>
      </c>
      <c r="F641" s="30" t="s">
        <v>13236</v>
      </c>
      <c r="G641" s="30" t="s">
        <v>151</v>
      </c>
      <c r="H641" s="30" t="s">
        <v>151</v>
      </c>
      <c r="I641" s="30" t="s">
        <v>151</v>
      </c>
      <c r="J641" s="30" t="s">
        <v>13233</v>
      </c>
      <c r="K641" s="30" t="s">
        <v>13237</v>
      </c>
      <c r="L641" s="30" t="s">
        <v>616</v>
      </c>
      <c r="M641" s="30" t="s">
        <v>834</v>
      </c>
      <c r="N641" s="30" t="s">
        <v>835</v>
      </c>
      <c r="O641" s="30" t="s">
        <v>13238</v>
      </c>
      <c r="P641" s="30" t="s">
        <v>13239</v>
      </c>
      <c r="Q641" s="30" t="s">
        <v>13240</v>
      </c>
      <c r="R641" s="30" t="s">
        <v>151</v>
      </c>
      <c r="S641" s="30" t="s">
        <v>162</v>
      </c>
      <c r="T641" s="37">
        <v>1</v>
      </c>
      <c r="U641" s="30" t="s">
        <v>163</v>
      </c>
      <c r="V641" s="30" t="s">
        <v>164</v>
      </c>
      <c r="W641" s="30" t="s">
        <v>165</v>
      </c>
      <c r="X641" s="28" t="s">
        <v>13241</v>
      </c>
      <c r="Y641" s="28" t="s">
        <v>13242</v>
      </c>
      <c r="Z641" s="40">
        <v>17</v>
      </c>
      <c r="AA641" s="30" t="s">
        <v>13243</v>
      </c>
      <c r="AB641" s="30" t="s">
        <v>151</v>
      </c>
      <c r="AC641" s="30" t="s">
        <v>151</v>
      </c>
      <c r="AD641" s="39">
        <v>2020</v>
      </c>
      <c r="AE641" s="30" t="s">
        <v>151</v>
      </c>
      <c r="AF641" s="35">
        <v>45533</v>
      </c>
      <c r="AG641" s="30" t="s">
        <v>151</v>
      </c>
      <c r="AH641" s="30" t="s">
        <v>151</v>
      </c>
      <c r="AI641" s="38" t="s">
        <v>151</v>
      </c>
      <c r="AJ641" s="32" t="s">
        <v>151</v>
      </c>
      <c r="AK641" s="38" t="s">
        <v>151</v>
      </c>
      <c r="AL641" s="38" t="s">
        <v>151</v>
      </c>
      <c r="AM641" s="38" t="s">
        <v>151</v>
      </c>
      <c r="AN641" s="38" t="s">
        <v>151</v>
      </c>
      <c r="AO641" s="38" t="s">
        <v>151</v>
      </c>
      <c r="AP641" s="38" t="s">
        <v>151</v>
      </c>
      <c r="AQ641" s="38" t="s">
        <v>151</v>
      </c>
      <c r="AR641" s="29" t="s">
        <v>151</v>
      </c>
      <c r="AS641" s="30" t="s">
        <v>13244</v>
      </c>
      <c r="AT641" s="30" t="s">
        <v>13245</v>
      </c>
      <c r="AU641" s="31">
        <v>5</v>
      </c>
      <c r="AV641" s="30" t="s">
        <v>151</v>
      </c>
      <c r="AW641" s="30" t="s">
        <v>151</v>
      </c>
      <c r="AX641" s="30" t="s">
        <v>151</v>
      </c>
      <c r="AY641" s="30" t="s">
        <v>13246</v>
      </c>
      <c r="AZ641" s="30" t="s">
        <v>151</v>
      </c>
      <c r="BA641" s="30" t="s">
        <v>151</v>
      </c>
      <c r="BB641" s="30" t="s">
        <v>151</v>
      </c>
      <c r="BC641" s="30" t="s">
        <v>2424</v>
      </c>
      <c r="BD641" s="30" t="s">
        <v>13247</v>
      </c>
      <c r="BE641" s="30" t="s">
        <v>13248</v>
      </c>
      <c r="BF641" s="30" t="s">
        <v>13249</v>
      </c>
      <c r="BG641" s="30" t="s">
        <v>13250</v>
      </c>
      <c r="BH641" s="30" t="s">
        <v>151</v>
      </c>
      <c r="BI641" s="30" t="s">
        <v>5235</v>
      </c>
      <c r="BJ641" s="30" t="s">
        <v>13251</v>
      </c>
      <c r="BK641" s="30" t="s">
        <v>13252</v>
      </c>
      <c r="BL641" s="30" t="s">
        <v>5236</v>
      </c>
      <c r="BM641" s="30" t="s">
        <v>184</v>
      </c>
      <c r="BN641" s="29" t="s">
        <v>7857</v>
      </c>
      <c r="BO641" s="30" t="s">
        <v>186</v>
      </c>
      <c r="BP641" s="29" t="s">
        <v>151</v>
      </c>
      <c r="BQ641" s="29" t="s">
        <v>151</v>
      </c>
      <c r="BR641" s="30" t="s">
        <v>13253</v>
      </c>
      <c r="BS641" s="30" t="s">
        <v>187</v>
      </c>
      <c r="BT641" s="30" t="s">
        <v>188</v>
      </c>
      <c r="BU641" s="35">
        <v>44482</v>
      </c>
      <c r="BV641" s="37">
        <v>1</v>
      </c>
      <c r="BW641" s="30" t="s">
        <v>192</v>
      </c>
      <c r="BX641" s="37" t="s">
        <v>151</v>
      </c>
      <c r="BY641" s="30" t="s">
        <v>151</v>
      </c>
      <c r="BZ641" s="30" t="s">
        <v>293</v>
      </c>
      <c r="CA641" s="30" t="s">
        <v>293</v>
      </c>
      <c r="CB641" s="30" t="s">
        <v>151</v>
      </c>
      <c r="CC641" s="30" t="s">
        <v>165</v>
      </c>
      <c r="CD641" s="30" t="s">
        <v>151</v>
      </c>
      <c r="CE641" s="30" t="s">
        <v>191</v>
      </c>
      <c r="CF641" s="35">
        <v>44482</v>
      </c>
      <c r="CG641" s="37">
        <v>1</v>
      </c>
      <c r="CH641" s="30" t="s">
        <v>192</v>
      </c>
      <c r="CI641" s="37" t="s">
        <v>151</v>
      </c>
      <c r="CJ641" s="30" t="s">
        <v>151</v>
      </c>
      <c r="CK641" s="29" t="s">
        <v>151</v>
      </c>
      <c r="CL641" s="30" t="s">
        <v>293</v>
      </c>
      <c r="CM641" s="30" t="s">
        <v>293</v>
      </c>
      <c r="CN641" s="30" t="s">
        <v>151</v>
      </c>
      <c r="CO641" s="30" t="s">
        <v>165</v>
      </c>
      <c r="CP641" s="35">
        <v>44482</v>
      </c>
      <c r="CQ641" s="37" t="s">
        <v>151</v>
      </c>
      <c r="CR641" s="30" t="s">
        <v>151</v>
      </c>
      <c r="CS641" s="30" t="s">
        <v>191</v>
      </c>
      <c r="CT641" s="29" t="s">
        <v>151</v>
      </c>
      <c r="CU641" s="30" t="s">
        <v>151</v>
      </c>
      <c r="CV641" s="32" t="s">
        <v>151</v>
      </c>
      <c r="CW641" s="32" t="s">
        <v>151</v>
      </c>
      <c r="CX641" s="30" t="s">
        <v>151</v>
      </c>
      <c r="CY641" s="32" t="s">
        <v>151</v>
      </c>
      <c r="CZ641" s="32" t="s">
        <v>151</v>
      </c>
      <c r="DA641" s="37" t="s">
        <v>151</v>
      </c>
      <c r="DB641" s="35" t="s">
        <v>151</v>
      </c>
      <c r="DC641" s="30" t="s">
        <v>151</v>
      </c>
      <c r="DD641" s="29" t="s">
        <v>151</v>
      </c>
      <c r="DE641" s="32">
        <v>0</v>
      </c>
      <c r="DF641" s="34">
        <v>11</v>
      </c>
      <c r="DG641" s="32">
        <v>0</v>
      </c>
      <c r="DH641" s="32">
        <v>0</v>
      </c>
      <c r="DI641" s="32">
        <v>0</v>
      </c>
      <c r="DJ641" s="34">
        <v>10</v>
      </c>
      <c r="DK641" s="32" t="s">
        <v>151</v>
      </c>
      <c r="DL641" s="34" t="s">
        <v>151</v>
      </c>
      <c r="DM641" s="32">
        <v>0</v>
      </c>
      <c r="DN641" s="34">
        <v>10</v>
      </c>
      <c r="DO641" s="36">
        <v>1.86</v>
      </c>
      <c r="DP641" s="34">
        <v>65</v>
      </c>
      <c r="DQ641" s="36">
        <v>0</v>
      </c>
      <c r="DR641" s="32">
        <v>0</v>
      </c>
      <c r="DS641" s="36">
        <v>2.42</v>
      </c>
      <c r="DT641" s="34">
        <v>70</v>
      </c>
      <c r="DU641" s="36" t="s">
        <v>151</v>
      </c>
      <c r="DV641" s="34" t="s">
        <v>151</v>
      </c>
      <c r="DW641" s="36">
        <v>2.42</v>
      </c>
      <c r="DX641" s="34">
        <v>70</v>
      </c>
      <c r="DY641" s="31" t="s">
        <v>151</v>
      </c>
      <c r="DZ641" s="35" t="s">
        <v>151</v>
      </c>
      <c r="EA641" s="35" t="s">
        <v>151</v>
      </c>
      <c r="EB641" s="34">
        <v>175</v>
      </c>
      <c r="EC641" s="33">
        <v>6</v>
      </c>
      <c r="ED641" s="32">
        <v>3.55</v>
      </c>
      <c r="EE641" s="34">
        <v>46</v>
      </c>
      <c r="EF641" s="33">
        <v>0</v>
      </c>
      <c r="EG641" s="32">
        <v>0</v>
      </c>
      <c r="EH641" s="29" t="s">
        <v>198</v>
      </c>
      <c r="EI641" s="30" t="s">
        <v>151</v>
      </c>
      <c r="EJ641" s="30" t="s">
        <v>151</v>
      </c>
      <c r="EK641" s="31" t="s">
        <v>151</v>
      </c>
      <c r="EL641" s="31" t="s">
        <v>151</v>
      </c>
      <c r="EM641" s="31" t="s">
        <v>151</v>
      </c>
      <c r="EN641" s="31" t="s">
        <v>151</v>
      </c>
      <c r="EO641" s="31" t="s">
        <v>151</v>
      </c>
      <c r="EP641" s="30" t="s">
        <v>151</v>
      </c>
      <c r="EQ641" s="29" t="s">
        <v>151</v>
      </c>
      <c r="ER641" s="29" t="s">
        <v>151</v>
      </c>
      <c r="ES641" s="4">
        <f>HYPERLINK("https://my.pitchbook.com?c=483370-75","View Company Online")</f>
      </c>
    </row>
    <row r="642">
      <c r="A642" s="17" t="s">
        <v>13254</v>
      </c>
      <c r="B642" s="17" t="s">
        <v>13255</v>
      </c>
      <c r="C642" s="18" t="s">
        <v>151</v>
      </c>
      <c r="D642" s="17" t="s">
        <v>151</v>
      </c>
      <c r="E642" s="17" t="s">
        <v>151</v>
      </c>
      <c r="F642" s="17" t="s">
        <v>13256</v>
      </c>
      <c r="G642" s="17" t="s">
        <v>151</v>
      </c>
      <c r="H642" s="17" t="s">
        <v>151</v>
      </c>
      <c r="I642" s="17" t="s">
        <v>13257</v>
      </c>
      <c r="J642" s="17" t="s">
        <v>13254</v>
      </c>
      <c r="K642" s="17" t="s">
        <v>13258</v>
      </c>
      <c r="L642" s="17" t="s">
        <v>205</v>
      </c>
      <c r="M642" s="17" t="s">
        <v>206</v>
      </c>
      <c r="N642" s="17" t="s">
        <v>269</v>
      </c>
      <c r="O642" s="17" t="s">
        <v>7207</v>
      </c>
      <c r="P642" s="17" t="s">
        <v>9945</v>
      </c>
      <c r="Q642" s="17" t="s">
        <v>13259</v>
      </c>
      <c r="R642" s="17" t="s">
        <v>151</v>
      </c>
      <c r="S642" s="17" t="s">
        <v>162</v>
      </c>
      <c r="T642" s="24">
        <v>1.1</v>
      </c>
      <c r="U642" s="17" t="s">
        <v>163</v>
      </c>
      <c r="V642" s="17" t="s">
        <v>164</v>
      </c>
      <c r="W642" s="17" t="s">
        <v>165</v>
      </c>
      <c r="X642" s="15" t="s">
        <v>13260</v>
      </c>
      <c r="Y642" s="15" t="s">
        <v>13261</v>
      </c>
      <c r="Z642" s="27">
        <v>12</v>
      </c>
      <c r="AA642" s="17" t="s">
        <v>13262</v>
      </c>
      <c r="AB642" s="17" t="s">
        <v>151</v>
      </c>
      <c r="AC642" s="17" t="s">
        <v>151</v>
      </c>
      <c r="AD642" s="26">
        <v>2019</v>
      </c>
      <c r="AE642" s="17" t="s">
        <v>151</v>
      </c>
      <c r="AF642" s="22">
        <v>45533</v>
      </c>
      <c r="AG642" s="17" t="s">
        <v>151</v>
      </c>
      <c r="AH642" s="17" t="s">
        <v>151</v>
      </c>
      <c r="AI642" s="25">
        <v>0.04</v>
      </c>
      <c r="AJ642" s="19" t="s">
        <v>151</v>
      </c>
      <c r="AK642" s="25" t="s">
        <v>151</v>
      </c>
      <c r="AL642" s="25" t="s">
        <v>151</v>
      </c>
      <c r="AM642" s="25" t="s">
        <v>151</v>
      </c>
      <c r="AN642" s="25" t="s">
        <v>151</v>
      </c>
      <c r="AO642" s="25" t="s">
        <v>151</v>
      </c>
      <c r="AP642" s="25" t="s">
        <v>151</v>
      </c>
      <c r="AQ642" s="25" t="s">
        <v>151</v>
      </c>
      <c r="AR642" s="16" t="s">
        <v>3435</v>
      </c>
      <c r="AS642" s="17" t="s">
        <v>13263</v>
      </c>
      <c r="AT642" s="17" t="s">
        <v>13264</v>
      </c>
      <c r="AU642" s="18">
        <v>3</v>
      </c>
      <c r="AV642" s="17" t="s">
        <v>151</v>
      </c>
      <c r="AW642" s="17" t="s">
        <v>151</v>
      </c>
      <c r="AX642" s="17" t="s">
        <v>151</v>
      </c>
      <c r="AY642" s="17" t="s">
        <v>9074</v>
      </c>
      <c r="AZ642" s="17" t="s">
        <v>151</v>
      </c>
      <c r="BA642" s="17" t="s">
        <v>151</v>
      </c>
      <c r="BB642" s="17" t="s">
        <v>151</v>
      </c>
      <c r="BC642" s="17" t="s">
        <v>151</v>
      </c>
      <c r="BD642" s="17" t="s">
        <v>13265</v>
      </c>
      <c r="BE642" s="17" t="s">
        <v>13266</v>
      </c>
      <c r="BF642" s="17" t="s">
        <v>221</v>
      </c>
      <c r="BG642" s="17" t="s">
        <v>13267</v>
      </c>
      <c r="BH642" s="17" t="s">
        <v>13268</v>
      </c>
      <c r="BI642" s="17" t="s">
        <v>13269</v>
      </c>
      <c r="BJ642" s="17" t="s">
        <v>13270</v>
      </c>
      <c r="BK642" s="17" t="s">
        <v>13271</v>
      </c>
      <c r="BL642" s="17" t="s">
        <v>13272</v>
      </c>
      <c r="BM642" s="17" t="s">
        <v>5682</v>
      </c>
      <c r="BN642" s="16" t="s">
        <v>13273</v>
      </c>
      <c r="BO642" s="17" t="s">
        <v>186</v>
      </c>
      <c r="BP642" s="16" t="s">
        <v>13268</v>
      </c>
      <c r="BQ642" s="16" t="s">
        <v>151</v>
      </c>
      <c r="BR642" s="17" t="s">
        <v>13274</v>
      </c>
      <c r="BS642" s="17" t="s">
        <v>187</v>
      </c>
      <c r="BT642" s="17" t="s">
        <v>188</v>
      </c>
      <c r="BU642" s="22">
        <v>43951</v>
      </c>
      <c r="BV642" s="24">
        <v>0.78</v>
      </c>
      <c r="BW642" s="17" t="s">
        <v>192</v>
      </c>
      <c r="BX642" s="24" t="s">
        <v>151</v>
      </c>
      <c r="BY642" s="17" t="s">
        <v>151</v>
      </c>
      <c r="BZ642" s="17" t="s">
        <v>1391</v>
      </c>
      <c r="CA642" s="17" t="s">
        <v>151</v>
      </c>
      <c r="CB642" s="17" t="s">
        <v>151</v>
      </c>
      <c r="CC642" s="17" t="s">
        <v>585</v>
      </c>
      <c r="CD642" s="17" t="s">
        <v>151</v>
      </c>
      <c r="CE642" s="17" t="s">
        <v>191</v>
      </c>
      <c r="CF642" s="22">
        <v>44500</v>
      </c>
      <c r="CG642" s="24">
        <v>0.33</v>
      </c>
      <c r="CH642" s="17" t="s">
        <v>192</v>
      </c>
      <c r="CI642" s="24" t="s">
        <v>151</v>
      </c>
      <c r="CJ642" s="17" t="s">
        <v>151</v>
      </c>
      <c r="CK642" s="16" t="s">
        <v>151</v>
      </c>
      <c r="CL642" s="17" t="s">
        <v>293</v>
      </c>
      <c r="CM642" s="17" t="s">
        <v>293</v>
      </c>
      <c r="CN642" s="17" t="s">
        <v>151</v>
      </c>
      <c r="CO642" s="17" t="s">
        <v>165</v>
      </c>
      <c r="CP642" s="22">
        <v>44500</v>
      </c>
      <c r="CQ642" s="24">
        <v>0.05</v>
      </c>
      <c r="CR642" s="17" t="s">
        <v>151</v>
      </c>
      <c r="CS642" s="17" t="s">
        <v>191</v>
      </c>
      <c r="CT642" s="16" t="s">
        <v>151</v>
      </c>
      <c r="CU642" s="17" t="s">
        <v>151</v>
      </c>
      <c r="CV642" s="19" t="s">
        <v>151</v>
      </c>
      <c r="CW642" s="19" t="s">
        <v>151</v>
      </c>
      <c r="CX642" s="17" t="s">
        <v>151</v>
      </c>
      <c r="CY642" s="19" t="s">
        <v>151</v>
      </c>
      <c r="CZ642" s="19" t="s">
        <v>151</v>
      </c>
      <c r="DA642" s="24" t="s">
        <v>151</v>
      </c>
      <c r="DB642" s="22" t="s">
        <v>151</v>
      </c>
      <c r="DC642" s="17" t="s">
        <v>151</v>
      </c>
      <c r="DD642" s="16" t="s">
        <v>151</v>
      </c>
      <c r="DE642" s="19">
        <v>0</v>
      </c>
      <c r="DF642" s="21">
        <v>11</v>
      </c>
      <c r="DG642" s="19">
        <v>0</v>
      </c>
      <c r="DH642" s="19">
        <v>0</v>
      </c>
      <c r="DI642" s="19">
        <v>0</v>
      </c>
      <c r="DJ642" s="21">
        <v>10</v>
      </c>
      <c r="DK642" s="19" t="s">
        <v>151</v>
      </c>
      <c r="DL642" s="21" t="s">
        <v>151</v>
      </c>
      <c r="DM642" s="19">
        <v>0</v>
      </c>
      <c r="DN642" s="21">
        <v>10</v>
      </c>
      <c r="DO642" s="23">
        <v>0.38</v>
      </c>
      <c r="DP642" s="21">
        <v>27</v>
      </c>
      <c r="DQ642" s="23">
        <v>0</v>
      </c>
      <c r="DR642" s="19">
        <v>0</v>
      </c>
      <c r="DS642" s="23">
        <v>0.58</v>
      </c>
      <c r="DT642" s="21">
        <v>36</v>
      </c>
      <c r="DU642" s="23" t="s">
        <v>151</v>
      </c>
      <c r="DV642" s="21" t="s">
        <v>151</v>
      </c>
      <c r="DW642" s="23">
        <v>0.58</v>
      </c>
      <c r="DX642" s="21">
        <v>36</v>
      </c>
      <c r="DY642" s="18" t="s">
        <v>151</v>
      </c>
      <c r="DZ642" s="22" t="s">
        <v>151</v>
      </c>
      <c r="EA642" s="22" t="s">
        <v>151</v>
      </c>
      <c r="EB642" s="21">
        <v>0</v>
      </c>
      <c r="EC642" s="20">
        <v>0</v>
      </c>
      <c r="ED642" s="19">
        <v>0</v>
      </c>
      <c r="EE642" s="21">
        <v>11</v>
      </c>
      <c r="EF642" s="20">
        <v>0</v>
      </c>
      <c r="EG642" s="19">
        <v>0</v>
      </c>
      <c r="EH642" s="16" t="s">
        <v>198</v>
      </c>
      <c r="EI642" s="17" t="s">
        <v>151</v>
      </c>
      <c r="EJ642" s="17" t="s">
        <v>151</v>
      </c>
      <c r="EK642" s="18" t="s">
        <v>151</v>
      </c>
      <c r="EL642" s="18" t="s">
        <v>151</v>
      </c>
      <c r="EM642" s="18" t="s">
        <v>151</v>
      </c>
      <c r="EN642" s="18" t="s">
        <v>151</v>
      </c>
      <c r="EO642" s="18" t="s">
        <v>151</v>
      </c>
      <c r="EP642" s="17" t="s">
        <v>151</v>
      </c>
      <c r="EQ642" s="16" t="s">
        <v>151</v>
      </c>
      <c r="ER642" s="16" t="s">
        <v>151</v>
      </c>
      <c r="ES642" s="3">
        <f>HYPERLINK("https://my.pitchbook.com?c=431696-26","View Company Online")</f>
      </c>
    </row>
    <row r="643">
      <c r="A643" s="30" t="s">
        <v>13275</v>
      </c>
      <c r="B643" s="30" t="s">
        <v>13276</v>
      </c>
      <c r="C643" s="31" t="s">
        <v>151</v>
      </c>
      <c r="D643" s="30" t="s">
        <v>151</v>
      </c>
      <c r="E643" s="30" t="s">
        <v>151</v>
      </c>
      <c r="F643" s="30" t="s">
        <v>13277</v>
      </c>
      <c r="G643" s="30" t="s">
        <v>151</v>
      </c>
      <c r="H643" s="30" t="s">
        <v>151</v>
      </c>
      <c r="I643" s="30" t="s">
        <v>13278</v>
      </c>
      <c r="J643" s="30" t="s">
        <v>13275</v>
      </c>
      <c r="K643" s="30" t="s">
        <v>13279</v>
      </c>
      <c r="L643" s="30" t="s">
        <v>205</v>
      </c>
      <c r="M643" s="30" t="s">
        <v>206</v>
      </c>
      <c r="N643" s="30" t="s">
        <v>269</v>
      </c>
      <c r="O643" s="30" t="s">
        <v>563</v>
      </c>
      <c r="P643" s="30" t="s">
        <v>1153</v>
      </c>
      <c r="Q643" s="30" t="s">
        <v>13280</v>
      </c>
      <c r="R643" s="30" t="s">
        <v>780</v>
      </c>
      <c r="S643" s="30" t="s">
        <v>162</v>
      </c>
      <c r="T643" s="37">
        <v>72.61</v>
      </c>
      <c r="U643" s="30" t="s">
        <v>163</v>
      </c>
      <c r="V643" s="30" t="s">
        <v>164</v>
      </c>
      <c r="W643" s="30" t="s">
        <v>165</v>
      </c>
      <c r="X643" s="28" t="s">
        <v>13281</v>
      </c>
      <c r="Y643" s="28" t="s">
        <v>13282</v>
      </c>
      <c r="Z643" s="40">
        <v>93</v>
      </c>
      <c r="AA643" s="30" t="s">
        <v>13283</v>
      </c>
      <c r="AB643" s="30" t="s">
        <v>151</v>
      </c>
      <c r="AC643" s="30" t="s">
        <v>151</v>
      </c>
      <c r="AD643" s="39">
        <v>2018</v>
      </c>
      <c r="AE643" s="30" t="s">
        <v>151</v>
      </c>
      <c r="AF643" s="35">
        <v>45608</v>
      </c>
      <c r="AG643" s="30" t="s">
        <v>151</v>
      </c>
      <c r="AH643" s="30" t="s">
        <v>151</v>
      </c>
      <c r="AI643" s="38" t="s">
        <v>151</v>
      </c>
      <c r="AJ643" s="32" t="s">
        <v>151</v>
      </c>
      <c r="AK643" s="38" t="s">
        <v>151</v>
      </c>
      <c r="AL643" s="38" t="s">
        <v>151</v>
      </c>
      <c r="AM643" s="38" t="s">
        <v>151</v>
      </c>
      <c r="AN643" s="38" t="s">
        <v>151</v>
      </c>
      <c r="AO643" s="38" t="s">
        <v>151</v>
      </c>
      <c r="AP643" s="38" t="s">
        <v>151</v>
      </c>
      <c r="AQ643" s="38" t="s">
        <v>151</v>
      </c>
      <c r="AR643" s="29" t="s">
        <v>151</v>
      </c>
      <c r="AS643" s="30" t="s">
        <v>13284</v>
      </c>
      <c r="AT643" s="30" t="s">
        <v>13285</v>
      </c>
      <c r="AU643" s="31">
        <v>19</v>
      </c>
      <c r="AV643" s="30" t="s">
        <v>151</v>
      </c>
      <c r="AW643" s="30" t="s">
        <v>151</v>
      </c>
      <c r="AX643" s="30" t="s">
        <v>151</v>
      </c>
      <c r="AY643" s="30" t="s">
        <v>13286</v>
      </c>
      <c r="AZ643" s="30" t="s">
        <v>151</v>
      </c>
      <c r="BA643" s="30" t="s">
        <v>151</v>
      </c>
      <c r="BB643" s="30" t="s">
        <v>151</v>
      </c>
      <c r="BC643" s="30" t="s">
        <v>343</v>
      </c>
      <c r="BD643" s="30" t="s">
        <v>13287</v>
      </c>
      <c r="BE643" s="30" t="s">
        <v>13288</v>
      </c>
      <c r="BF643" s="30" t="s">
        <v>493</v>
      </c>
      <c r="BG643" s="30" t="s">
        <v>13289</v>
      </c>
      <c r="BH643" s="30" t="s">
        <v>151</v>
      </c>
      <c r="BI643" s="30" t="s">
        <v>764</v>
      </c>
      <c r="BJ643" s="30" t="s">
        <v>13290</v>
      </c>
      <c r="BK643" s="30" t="s">
        <v>151</v>
      </c>
      <c r="BL643" s="30" t="s">
        <v>767</v>
      </c>
      <c r="BM643" s="30" t="s">
        <v>184</v>
      </c>
      <c r="BN643" s="29" t="s">
        <v>3001</v>
      </c>
      <c r="BO643" s="30" t="s">
        <v>186</v>
      </c>
      <c r="BP643" s="29" t="s">
        <v>151</v>
      </c>
      <c r="BQ643" s="29" t="s">
        <v>151</v>
      </c>
      <c r="BR643" s="30" t="s">
        <v>13291</v>
      </c>
      <c r="BS643" s="30" t="s">
        <v>187</v>
      </c>
      <c r="BT643" s="30" t="s">
        <v>188</v>
      </c>
      <c r="BU643" s="35">
        <v>43101</v>
      </c>
      <c r="BV643" s="37" t="s">
        <v>151</v>
      </c>
      <c r="BW643" s="30" t="s">
        <v>151</v>
      </c>
      <c r="BX643" s="37" t="s">
        <v>151</v>
      </c>
      <c r="BY643" s="30" t="s">
        <v>151</v>
      </c>
      <c r="BZ643" s="30" t="s">
        <v>660</v>
      </c>
      <c r="CA643" s="30" t="s">
        <v>151</v>
      </c>
      <c r="CB643" s="30" t="s">
        <v>151</v>
      </c>
      <c r="CC643" s="30" t="s">
        <v>385</v>
      </c>
      <c r="CD643" s="30" t="s">
        <v>151</v>
      </c>
      <c r="CE643" s="30" t="s">
        <v>191</v>
      </c>
      <c r="CF643" s="35">
        <v>44671</v>
      </c>
      <c r="CG643" s="37">
        <v>50</v>
      </c>
      <c r="CH643" s="30" t="s">
        <v>192</v>
      </c>
      <c r="CI643" s="37">
        <v>615</v>
      </c>
      <c r="CJ643" s="30" t="s">
        <v>192</v>
      </c>
      <c r="CK643" s="29">
        <v>5.95</v>
      </c>
      <c r="CL643" s="30" t="s">
        <v>231</v>
      </c>
      <c r="CM643" s="30" t="s">
        <v>326</v>
      </c>
      <c r="CN643" s="30" t="s">
        <v>151</v>
      </c>
      <c r="CO643" s="30" t="s">
        <v>165</v>
      </c>
      <c r="CP643" s="35">
        <v>44671</v>
      </c>
      <c r="CQ643" s="37" t="s">
        <v>151</v>
      </c>
      <c r="CR643" s="30" t="s">
        <v>151</v>
      </c>
      <c r="CS643" s="30" t="s">
        <v>191</v>
      </c>
      <c r="CT643" s="29">
        <v>74</v>
      </c>
      <c r="CU643" s="30" t="s">
        <v>196</v>
      </c>
      <c r="CV643" s="32">
        <v>81</v>
      </c>
      <c r="CW643" s="32">
        <v>19</v>
      </c>
      <c r="CX643" s="30" t="s">
        <v>294</v>
      </c>
      <c r="CY643" s="32">
        <v>36</v>
      </c>
      <c r="CZ643" s="32">
        <v>45</v>
      </c>
      <c r="DA643" s="37">
        <v>615</v>
      </c>
      <c r="DB643" s="35">
        <v>44671</v>
      </c>
      <c r="DC643" s="30" t="s">
        <v>231</v>
      </c>
      <c r="DD643" s="29">
        <v>5.95</v>
      </c>
      <c r="DE643" s="32">
        <v>0.23</v>
      </c>
      <c r="DF643" s="34">
        <v>92</v>
      </c>
      <c r="DG643" s="32">
        <v>0</v>
      </c>
      <c r="DH643" s="32">
        <v>0</v>
      </c>
      <c r="DI643" s="32">
        <v>0.72</v>
      </c>
      <c r="DJ643" s="34">
        <v>96</v>
      </c>
      <c r="DK643" s="32" t="s">
        <v>151</v>
      </c>
      <c r="DL643" s="34" t="s">
        <v>151</v>
      </c>
      <c r="DM643" s="32">
        <v>0.72</v>
      </c>
      <c r="DN643" s="34">
        <v>96</v>
      </c>
      <c r="DO643" s="36">
        <v>33.81</v>
      </c>
      <c r="DP643" s="34">
        <v>97</v>
      </c>
      <c r="DQ643" s="36">
        <v>0</v>
      </c>
      <c r="DR643" s="32">
        <v>0</v>
      </c>
      <c r="DS643" s="36">
        <v>60.47</v>
      </c>
      <c r="DT643" s="34">
        <v>99</v>
      </c>
      <c r="DU643" s="36" t="s">
        <v>151</v>
      </c>
      <c r="DV643" s="34" t="s">
        <v>151</v>
      </c>
      <c r="DW643" s="36">
        <v>60.47</v>
      </c>
      <c r="DX643" s="34">
        <v>99</v>
      </c>
      <c r="DY643" s="31" t="s">
        <v>151</v>
      </c>
      <c r="DZ643" s="35" t="s">
        <v>151</v>
      </c>
      <c r="EA643" s="35" t="s">
        <v>151</v>
      </c>
      <c r="EB643" s="34">
        <v>8161</v>
      </c>
      <c r="EC643" s="33">
        <v>151</v>
      </c>
      <c r="ED643" s="32">
        <v>1.89</v>
      </c>
      <c r="EE643" s="34">
        <v>1149</v>
      </c>
      <c r="EF643" s="33">
        <v>4</v>
      </c>
      <c r="EG643" s="32">
        <v>0.35</v>
      </c>
      <c r="EH643" s="29" t="s">
        <v>198</v>
      </c>
      <c r="EI643" s="30" t="s">
        <v>151</v>
      </c>
      <c r="EJ643" s="30" t="s">
        <v>151</v>
      </c>
      <c r="EK643" s="31" t="s">
        <v>151</v>
      </c>
      <c r="EL643" s="31" t="s">
        <v>151</v>
      </c>
      <c r="EM643" s="31" t="s">
        <v>151</v>
      </c>
      <c r="EN643" s="31" t="s">
        <v>151</v>
      </c>
      <c r="EO643" s="31" t="s">
        <v>151</v>
      </c>
      <c r="EP643" s="30" t="s">
        <v>151</v>
      </c>
      <c r="EQ643" s="29" t="s">
        <v>151</v>
      </c>
      <c r="ER643" s="29" t="s">
        <v>151</v>
      </c>
      <c r="ES643" s="4">
        <f>HYPERLINK("https://my.pitchbook.com?c=232144-21","View Company Online")</f>
      </c>
    </row>
    <row r="644">
      <c r="A644" s="17" t="s">
        <v>13292</v>
      </c>
      <c r="B644" s="17" t="s">
        <v>13293</v>
      </c>
      <c r="C644" s="18" t="s">
        <v>151</v>
      </c>
      <c r="D644" s="17" t="s">
        <v>151</v>
      </c>
      <c r="E644" s="17" t="s">
        <v>151</v>
      </c>
      <c r="F644" s="17" t="s">
        <v>13294</v>
      </c>
      <c r="G644" s="17" t="s">
        <v>151</v>
      </c>
      <c r="H644" s="17" t="s">
        <v>151</v>
      </c>
      <c r="I644" s="17" t="s">
        <v>151</v>
      </c>
      <c r="J644" s="17" t="s">
        <v>13292</v>
      </c>
      <c r="K644" s="17" t="s">
        <v>13295</v>
      </c>
      <c r="L644" s="17" t="s">
        <v>205</v>
      </c>
      <c r="M644" s="17" t="s">
        <v>206</v>
      </c>
      <c r="N644" s="17" t="s">
        <v>207</v>
      </c>
      <c r="O644" s="17" t="s">
        <v>13296</v>
      </c>
      <c r="P644" s="17" t="s">
        <v>3577</v>
      </c>
      <c r="Q644" s="17" t="s">
        <v>13297</v>
      </c>
      <c r="R644" s="17" t="s">
        <v>151</v>
      </c>
      <c r="S644" s="17" t="s">
        <v>162</v>
      </c>
      <c r="T644" s="24">
        <v>5</v>
      </c>
      <c r="U644" s="17" t="s">
        <v>163</v>
      </c>
      <c r="V644" s="17" t="s">
        <v>164</v>
      </c>
      <c r="W644" s="17" t="s">
        <v>165</v>
      </c>
      <c r="X644" s="15" t="s">
        <v>13298</v>
      </c>
      <c r="Y644" s="15" t="s">
        <v>13299</v>
      </c>
      <c r="Z644" s="27">
        <v>29</v>
      </c>
      <c r="AA644" s="17" t="s">
        <v>13300</v>
      </c>
      <c r="AB644" s="17" t="s">
        <v>151</v>
      </c>
      <c r="AC644" s="17" t="s">
        <v>151</v>
      </c>
      <c r="AD644" s="26">
        <v>2021</v>
      </c>
      <c r="AE644" s="17" t="s">
        <v>151</v>
      </c>
      <c r="AF644" s="22">
        <v>45596</v>
      </c>
      <c r="AG644" s="17" t="s">
        <v>151</v>
      </c>
      <c r="AH644" s="17" t="s">
        <v>151</v>
      </c>
      <c r="AI644" s="25" t="s">
        <v>151</v>
      </c>
      <c r="AJ644" s="19" t="s">
        <v>151</v>
      </c>
      <c r="AK644" s="25" t="s">
        <v>151</v>
      </c>
      <c r="AL644" s="25" t="s">
        <v>151</v>
      </c>
      <c r="AM644" s="25" t="s">
        <v>151</v>
      </c>
      <c r="AN644" s="25" t="s">
        <v>151</v>
      </c>
      <c r="AO644" s="25" t="s">
        <v>151</v>
      </c>
      <c r="AP644" s="25" t="s">
        <v>151</v>
      </c>
      <c r="AQ644" s="25" t="s">
        <v>151</v>
      </c>
      <c r="AR644" s="16" t="s">
        <v>151</v>
      </c>
      <c r="AS644" s="17" t="s">
        <v>13301</v>
      </c>
      <c r="AT644" s="17" t="s">
        <v>13302</v>
      </c>
      <c r="AU644" s="18">
        <v>3</v>
      </c>
      <c r="AV644" s="17" t="s">
        <v>151</v>
      </c>
      <c r="AW644" s="17" t="s">
        <v>151</v>
      </c>
      <c r="AX644" s="17" t="s">
        <v>151</v>
      </c>
      <c r="AY644" s="17" t="s">
        <v>13303</v>
      </c>
      <c r="AZ644" s="17" t="s">
        <v>151</v>
      </c>
      <c r="BA644" s="17" t="s">
        <v>151</v>
      </c>
      <c r="BB644" s="17" t="s">
        <v>151</v>
      </c>
      <c r="BC644" s="17" t="s">
        <v>343</v>
      </c>
      <c r="BD644" s="17" t="s">
        <v>13304</v>
      </c>
      <c r="BE644" s="17" t="s">
        <v>13305</v>
      </c>
      <c r="BF644" s="17" t="s">
        <v>13306</v>
      </c>
      <c r="BG644" s="17" t="s">
        <v>13307</v>
      </c>
      <c r="BH644" s="17" t="s">
        <v>151</v>
      </c>
      <c r="BI644" s="17" t="s">
        <v>1710</v>
      </c>
      <c r="BJ644" s="17" t="s">
        <v>13308</v>
      </c>
      <c r="BK644" s="17" t="s">
        <v>1014</v>
      </c>
      <c r="BL644" s="17" t="s">
        <v>1713</v>
      </c>
      <c r="BM644" s="17" t="s">
        <v>184</v>
      </c>
      <c r="BN644" s="16" t="s">
        <v>2096</v>
      </c>
      <c r="BO644" s="17" t="s">
        <v>186</v>
      </c>
      <c r="BP644" s="16" t="s">
        <v>151</v>
      </c>
      <c r="BQ644" s="16" t="s">
        <v>151</v>
      </c>
      <c r="BR644" s="17" t="s">
        <v>13309</v>
      </c>
      <c r="BS644" s="17" t="s">
        <v>187</v>
      </c>
      <c r="BT644" s="17" t="s">
        <v>188</v>
      </c>
      <c r="BU644" s="22">
        <v>44845</v>
      </c>
      <c r="BV644" s="24">
        <v>5</v>
      </c>
      <c r="BW644" s="17" t="s">
        <v>192</v>
      </c>
      <c r="BX644" s="24">
        <v>17.5</v>
      </c>
      <c r="BY644" s="17" t="s">
        <v>192</v>
      </c>
      <c r="BZ644" s="17" t="s">
        <v>293</v>
      </c>
      <c r="CA644" s="17" t="s">
        <v>293</v>
      </c>
      <c r="CB644" s="17" t="s">
        <v>151</v>
      </c>
      <c r="CC644" s="17" t="s">
        <v>165</v>
      </c>
      <c r="CD644" s="17" t="s">
        <v>151</v>
      </c>
      <c r="CE644" s="17" t="s">
        <v>191</v>
      </c>
      <c r="CF644" s="22">
        <v>45323</v>
      </c>
      <c r="CG644" s="24" t="s">
        <v>151</v>
      </c>
      <c r="CH644" s="17" t="s">
        <v>151</v>
      </c>
      <c r="CI644" s="24" t="s">
        <v>151</v>
      </c>
      <c r="CJ644" s="17" t="s">
        <v>151</v>
      </c>
      <c r="CK644" s="16" t="s">
        <v>151</v>
      </c>
      <c r="CL644" s="17" t="s">
        <v>189</v>
      </c>
      <c r="CM644" s="17" t="s">
        <v>151</v>
      </c>
      <c r="CN644" s="17" t="s">
        <v>151</v>
      </c>
      <c r="CO644" s="17" t="s">
        <v>190</v>
      </c>
      <c r="CP644" s="22">
        <v>45323</v>
      </c>
      <c r="CQ644" s="24" t="s">
        <v>151</v>
      </c>
      <c r="CR644" s="17" t="s">
        <v>151</v>
      </c>
      <c r="CS644" s="17" t="s">
        <v>191</v>
      </c>
      <c r="CT644" s="16" t="s">
        <v>151</v>
      </c>
      <c r="CU644" s="17" t="s">
        <v>151</v>
      </c>
      <c r="CV644" s="19" t="s">
        <v>151</v>
      </c>
      <c r="CW644" s="19" t="s">
        <v>151</v>
      </c>
      <c r="CX644" s="17" t="s">
        <v>151</v>
      </c>
      <c r="CY644" s="19" t="s">
        <v>151</v>
      </c>
      <c r="CZ644" s="19" t="s">
        <v>151</v>
      </c>
      <c r="DA644" s="24">
        <v>17.5</v>
      </c>
      <c r="DB644" s="22">
        <v>44845</v>
      </c>
      <c r="DC644" s="17" t="s">
        <v>293</v>
      </c>
      <c r="DD644" s="16" t="s">
        <v>151</v>
      </c>
      <c r="DE644" s="19">
        <v>0.22</v>
      </c>
      <c r="DF644" s="21">
        <v>92</v>
      </c>
      <c r="DG644" s="19">
        <v>0</v>
      </c>
      <c r="DH644" s="19">
        <v>0</v>
      </c>
      <c r="DI644" s="19">
        <v>0</v>
      </c>
      <c r="DJ644" s="21">
        <v>10</v>
      </c>
      <c r="DK644" s="19" t="s">
        <v>151</v>
      </c>
      <c r="DL644" s="21" t="s">
        <v>151</v>
      </c>
      <c r="DM644" s="19">
        <v>0</v>
      </c>
      <c r="DN644" s="21">
        <v>10</v>
      </c>
      <c r="DO644" s="23">
        <v>3.09</v>
      </c>
      <c r="DP644" s="21">
        <v>75</v>
      </c>
      <c r="DQ644" s="23">
        <v>0</v>
      </c>
      <c r="DR644" s="19">
        <v>0</v>
      </c>
      <c r="DS644" s="23">
        <v>3.95</v>
      </c>
      <c r="DT644" s="21">
        <v>79</v>
      </c>
      <c r="DU644" s="23" t="s">
        <v>151</v>
      </c>
      <c r="DV644" s="21" t="s">
        <v>151</v>
      </c>
      <c r="DW644" s="23">
        <v>3.95</v>
      </c>
      <c r="DX644" s="21">
        <v>78</v>
      </c>
      <c r="DY644" s="18" t="s">
        <v>151</v>
      </c>
      <c r="DZ644" s="22" t="s">
        <v>151</v>
      </c>
      <c r="EA644" s="22" t="s">
        <v>151</v>
      </c>
      <c r="EB644" s="21">
        <v>421</v>
      </c>
      <c r="EC644" s="20">
        <v>21</v>
      </c>
      <c r="ED644" s="19">
        <v>5.25</v>
      </c>
      <c r="EE644" s="21">
        <v>75</v>
      </c>
      <c r="EF644" s="20">
        <v>1</v>
      </c>
      <c r="EG644" s="19">
        <v>1.35</v>
      </c>
      <c r="EH644" s="16" t="s">
        <v>198</v>
      </c>
      <c r="EI644" s="17" t="s">
        <v>151</v>
      </c>
      <c r="EJ644" s="17" t="s">
        <v>151</v>
      </c>
      <c r="EK644" s="18" t="s">
        <v>151</v>
      </c>
      <c r="EL644" s="18" t="s">
        <v>151</v>
      </c>
      <c r="EM644" s="18" t="s">
        <v>151</v>
      </c>
      <c r="EN644" s="18" t="s">
        <v>151</v>
      </c>
      <c r="EO644" s="18" t="s">
        <v>151</v>
      </c>
      <c r="EP644" s="17" t="s">
        <v>151</v>
      </c>
      <c r="EQ644" s="16" t="s">
        <v>151</v>
      </c>
      <c r="ER644" s="16" t="s">
        <v>151</v>
      </c>
      <c r="ES644" s="3">
        <f>HYPERLINK("https://my.pitchbook.com?c=510397-57","View Company Online")</f>
      </c>
    </row>
    <row r="645">
      <c r="A645" s="30" t="s">
        <v>13310</v>
      </c>
      <c r="B645" s="30" t="s">
        <v>13311</v>
      </c>
      <c r="C645" s="31" t="s">
        <v>151</v>
      </c>
      <c r="D645" s="30" t="s">
        <v>151</v>
      </c>
      <c r="E645" s="30" t="s">
        <v>151</v>
      </c>
      <c r="F645" s="30" t="s">
        <v>13312</v>
      </c>
      <c r="G645" s="30" t="s">
        <v>151</v>
      </c>
      <c r="H645" s="30" t="s">
        <v>151</v>
      </c>
      <c r="I645" s="30" t="s">
        <v>151</v>
      </c>
      <c r="J645" s="30" t="s">
        <v>13310</v>
      </c>
      <c r="K645" s="30" t="s">
        <v>13313</v>
      </c>
      <c r="L645" s="30" t="s">
        <v>205</v>
      </c>
      <c r="M645" s="30" t="s">
        <v>206</v>
      </c>
      <c r="N645" s="30" t="s">
        <v>1268</v>
      </c>
      <c r="O645" s="30" t="s">
        <v>2129</v>
      </c>
      <c r="P645" s="30" t="s">
        <v>2130</v>
      </c>
      <c r="Q645" s="30" t="s">
        <v>13314</v>
      </c>
      <c r="R645" s="30" t="s">
        <v>151</v>
      </c>
      <c r="S645" s="30" t="s">
        <v>162</v>
      </c>
      <c r="T645" s="37">
        <v>1.25</v>
      </c>
      <c r="U645" s="30" t="s">
        <v>163</v>
      </c>
      <c r="V645" s="30" t="s">
        <v>164</v>
      </c>
      <c r="W645" s="30" t="s">
        <v>165</v>
      </c>
      <c r="X645" s="28" t="s">
        <v>13315</v>
      </c>
      <c r="Y645" s="28" t="s">
        <v>13316</v>
      </c>
      <c r="Z645" s="40">
        <v>10</v>
      </c>
      <c r="AA645" s="30" t="s">
        <v>13317</v>
      </c>
      <c r="AB645" s="30" t="s">
        <v>151</v>
      </c>
      <c r="AC645" s="30" t="s">
        <v>151</v>
      </c>
      <c r="AD645" s="39">
        <v>2022</v>
      </c>
      <c r="AE645" s="30" t="s">
        <v>151</v>
      </c>
      <c r="AF645" s="35">
        <v>45356</v>
      </c>
      <c r="AG645" s="30" t="s">
        <v>151</v>
      </c>
      <c r="AH645" s="30" t="s">
        <v>151</v>
      </c>
      <c r="AI645" s="38" t="s">
        <v>151</v>
      </c>
      <c r="AJ645" s="32" t="s">
        <v>151</v>
      </c>
      <c r="AK645" s="38" t="s">
        <v>151</v>
      </c>
      <c r="AL645" s="38" t="s">
        <v>151</v>
      </c>
      <c r="AM645" s="38" t="s">
        <v>151</v>
      </c>
      <c r="AN645" s="38" t="s">
        <v>151</v>
      </c>
      <c r="AO645" s="38" t="s">
        <v>151</v>
      </c>
      <c r="AP645" s="38" t="s">
        <v>151</v>
      </c>
      <c r="AQ645" s="38" t="s">
        <v>151</v>
      </c>
      <c r="AR645" s="29" t="s">
        <v>151</v>
      </c>
      <c r="AS645" s="30" t="s">
        <v>13318</v>
      </c>
      <c r="AT645" s="30" t="s">
        <v>13319</v>
      </c>
      <c r="AU645" s="31">
        <v>5</v>
      </c>
      <c r="AV645" s="30" t="s">
        <v>151</v>
      </c>
      <c r="AW645" s="30" t="s">
        <v>151</v>
      </c>
      <c r="AX645" s="30" t="s">
        <v>151</v>
      </c>
      <c r="AY645" s="30" t="s">
        <v>13320</v>
      </c>
      <c r="AZ645" s="30" t="s">
        <v>151</v>
      </c>
      <c r="BA645" s="30" t="s">
        <v>151</v>
      </c>
      <c r="BB645" s="30" t="s">
        <v>151</v>
      </c>
      <c r="BC645" s="30" t="s">
        <v>151</v>
      </c>
      <c r="BD645" s="30" t="s">
        <v>13321</v>
      </c>
      <c r="BE645" s="30" t="s">
        <v>13322</v>
      </c>
      <c r="BF645" s="30" t="s">
        <v>221</v>
      </c>
      <c r="BG645" s="30" t="s">
        <v>13323</v>
      </c>
      <c r="BH645" s="30" t="s">
        <v>13324</v>
      </c>
      <c r="BI645" s="30" t="s">
        <v>764</v>
      </c>
      <c r="BJ645" s="30" t="s">
        <v>13325</v>
      </c>
      <c r="BK645" s="30" t="s">
        <v>13326</v>
      </c>
      <c r="BL645" s="30" t="s">
        <v>767</v>
      </c>
      <c r="BM645" s="30" t="s">
        <v>184</v>
      </c>
      <c r="BN645" s="29" t="s">
        <v>151</v>
      </c>
      <c r="BO645" s="30" t="s">
        <v>186</v>
      </c>
      <c r="BP645" s="29" t="s">
        <v>13324</v>
      </c>
      <c r="BQ645" s="29" t="s">
        <v>151</v>
      </c>
      <c r="BR645" s="30" t="s">
        <v>13327</v>
      </c>
      <c r="BS645" s="30" t="s">
        <v>187</v>
      </c>
      <c r="BT645" s="30" t="s">
        <v>188</v>
      </c>
      <c r="BU645" s="35">
        <v>44873</v>
      </c>
      <c r="BV645" s="37">
        <v>1.25</v>
      </c>
      <c r="BW645" s="30" t="s">
        <v>192</v>
      </c>
      <c r="BX645" s="37" t="s">
        <v>151</v>
      </c>
      <c r="BY645" s="30" t="s">
        <v>151</v>
      </c>
      <c r="BZ645" s="30" t="s">
        <v>231</v>
      </c>
      <c r="CA645" s="30" t="s">
        <v>151</v>
      </c>
      <c r="CB645" s="30" t="s">
        <v>151</v>
      </c>
      <c r="CC645" s="30" t="s">
        <v>165</v>
      </c>
      <c r="CD645" s="30" t="s">
        <v>151</v>
      </c>
      <c r="CE645" s="30" t="s">
        <v>191</v>
      </c>
      <c r="CF645" s="35">
        <v>44866</v>
      </c>
      <c r="CG645" s="37" t="s">
        <v>151</v>
      </c>
      <c r="CH645" s="30" t="s">
        <v>151</v>
      </c>
      <c r="CI645" s="37" t="s">
        <v>151</v>
      </c>
      <c r="CJ645" s="30" t="s">
        <v>151</v>
      </c>
      <c r="CK645" s="29" t="s">
        <v>151</v>
      </c>
      <c r="CL645" s="30" t="s">
        <v>231</v>
      </c>
      <c r="CM645" s="30" t="s">
        <v>151</v>
      </c>
      <c r="CN645" s="30" t="s">
        <v>151</v>
      </c>
      <c r="CO645" s="30" t="s">
        <v>165</v>
      </c>
      <c r="CP645" s="35">
        <v>44866</v>
      </c>
      <c r="CQ645" s="37" t="s">
        <v>151</v>
      </c>
      <c r="CR645" s="30" t="s">
        <v>151</v>
      </c>
      <c r="CS645" s="30" t="s">
        <v>191</v>
      </c>
      <c r="CT645" s="29" t="s">
        <v>151</v>
      </c>
      <c r="CU645" s="30" t="s">
        <v>151</v>
      </c>
      <c r="CV645" s="32" t="s">
        <v>151</v>
      </c>
      <c r="CW645" s="32" t="s">
        <v>151</v>
      </c>
      <c r="CX645" s="30" t="s">
        <v>151</v>
      </c>
      <c r="CY645" s="32" t="s">
        <v>151</v>
      </c>
      <c r="CZ645" s="32" t="s">
        <v>151</v>
      </c>
      <c r="DA645" s="37" t="s">
        <v>151</v>
      </c>
      <c r="DB645" s="35" t="s">
        <v>151</v>
      </c>
      <c r="DC645" s="30" t="s">
        <v>151</v>
      </c>
      <c r="DD645" s="29" t="s">
        <v>151</v>
      </c>
      <c r="DE645" s="32">
        <v>0</v>
      </c>
      <c r="DF645" s="34">
        <v>11</v>
      </c>
      <c r="DG645" s="32">
        <v>0</v>
      </c>
      <c r="DH645" s="32">
        <v>0</v>
      </c>
      <c r="DI645" s="32">
        <v>0</v>
      </c>
      <c r="DJ645" s="34">
        <v>10</v>
      </c>
      <c r="DK645" s="32" t="s">
        <v>151</v>
      </c>
      <c r="DL645" s="34" t="s">
        <v>151</v>
      </c>
      <c r="DM645" s="32">
        <v>0</v>
      </c>
      <c r="DN645" s="34">
        <v>10</v>
      </c>
      <c r="DO645" s="36">
        <v>0.88</v>
      </c>
      <c r="DP645" s="34">
        <v>47</v>
      </c>
      <c r="DQ645" s="36">
        <v>0</v>
      </c>
      <c r="DR645" s="32">
        <v>0</v>
      </c>
      <c r="DS645" s="36">
        <v>1</v>
      </c>
      <c r="DT645" s="34">
        <v>50</v>
      </c>
      <c r="DU645" s="36" t="s">
        <v>151</v>
      </c>
      <c r="DV645" s="34" t="s">
        <v>151</v>
      </c>
      <c r="DW645" s="36">
        <v>1</v>
      </c>
      <c r="DX645" s="34">
        <v>49</v>
      </c>
      <c r="DY645" s="31" t="s">
        <v>151</v>
      </c>
      <c r="DZ645" s="35" t="s">
        <v>151</v>
      </c>
      <c r="EA645" s="35" t="s">
        <v>151</v>
      </c>
      <c r="EB645" s="34">
        <v>512</v>
      </c>
      <c r="EC645" s="33">
        <v>14</v>
      </c>
      <c r="ED645" s="32">
        <v>2.81</v>
      </c>
      <c r="EE645" s="34">
        <v>19</v>
      </c>
      <c r="EF645" s="33">
        <v>0</v>
      </c>
      <c r="EG645" s="32">
        <v>0</v>
      </c>
      <c r="EH645" s="29" t="s">
        <v>198</v>
      </c>
      <c r="EI645" s="30" t="s">
        <v>151</v>
      </c>
      <c r="EJ645" s="30" t="s">
        <v>151</v>
      </c>
      <c r="EK645" s="31" t="s">
        <v>151</v>
      </c>
      <c r="EL645" s="31" t="s">
        <v>151</v>
      </c>
      <c r="EM645" s="31" t="s">
        <v>151</v>
      </c>
      <c r="EN645" s="31" t="s">
        <v>151</v>
      </c>
      <c r="EO645" s="31" t="s">
        <v>151</v>
      </c>
      <c r="EP645" s="30" t="s">
        <v>151</v>
      </c>
      <c r="EQ645" s="29" t="s">
        <v>151</v>
      </c>
      <c r="ER645" s="29" t="s">
        <v>151</v>
      </c>
      <c r="ES645" s="4">
        <f>HYPERLINK("https://my.pitchbook.com?c=513156-52","View Company Online")</f>
      </c>
    </row>
    <row r="646">
      <c r="A646" s="17" t="s">
        <v>13328</v>
      </c>
      <c r="B646" s="17" t="s">
        <v>13329</v>
      </c>
      <c r="C646" s="18" t="s">
        <v>151</v>
      </c>
      <c r="D646" s="17" t="s">
        <v>151</v>
      </c>
      <c r="E646" s="17" t="s">
        <v>151</v>
      </c>
      <c r="F646" s="17" t="s">
        <v>13330</v>
      </c>
      <c r="G646" s="17" t="s">
        <v>151</v>
      </c>
      <c r="H646" s="17" t="s">
        <v>151</v>
      </c>
      <c r="I646" s="17" t="s">
        <v>151</v>
      </c>
      <c r="J646" s="17" t="s">
        <v>13328</v>
      </c>
      <c r="K646" s="17" t="s">
        <v>13331</v>
      </c>
      <c r="L646" s="17" t="s">
        <v>1023</v>
      </c>
      <c r="M646" s="17" t="s">
        <v>13332</v>
      </c>
      <c r="N646" s="17" t="s">
        <v>13333</v>
      </c>
      <c r="O646" s="17" t="s">
        <v>13334</v>
      </c>
      <c r="P646" s="17" t="s">
        <v>13335</v>
      </c>
      <c r="Q646" s="17" t="s">
        <v>13336</v>
      </c>
      <c r="R646" s="17" t="s">
        <v>151</v>
      </c>
      <c r="S646" s="17" t="s">
        <v>162</v>
      </c>
      <c r="T646" s="24">
        <v>1.5</v>
      </c>
      <c r="U646" s="17" t="s">
        <v>1727</v>
      </c>
      <c r="V646" s="17" t="s">
        <v>164</v>
      </c>
      <c r="W646" s="17" t="s">
        <v>165</v>
      </c>
      <c r="X646" s="15" t="s">
        <v>13337</v>
      </c>
      <c r="Y646" s="15" t="s">
        <v>13338</v>
      </c>
      <c r="Z646" s="27">
        <v>4</v>
      </c>
      <c r="AA646" s="17" t="s">
        <v>8692</v>
      </c>
      <c r="AB646" s="17" t="s">
        <v>151</v>
      </c>
      <c r="AC646" s="17" t="s">
        <v>151</v>
      </c>
      <c r="AD646" s="26">
        <v>2024</v>
      </c>
      <c r="AE646" s="17" t="s">
        <v>151</v>
      </c>
      <c r="AF646" s="22">
        <v>45597</v>
      </c>
      <c r="AG646" s="17" t="s">
        <v>151</v>
      </c>
      <c r="AH646" s="17" t="s">
        <v>151</v>
      </c>
      <c r="AI646" s="25" t="s">
        <v>151</v>
      </c>
      <c r="AJ646" s="19" t="s">
        <v>151</v>
      </c>
      <c r="AK646" s="25" t="s">
        <v>151</v>
      </c>
      <c r="AL646" s="25" t="s">
        <v>151</v>
      </c>
      <c r="AM646" s="25" t="s">
        <v>151</v>
      </c>
      <c r="AN646" s="25" t="s">
        <v>151</v>
      </c>
      <c r="AO646" s="25" t="s">
        <v>151</v>
      </c>
      <c r="AP646" s="25" t="s">
        <v>151</v>
      </c>
      <c r="AQ646" s="25" t="s">
        <v>151</v>
      </c>
      <c r="AR646" s="16" t="s">
        <v>151</v>
      </c>
      <c r="AS646" s="17" t="s">
        <v>13339</v>
      </c>
      <c r="AT646" s="17" t="s">
        <v>13340</v>
      </c>
      <c r="AU646" s="18">
        <v>2</v>
      </c>
      <c r="AV646" s="17" t="s">
        <v>151</v>
      </c>
      <c r="AW646" s="17" t="s">
        <v>151</v>
      </c>
      <c r="AX646" s="17" t="s">
        <v>151</v>
      </c>
      <c r="AY646" s="17" t="s">
        <v>13341</v>
      </c>
      <c r="AZ646" s="17" t="s">
        <v>151</v>
      </c>
      <c r="BA646" s="17" t="s">
        <v>151</v>
      </c>
      <c r="BB646" s="17" t="s">
        <v>151</v>
      </c>
      <c r="BC646" s="17" t="s">
        <v>4213</v>
      </c>
      <c r="BD646" s="17" t="s">
        <v>13342</v>
      </c>
      <c r="BE646" s="17" t="s">
        <v>13343</v>
      </c>
      <c r="BF646" s="17" t="s">
        <v>221</v>
      </c>
      <c r="BG646" s="17" t="s">
        <v>13344</v>
      </c>
      <c r="BH646" s="17" t="s">
        <v>151</v>
      </c>
      <c r="BI646" s="17" t="s">
        <v>1572</v>
      </c>
      <c r="BJ646" s="17" t="s">
        <v>13345</v>
      </c>
      <c r="BK646" s="17" t="s">
        <v>13346</v>
      </c>
      <c r="BL646" s="17" t="s">
        <v>1575</v>
      </c>
      <c r="BM646" s="17" t="s">
        <v>1576</v>
      </c>
      <c r="BN646" s="16" t="s">
        <v>4436</v>
      </c>
      <c r="BO646" s="17" t="s">
        <v>186</v>
      </c>
      <c r="BP646" s="16" t="s">
        <v>151</v>
      </c>
      <c r="BQ646" s="16" t="s">
        <v>151</v>
      </c>
      <c r="BR646" s="17" t="s">
        <v>13347</v>
      </c>
      <c r="BS646" s="17" t="s">
        <v>187</v>
      </c>
      <c r="BT646" s="17" t="s">
        <v>188</v>
      </c>
      <c r="BU646" s="22">
        <v>45463</v>
      </c>
      <c r="BV646" s="24">
        <v>1.5</v>
      </c>
      <c r="BW646" s="17" t="s">
        <v>192</v>
      </c>
      <c r="BX646" s="24" t="s">
        <v>151</v>
      </c>
      <c r="BY646" s="17" t="s">
        <v>151</v>
      </c>
      <c r="BZ646" s="17" t="s">
        <v>293</v>
      </c>
      <c r="CA646" s="17" t="s">
        <v>293</v>
      </c>
      <c r="CB646" s="17" t="s">
        <v>151</v>
      </c>
      <c r="CC646" s="17" t="s">
        <v>165</v>
      </c>
      <c r="CD646" s="17" t="s">
        <v>151</v>
      </c>
      <c r="CE646" s="17" t="s">
        <v>191</v>
      </c>
      <c r="CF646" s="22">
        <v>45463</v>
      </c>
      <c r="CG646" s="24">
        <v>1.5</v>
      </c>
      <c r="CH646" s="17" t="s">
        <v>192</v>
      </c>
      <c r="CI646" s="24" t="s">
        <v>151</v>
      </c>
      <c r="CJ646" s="17" t="s">
        <v>151</v>
      </c>
      <c r="CK646" s="16" t="s">
        <v>151</v>
      </c>
      <c r="CL646" s="17" t="s">
        <v>293</v>
      </c>
      <c r="CM646" s="17" t="s">
        <v>293</v>
      </c>
      <c r="CN646" s="17" t="s">
        <v>151</v>
      </c>
      <c r="CO646" s="17" t="s">
        <v>165</v>
      </c>
      <c r="CP646" s="22">
        <v>45463</v>
      </c>
      <c r="CQ646" s="24" t="s">
        <v>151</v>
      </c>
      <c r="CR646" s="17" t="s">
        <v>151</v>
      </c>
      <c r="CS646" s="17" t="s">
        <v>191</v>
      </c>
      <c r="CT646" s="16" t="s">
        <v>151</v>
      </c>
      <c r="CU646" s="17" t="s">
        <v>151</v>
      </c>
      <c r="CV646" s="19" t="s">
        <v>151</v>
      </c>
      <c r="CW646" s="19" t="s">
        <v>151</v>
      </c>
      <c r="CX646" s="17" t="s">
        <v>151</v>
      </c>
      <c r="CY646" s="19" t="s">
        <v>151</v>
      </c>
      <c r="CZ646" s="19" t="s">
        <v>151</v>
      </c>
      <c r="DA646" s="24" t="s">
        <v>151</v>
      </c>
      <c r="DB646" s="22" t="s">
        <v>151</v>
      </c>
      <c r="DC646" s="17" t="s">
        <v>151</v>
      </c>
      <c r="DD646" s="16" t="s">
        <v>151</v>
      </c>
      <c r="DE646" s="19" t="s">
        <v>151</v>
      </c>
      <c r="DF646" s="21" t="s">
        <v>151</v>
      </c>
      <c r="DG646" s="19" t="s">
        <v>151</v>
      </c>
      <c r="DH646" s="19" t="s">
        <v>151</v>
      </c>
      <c r="DI646" s="19" t="s">
        <v>151</v>
      </c>
      <c r="DJ646" s="21" t="s">
        <v>151</v>
      </c>
      <c r="DK646" s="19" t="s">
        <v>151</v>
      </c>
      <c r="DL646" s="21" t="s">
        <v>151</v>
      </c>
      <c r="DM646" s="19" t="s">
        <v>151</v>
      </c>
      <c r="DN646" s="21" t="s">
        <v>151</v>
      </c>
      <c r="DO646" s="23" t="s">
        <v>151</v>
      </c>
      <c r="DP646" s="21" t="s">
        <v>151</v>
      </c>
      <c r="DQ646" s="23" t="s">
        <v>151</v>
      </c>
      <c r="DR646" s="19" t="s">
        <v>151</v>
      </c>
      <c r="DS646" s="23" t="s">
        <v>151</v>
      </c>
      <c r="DT646" s="21" t="s">
        <v>151</v>
      </c>
      <c r="DU646" s="23" t="s">
        <v>151</v>
      </c>
      <c r="DV646" s="21" t="s">
        <v>151</v>
      </c>
      <c r="DW646" s="23" t="s">
        <v>151</v>
      </c>
      <c r="DX646" s="21" t="s">
        <v>151</v>
      </c>
      <c r="DY646" s="18" t="s">
        <v>151</v>
      </c>
      <c r="DZ646" s="22" t="s">
        <v>151</v>
      </c>
      <c r="EA646" s="22" t="s">
        <v>151</v>
      </c>
      <c r="EB646" s="21" t="s">
        <v>151</v>
      </c>
      <c r="EC646" s="20" t="s">
        <v>151</v>
      </c>
      <c r="ED646" s="19" t="s">
        <v>151</v>
      </c>
      <c r="EE646" s="21" t="s">
        <v>151</v>
      </c>
      <c r="EF646" s="20" t="s">
        <v>151</v>
      </c>
      <c r="EG646" s="19" t="s">
        <v>151</v>
      </c>
      <c r="EH646" s="16" t="s">
        <v>198</v>
      </c>
      <c r="EI646" s="17" t="s">
        <v>151</v>
      </c>
      <c r="EJ646" s="17" t="s">
        <v>151</v>
      </c>
      <c r="EK646" s="18" t="s">
        <v>151</v>
      </c>
      <c r="EL646" s="18" t="s">
        <v>151</v>
      </c>
      <c r="EM646" s="18" t="s">
        <v>151</v>
      </c>
      <c r="EN646" s="18" t="s">
        <v>151</v>
      </c>
      <c r="EO646" s="18" t="s">
        <v>151</v>
      </c>
      <c r="EP646" s="17" t="s">
        <v>151</v>
      </c>
      <c r="EQ646" s="16" t="s">
        <v>151</v>
      </c>
      <c r="ER646" s="16" t="s">
        <v>151</v>
      </c>
      <c r="ES646" s="3">
        <f>HYPERLINK("https://my.pitchbook.com?c=595881-55","View Company Online")</f>
      </c>
    </row>
    <row r="647">
      <c r="A647" s="30" t="s">
        <v>13348</v>
      </c>
      <c r="B647" s="30" t="s">
        <v>13349</v>
      </c>
      <c r="C647" s="31" t="s">
        <v>151</v>
      </c>
      <c r="D647" s="30" t="s">
        <v>151</v>
      </c>
      <c r="E647" s="30" t="s">
        <v>151</v>
      </c>
      <c r="F647" s="30" t="s">
        <v>13350</v>
      </c>
      <c r="G647" s="30" t="s">
        <v>151</v>
      </c>
      <c r="H647" s="30" t="s">
        <v>151</v>
      </c>
      <c r="I647" s="30" t="s">
        <v>151</v>
      </c>
      <c r="J647" s="30" t="s">
        <v>13348</v>
      </c>
      <c r="K647" s="30" t="s">
        <v>13351</v>
      </c>
      <c r="L647" s="30" t="s">
        <v>205</v>
      </c>
      <c r="M647" s="30" t="s">
        <v>206</v>
      </c>
      <c r="N647" s="30" t="s">
        <v>269</v>
      </c>
      <c r="O647" s="30" t="s">
        <v>563</v>
      </c>
      <c r="P647" s="30" t="s">
        <v>2898</v>
      </c>
      <c r="Q647" s="30" t="s">
        <v>13352</v>
      </c>
      <c r="R647" s="30" t="s">
        <v>151</v>
      </c>
      <c r="S647" s="30" t="s">
        <v>162</v>
      </c>
      <c r="T647" s="37">
        <v>13.3</v>
      </c>
      <c r="U647" s="30" t="s">
        <v>163</v>
      </c>
      <c r="V647" s="30" t="s">
        <v>164</v>
      </c>
      <c r="W647" s="30" t="s">
        <v>165</v>
      </c>
      <c r="X647" s="28" t="s">
        <v>13353</v>
      </c>
      <c r="Y647" s="28" t="s">
        <v>13354</v>
      </c>
      <c r="Z647" s="40">
        <v>154</v>
      </c>
      <c r="AA647" s="30" t="s">
        <v>13355</v>
      </c>
      <c r="AB647" s="30" t="s">
        <v>151</v>
      </c>
      <c r="AC647" s="30" t="s">
        <v>151</v>
      </c>
      <c r="AD647" s="39">
        <v>2015</v>
      </c>
      <c r="AE647" s="30" t="s">
        <v>151</v>
      </c>
      <c r="AF647" s="35">
        <v>45607</v>
      </c>
      <c r="AG647" s="30" t="s">
        <v>151</v>
      </c>
      <c r="AH647" s="30" t="s">
        <v>151</v>
      </c>
      <c r="AI647" s="38" t="s">
        <v>151</v>
      </c>
      <c r="AJ647" s="32" t="s">
        <v>151</v>
      </c>
      <c r="AK647" s="38" t="s">
        <v>151</v>
      </c>
      <c r="AL647" s="38" t="s">
        <v>151</v>
      </c>
      <c r="AM647" s="38" t="s">
        <v>151</v>
      </c>
      <c r="AN647" s="38" t="s">
        <v>151</v>
      </c>
      <c r="AO647" s="38" t="s">
        <v>151</v>
      </c>
      <c r="AP647" s="38" t="s">
        <v>151</v>
      </c>
      <c r="AQ647" s="38" t="s">
        <v>151</v>
      </c>
      <c r="AR647" s="29" t="s">
        <v>151</v>
      </c>
      <c r="AS647" s="30" t="s">
        <v>13356</v>
      </c>
      <c r="AT647" s="30" t="s">
        <v>13357</v>
      </c>
      <c r="AU647" s="31">
        <v>1</v>
      </c>
      <c r="AV647" s="30" t="s">
        <v>151</v>
      </c>
      <c r="AW647" s="30" t="s">
        <v>151</v>
      </c>
      <c r="AX647" s="30" t="s">
        <v>151</v>
      </c>
      <c r="AY647" s="30" t="s">
        <v>13358</v>
      </c>
      <c r="AZ647" s="30" t="s">
        <v>151</v>
      </c>
      <c r="BA647" s="30" t="s">
        <v>151</v>
      </c>
      <c r="BB647" s="30" t="s">
        <v>13359</v>
      </c>
      <c r="BC647" s="30" t="s">
        <v>151</v>
      </c>
      <c r="BD647" s="30" t="s">
        <v>13360</v>
      </c>
      <c r="BE647" s="30" t="s">
        <v>13361</v>
      </c>
      <c r="BF647" s="30" t="s">
        <v>13362</v>
      </c>
      <c r="BG647" s="30" t="s">
        <v>13363</v>
      </c>
      <c r="BH647" s="30" t="s">
        <v>13364</v>
      </c>
      <c r="BI647" s="30" t="s">
        <v>13365</v>
      </c>
      <c r="BJ647" s="30" t="s">
        <v>13366</v>
      </c>
      <c r="BK647" s="30" t="s">
        <v>13367</v>
      </c>
      <c r="BL647" s="30" t="s">
        <v>13368</v>
      </c>
      <c r="BM647" s="30" t="s">
        <v>525</v>
      </c>
      <c r="BN647" s="29" t="s">
        <v>13369</v>
      </c>
      <c r="BO647" s="30" t="s">
        <v>186</v>
      </c>
      <c r="BP647" s="29" t="s">
        <v>13364</v>
      </c>
      <c r="BQ647" s="29" t="s">
        <v>151</v>
      </c>
      <c r="BR647" s="30" t="s">
        <v>13370</v>
      </c>
      <c r="BS647" s="30" t="s">
        <v>187</v>
      </c>
      <c r="BT647" s="30" t="s">
        <v>188</v>
      </c>
      <c r="BU647" s="35">
        <v>44553</v>
      </c>
      <c r="BV647" s="37">
        <v>13.3</v>
      </c>
      <c r="BW647" s="30" t="s">
        <v>192</v>
      </c>
      <c r="BX647" s="37">
        <v>78.3</v>
      </c>
      <c r="BY647" s="30" t="s">
        <v>192</v>
      </c>
      <c r="BZ647" s="30" t="s">
        <v>194</v>
      </c>
      <c r="CA647" s="30" t="s">
        <v>1239</v>
      </c>
      <c r="CB647" s="30" t="s">
        <v>151</v>
      </c>
      <c r="CC647" s="30" t="s">
        <v>165</v>
      </c>
      <c r="CD647" s="30" t="s">
        <v>355</v>
      </c>
      <c r="CE647" s="30" t="s">
        <v>191</v>
      </c>
      <c r="CF647" s="35">
        <v>44553</v>
      </c>
      <c r="CG647" s="37">
        <v>13.3</v>
      </c>
      <c r="CH647" s="30" t="s">
        <v>192</v>
      </c>
      <c r="CI647" s="37">
        <v>78.3</v>
      </c>
      <c r="CJ647" s="30" t="s">
        <v>192</v>
      </c>
      <c r="CK647" s="29" t="s">
        <v>151</v>
      </c>
      <c r="CL647" s="30" t="s">
        <v>194</v>
      </c>
      <c r="CM647" s="30" t="s">
        <v>1239</v>
      </c>
      <c r="CN647" s="30" t="s">
        <v>151</v>
      </c>
      <c r="CO647" s="30" t="s">
        <v>165</v>
      </c>
      <c r="CP647" s="35">
        <v>44553</v>
      </c>
      <c r="CQ647" s="37" t="s">
        <v>151</v>
      </c>
      <c r="CR647" s="30" t="s">
        <v>355</v>
      </c>
      <c r="CS647" s="30" t="s">
        <v>191</v>
      </c>
      <c r="CT647" s="29" t="s">
        <v>151</v>
      </c>
      <c r="CU647" s="30" t="s">
        <v>151</v>
      </c>
      <c r="CV647" s="32" t="s">
        <v>151</v>
      </c>
      <c r="CW647" s="32" t="s">
        <v>151</v>
      </c>
      <c r="CX647" s="30" t="s">
        <v>151</v>
      </c>
      <c r="CY647" s="32" t="s">
        <v>151</v>
      </c>
      <c r="CZ647" s="32" t="s">
        <v>151</v>
      </c>
      <c r="DA647" s="37">
        <v>78.3</v>
      </c>
      <c r="DB647" s="35">
        <v>44553</v>
      </c>
      <c r="DC647" s="30" t="s">
        <v>194</v>
      </c>
      <c r="DD647" s="29" t="s">
        <v>151</v>
      </c>
      <c r="DE647" s="32">
        <v>-0.12</v>
      </c>
      <c r="DF647" s="34">
        <v>10</v>
      </c>
      <c r="DG647" s="32">
        <v>0</v>
      </c>
      <c r="DH647" s="32">
        <v>0</v>
      </c>
      <c r="DI647" s="32">
        <v>0</v>
      </c>
      <c r="DJ647" s="34">
        <v>10</v>
      </c>
      <c r="DK647" s="32" t="s">
        <v>151</v>
      </c>
      <c r="DL647" s="34" t="s">
        <v>151</v>
      </c>
      <c r="DM647" s="32">
        <v>0</v>
      </c>
      <c r="DN647" s="34">
        <v>10</v>
      </c>
      <c r="DO647" s="36">
        <v>7.13</v>
      </c>
      <c r="DP647" s="34">
        <v>87</v>
      </c>
      <c r="DQ647" s="36">
        <v>0</v>
      </c>
      <c r="DR647" s="32">
        <v>0</v>
      </c>
      <c r="DS647" s="36">
        <v>2.42</v>
      </c>
      <c r="DT647" s="34">
        <v>70</v>
      </c>
      <c r="DU647" s="36" t="s">
        <v>151</v>
      </c>
      <c r="DV647" s="34" t="s">
        <v>151</v>
      </c>
      <c r="DW647" s="36">
        <v>2.42</v>
      </c>
      <c r="DX647" s="34">
        <v>70</v>
      </c>
      <c r="DY647" s="31">
        <v>1</v>
      </c>
      <c r="DZ647" s="35">
        <v>44698</v>
      </c>
      <c r="EA647" s="35" t="s">
        <v>151</v>
      </c>
      <c r="EB647" s="34">
        <v>931</v>
      </c>
      <c r="EC647" s="33">
        <v>-20</v>
      </c>
      <c r="ED647" s="32">
        <v>-2.1</v>
      </c>
      <c r="EE647" s="34">
        <v>46</v>
      </c>
      <c r="EF647" s="33">
        <v>0</v>
      </c>
      <c r="EG647" s="32">
        <v>0</v>
      </c>
      <c r="EH647" s="29" t="s">
        <v>198</v>
      </c>
      <c r="EI647" s="30" t="s">
        <v>151</v>
      </c>
      <c r="EJ647" s="30" t="s">
        <v>151</v>
      </c>
      <c r="EK647" s="31" t="s">
        <v>151</v>
      </c>
      <c r="EL647" s="31" t="s">
        <v>151</v>
      </c>
      <c r="EM647" s="31" t="s">
        <v>151</v>
      </c>
      <c r="EN647" s="31" t="s">
        <v>151</v>
      </c>
      <c r="EO647" s="31" t="s">
        <v>151</v>
      </c>
      <c r="EP647" s="30" t="s">
        <v>151</v>
      </c>
      <c r="EQ647" s="29" t="s">
        <v>151</v>
      </c>
      <c r="ER647" s="29" t="s">
        <v>151</v>
      </c>
      <c r="ES647" s="4">
        <f>HYPERLINK("https://my.pitchbook.com?c=136334-35","View Company Online")</f>
      </c>
    </row>
    <row r="648">
      <c r="A648" s="17" t="s">
        <v>13371</v>
      </c>
      <c r="B648" s="17" t="s">
        <v>13372</v>
      </c>
      <c r="C648" s="18" t="s">
        <v>151</v>
      </c>
      <c r="D648" s="17" t="s">
        <v>151</v>
      </c>
      <c r="E648" s="17" t="s">
        <v>151</v>
      </c>
      <c r="F648" s="17" t="s">
        <v>13373</v>
      </c>
      <c r="G648" s="17" t="s">
        <v>151</v>
      </c>
      <c r="H648" s="17" t="s">
        <v>151</v>
      </c>
      <c r="I648" s="17" t="s">
        <v>13374</v>
      </c>
      <c r="J648" s="17" t="s">
        <v>13371</v>
      </c>
      <c r="K648" s="17" t="s">
        <v>13375</v>
      </c>
      <c r="L648" s="17" t="s">
        <v>205</v>
      </c>
      <c r="M648" s="17" t="s">
        <v>206</v>
      </c>
      <c r="N648" s="17" t="s">
        <v>269</v>
      </c>
      <c r="O648" s="17" t="s">
        <v>865</v>
      </c>
      <c r="P648" s="17" t="s">
        <v>11225</v>
      </c>
      <c r="Q648" s="17" t="s">
        <v>13376</v>
      </c>
      <c r="R648" s="17" t="s">
        <v>151</v>
      </c>
      <c r="S648" s="17" t="s">
        <v>162</v>
      </c>
      <c r="T648" s="24">
        <v>2.65</v>
      </c>
      <c r="U648" s="17" t="s">
        <v>163</v>
      </c>
      <c r="V648" s="17" t="s">
        <v>164</v>
      </c>
      <c r="W648" s="17" t="s">
        <v>165</v>
      </c>
      <c r="X648" s="15" t="s">
        <v>13377</v>
      </c>
      <c r="Y648" s="15" t="s">
        <v>13378</v>
      </c>
      <c r="Z648" s="27">
        <v>12</v>
      </c>
      <c r="AA648" s="17" t="s">
        <v>13379</v>
      </c>
      <c r="AB648" s="17" t="s">
        <v>151</v>
      </c>
      <c r="AC648" s="17" t="s">
        <v>151</v>
      </c>
      <c r="AD648" s="26">
        <v>2022</v>
      </c>
      <c r="AE648" s="17" t="s">
        <v>151</v>
      </c>
      <c r="AF648" s="22">
        <v>45595</v>
      </c>
      <c r="AG648" s="17" t="s">
        <v>151</v>
      </c>
      <c r="AH648" s="17" t="s">
        <v>151</v>
      </c>
      <c r="AI648" s="25">
        <v>1.5</v>
      </c>
      <c r="AJ648" s="19">
        <v>1927.03</v>
      </c>
      <c r="AK648" s="25" t="s">
        <v>151</v>
      </c>
      <c r="AL648" s="25" t="s">
        <v>151</v>
      </c>
      <c r="AM648" s="25" t="s">
        <v>151</v>
      </c>
      <c r="AN648" s="25" t="s">
        <v>151</v>
      </c>
      <c r="AO648" s="25" t="s">
        <v>151</v>
      </c>
      <c r="AP648" s="25" t="s">
        <v>151</v>
      </c>
      <c r="AQ648" s="25" t="s">
        <v>151</v>
      </c>
      <c r="AR648" s="16" t="s">
        <v>170</v>
      </c>
      <c r="AS648" s="17" t="s">
        <v>13380</v>
      </c>
      <c r="AT648" s="17" t="s">
        <v>13381</v>
      </c>
      <c r="AU648" s="18">
        <v>12</v>
      </c>
      <c r="AV648" s="17" t="s">
        <v>151</v>
      </c>
      <c r="AW648" s="17" t="s">
        <v>151</v>
      </c>
      <c r="AX648" s="17" t="s">
        <v>151</v>
      </c>
      <c r="AY648" s="17" t="s">
        <v>13382</v>
      </c>
      <c r="AZ648" s="17" t="s">
        <v>151</v>
      </c>
      <c r="BA648" s="17" t="s">
        <v>151</v>
      </c>
      <c r="BB648" s="17" t="s">
        <v>13383</v>
      </c>
      <c r="BC648" s="17" t="s">
        <v>13383</v>
      </c>
      <c r="BD648" s="17" t="s">
        <v>13384</v>
      </c>
      <c r="BE648" s="17" t="s">
        <v>13385</v>
      </c>
      <c r="BF648" s="17" t="s">
        <v>493</v>
      </c>
      <c r="BG648" s="17" t="s">
        <v>13386</v>
      </c>
      <c r="BH648" s="17" t="s">
        <v>13387</v>
      </c>
      <c r="BI648" s="17" t="s">
        <v>13388</v>
      </c>
      <c r="BJ648" s="17" t="s">
        <v>13389</v>
      </c>
      <c r="BK648" s="17" t="s">
        <v>151</v>
      </c>
      <c r="BL648" s="17" t="s">
        <v>13390</v>
      </c>
      <c r="BM648" s="17" t="s">
        <v>3027</v>
      </c>
      <c r="BN648" s="16" t="s">
        <v>13391</v>
      </c>
      <c r="BO648" s="17" t="s">
        <v>186</v>
      </c>
      <c r="BP648" s="16" t="s">
        <v>13387</v>
      </c>
      <c r="BQ648" s="16" t="s">
        <v>151</v>
      </c>
      <c r="BR648" s="17" t="s">
        <v>13392</v>
      </c>
      <c r="BS648" s="17" t="s">
        <v>187</v>
      </c>
      <c r="BT648" s="17" t="s">
        <v>188</v>
      </c>
      <c r="BU648" s="22">
        <v>44896</v>
      </c>
      <c r="BV648" s="24">
        <v>0.55</v>
      </c>
      <c r="BW648" s="17" t="s">
        <v>192</v>
      </c>
      <c r="BX648" s="24">
        <v>5</v>
      </c>
      <c r="BY648" s="17" t="s">
        <v>192</v>
      </c>
      <c r="BZ648" s="17" t="s">
        <v>293</v>
      </c>
      <c r="CA648" s="17" t="s">
        <v>293</v>
      </c>
      <c r="CB648" s="17" t="s">
        <v>151</v>
      </c>
      <c r="CC648" s="17" t="s">
        <v>165</v>
      </c>
      <c r="CD648" s="17" t="s">
        <v>151</v>
      </c>
      <c r="CE648" s="17" t="s">
        <v>191</v>
      </c>
      <c r="CF648" s="22">
        <v>45441</v>
      </c>
      <c r="CG648" s="24" t="s">
        <v>151</v>
      </c>
      <c r="CH648" s="17" t="s">
        <v>151</v>
      </c>
      <c r="CI648" s="24" t="s">
        <v>151</v>
      </c>
      <c r="CJ648" s="17" t="s">
        <v>151</v>
      </c>
      <c r="CK648" s="16" t="s">
        <v>151</v>
      </c>
      <c r="CL648" s="17" t="s">
        <v>293</v>
      </c>
      <c r="CM648" s="17" t="s">
        <v>293</v>
      </c>
      <c r="CN648" s="17" t="s">
        <v>151</v>
      </c>
      <c r="CO648" s="17" t="s">
        <v>165</v>
      </c>
      <c r="CP648" s="22">
        <v>45441</v>
      </c>
      <c r="CQ648" s="24" t="s">
        <v>151</v>
      </c>
      <c r="CR648" s="17" t="s">
        <v>151</v>
      </c>
      <c r="CS648" s="17" t="s">
        <v>191</v>
      </c>
      <c r="CT648" s="16">
        <v>75</v>
      </c>
      <c r="CU648" s="17" t="s">
        <v>196</v>
      </c>
      <c r="CV648" s="19">
        <v>70</v>
      </c>
      <c r="CW648" s="19">
        <v>30</v>
      </c>
      <c r="CX648" s="17" t="s">
        <v>294</v>
      </c>
      <c r="CY648" s="19">
        <v>1</v>
      </c>
      <c r="CZ648" s="19">
        <v>69</v>
      </c>
      <c r="DA648" s="24">
        <v>10</v>
      </c>
      <c r="DB648" s="22">
        <v>45250</v>
      </c>
      <c r="DC648" s="17" t="s">
        <v>293</v>
      </c>
      <c r="DD648" s="16">
        <v>1.6</v>
      </c>
      <c r="DE648" s="19">
        <v>-0.93</v>
      </c>
      <c r="DF648" s="21">
        <v>5</v>
      </c>
      <c r="DG648" s="19">
        <v>0</v>
      </c>
      <c r="DH648" s="19">
        <v>0</v>
      </c>
      <c r="DI648" s="19">
        <v>0</v>
      </c>
      <c r="DJ648" s="21">
        <v>10</v>
      </c>
      <c r="DK648" s="19" t="s">
        <v>151</v>
      </c>
      <c r="DL648" s="21" t="s">
        <v>151</v>
      </c>
      <c r="DM648" s="19">
        <v>0</v>
      </c>
      <c r="DN648" s="21">
        <v>10</v>
      </c>
      <c r="DO648" s="23">
        <v>1.83</v>
      </c>
      <c r="DP648" s="21">
        <v>64</v>
      </c>
      <c r="DQ648" s="23">
        <v>0</v>
      </c>
      <c r="DR648" s="19">
        <v>0</v>
      </c>
      <c r="DS648" s="23">
        <v>2.74</v>
      </c>
      <c r="DT648" s="21">
        <v>72</v>
      </c>
      <c r="DU648" s="23" t="s">
        <v>151</v>
      </c>
      <c r="DV648" s="21" t="s">
        <v>151</v>
      </c>
      <c r="DW648" s="23">
        <v>2.74</v>
      </c>
      <c r="DX648" s="21">
        <v>72</v>
      </c>
      <c r="DY648" s="18" t="s">
        <v>151</v>
      </c>
      <c r="DZ648" s="22" t="s">
        <v>151</v>
      </c>
      <c r="EA648" s="22" t="s">
        <v>151</v>
      </c>
      <c r="EB648" s="21">
        <v>1036</v>
      </c>
      <c r="EC648" s="20">
        <v>45</v>
      </c>
      <c r="ED648" s="19">
        <v>4.54</v>
      </c>
      <c r="EE648" s="21">
        <v>52</v>
      </c>
      <c r="EF648" s="20">
        <v>1</v>
      </c>
      <c r="EG648" s="19">
        <v>1.96</v>
      </c>
      <c r="EH648" s="16" t="s">
        <v>198</v>
      </c>
      <c r="EI648" s="17" t="s">
        <v>151</v>
      </c>
      <c r="EJ648" s="17" t="s">
        <v>151</v>
      </c>
      <c r="EK648" s="18" t="s">
        <v>151</v>
      </c>
      <c r="EL648" s="18" t="s">
        <v>151</v>
      </c>
      <c r="EM648" s="18" t="s">
        <v>151</v>
      </c>
      <c r="EN648" s="18" t="s">
        <v>151</v>
      </c>
      <c r="EO648" s="18" t="s">
        <v>151</v>
      </c>
      <c r="EP648" s="17" t="s">
        <v>151</v>
      </c>
      <c r="EQ648" s="16" t="s">
        <v>151</v>
      </c>
      <c r="ER648" s="16" t="s">
        <v>151</v>
      </c>
      <c r="ES648" s="3">
        <f>HYPERLINK("https://my.pitchbook.com?c=515741-77","View Company Online")</f>
      </c>
    </row>
    <row r="649">
      <c r="A649" s="30" t="s">
        <v>13393</v>
      </c>
      <c r="B649" s="30" t="s">
        <v>13394</v>
      </c>
      <c r="C649" s="31" t="s">
        <v>151</v>
      </c>
      <c r="D649" s="30" t="s">
        <v>151</v>
      </c>
      <c r="E649" s="30" t="s">
        <v>13395</v>
      </c>
      <c r="F649" s="30" t="s">
        <v>13396</v>
      </c>
      <c r="G649" s="30" t="s">
        <v>151</v>
      </c>
      <c r="H649" s="30" t="s">
        <v>151</v>
      </c>
      <c r="I649" s="30" t="s">
        <v>151</v>
      </c>
      <c r="J649" s="30" t="s">
        <v>13393</v>
      </c>
      <c r="K649" s="30" t="s">
        <v>13397</v>
      </c>
      <c r="L649" s="30" t="s">
        <v>616</v>
      </c>
      <c r="M649" s="30" t="s">
        <v>834</v>
      </c>
      <c r="N649" s="30" t="s">
        <v>835</v>
      </c>
      <c r="O649" s="30" t="s">
        <v>1992</v>
      </c>
      <c r="P649" s="30" t="s">
        <v>13398</v>
      </c>
      <c r="Q649" s="30" t="s">
        <v>13399</v>
      </c>
      <c r="R649" s="30" t="s">
        <v>151</v>
      </c>
      <c r="S649" s="30" t="s">
        <v>162</v>
      </c>
      <c r="T649" s="37">
        <v>0.5</v>
      </c>
      <c r="U649" s="30" t="s">
        <v>163</v>
      </c>
      <c r="V649" s="30" t="s">
        <v>164</v>
      </c>
      <c r="W649" s="30" t="s">
        <v>165</v>
      </c>
      <c r="X649" s="28" t="s">
        <v>13400</v>
      </c>
      <c r="Y649" s="28" t="s">
        <v>13401</v>
      </c>
      <c r="Z649" s="40">
        <v>5</v>
      </c>
      <c r="AA649" s="30" t="s">
        <v>3862</v>
      </c>
      <c r="AB649" s="30" t="s">
        <v>151</v>
      </c>
      <c r="AC649" s="30" t="s">
        <v>151</v>
      </c>
      <c r="AD649" s="39">
        <v>2021</v>
      </c>
      <c r="AE649" s="30" t="s">
        <v>151</v>
      </c>
      <c r="AF649" s="35">
        <v>45541</v>
      </c>
      <c r="AG649" s="30" t="s">
        <v>151</v>
      </c>
      <c r="AH649" s="30" t="s">
        <v>151</v>
      </c>
      <c r="AI649" s="38" t="s">
        <v>151</v>
      </c>
      <c r="AJ649" s="32" t="s">
        <v>151</v>
      </c>
      <c r="AK649" s="38" t="s">
        <v>151</v>
      </c>
      <c r="AL649" s="38" t="s">
        <v>151</v>
      </c>
      <c r="AM649" s="38" t="s">
        <v>151</v>
      </c>
      <c r="AN649" s="38" t="s">
        <v>151</v>
      </c>
      <c r="AO649" s="38" t="s">
        <v>151</v>
      </c>
      <c r="AP649" s="38" t="s">
        <v>151</v>
      </c>
      <c r="AQ649" s="38" t="s">
        <v>151</v>
      </c>
      <c r="AR649" s="29" t="s">
        <v>151</v>
      </c>
      <c r="AS649" s="30" t="s">
        <v>13402</v>
      </c>
      <c r="AT649" s="30" t="s">
        <v>13403</v>
      </c>
      <c r="AU649" s="31">
        <v>8</v>
      </c>
      <c r="AV649" s="30" t="s">
        <v>151</v>
      </c>
      <c r="AW649" s="30" t="s">
        <v>151</v>
      </c>
      <c r="AX649" s="30" t="s">
        <v>151</v>
      </c>
      <c r="AY649" s="30" t="s">
        <v>13404</v>
      </c>
      <c r="AZ649" s="30" t="s">
        <v>151</v>
      </c>
      <c r="BA649" s="30" t="s">
        <v>151</v>
      </c>
      <c r="BB649" s="30" t="s">
        <v>151</v>
      </c>
      <c r="BC649" s="30" t="s">
        <v>151</v>
      </c>
      <c r="BD649" s="30" t="s">
        <v>13405</v>
      </c>
      <c r="BE649" s="30" t="s">
        <v>13406</v>
      </c>
      <c r="BF649" s="30" t="s">
        <v>5979</v>
      </c>
      <c r="BG649" s="30" t="s">
        <v>13407</v>
      </c>
      <c r="BH649" s="30" t="s">
        <v>13408</v>
      </c>
      <c r="BI649" s="30" t="s">
        <v>13409</v>
      </c>
      <c r="BJ649" s="30" t="s">
        <v>13410</v>
      </c>
      <c r="BK649" s="30" t="s">
        <v>13411</v>
      </c>
      <c r="BL649" s="30" t="s">
        <v>13412</v>
      </c>
      <c r="BM649" s="30" t="s">
        <v>3155</v>
      </c>
      <c r="BN649" s="29" t="s">
        <v>13413</v>
      </c>
      <c r="BO649" s="30" t="s">
        <v>186</v>
      </c>
      <c r="BP649" s="29" t="s">
        <v>13408</v>
      </c>
      <c r="BQ649" s="29" t="s">
        <v>151</v>
      </c>
      <c r="BR649" s="30" t="s">
        <v>13414</v>
      </c>
      <c r="BS649" s="30" t="s">
        <v>187</v>
      </c>
      <c r="BT649" s="30" t="s">
        <v>188</v>
      </c>
      <c r="BU649" s="35">
        <v>44489</v>
      </c>
      <c r="BV649" s="37">
        <v>0.05</v>
      </c>
      <c r="BW649" s="30" t="s">
        <v>192</v>
      </c>
      <c r="BX649" s="37" t="s">
        <v>151</v>
      </c>
      <c r="BY649" s="30" t="s">
        <v>151</v>
      </c>
      <c r="BZ649" s="30" t="s">
        <v>231</v>
      </c>
      <c r="CA649" s="30" t="s">
        <v>472</v>
      </c>
      <c r="CB649" s="30" t="s">
        <v>151</v>
      </c>
      <c r="CC649" s="30" t="s">
        <v>165</v>
      </c>
      <c r="CD649" s="30" t="s">
        <v>151</v>
      </c>
      <c r="CE649" s="30" t="s">
        <v>191</v>
      </c>
      <c r="CF649" s="35">
        <v>45394</v>
      </c>
      <c r="CG649" s="37">
        <v>0.4</v>
      </c>
      <c r="CH649" s="30" t="s">
        <v>192</v>
      </c>
      <c r="CI649" s="37" t="s">
        <v>151</v>
      </c>
      <c r="CJ649" s="30" t="s">
        <v>151</v>
      </c>
      <c r="CK649" s="29" t="s">
        <v>151</v>
      </c>
      <c r="CL649" s="30" t="s">
        <v>293</v>
      </c>
      <c r="CM649" s="30" t="s">
        <v>293</v>
      </c>
      <c r="CN649" s="30" t="s">
        <v>151</v>
      </c>
      <c r="CO649" s="30" t="s">
        <v>165</v>
      </c>
      <c r="CP649" s="35">
        <v>45394</v>
      </c>
      <c r="CQ649" s="37" t="s">
        <v>151</v>
      </c>
      <c r="CR649" s="30" t="s">
        <v>151</v>
      </c>
      <c r="CS649" s="30" t="s">
        <v>191</v>
      </c>
      <c r="CT649" s="29">
        <v>57</v>
      </c>
      <c r="CU649" s="30" t="s">
        <v>196</v>
      </c>
      <c r="CV649" s="32">
        <v>54</v>
      </c>
      <c r="CW649" s="32">
        <v>46</v>
      </c>
      <c r="CX649" s="30" t="s">
        <v>294</v>
      </c>
      <c r="CY649" s="32">
        <v>1</v>
      </c>
      <c r="CZ649" s="32">
        <v>53</v>
      </c>
      <c r="DA649" s="37" t="s">
        <v>151</v>
      </c>
      <c r="DB649" s="35" t="s">
        <v>151</v>
      </c>
      <c r="DC649" s="30" t="s">
        <v>151</v>
      </c>
      <c r="DD649" s="29" t="s">
        <v>151</v>
      </c>
      <c r="DE649" s="32">
        <v>3.13</v>
      </c>
      <c r="DF649" s="34">
        <v>99</v>
      </c>
      <c r="DG649" s="32">
        <v>0</v>
      </c>
      <c r="DH649" s="32">
        <v>0</v>
      </c>
      <c r="DI649" s="32" t="s">
        <v>151</v>
      </c>
      <c r="DJ649" s="34" t="s">
        <v>151</v>
      </c>
      <c r="DK649" s="32" t="s">
        <v>151</v>
      </c>
      <c r="DL649" s="34" t="s">
        <v>151</v>
      </c>
      <c r="DM649" s="32" t="s">
        <v>151</v>
      </c>
      <c r="DN649" s="34" t="s">
        <v>151</v>
      </c>
      <c r="DO649" s="36">
        <v>0.38</v>
      </c>
      <c r="DP649" s="34">
        <v>27</v>
      </c>
      <c r="DQ649" s="36">
        <v>0</v>
      </c>
      <c r="DR649" s="32">
        <v>0</v>
      </c>
      <c r="DS649" s="36" t="s">
        <v>151</v>
      </c>
      <c r="DT649" s="34" t="s">
        <v>151</v>
      </c>
      <c r="DU649" s="36" t="s">
        <v>151</v>
      </c>
      <c r="DV649" s="34" t="s">
        <v>151</v>
      </c>
      <c r="DW649" s="36" t="s">
        <v>151</v>
      </c>
      <c r="DX649" s="34" t="s">
        <v>151</v>
      </c>
      <c r="DY649" s="31" t="s">
        <v>151</v>
      </c>
      <c r="DZ649" s="35" t="s">
        <v>151</v>
      </c>
      <c r="EA649" s="35" t="s">
        <v>151</v>
      </c>
      <c r="EB649" s="34">
        <v>527</v>
      </c>
      <c r="EC649" s="33">
        <v>-84</v>
      </c>
      <c r="ED649" s="32">
        <v>-13.75</v>
      </c>
      <c r="EE649" s="34" t="s">
        <v>151</v>
      </c>
      <c r="EF649" s="33" t="s">
        <v>151</v>
      </c>
      <c r="EG649" s="32" t="s">
        <v>151</v>
      </c>
      <c r="EH649" s="29" t="s">
        <v>198</v>
      </c>
      <c r="EI649" s="30" t="s">
        <v>151</v>
      </c>
      <c r="EJ649" s="30" t="s">
        <v>151</v>
      </c>
      <c r="EK649" s="31" t="s">
        <v>151</v>
      </c>
      <c r="EL649" s="31" t="s">
        <v>151</v>
      </c>
      <c r="EM649" s="31" t="s">
        <v>151</v>
      </c>
      <c r="EN649" s="31" t="s">
        <v>151</v>
      </c>
      <c r="EO649" s="31" t="s">
        <v>151</v>
      </c>
      <c r="EP649" s="30" t="s">
        <v>151</v>
      </c>
      <c r="EQ649" s="29" t="s">
        <v>151</v>
      </c>
      <c r="ER649" s="29" t="s">
        <v>151</v>
      </c>
      <c r="ES649" s="4">
        <f>HYPERLINK("https://my.pitchbook.com?c=489547-90","View Company Online")</f>
      </c>
    </row>
    <row r="650">
      <c r="A650" s="17" t="s">
        <v>13415</v>
      </c>
      <c r="B650" s="17" t="s">
        <v>13416</v>
      </c>
      <c r="C650" s="18" t="s">
        <v>151</v>
      </c>
      <c r="D650" s="17" t="s">
        <v>151</v>
      </c>
      <c r="E650" s="17" t="s">
        <v>13417</v>
      </c>
      <c r="F650" s="17" t="s">
        <v>13418</v>
      </c>
      <c r="G650" s="17" t="s">
        <v>151</v>
      </c>
      <c r="H650" s="17" t="s">
        <v>151</v>
      </c>
      <c r="I650" s="17" t="s">
        <v>151</v>
      </c>
      <c r="J650" s="17" t="s">
        <v>13415</v>
      </c>
      <c r="K650" s="17" t="s">
        <v>13419</v>
      </c>
      <c r="L650" s="17" t="s">
        <v>205</v>
      </c>
      <c r="M650" s="17" t="s">
        <v>206</v>
      </c>
      <c r="N650" s="17" t="s">
        <v>269</v>
      </c>
      <c r="O650" s="17" t="s">
        <v>563</v>
      </c>
      <c r="P650" s="17" t="s">
        <v>13420</v>
      </c>
      <c r="Q650" s="17" t="s">
        <v>13421</v>
      </c>
      <c r="R650" s="17" t="s">
        <v>1155</v>
      </c>
      <c r="S650" s="17" t="s">
        <v>162</v>
      </c>
      <c r="T650" s="24">
        <v>2</v>
      </c>
      <c r="U650" s="17" t="s">
        <v>1727</v>
      </c>
      <c r="V650" s="17" t="s">
        <v>164</v>
      </c>
      <c r="W650" s="17" t="s">
        <v>165</v>
      </c>
      <c r="X650" s="15" t="s">
        <v>13422</v>
      </c>
      <c r="Y650" s="15" t="s">
        <v>13423</v>
      </c>
      <c r="Z650" s="27">
        <v>10</v>
      </c>
      <c r="AA650" s="17" t="s">
        <v>9198</v>
      </c>
      <c r="AB650" s="17" t="s">
        <v>151</v>
      </c>
      <c r="AC650" s="17" t="s">
        <v>151</v>
      </c>
      <c r="AD650" s="26">
        <v>2023</v>
      </c>
      <c r="AE650" s="17" t="s">
        <v>151</v>
      </c>
      <c r="AF650" s="22">
        <v>45596</v>
      </c>
      <c r="AG650" s="17" t="s">
        <v>151</v>
      </c>
      <c r="AH650" s="17" t="s">
        <v>151</v>
      </c>
      <c r="AI650" s="25" t="s">
        <v>151</v>
      </c>
      <c r="AJ650" s="19" t="s">
        <v>151</v>
      </c>
      <c r="AK650" s="25" t="s">
        <v>151</v>
      </c>
      <c r="AL650" s="25" t="s">
        <v>151</v>
      </c>
      <c r="AM650" s="25" t="s">
        <v>151</v>
      </c>
      <c r="AN650" s="25" t="s">
        <v>151</v>
      </c>
      <c r="AO650" s="25" t="s">
        <v>151</v>
      </c>
      <c r="AP650" s="25" t="s">
        <v>151</v>
      </c>
      <c r="AQ650" s="25" t="s">
        <v>151</v>
      </c>
      <c r="AR650" s="16" t="s">
        <v>151</v>
      </c>
      <c r="AS650" s="17" t="s">
        <v>13424</v>
      </c>
      <c r="AT650" s="17" t="s">
        <v>13425</v>
      </c>
      <c r="AU650" s="18">
        <v>10</v>
      </c>
      <c r="AV650" s="17" t="s">
        <v>151</v>
      </c>
      <c r="AW650" s="17" t="s">
        <v>151</v>
      </c>
      <c r="AX650" s="17" t="s">
        <v>151</v>
      </c>
      <c r="AY650" s="17" t="s">
        <v>13426</v>
      </c>
      <c r="AZ650" s="17" t="s">
        <v>151</v>
      </c>
      <c r="BA650" s="17" t="s">
        <v>151</v>
      </c>
      <c r="BB650" s="17" t="s">
        <v>151</v>
      </c>
      <c r="BC650" s="17" t="s">
        <v>490</v>
      </c>
      <c r="BD650" s="17" t="s">
        <v>13427</v>
      </c>
      <c r="BE650" s="17" t="s">
        <v>13428</v>
      </c>
      <c r="BF650" s="17" t="s">
        <v>221</v>
      </c>
      <c r="BG650" s="17" t="s">
        <v>13429</v>
      </c>
      <c r="BH650" s="17" t="s">
        <v>151</v>
      </c>
      <c r="BI650" s="17" t="s">
        <v>378</v>
      </c>
      <c r="BJ650" s="17" t="s">
        <v>13430</v>
      </c>
      <c r="BK650" s="17" t="s">
        <v>151</v>
      </c>
      <c r="BL650" s="17" t="s">
        <v>381</v>
      </c>
      <c r="BM650" s="17" t="s">
        <v>289</v>
      </c>
      <c r="BN650" s="16" t="s">
        <v>151</v>
      </c>
      <c r="BO650" s="17" t="s">
        <v>186</v>
      </c>
      <c r="BP650" s="16" t="s">
        <v>151</v>
      </c>
      <c r="BQ650" s="16" t="s">
        <v>151</v>
      </c>
      <c r="BR650" s="17" t="s">
        <v>151</v>
      </c>
      <c r="BS650" s="17" t="s">
        <v>187</v>
      </c>
      <c r="BT650" s="17" t="s">
        <v>188</v>
      </c>
      <c r="BU650" s="22">
        <v>45222</v>
      </c>
      <c r="BV650" s="24">
        <v>2</v>
      </c>
      <c r="BW650" s="17" t="s">
        <v>192</v>
      </c>
      <c r="BX650" s="24" t="s">
        <v>151</v>
      </c>
      <c r="BY650" s="17" t="s">
        <v>151</v>
      </c>
      <c r="BZ650" s="17" t="s">
        <v>293</v>
      </c>
      <c r="CA650" s="17" t="s">
        <v>293</v>
      </c>
      <c r="CB650" s="17" t="s">
        <v>151</v>
      </c>
      <c r="CC650" s="17" t="s">
        <v>165</v>
      </c>
      <c r="CD650" s="17" t="s">
        <v>151</v>
      </c>
      <c r="CE650" s="17" t="s">
        <v>191</v>
      </c>
      <c r="CF650" s="22">
        <v>45377</v>
      </c>
      <c r="CG650" s="24" t="s">
        <v>151</v>
      </c>
      <c r="CH650" s="17" t="s">
        <v>151</v>
      </c>
      <c r="CI650" s="24" t="s">
        <v>151</v>
      </c>
      <c r="CJ650" s="17" t="s">
        <v>151</v>
      </c>
      <c r="CK650" s="16" t="s">
        <v>151</v>
      </c>
      <c r="CL650" s="17" t="s">
        <v>189</v>
      </c>
      <c r="CM650" s="17" t="s">
        <v>151</v>
      </c>
      <c r="CN650" s="17" t="s">
        <v>151</v>
      </c>
      <c r="CO650" s="17" t="s">
        <v>190</v>
      </c>
      <c r="CP650" s="22">
        <v>45377</v>
      </c>
      <c r="CQ650" s="24" t="s">
        <v>151</v>
      </c>
      <c r="CR650" s="17" t="s">
        <v>151</v>
      </c>
      <c r="CS650" s="17" t="s">
        <v>191</v>
      </c>
      <c r="CT650" s="16" t="s">
        <v>151</v>
      </c>
      <c r="CU650" s="17" t="s">
        <v>151</v>
      </c>
      <c r="CV650" s="19" t="s">
        <v>151</v>
      </c>
      <c r="CW650" s="19" t="s">
        <v>151</v>
      </c>
      <c r="CX650" s="17" t="s">
        <v>151</v>
      </c>
      <c r="CY650" s="19" t="s">
        <v>151</v>
      </c>
      <c r="CZ650" s="19" t="s">
        <v>151</v>
      </c>
      <c r="DA650" s="24" t="s">
        <v>151</v>
      </c>
      <c r="DB650" s="22" t="s">
        <v>151</v>
      </c>
      <c r="DC650" s="17" t="s">
        <v>151</v>
      </c>
      <c r="DD650" s="16" t="s">
        <v>151</v>
      </c>
      <c r="DE650" s="19">
        <v>1.39</v>
      </c>
      <c r="DF650" s="21">
        <v>97</v>
      </c>
      <c r="DG650" s="19">
        <v>0</v>
      </c>
      <c r="DH650" s="19">
        <v>0</v>
      </c>
      <c r="DI650" s="19" t="s">
        <v>151</v>
      </c>
      <c r="DJ650" s="21" t="s">
        <v>151</v>
      </c>
      <c r="DK650" s="19" t="s">
        <v>151</v>
      </c>
      <c r="DL650" s="21" t="s">
        <v>151</v>
      </c>
      <c r="DM650" s="19" t="s">
        <v>151</v>
      </c>
      <c r="DN650" s="21" t="s">
        <v>151</v>
      </c>
      <c r="DO650" s="23">
        <v>0.77</v>
      </c>
      <c r="DP650" s="21">
        <v>44</v>
      </c>
      <c r="DQ650" s="23">
        <v>0</v>
      </c>
      <c r="DR650" s="19">
        <v>0</v>
      </c>
      <c r="DS650" s="23" t="s">
        <v>151</v>
      </c>
      <c r="DT650" s="21" t="s">
        <v>151</v>
      </c>
      <c r="DU650" s="23" t="s">
        <v>151</v>
      </c>
      <c r="DV650" s="21" t="s">
        <v>151</v>
      </c>
      <c r="DW650" s="23" t="s">
        <v>151</v>
      </c>
      <c r="DX650" s="21" t="s">
        <v>151</v>
      </c>
      <c r="DY650" s="18" t="s">
        <v>151</v>
      </c>
      <c r="DZ650" s="22" t="s">
        <v>151</v>
      </c>
      <c r="EA650" s="22" t="s">
        <v>151</v>
      </c>
      <c r="EB650" s="21" t="s">
        <v>151</v>
      </c>
      <c r="EC650" s="20" t="s">
        <v>151</v>
      </c>
      <c r="ED650" s="19" t="s">
        <v>151</v>
      </c>
      <c r="EE650" s="21" t="s">
        <v>151</v>
      </c>
      <c r="EF650" s="20" t="s">
        <v>151</v>
      </c>
      <c r="EG650" s="19" t="s">
        <v>151</v>
      </c>
      <c r="EH650" s="16" t="s">
        <v>198</v>
      </c>
      <c r="EI650" s="17" t="s">
        <v>151</v>
      </c>
      <c r="EJ650" s="17" t="s">
        <v>151</v>
      </c>
      <c r="EK650" s="18" t="s">
        <v>151</v>
      </c>
      <c r="EL650" s="18" t="s">
        <v>151</v>
      </c>
      <c r="EM650" s="18" t="s">
        <v>151</v>
      </c>
      <c r="EN650" s="18" t="s">
        <v>151</v>
      </c>
      <c r="EO650" s="18" t="s">
        <v>151</v>
      </c>
      <c r="EP650" s="17" t="s">
        <v>151</v>
      </c>
      <c r="EQ650" s="16" t="s">
        <v>151</v>
      </c>
      <c r="ER650" s="16" t="s">
        <v>151</v>
      </c>
      <c r="ES650" s="3">
        <f>HYPERLINK("https://my.pitchbook.com?c=538850-89","View Company Online")</f>
      </c>
    </row>
    <row r="651">
      <c r="A651" s="30" t="s">
        <v>13431</v>
      </c>
      <c r="B651" s="30" t="s">
        <v>13432</v>
      </c>
      <c r="C651" s="31" t="s">
        <v>151</v>
      </c>
      <c r="D651" s="30" t="s">
        <v>151</v>
      </c>
      <c r="E651" s="30" t="s">
        <v>151</v>
      </c>
      <c r="F651" s="30" t="s">
        <v>13433</v>
      </c>
      <c r="G651" s="30" t="s">
        <v>151</v>
      </c>
      <c r="H651" s="30" t="s">
        <v>151</v>
      </c>
      <c r="I651" s="30" t="s">
        <v>151</v>
      </c>
      <c r="J651" s="30" t="s">
        <v>13431</v>
      </c>
      <c r="K651" s="30" t="s">
        <v>13434</v>
      </c>
      <c r="L651" s="30" t="s">
        <v>205</v>
      </c>
      <c r="M651" s="30" t="s">
        <v>206</v>
      </c>
      <c r="N651" s="30" t="s">
        <v>1940</v>
      </c>
      <c r="O651" s="30" t="s">
        <v>13435</v>
      </c>
      <c r="P651" s="30" t="s">
        <v>2174</v>
      </c>
      <c r="Q651" s="30" t="s">
        <v>13436</v>
      </c>
      <c r="R651" s="30" t="s">
        <v>151</v>
      </c>
      <c r="S651" s="30" t="s">
        <v>162</v>
      </c>
      <c r="T651" s="37">
        <v>5.89</v>
      </c>
      <c r="U651" s="30" t="s">
        <v>163</v>
      </c>
      <c r="V651" s="30" t="s">
        <v>164</v>
      </c>
      <c r="W651" s="30" t="s">
        <v>165</v>
      </c>
      <c r="X651" s="28" t="s">
        <v>13437</v>
      </c>
      <c r="Y651" s="28" t="s">
        <v>13438</v>
      </c>
      <c r="Z651" s="40">
        <v>11</v>
      </c>
      <c r="AA651" s="30" t="s">
        <v>13439</v>
      </c>
      <c r="AB651" s="30" t="s">
        <v>151</v>
      </c>
      <c r="AC651" s="30" t="s">
        <v>151</v>
      </c>
      <c r="AD651" s="39">
        <v>2018</v>
      </c>
      <c r="AE651" s="30" t="s">
        <v>151</v>
      </c>
      <c r="AF651" s="35">
        <v>45615</v>
      </c>
      <c r="AG651" s="30" t="s">
        <v>151</v>
      </c>
      <c r="AH651" s="30" t="s">
        <v>151</v>
      </c>
      <c r="AI651" s="38">
        <v>0.08</v>
      </c>
      <c r="AJ651" s="32" t="s">
        <v>151</v>
      </c>
      <c r="AK651" s="38" t="s">
        <v>151</v>
      </c>
      <c r="AL651" s="38" t="s">
        <v>151</v>
      </c>
      <c r="AM651" s="38" t="s">
        <v>151</v>
      </c>
      <c r="AN651" s="38" t="s">
        <v>151</v>
      </c>
      <c r="AO651" s="38" t="s">
        <v>151</v>
      </c>
      <c r="AP651" s="38" t="s">
        <v>151</v>
      </c>
      <c r="AQ651" s="38" t="s">
        <v>151</v>
      </c>
      <c r="AR651" s="29" t="s">
        <v>841</v>
      </c>
      <c r="AS651" s="30" t="s">
        <v>13440</v>
      </c>
      <c r="AT651" s="30" t="s">
        <v>13441</v>
      </c>
      <c r="AU651" s="31">
        <v>8</v>
      </c>
      <c r="AV651" s="30" t="s">
        <v>151</v>
      </c>
      <c r="AW651" s="30" t="s">
        <v>151</v>
      </c>
      <c r="AX651" s="30" t="s">
        <v>151</v>
      </c>
      <c r="AY651" s="30" t="s">
        <v>13442</v>
      </c>
      <c r="AZ651" s="30" t="s">
        <v>151</v>
      </c>
      <c r="BA651" s="30" t="s">
        <v>151</v>
      </c>
      <c r="BB651" s="30" t="s">
        <v>151</v>
      </c>
      <c r="BC651" s="30" t="s">
        <v>601</v>
      </c>
      <c r="BD651" s="30" t="s">
        <v>13443</v>
      </c>
      <c r="BE651" s="30" t="s">
        <v>13444</v>
      </c>
      <c r="BF651" s="30" t="s">
        <v>13445</v>
      </c>
      <c r="BG651" s="30" t="s">
        <v>13446</v>
      </c>
      <c r="BH651" s="30" t="s">
        <v>13447</v>
      </c>
      <c r="BI651" s="30" t="s">
        <v>934</v>
      </c>
      <c r="BJ651" s="30" t="s">
        <v>13448</v>
      </c>
      <c r="BK651" s="30" t="s">
        <v>13449</v>
      </c>
      <c r="BL651" s="30" t="s">
        <v>937</v>
      </c>
      <c r="BM651" s="30" t="s">
        <v>184</v>
      </c>
      <c r="BN651" s="29" t="s">
        <v>5500</v>
      </c>
      <c r="BO651" s="30" t="s">
        <v>186</v>
      </c>
      <c r="BP651" s="29" t="s">
        <v>13450</v>
      </c>
      <c r="BQ651" s="29" t="s">
        <v>151</v>
      </c>
      <c r="BR651" s="30" t="s">
        <v>151</v>
      </c>
      <c r="BS651" s="30" t="s">
        <v>187</v>
      </c>
      <c r="BT651" s="30" t="s">
        <v>188</v>
      </c>
      <c r="BU651" s="35">
        <v>44538</v>
      </c>
      <c r="BV651" s="37">
        <v>2.24</v>
      </c>
      <c r="BW651" s="30" t="s">
        <v>192</v>
      </c>
      <c r="BX651" s="37">
        <v>8</v>
      </c>
      <c r="BY651" s="30" t="s">
        <v>192</v>
      </c>
      <c r="BZ651" s="30" t="s">
        <v>293</v>
      </c>
      <c r="CA651" s="30" t="s">
        <v>293</v>
      </c>
      <c r="CB651" s="30" t="s">
        <v>151</v>
      </c>
      <c r="CC651" s="30" t="s">
        <v>165</v>
      </c>
      <c r="CD651" s="30" t="s">
        <v>151</v>
      </c>
      <c r="CE651" s="30" t="s">
        <v>191</v>
      </c>
      <c r="CF651" s="35">
        <v>45505</v>
      </c>
      <c r="CG651" s="37">
        <v>3.65</v>
      </c>
      <c r="CH651" s="30" t="s">
        <v>192</v>
      </c>
      <c r="CI651" s="37">
        <v>16</v>
      </c>
      <c r="CJ651" s="30" t="s">
        <v>192</v>
      </c>
      <c r="CK651" s="29">
        <v>1.54</v>
      </c>
      <c r="CL651" s="30" t="s">
        <v>293</v>
      </c>
      <c r="CM651" s="30" t="s">
        <v>293</v>
      </c>
      <c r="CN651" s="30" t="s">
        <v>151</v>
      </c>
      <c r="CO651" s="30" t="s">
        <v>165</v>
      </c>
      <c r="CP651" s="35">
        <v>45505</v>
      </c>
      <c r="CQ651" s="37" t="s">
        <v>151</v>
      </c>
      <c r="CR651" s="30" t="s">
        <v>151</v>
      </c>
      <c r="CS651" s="30" t="s">
        <v>191</v>
      </c>
      <c r="CT651" s="29">
        <v>61</v>
      </c>
      <c r="CU651" s="30" t="s">
        <v>196</v>
      </c>
      <c r="CV651" s="32">
        <v>58</v>
      </c>
      <c r="CW651" s="32">
        <v>42</v>
      </c>
      <c r="CX651" s="30" t="s">
        <v>294</v>
      </c>
      <c r="CY651" s="32">
        <v>1</v>
      </c>
      <c r="CZ651" s="32">
        <v>57</v>
      </c>
      <c r="DA651" s="37">
        <v>16</v>
      </c>
      <c r="DB651" s="35">
        <v>45505</v>
      </c>
      <c r="DC651" s="30" t="s">
        <v>293</v>
      </c>
      <c r="DD651" s="29">
        <v>1.54</v>
      </c>
      <c r="DE651" s="32">
        <v>1.32</v>
      </c>
      <c r="DF651" s="34">
        <v>97</v>
      </c>
      <c r="DG651" s="32">
        <v>0</v>
      </c>
      <c r="DH651" s="32">
        <v>0</v>
      </c>
      <c r="DI651" s="32">
        <v>0</v>
      </c>
      <c r="DJ651" s="34">
        <v>10</v>
      </c>
      <c r="DK651" s="32">
        <v>0</v>
      </c>
      <c r="DL651" s="34">
        <v>11</v>
      </c>
      <c r="DM651" s="32">
        <v>0</v>
      </c>
      <c r="DN651" s="34">
        <v>10</v>
      </c>
      <c r="DO651" s="36">
        <v>1.07</v>
      </c>
      <c r="DP651" s="34">
        <v>52</v>
      </c>
      <c r="DQ651" s="36">
        <v>0</v>
      </c>
      <c r="DR651" s="32">
        <v>0</v>
      </c>
      <c r="DS651" s="36">
        <v>1.3</v>
      </c>
      <c r="DT651" s="34">
        <v>56</v>
      </c>
      <c r="DU651" s="36">
        <v>0.07</v>
      </c>
      <c r="DV651" s="34">
        <v>27</v>
      </c>
      <c r="DW651" s="36">
        <v>2.53</v>
      </c>
      <c r="DX651" s="34">
        <v>70</v>
      </c>
      <c r="DY651" s="31" t="s">
        <v>151</v>
      </c>
      <c r="DZ651" s="35" t="s">
        <v>151</v>
      </c>
      <c r="EA651" s="35" t="s">
        <v>151</v>
      </c>
      <c r="EB651" s="34">
        <v>29</v>
      </c>
      <c r="EC651" s="33">
        <v>-87</v>
      </c>
      <c r="ED651" s="32">
        <v>-75</v>
      </c>
      <c r="EE651" s="34">
        <v>48</v>
      </c>
      <c r="EF651" s="33">
        <v>1</v>
      </c>
      <c r="EG651" s="32">
        <v>2.13</v>
      </c>
      <c r="EH651" s="29" t="s">
        <v>198</v>
      </c>
      <c r="EI651" s="30" t="s">
        <v>151</v>
      </c>
      <c r="EJ651" s="30" t="s">
        <v>151</v>
      </c>
      <c r="EK651" s="31" t="s">
        <v>151</v>
      </c>
      <c r="EL651" s="31" t="s">
        <v>151</v>
      </c>
      <c r="EM651" s="31" t="s">
        <v>151</v>
      </c>
      <c r="EN651" s="31" t="s">
        <v>151</v>
      </c>
      <c r="EO651" s="31" t="s">
        <v>151</v>
      </c>
      <c r="EP651" s="30" t="s">
        <v>151</v>
      </c>
      <c r="EQ651" s="29" t="s">
        <v>151</v>
      </c>
      <c r="ER651" s="29" t="s">
        <v>151</v>
      </c>
      <c r="ES651" s="4">
        <f>HYPERLINK("https://my.pitchbook.com?c=471925-99","View Company Online")</f>
      </c>
    </row>
    <row r="652">
      <c r="A652" s="17" t="s">
        <v>13451</v>
      </c>
      <c r="B652" s="17" t="s">
        <v>13452</v>
      </c>
      <c r="C652" s="18" t="s">
        <v>151</v>
      </c>
      <c r="D652" s="17" t="s">
        <v>13453</v>
      </c>
      <c r="E652" s="17" t="s">
        <v>151</v>
      </c>
      <c r="F652" s="17" t="s">
        <v>13454</v>
      </c>
      <c r="G652" s="17" t="s">
        <v>151</v>
      </c>
      <c r="H652" s="17" t="s">
        <v>151</v>
      </c>
      <c r="I652" s="17" t="s">
        <v>151</v>
      </c>
      <c r="J652" s="17" t="s">
        <v>13451</v>
      </c>
      <c r="K652" s="17" t="s">
        <v>13455</v>
      </c>
      <c r="L652" s="17" t="s">
        <v>616</v>
      </c>
      <c r="M652" s="17" t="s">
        <v>834</v>
      </c>
      <c r="N652" s="17" t="s">
        <v>3897</v>
      </c>
      <c r="O652" s="17" t="s">
        <v>13456</v>
      </c>
      <c r="P652" s="17" t="s">
        <v>304</v>
      </c>
      <c r="Q652" s="17" t="s">
        <v>13457</v>
      </c>
      <c r="R652" s="17" t="s">
        <v>151</v>
      </c>
      <c r="S652" s="17" t="s">
        <v>162</v>
      </c>
      <c r="T652" s="24">
        <v>2.64</v>
      </c>
      <c r="U652" s="17" t="s">
        <v>163</v>
      </c>
      <c r="V652" s="17" t="s">
        <v>164</v>
      </c>
      <c r="W652" s="17" t="s">
        <v>165</v>
      </c>
      <c r="X652" s="15" t="s">
        <v>13458</v>
      </c>
      <c r="Y652" s="15" t="s">
        <v>151</v>
      </c>
      <c r="Z652" s="27">
        <v>2</v>
      </c>
      <c r="AA652" s="17" t="s">
        <v>6077</v>
      </c>
      <c r="AB652" s="17" t="s">
        <v>151</v>
      </c>
      <c r="AC652" s="17" t="s">
        <v>151</v>
      </c>
      <c r="AD652" s="26">
        <v>2024</v>
      </c>
      <c r="AE652" s="17" t="s">
        <v>151</v>
      </c>
      <c r="AF652" s="22">
        <v>45600</v>
      </c>
      <c r="AG652" s="17" t="s">
        <v>151</v>
      </c>
      <c r="AH652" s="17" t="s">
        <v>151</v>
      </c>
      <c r="AI652" s="25" t="s">
        <v>151</v>
      </c>
      <c r="AJ652" s="19" t="s">
        <v>151</v>
      </c>
      <c r="AK652" s="25" t="s">
        <v>151</v>
      </c>
      <c r="AL652" s="25" t="s">
        <v>151</v>
      </c>
      <c r="AM652" s="25" t="s">
        <v>151</v>
      </c>
      <c r="AN652" s="25" t="s">
        <v>151</v>
      </c>
      <c r="AO652" s="25" t="s">
        <v>151</v>
      </c>
      <c r="AP652" s="25" t="s">
        <v>151</v>
      </c>
      <c r="AQ652" s="25" t="s">
        <v>151</v>
      </c>
      <c r="AR652" s="16" t="s">
        <v>151</v>
      </c>
      <c r="AS652" s="17" t="s">
        <v>13459</v>
      </c>
      <c r="AT652" s="17" t="s">
        <v>13460</v>
      </c>
      <c r="AU652" s="18">
        <v>1</v>
      </c>
      <c r="AV652" s="17" t="s">
        <v>151</v>
      </c>
      <c r="AW652" s="17" t="s">
        <v>151</v>
      </c>
      <c r="AX652" s="17" t="s">
        <v>151</v>
      </c>
      <c r="AY652" s="17" t="s">
        <v>13461</v>
      </c>
      <c r="AZ652" s="17" t="s">
        <v>151</v>
      </c>
      <c r="BA652" s="17" t="s">
        <v>151</v>
      </c>
      <c r="BB652" s="17" t="s">
        <v>151</v>
      </c>
      <c r="BC652" s="17" t="s">
        <v>490</v>
      </c>
      <c r="BD652" s="17" t="s">
        <v>13462</v>
      </c>
      <c r="BE652" s="17" t="s">
        <v>13463</v>
      </c>
      <c r="BF652" s="17" t="s">
        <v>493</v>
      </c>
      <c r="BG652" s="17" t="s">
        <v>151</v>
      </c>
      <c r="BH652" s="17" t="s">
        <v>151</v>
      </c>
      <c r="BI652" s="17" t="s">
        <v>906</v>
      </c>
      <c r="BJ652" s="17" t="s">
        <v>13464</v>
      </c>
      <c r="BK652" s="17" t="s">
        <v>2957</v>
      </c>
      <c r="BL652" s="17" t="s">
        <v>259</v>
      </c>
      <c r="BM652" s="17" t="s">
        <v>259</v>
      </c>
      <c r="BN652" s="16" t="s">
        <v>4983</v>
      </c>
      <c r="BO652" s="17" t="s">
        <v>186</v>
      </c>
      <c r="BP652" s="16" t="s">
        <v>151</v>
      </c>
      <c r="BQ652" s="16" t="s">
        <v>151</v>
      </c>
      <c r="BR652" s="17" t="s">
        <v>13465</v>
      </c>
      <c r="BS652" s="17" t="s">
        <v>187</v>
      </c>
      <c r="BT652" s="17" t="s">
        <v>188</v>
      </c>
      <c r="BU652" s="22">
        <v>45554</v>
      </c>
      <c r="BV652" s="24">
        <v>2.64</v>
      </c>
      <c r="BW652" s="17" t="s">
        <v>192</v>
      </c>
      <c r="BX652" s="24">
        <v>13</v>
      </c>
      <c r="BY652" s="17" t="s">
        <v>192</v>
      </c>
      <c r="BZ652" s="17" t="s">
        <v>293</v>
      </c>
      <c r="CA652" s="17" t="s">
        <v>293</v>
      </c>
      <c r="CB652" s="17" t="s">
        <v>151</v>
      </c>
      <c r="CC652" s="17" t="s">
        <v>165</v>
      </c>
      <c r="CD652" s="17" t="s">
        <v>151</v>
      </c>
      <c r="CE652" s="17" t="s">
        <v>191</v>
      </c>
      <c r="CF652" s="22">
        <v>45554</v>
      </c>
      <c r="CG652" s="24">
        <v>2.64</v>
      </c>
      <c r="CH652" s="17" t="s">
        <v>192</v>
      </c>
      <c r="CI652" s="24">
        <v>13</v>
      </c>
      <c r="CJ652" s="17" t="s">
        <v>192</v>
      </c>
      <c r="CK652" s="16" t="s">
        <v>151</v>
      </c>
      <c r="CL652" s="17" t="s">
        <v>293</v>
      </c>
      <c r="CM652" s="17" t="s">
        <v>293</v>
      </c>
      <c r="CN652" s="17" t="s">
        <v>151</v>
      </c>
      <c r="CO652" s="17" t="s">
        <v>165</v>
      </c>
      <c r="CP652" s="22">
        <v>45554</v>
      </c>
      <c r="CQ652" s="24" t="s">
        <v>151</v>
      </c>
      <c r="CR652" s="17" t="s">
        <v>151</v>
      </c>
      <c r="CS652" s="17" t="s">
        <v>191</v>
      </c>
      <c r="CT652" s="16" t="s">
        <v>151</v>
      </c>
      <c r="CU652" s="17" t="s">
        <v>151</v>
      </c>
      <c r="CV652" s="19" t="s">
        <v>151</v>
      </c>
      <c r="CW652" s="19" t="s">
        <v>151</v>
      </c>
      <c r="CX652" s="17" t="s">
        <v>151</v>
      </c>
      <c r="CY652" s="19" t="s">
        <v>151</v>
      </c>
      <c r="CZ652" s="19" t="s">
        <v>151</v>
      </c>
      <c r="DA652" s="24">
        <v>13</v>
      </c>
      <c r="DB652" s="22">
        <v>45554</v>
      </c>
      <c r="DC652" s="17" t="s">
        <v>293</v>
      </c>
      <c r="DD652" s="16" t="s">
        <v>151</v>
      </c>
      <c r="DE652" s="19">
        <v>0</v>
      </c>
      <c r="DF652" s="21">
        <v>11</v>
      </c>
      <c r="DG652" s="19">
        <v>0</v>
      </c>
      <c r="DH652" s="19">
        <v>0</v>
      </c>
      <c r="DI652" s="19">
        <v>0</v>
      </c>
      <c r="DJ652" s="21">
        <v>10</v>
      </c>
      <c r="DK652" s="19" t="s">
        <v>151</v>
      </c>
      <c r="DL652" s="21" t="s">
        <v>151</v>
      </c>
      <c r="DM652" s="19">
        <v>0</v>
      </c>
      <c r="DN652" s="21">
        <v>10</v>
      </c>
      <c r="DO652" s="23">
        <v>0.21</v>
      </c>
      <c r="DP652" s="21">
        <v>13</v>
      </c>
      <c r="DQ652" s="23">
        <v>0</v>
      </c>
      <c r="DR652" s="19">
        <v>0</v>
      </c>
      <c r="DS652" s="23">
        <v>0.21</v>
      </c>
      <c r="DT652" s="21">
        <v>14</v>
      </c>
      <c r="DU652" s="23" t="s">
        <v>151</v>
      </c>
      <c r="DV652" s="21" t="s">
        <v>151</v>
      </c>
      <c r="DW652" s="23">
        <v>0.21</v>
      </c>
      <c r="DX652" s="21">
        <v>14</v>
      </c>
      <c r="DY652" s="18" t="s">
        <v>151</v>
      </c>
      <c r="DZ652" s="22" t="s">
        <v>151</v>
      </c>
      <c r="EA652" s="22" t="s">
        <v>151</v>
      </c>
      <c r="EB652" s="21" t="s">
        <v>151</v>
      </c>
      <c r="EC652" s="20" t="s">
        <v>151</v>
      </c>
      <c r="ED652" s="19" t="s">
        <v>151</v>
      </c>
      <c r="EE652" s="21">
        <v>4</v>
      </c>
      <c r="EF652" s="20">
        <v>0</v>
      </c>
      <c r="EG652" s="19">
        <v>0</v>
      </c>
      <c r="EH652" s="16" t="s">
        <v>198</v>
      </c>
      <c r="EI652" s="17" t="s">
        <v>151</v>
      </c>
      <c r="EJ652" s="17" t="s">
        <v>151</v>
      </c>
      <c r="EK652" s="18" t="s">
        <v>151</v>
      </c>
      <c r="EL652" s="18" t="s">
        <v>151</v>
      </c>
      <c r="EM652" s="18" t="s">
        <v>151</v>
      </c>
      <c r="EN652" s="18" t="s">
        <v>151</v>
      </c>
      <c r="EO652" s="18" t="s">
        <v>151</v>
      </c>
      <c r="EP652" s="17" t="s">
        <v>151</v>
      </c>
      <c r="EQ652" s="16" t="s">
        <v>151</v>
      </c>
      <c r="ER652" s="16" t="s">
        <v>151</v>
      </c>
      <c r="ES652" s="3">
        <f>HYPERLINK("https://my.pitchbook.com?c=608839-75","View Company Online")</f>
      </c>
    </row>
    <row r="653">
      <c r="A653" s="30" t="s">
        <v>13466</v>
      </c>
      <c r="B653" s="30" t="s">
        <v>13467</v>
      </c>
      <c r="C653" s="31" t="s">
        <v>151</v>
      </c>
      <c r="D653" s="30" t="s">
        <v>151</v>
      </c>
      <c r="E653" s="30" t="s">
        <v>151</v>
      </c>
      <c r="F653" s="30" t="s">
        <v>13468</v>
      </c>
      <c r="G653" s="30" t="s">
        <v>151</v>
      </c>
      <c r="H653" s="30" t="s">
        <v>151</v>
      </c>
      <c r="I653" s="30" t="s">
        <v>151</v>
      </c>
      <c r="J653" s="30" t="s">
        <v>13466</v>
      </c>
      <c r="K653" s="30" t="s">
        <v>13469</v>
      </c>
      <c r="L653" s="30" t="s">
        <v>155</v>
      </c>
      <c r="M653" s="30" t="s">
        <v>361</v>
      </c>
      <c r="N653" s="30" t="s">
        <v>362</v>
      </c>
      <c r="O653" s="30" t="s">
        <v>13470</v>
      </c>
      <c r="P653" s="30" t="s">
        <v>13471</v>
      </c>
      <c r="Q653" s="30" t="s">
        <v>13472</v>
      </c>
      <c r="R653" s="30" t="s">
        <v>151</v>
      </c>
      <c r="S653" s="30" t="s">
        <v>162</v>
      </c>
      <c r="T653" s="37">
        <v>1.5</v>
      </c>
      <c r="U653" s="30" t="s">
        <v>163</v>
      </c>
      <c r="V653" s="30" t="s">
        <v>164</v>
      </c>
      <c r="W653" s="30" t="s">
        <v>165</v>
      </c>
      <c r="X653" s="28" t="s">
        <v>13473</v>
      </c>
      <c r="Y653" s="28" t="s">
        <v>13474</v>
      </c>
      <c r="Z653" s="40">
        <v>24</v>
      </c>
      <c r="AA653" s="30" t="s">
        <v>13475</v>
      </c>
      <c r="AB653" s="30" t="s">
        <v>151</v>
      </c>
      <c r="AC653" s="30" t="s">
        <v>151</v>
      </c>
      <c r="AD653" s="39">
        <v>2015</v>
      </c>
      <c r="AE653" s="30" t="s">
        <v>151</v>
      </c>
      <c r="AF653" s="35">
        <v>45592</v>
      </c>
      <c r="AG653" s="30" t="s">
        <v>151</v>
      </c>
      <c r="AH653" s="30" t="s">
        <v>151</v>
      </c>
      <c r="AI653" s="38" t="s">
        <v>151</v>
      </c>
      <c r="AJ653" s="32" t="s">
        <v>151</v>
      </c>
      <c r="AK653" s="38" t="s">
        <v>151</v>
      </c>
      <c r="AL653" s="38" t="s">
        <v>151</v>
      </c>
      <c r="AM653" s="38" t="s">
        <v>151</v>
      </c>
      <c r="AN653" s="38" t="s">
        <v>151</v>
      </c>
      <c r="AO653" s="38" t="s">
        <v>151</v>
      </c>
      <c r="AP653" s="38" t="s">
        <v>151</v>
      </c>
      <c r="AQ653" s="38" t="s">
        <v>151</v>
      </c>
      <c r="AR653" s="29" t="s">
        <v>151</v>
      </c>
      <c r="AS653" s="30" t="s">
        <v>13476</v>
      </c>
      <c r="AT653" s="30" t="s">
        <v>13477</v>
      </c>
      <c r="AU653" s="31">
        <v>2</v>
      </c>
      <c r="AV653" s="30" t="s">
        <v>151</v>
      </c>
      <c r="AW653" s="30" t="s">
        <v>151</v>
      </c>
      <c r="AX653" s="30" t="s">
        <v>151</v>
      </c>
      <c r="AY653" s="30" t="s">
        <v>13478</v>
      </c>
      <c r="AZ653" s="30" t="s">
        <v>151</v>
      </c>
      <c r="BA653" s="30" t="s">
        <v>151</v>
      </c>
      <c r="BB653" s="30" t="s">
        <v>151</v>
      </c>
      <c r="BC653" s="30" t="s">
        <v>151</v>
      </c>
      <c r="BD653" s="30" t="s">
        <v>13479</v>
      </c>
      <c r="BE653" s="30" t="s">
        <v>13480</v>
      </c>
      <c r="BF653" s="30" t="s">
        <v>731</v>
      </c>
      <c r="BG653" s="30" t="s">
        <v>13481</v>
      </c>
      <c r="BH653" s="30" t="s">
        <v>13482</v>
      </c>
      <c r="BI653" s="30" t="s">
        <v>6179</v>
      </c>
      <c r="BJ653" s="30" t="s">
        <v>13483</v>
      </c>
      <c r="BK653" s="30" t="s">
        <v>151</v>
      </c>
      <c r="BL653" s="30" t="s">
        <v>6182</v>
      </c>
      <c r="BM653" s="30" t="s">
        <v>184</v>
      </c>
      <c r="BN653" s="29" t="s">
        <v>13484</v>
      </c>
      <c r="BO653" s="30" t="s">
        <v>186</v>
      </c>
      <c r="BP653" s="29" t="s">
        <v>13482</v>
      </c>
      <c r="BQ653" s="29" t="s">
        <v>151</v>
      </c>
      <c r="BR653" s="30" t="s">
        <v>13485</v>
      </c>
      <c r="BS653" s="30" t="s">
        <v>187</v>
      </c>
      <c r="BT653" s="30" t="s">
        <v>188</v>
      </c>
      <c r="BU653" s="35">
        <v>44153</v>
      </c>
      <c r="BV653" s="37">
        <v>1.5</v>
      </c>
      <c r="BW653" s="30" t="s">
        <v>192</v>
      </c>
      <c r="BX653" s="37">
        <v>4.5</v>
      </c>
      <c r="BY653" s="30" t="s">
        <v>192</v>
      </c>
      <c r="BZ653" s="30" t="s">
        <v>293</v>
      </c>
      <c r="CA653" s="30" t="s">
        <v>293</v>
      </c>
      <c r="CB653" s="30" t="s">
        <v>151</v>
      </c>
      <c r="CC653" s="30" t="s">
        <v>165</v>
      </c>
      <c r="CD653" s="30" t="s">
        <v>151</v>
      </c>
      <c r="CE653" s="30" t="s">
        <v>191</v>
      </c>
      <c r="CF653" s="35">
        <v>44686</v>
      </c>
      <c r="CG653" s="37" t="s">
        <v>151</v>
      </c>
      <c r="CH653" s="30" t="s">
        <v>151</v>
      </c>
      <c r="CI653" s="37" t="s">
        <v>151</v>
      </c>
      <c r="CJ653" s="30" t="s">
        <v>151</v>
      </c>
      <c r="CK653" s="29" t="s">
        <v>151</v>
      </c>
      <c r="CL653" s="30" t="s">
        <v>194</v>
      </c>
      <c r="CM653" s="30" t="s">
        <v>151</v>
      </c>
      <c r="CN653" s="30" t="s">
        <v>151</v>
      </c>
      <c r="CO653" s="30" t="s">
        <v>165</v>
      </c>
      <c r="CP653" s="35">
        <v>44686</v>
      </c>
      <c r="CQ653" s="37" t="s">
        <v>151</v>
      </c>
      <c r="CR653" s="30" t="s">
        <v>151</v>
      </c>
      <c r="CS653" s="30" t="s">
        <v>191</v>
      </c>
      <c r="CT653" s="29">
        <v>32</v>
      </c>
      <c r="CU653" s="30" t="s">
        <v>263</v>
      </c>
      <c r="CV653" s="32">
        <v>33</v>
      </c>
      <c r="CW653" s="32">
        <v>67</v>
      </c>
      <c r="CX653" s="30" t="s">
        <v>263</v>
      </c>
      <c r="CY653" s="32">
        <v>1</v>
      </c>
      <c r="CZ653" s="32">
        <v>32</v>
      </c>
      <c r="DA653" s="37">
        <v>4.5</v>
      </c>
      <c r="DB653" s="35">
        <v>44153</v>
      </c>
      <c r="DC653" s="30" t="s">
        <v>293</v>
      </c>
      <c r="DD653" s="29" t="s">
        <v>151</v>
      </c>
      <c r="DE653" s="32">
        <v>-0.49</v>
      </c>
      <c r="DF653" s="34">
        <v>7</v>
      </c>
      <c r="DG653" s="32">
        <v>0</v>
      </c>
      <c r="DH653" s="32">
        <v>0</v>
      </c>
      <c r="DI653" s="32">
        <v>0</v>
      </c>
      <c r="DJ653" s="34">
        <v>10</v>
      </c>
      <c r="DK653" s="32" t="s">
        <v>151</v>
      </c>
      <c r="DL653" s="34" t="s">
        <v>151</v>
      </c>
      <c r="DM653" s="32">
        <v>0</v>
      </c>
      <c r="DN653" s="34">
        <v>10</v>
      </c>
      <c r="DO653" s="36">
        <v>1.69</v>
      </c>
      <c r="DP653" s="34">
        <v>63</v>
      </c>
      <c r="DQ653" s="36">
        <v>0</v>
      </c>
      <c r="DR653" s="32">
        <v>0</v>
      </c>
      <c r="DS653" s="36">
        <v>1.53</v>
      </c>
      <c r="DT653" s="34">
        <v>60</v>
      </c>
      <c r="DU653" s="36" t="s">
        <v>151</v>
      </c>
      <c r="DV653" s="34" t="s">
        <v>151</v>
      </c>
      <c r="DW653" s="36">
        <v>1.53</v>
      </c>
      <c r="DX653" s="34">
        <v>59</v>
      </c>
      <c r="DY653" s="31" t="s">
        <v>151</v>
      </c>
      <c r="DZ653" s="35" t="s">
        <v>151</v>
      </c>
      <c r="EA653" s="35" t="s">
        <v>151</v>
      </c>
      <c r="EB653" s="34">
        <v>11</v>
      </c>
      <c r="EC653" s="33">
        <v>-57</v>
      </c>
      <c r="ED653" s="32">
        <v>-83.82</v>
      </c>
      <c r="EE653" s="34">
        <v>29</v>
      </c>
      <c r="EF653" s="33">
        <v>0</v>
      </c>
      <c r="EG653" s="32">
        <v>0</v>
      </c>
      <c r="EH653" s="29" t="s">
        <v>198</v>
      </c>
      <c r="EI653" s="30" t="s">
        <v>151</v>
      </c>
      <c r="EJ653" s="30" t="s">
        <v>151</v>
      </c>
      <c r="EK653" s="31" t="s">
        <v>151</v>
      </c>
      <c r="EL653" s="31" t="s">
        <v>151</v>
      </c>
      <c r="EM653" s="31" t="s">
        <v>151</v>
      </c>
      <c r="EN653" s="31" t="s">
        <v>151</v>
      </c>
      <c r="EO653" s="31" t="s">
        <v>151</v>
      </c>
      <c r="EP653" s="30" t="s">
        <v>151</v>
      </c>
      <c r="EQ653" s="29" t="s">
        <v>151</v>
      </c>
      <c r="ER653" s="29" t="s">
        <v>151</v>
      </c>
      <c r="ES653" s="4">
        <f>HYPERLINK("https://my.pitchbook.com?c=453552-67","View Company Online")</f>
      </c>
    </row>
    <row r="654">
      <c r="A654" s="17" t="s">
        <v>13486</v>
      </c>
      <c r="B654" s="17" t="s">
        <v>13487</v>
      </c>
      <c r="C654" s="18" t="s">
        <v>151</v>
      </c>
      <c r="D654" s="17" t="s">
        <v>151</v>
      </c>
      <c r="E654" s="17" t="s">
        <v>151</v>
      </c>
      <c r="F654" s="17" t="s">
        <v>13488</v>
      </c>
      <c r="G654" s="17" t="s">
        <v>151</v>
      </c>
      <c r="H654" s="17" t="s">
        <v>151</v>
      </c>
      <c r="I654" s="17" t="s">
        <v>13489</v>
      </c>
      <c r="J654" s="17" t="s">
        <v>13486</v>
      </c>
      <c r="K654" s="17" t="s">
        <v>13490</v>
      </c>
      <c r="L654" s="17" t="s">
        <v>1792</v>
      </c>
      <c r="M654" s="17" t="s">
        <v>5329</v>
      </c>
      <c r="N654" s="17" t="s">
        <v>5330</v>
      </c>
      <c r="O654" s="17" t="s">
        <v>12931</v>
      </c>
      <c r="P654" s="17" t="s">
        <v>13491</v>
      </c>
      <c r="Q654" s="17" t="s">
        <v>13492</v>
      </c>
      <c r="R654" s="17" t="s">
        <v>151</v>
      </c>
      <c r="S654" s="17" t="s">
        <v>162</v>
      </c>
      <c r="T654" s="24">
        <v>10.3</v>
      </c>
      <c r="U654" s="17" t="s">
        <v>163</v>
      </c>
      <c r="V654" s="17" t="s">
        <v>164</v>
      </c>
      <c r="W654" s="17" t="s">
        <v>165</v>
      </c>
      <c r="X654" s="15" t="s">
        <v>13493</v>
      </c>
      <c r="Y654" s="15" t="s">
        <v>13494</v>
      </c>
      <c r="Z654" s="27">
        <v>29</v>
      </c>
      <c r="AA654" s="17" t="s">
        <v>13495</v>
      </c>
      <c r="AB654" s="17" t="s">
        <v>151</v>
      </c>
      <c r="AC654" s="17" t="s">
        <v>151</v>
      </c>
      <c r="AD654" s="26">
        <v>2020</v>
      </c>
      <c r="AE654" s="17" t="s">
        <v>151</v>
      </c>
      <c r="AF654" s="22">
        <v>45469</v>
      </c>
      <c r="AG654" s="17" t="s">
        <v>151</v>
      </c>
      <c r="AH654" s="17" t="s">
        <v>151</v>
      </c>
      <c r="AI654" s="25" t="s">
        <v>151</v>
      </c>
      <c r="AJ654" s="19" t="s">
        <v>151</v>
      </c>
      <c r="AK654" s="25" t="s">
        <v>151</v>
      </c>
      <c r="AL654" s="25" t="s">
        <v>151</v>
      </c>
      <c r="AM654" s="25" t="s">
        <v>151</v>
      </c>
      <c r="AN654" s="25" t="s">
        <v>151</v>
      </c>
      <c r="AO654" s="25" t="s">
        <v>151</v>
      </c>
      <c r="AP654" s="25" t="s">
        <v>151</v>
      </c>
      <c r="AQ654" s="25" t="s">
        <v>151</v>
      </c>
      <c r="AR654" s="16" t="s">
        <v>151</v>
      </c>
      <c r="AS654" s="17" t="s">
        <v>13496</v>
      </c>
      <c r="AT654" s="17" t="s">
        <v>13497</v>
      </c>
      <c r="AU654" s="18">
        <v>13</v>
      </c>
      <c r="AV654" s="17" t="s">
        <v>151</v>
      </c>
      <c r="AW654" s="17" t="s">
        <v>151</v>
      </c>
      <c r="AX654" s="17" t="s">
        <v>151</v>
      </c>
      <c r="AY654" s="17" t="s">
        <v>13498</v>
      </c>
      <c r="AZ654" s="17" t="s">
        <v>151</v>
      </c>
      <c r="BA654" s="17" t="s">
        <v>151</v>
      </c>
      <c r="BB654" s="17" t="s">
        <v>151</v>
      </c>
      <c r="BC654" s="17" t="s">
        <v>490</v>
      </c>
      <c r="BD654" s="17" t="s">
        <v>13499</v>
      </c>
      <c r="BE654" s="17" t="s">
        <v>13500</v>
      </c>
      <c r="BF654" s="17" t="s">
        <v>3400</v>
      </c>
      <c r="BG654" s="17" t="s">
        <v>13501</v>
      </c>
      <c r="BH654" s="17" t="s">
        <v>13502</v>
      </c>
      <c r="BI654" s="17" t="s">
        <v>906</v>
      </c>
      <c r="BJ654" s="17" t="s">
        <v>13503</v>
      </c>
      <c r="BK654" s="17" t="s">
        <v>13504</v>
      </c>
      <c r="BL654" s="17" t="s">
        <v>259</v>
      </c>
      <c r="BM654" s="17" t="s">
        <v>259</v>
      </c>
      <c r="BN654" s="16" t="s">
        <v>4180</v>
      </c>
      <c r="BO654" s="17" t="s">
        <v>186</v>
      </c>
      <c r="BP654" s="16" t="s">
        <v>13502</v>
      </c>
      <c r="BQ654" s="16" t="s">
        <v>13505</v>
      </c>
      <c r="BR654" s="17" t="s">
        <v>13506</v>
      </c>
      <c r="BS654" s="17" t="s">
        <v>187</v>
      </c>
      <c r="BT654" s="17" t="s">
        <v>188</v>
      </c>
      <c r="BU654" s="22">
        <v>44299</v>
      </c>
      <c r="BV654" s="24">
        <v>2.2</v>
      </c>
      <c r="BW654" s="17" t="s">
        <v>192</v>
      </c>
      <c r="BX654" s="24">
        <v>25</v>
      </c>
      <c r="BY654" s="17" t="s">
        <v>192</v>
      </c>
      <c r="BZ654" s="17" t="s">
        <v>293</v>
      </c>
      <c r="CA654" s="17" t="s">
        <v>293</v>
      </c>
      <c r="CB654" s="17" t="s">
        <v>151</v>
      </c>
      <c r="CC654" s="17" t="s">
        <v>165</v>
      </c>
      <c r="CD654" s="17" t="s">
        <v>151</v>
      </c>
      <c r="CE654" s="17" t="s">
        <v>191</v>
      </c>
      <c r="CF654" s="22">
        <v>45349</v>
      </c>
      <c r="CG654" s="24">
        <v>0.1</v>
      </c>
      <c r="CH654" s="17" t="s">
        <v>192</v>
      </c>
      <c r="CI654" s="24" t="s">
        <v>151</v>
      </c>
      <c r="CJ654" s="17" t="s">
        <v>151</v>
      </c>
      <c r="CK654" s="16">
        <v>1.12</v>
      </c>
      <c r="CL654" s="17" t="s">
        <v>189</v>
      </c>
      <c r="CM654" s="17" t="s">
        <v>151</v>
      </c>
      <c r="CN654" s="17" t="s">
        <v>151</v>
      </c>
      <c r="CO654" s="17" t="s">
        <v>190</v>
      </c>
      <c r="CP654" s="22">
        <v>45349</v>
      </c>
      <c r="CQ654" s="24" t="s">
        <v>151</v>
      </c>
      <c r="CR654" s="17" t="s">
        <v>151</v>
      </c>
      <c r="CS654" s="17" t="s">
        <v>191</v>
      </c>
      <c r="CT654" s="16">
        <v>91</v>
      </c>
      <c r="CU654" s="17" t="s">
        <v>196</v>
      </c>
      <c r="CV654" s="19">
        <v>84</v>
      </c>
      <c r="CW654" s="19">
        <v>16</v>
      </c>
      <c r="CX654" s="17" t="s">
        <v>294</v>
      </c>
      <c r="CY654" s="19">
        <v>1</v>
      </c>
      <c r="CZ654" s="19">
        <v>83</v>
      </c>
      <c r="DA654" s="24">
        <v>36</v>
      </c>
      <c r="DB654" s="22">
        <v>45063</v>
      </c>
      <c r="DC654" s="17" t="s">
        <v>293</v>
      </c>
      <c r="DD654" s="16">
        <v>1.12</v>
      </c>
      <c r="DE654" s="19">
        <v>0.45</v>
      </c>
      <c r="DF654" s="21">
        <v>94</v>
      </c>
      <c r="DG654" s="19">
        <v>0</v>
      </c>
      <c r="DH654" s="19">
        <v>0</v>
      </c>
      <c r="DI654" s="19" t="s">
        <v>151</v>
      </c>
      <c r="DJ654" s="21" t="s">
        <v>151</v>
      </c>
      <c r="DK654" s="19" t="s">
        <v>151</v>
      </c>
      <c r="DL654" s="21" t="s">
        <v>151</v>
      </c>
      <c r="DM654" s="19" t="s">
        <v>151</v>
      </c>
      <c r="DN654" s="21" t="s">
        <v>151</v>
      </c>
      <c r="DO654" s="23">
        <v>2.23</v>
      </c>
      <c r="DP654" s="21">
        <v>69</v>
      </c>
      <c r="DQ654" s="23">
        <v>0</v>
      </c>
      <c r="DR654" s="19">
        <v>0</v>
      </c>
      <c r="DS654" s="23" t="s">
        <v>151</v>
      </c>
      <c r="DT654" s="21" t="s">
        <v>151</v>
      </c>
      <c r="DU654" s="23" t="s">
        <v>151</v>
      </c>
      <c r="DV654" s="21" t="s">
        <v>151</v>
      </c>
      <c r="DW654" s="23" t="s">
        <v>151</v>
      </c>
      <c r="DX654" s="21" t="s">
        <v>151</v>
      </c>
      <c r="DY654" s="18" t="s">
        <v>151</v>
      </c>
      <c r="DZ654" s="22" t="s">
        <v>151</v>
      </c>
      <c r="EA654" s="22" t="s">
        <v>151</v>
      </c>
      <c r="EB654" s="21">
        <v>3361</v>
      </c>
      <c r="EC654" s="20">
        <v>143</v>
      </c>
      <c r="ED654" s="19">
        <v>4.44</v>
      </c>
      <c r="EE654" s="21" t="s">
        <v>151</v>
      </c>
      <c r="EF654" s="20" t="s">
        <v>151</v>
      </c>
      <c r="EG654" s="19" t="s">
        <v>151</v>
      </c>
      <c r="EH654" s="16" t="s">
        <v>198</v>
      </c>
      <c r="EI654" s="17" t="s">
        <v>151</v>
      </c>
      <c r="EJ654" s="17" t="s">
        <v>151</v>
      </c>
      <c r="EK654" s="18" t="s">
        <v>151</v>
      </c>
      <c r="EL654" s="18" t="s">
        <v>151</v>
      </c>
      <c r="EM654" s="18" t="s">
        <v>151</v>
      </c>
      <c r="EN654" s="18" t="s">
        <v>151</v>
      </c>
      <c r="EO654" s="18" t="s">
        <v>151</v>
      </c>
      <c r="EP654" s="17" t="s">
        <v>151</v>
      </c>
      <c r="EQ654" s="16" t="s">
        <v>151</v>
      </c>
      <c r="ER654" s="16" t="s">
        <v>151</v>
      </c>
      <c r="ES654" s="3">
        <f>HYPERLINK("https://my.pitchbook.com?c=463343-05","View Company Online")</f>
      </c>
    </row>
    <row r="655">
      <c r="A655" s="30" t="s">
        <v>13507</v>
      </c>
      <c r="B655" s="30" t="s">
        <v>13508</v>
      </c>
      <c r="C655" s="31" t="s">
        <v>151</v>
      </c>
      <c r="D655" s="30" t="s">
        <v>151</v>
      </c>
      <c r="E655" s="30" t="s">
        <v>151</v>
      </c>
      <c r="F655" s="30" t="s">
        <v>13509</v>
      </c>
      <c r="G655" s="30" t="s">
        <v>151</v>
      </c>
      <c r="H655" s="30" t="s">
        <v>151</v>
      </c>
      <c r="I655" s="30" t="s">
        <v>151</v>
      </c>
      <c r="J655" s="30" t="s">
        <v>13507</v>
      </c>
      <c r="K655" s="30" t="s">
        <v>13510</v>
      </c>
      <c r="L655" s="30" t="s">
        <v>205</v>
      </c>
      <c r="M655" s="30" t="s">
        <v>206</v>
      </c>
      <c r="N655" s="30" t="s">
        <v>269</v>
      </c>
      <c r="O655" s="30" t="s">
        <v>563</v>
      </c>
      <c r="P655" s="30" t="s">
        <v>13511</v>
      </c>
      <c r="Q655" s="30" t="s">
        <v>13512</v>
      </c>
      <c r="R655" s="30" t="s">
        <v>151</v>
      </c>
      <c r="S655" s="30" t="s">
        <v>162</v>
      </c>
      <c r="T655" s="37">
        <v>0.6</v>
      </c>
      <c r="U655" s="30" t="s">
        <v>163</v>
      </c>
      <c r="V655" s="30" t="s">
        <v>164</v>
      </c>
      <c r="W655" s="30" t="s">
        <v>165</v>
      </c>
      <c r="X655" s="28" t="s">
        <v>13513</v>
      </c>
      <c r="Y655" s="28" t="s">
        <v>13514</v>
      </c>
      <c r="Z655" s="40">
        <v>10</v>
      </c>
      <c r="AA655" s="30" t="s">
        <v>13515</v>
      </c>
      <c r="AB655" s="30" t="s">
        <v>151</v>
      </c>
      <c r="AC655" s="30" t="s">
        <v>151</v>
      </c>
      <c r="AD655" s="39">
        <v>2019</v>
      </c>
      <c r="AE655" s="30" t="s">
        <v>151</v>
      </c>
      <c r="AF655" s="35">
        <v>45534</v>
      </c>
      <c r="AG655" s="30" t="s">
        <v>151</v>
      </c>
      <c r="AH655" s="30" t="s">
        <v>151</v>
      </c>
      <c r="AI655" s="38" t="s">
        <v>151</v>
      </c>
      <c r="AJ655" s="32" t="s">
        <v>151</v>
      </c>
      <c r="AK655" s="38" t="s">
        <v>151</v>
      </c>
      <c r="AL655" s="38" t="s">
        <v>151</v>
      </c>
      <c r="AM655" s="38" t="s">
        <v>151</v>
      </c>
      <c r="AN655" s="38" t="s">
        <v>151</v>
      </c>
      <c r="AO655" s="38" t="s">
        <v>151</v>
      </c>
      <c r="AP655" s="38" t="s">
        <v>151</v>
      </c>
      <c r="AQ655" s="38" t="s">
        <v>151</v>
      </c>
      <c r="AR655" s="29" t="s">
        <v>151</v>
      </c>
      <c r="AS655" s="30" t="s">
        <v>13516</v>
      </c>
      <c r="AT655" s="30" t="s">
        <v>13517</v>
      </c>
      <c r="AU655" s="31">
        <v>8</v>
      </c>
      <c r="AV655" s="30" t="s">
        <v>151</v>
      </c>
      <c r="AW655" s="30" t="s">
        <v>151</v>
      </c>
      <c r="AX655" s="30" t="s">
        <v>151</v>
      </c>
      <c r="AY655" s="30" t="s">
        <v>13518</v>
      </c>
      <c r="AZ655" s="30" t="s">
        <v>151</v>
      </c>
      <c r="BA655" s="30" t="s">
        <v>151</v>
      </c>
      <c r="BB655" s="30" t="s">
        <v>151</v>
      </c>
      <c r="BC655" s="30" t="s">
        <v>151</v>
      </c>
      <c r="BD655" s="30" t="s">
        <v>13519</v>
      </c>
      <c r="BE655" s="30" t="s">
        <v>13520</v>
      </c>
      <c r="BF655" s="30" t="s">
        <v>2234</v>
      </c>
      <c r="BG655" s="30" t="s">
        <v>13521</v>
      </c>
      <c r="BH655" s="30" t="s">
        <v>151</v>
      </c>
      <c r="BI655" s="30" t="s">
        <v>3262</v>
      </c>
      <c r="BJ655" s="30" t="s">
        <v>13522</v>
      </c>
      <c r="BK655" s="30" t="s">
        <v>13523</v>
      </c>
      <c r="BL655" s="30" t="s">
        <v>3264</v>
      </c>
      <c r="BM655" s="30" t="s">
        <v>184</v>
      </c>
      <c r="BN655" s="29" t="s">
        <v>13524</v>
      </c>
      <c r="BO655" s="30" t="s">
        <v>186</v>
      </c>
      <c r="BP655" s="29" t="s">
        <v>151</v>
      </c>
      <c r="BQ655" s="29" t="s">
        <v>151</v>
      </c>
      <c r="BR655" s="30" t="s">
        <v>151</v>
      </c>
      <c r="BS655" s="30" t="s">
        <v>187</v>
      </c>
      <c r="BT655" s="30" t="s">
        <v>188</v>
      </c>
      <c r="BU655" s="35">
        <v>44197</v>
      </c>
      <c r="BV655" s="37">
        <v>0.6</v>
      </c>
      <c r="BW655" s="30" t="s">
        <v>192</v>
      </c>
      <c r="BX655" s="37" t="s">
        <v>151</v>
      </c>
      <c r="BY655" s="30" t="s">
        <v>151</v>
      </c>
      <c r="BZ655" s="30" t="s">
        <v>231</v>
      </c>
      <c r="CA655" s="30" t="s">
        <v>151</v>
      </c>
      <c r="CB655" s="30" t="s">
        <v>151</v>
      </c>
      <c r="CC655" s="30" t="s">
        <v>165</v>
      </c>
      <c r="CD655" s="30" t="s">
        <v>8045</v>
      </c>
      <c r="CE655" s="30" t="s">
        <v>191</v>
      </c>
      <c r="CF655" s="35">
        <v>44197</v>
      </c>
      <c r="CG655" s="37">
        <v>0.6</v>
      </c>
      <c r="CH655" s="30" t="s">
        <v>192</v>
      </c>
      <c r="CI655" s="37" t="s">
        <v>151</v>
      </c>
      <c r="CJ655" s="30" t="s">
        <v>151</v>
      </c>
      <c r="CK655" s="29" t="s">
        <v>151</v>
      </c>
      <c r="CL655" s="30" t="s">
        <v>231</v>
      </c>
      <c r="CM655" s="30" t="s">
        <v>151</v>
      </c>
      <c r="CN655" s="30" t="s">
        <v>151</v>
      </c>
      <c r="CO655" s="30" t="s">
        <v>165</v>
      </c>
      <c r="CP655" s="35">
        <v>44197</v>
      </c>
      <c r="CQ655" s="37">
        <v>0.6</v>
      </c>
      <c r="CR655" s="30" t="s">
        <v>8045</v>
      </c>
      <c r="CS655" s="30" t="s">
        <v>191</v>
      </c>
      <c r="CT655" s="29" t="s">
        <v>151</v>
      </c>
      <c r="CU655" s="30" t="s">
        <v>151</v>
      </c>
      <c r="CV655" s="32" t="s">
        <v>151</v>
      </c>
      <c r="CW655" s="32" t="s">
        <v>151</v>
      </c>
      <c r="CX655" s="30" t="s">
        <v>151</v>
      </c>
      <c r="CY655" s="32" t="s">
        <v>151</v>
      </c>
      <c r="CZ655" s="32" t="s">
        <v>151</v>
      </c>
      <c r="DA655" s="37" t="s">
        <v>151</v>
      </c>
      <c r="DB655" s="35" t="s">
        <v>151</v>
      </c>
      <c r="DC655" s="30" t="s">
        <v>151</v>
      </c>
      <c r="DD655" s="29" t="s">
        <v>151</v>
      </c>
      <c r="DE655" s="32">
        <v>2.43</v>
      </c>
      <c r="DF655" s="34">
        <v>99</v>
      </c>
      <c r="DG655" s="32">
        <v>0</v>
      </c>
      <c r="DH655" s="32">
        <v>0</v>
      </c>
      <c r="DI655" s="32">
        <v>4.87</v>
      </c>
      <c r="DJ655" s="34">
        <v>100</v>
      </c>
      <c r="DK655" s="32" t="s">
        <v>151</v>
      </c>
      <c r="DL655" s="34" t="s">
        <v>151</v>
      </c>
      <c r="DM655" s="32">
        <v>4.87</v>
      </c>
      <c r="DN655" s="34">
        <v>100</v>
      </c>
      <c r="DO655" s="36">
        <v>5.15</v>
      </c>
      <c r="DP655" s="34">
        <v>83</v>
      </c>
      <c r="DQ655" s="36">
        <v>0</v>
      </c>
      <c r="DR655" s="32">
        <v>0</v>
      </c>
      <c r="DS655" s="36">
        <v>9.53</v>
      </c>
      <c r="DT655" s="34">
        <v>89</v>
      </c>
      <c r="DU655" s="36" t="s">
        <v>151</v>
      </c>
      <c r="DV655" s="34" t="s">
        <v>151</v>
      </c>
      <c r="DW655" s="36">
        <v>9.53</v>
      </c>
      <c r="DX655" s="34">
        <v>89</v>
      </c>
      <c r="DY655" s="31" t="s">
        <v>151</v>
      </c>
      <c r="DZ655" s="35" t="s">
        <v>151</v>
      </c>
      <c r="EA655" s="35" t="s">
        <v>151</v>
      </c>
      <c r="EB655" s="34" t="s">
        <v>151</v>
      </c>
      <c r="EC655" s="33" t="s">
        <v>151</v>
      </c>
      <c r="ED655" s="32" t="s">
        <v>151</v>
      </c>
      <c r="EE655" s="34">
        <v>181</v>
      </c>
      <c r="EF655" s="33">
        <v>3</v>
      </c>
      <c r="EG655" s="32">
        <v>1.69</v>
      </c>
      <c r="EH655" s="29" t="s">
        <v>198</v>
      </c>
      <c r="EI655" s="30" t="s">
        <v>151</v>
      </c>
      <c r="EJ655" s="30" t="s">
        <v>151</v>
      </c>
      <c r="EK655" s="31" t="s">
        <v>151</v>
      </c>
      <c r="EL655" s="31" t="s">
        <v>151</v>
      </c>
      <c r="EM655" s="31" t="s">
        <v>151</v>
      </c>
      <c r="EN655" s="31" t="s">
        <v>151</v>
      </c>
      <c r="EO655" s="31" t="s">
        <v>151</v>
      </c>
      <c r="EP655" s="30" t="s">
        <v>151</v>
      </c>
      <c r="EQ655" s="29" t="s">
        <v>151</v>
      </c>
      <c r="ER655" s="29" t="s">
        <v>151</v>
      </c>
      <c r="ES655" s="4">
        <f>HYPERLINK("https://my.pitchbook.com?c=343686-61","View Company Online")</f>
      </c>
    </row>
    <row r="656">
      <c r="A656" s="17" t="s">
        <v>13525</v>
      </c>
      <c r="B656" s="17" t="s">
        <v>13526</v>
      </c>
      <c r="C656" s="18" t="s">
        <v>151</v>
      </c>
      <c r="D656" s="17" t="s">
        <v>151</v>
      </c>
      <c r="E656" s="17" t="s">
        <v>151</v>
      </c>
      <c r="F656" s="17" t="s">
        <v>13527</v>
      </c>
      <c r="G656" s="17" t="s">
        <v>151</v>
      </c>
      <c r="H656" s="17" t="s">
        <v>151</v>
      </c>
      <c r="I656" s="17" t="s">
        <v>13528</v>
      </c>
      <c r="J656" s="17" t="s">
        <v>13525</v>
      </c>
      <c r="K656" s="17" t="s">
        <v>13529</v>
      </c>
      <c r="L656" s="17" t="s">
        <v>205</v>
      </c>
      <c r="M656" s="17" t="s">
        <v>206</v>
      </c>
      <c r="N656" s="17" t="s">
        <v>269</v>
      </c>
      <c r="O656" s="17" t="s">
        <v>1746</v>
      </c>
      <c r="P656" s="17" t="s">
        <v>1153</v>
      </c>
      <c r="Q656" s="17" t="s">
        <v>13530</v>
      </c>
      <c r="R656" s="17" t="s">
        <v>151</v>
      </c>
      <c r="S656" s="17" t="s">
        <v>162</v>
      </c>
      <c r="T656" s="24">
        <v>3.7</v>
      </c>
      <c r="U656" s="17" t="s">
        <v>4045</v>
      </c>
      <c r="V656" s="17" t="s">
        <v>164</v>
      </c>
      <c r="W656" s="17" t="s">
        <v>165</v>
      </c>
      <c r="X656" s="15" t="s">
        <v>13531</v>
      </c>
      <c r="Y656" s="15" t="s">
        <v>151</v>
      </c>
      <c r="Z656" s="27" t="s">
        <v>151</v>
      </c>
      <c r="AA656" s="17" t="s">
        <v>151</v>
      </c>
      <c r="AB656" s="17" t="s">
        <v>151</v>
      </c>
      <c r="AC656" s="17" t="s">
        <v>151</v>
      </c>
      <c r="AD656" s="26">
        <v>2022</v>
      </c>
      <c r="AE656" s="17" t="s">
        <v>151</v>
      </c>
      <c r="AF656" s="22">
        <v>45548</v>
      </c>
      <c r="AG656" s="17" t="s">
        <v>151</v>
      </c>
      <c r="AH656" s="17" t="s">
        <v>151</v>
      </c>
      <c r="AI656" s="25" t="s">
        <v>151</v>
      </c>
      <c r="AJ656" s="19" t="s">
        <v>151</v>
      </c>
      <c r="AK656" s="25" t="s">
        <v>151</v>
      </c>
      <c r="AL656" s="25" t="s">
        <v>151</v>
      </c>
      <c r="AM656" s="25" t="s">
        <v>151</v>
      </c>
      <c r="AN656" s="25" t="s">
        <v>151</v>
      </c>
      <c r="AO656" s="25" t="s">
        <v>151</v>
      </c>
      <c r="AP656" s="25" t="s">
        <v>151</v>
      </c>
      <c r="AQ656" s="25" t="s">
        <v>151</v>
      </c>
      <c r="AR656" s="16" t="s">
        <v>151</v>
      </c>
      <c r="AS656" s="17" t="s">
        <v>13532</v>
      </c>
      <c r="AT656" s="17" t="s">
        <v>13533</v>
      </c>
      <c r="AU656" s="18">
        <v>4</v>
      </c>
      <c r="AV656" s="17" t="s">
        <v>151</v>
      </c>
      <c r="AW656" s="17" t="s">
        <v>151</v>
      </c>
      <c r="AX656" s="17" t="s">
        <v>151</v>
      </c>
      <c r="AY656" s="17" t="s">
        <v>13534</v>
      </c>
      <c r="AZ656" s="17" t="s">
        <v>151</v>
      </c>
      <c r="BA656" s="17" t="s">
        <v>151</v>
      </c>
      <c r="BB656" s="17" t="s">
        <v>151</v>
      </c>
      <c r="BC656" s="17" t="s">
        <v>151</v>
      </c>
      <c r="BD656" s="17" t="s">
        <v>13535</v>
      </c>
      <c r="BE656" s="17" t="s">
        <v>13536</v>
      </c>
      <c r="BF656" s="17" t="s">
        <v>221</v>
      </c>
      <c r="BG656" s="17" t="s">
        <v>13537</v>
      </c>
      <c r="BH656" s="17" t="s">
        <v>151</v>
      </c>
      <c r="BI656" s="17" t="s">
        <v>6124</v>
      </c>
      <c r="BJ656" s="17" t="s">
        <v>8930</v>
      </c>
      <c r="BK656" s="17" t="s">
        <v>151</v>
      </c>
      <c r="BL656" s="17" t="s">
        <v>6127</v>
      </c>
      <c r="BM656" s="17" t="s">
        <v>1388</v>
      </c>
      <c r="BN656" s="16" t="s">
        <v>8931</v>
      </c>
      <c r="BO656" s="17" t="s">
        <v>186</v>
      </c>
      <c r="BP656" s="16" t="s">
        <v>151</v>
      </c>
      <c r="BQ656" s="16" t="s">
        <v>151</v>
      </c>
      <c r="BR656" s="17" t="s">
        <v>13538</v>
      </c>
      <c r="BS656" s="17" t="s">
        <v>187</v>
      </c>
      <c r="BT656" s="17" t="s">
        <v>188</v>
      </c>
      <c r="BU656" s="22">
        <v>45468</v>
      </c>
      <c r="BV656" s="24">
        <v>3.7</v>
      </c>
      <c r="BW656" s="17" t="s">
        <v>192</v>
      </c>
      <c r="BX656" s="24" t="s">
        <v>151</v>
      </c>
      <c r="BY656" s="17" t="s">
        <v>151</v>
      </c>
      <c r="BZ656" s="17" t="s">
        <v>293</v>
      </c>
      <c r="CA656" s="17" t="s">
        <v>293</v>
      </c>
      <c r="CB656" s="17" t="s">
        <v>151</v>
      </c>
      <c r="CC656" s="17" t="s">
        <v>165</v>
      </c>
      <c r="CD656" s="17" t="s">
        <v>151</v>
      </c>
      <c r="CE656" s="17" t="s">
        <v>191</v>
      </c>
      <c r="CF656" s="22">
        <v>45468</v>
      </c>
      <c r="CG656" s="24">
        <v>3.7</v>
      </c>
      <c r="CH656" s="17" t="s">
        <v>192</v>
      </c>
      <c r="CI656" s="24" t="s">
        <v>151</v>
      </c>
      <c r="CJ656" s="17" t="s">
        <v>151</v>
      </c>
      <c r="CK656" s="16" t="s">
        <v>151</v>
      </c>
      <c r="CL656" s="17" t="s">
        <v>293</v>
      </c>
      <c r="CM656" s="17" t="s">
        <v>293</v>
      </c>
      <c r="CN656" s="17" t="s">
        <v>151</v>
      </c>
      <c r="CO656" s="17" t="s">
        <v>165</v>
      </c>
      <c r="CP656" s="22">
        <v>45468</v>
      </c>
      <c r="CQ656" s="24" t="s">
        <v>151</v>
      </c>
      <c r="CR656" s="17" t="s">
        <v>151</v>
      </c>
      <c r="CS656" s="17" t="s">
        <v>191</v>
      </c>
      <c r="CT656" s="16" t="s">
        <v>151</v>
      </c>
      <c r="CU656" s="17" t="s">
        <v>151</v>
      </c>
      <c r="CV656" s="19" t="s">
        <v>151</v>
      </c>
      <c r="CW656" s="19" t="s">
        <v>151</v>
      </c>
      <c r="CX656" s="17" t="s">
        <v>151</v>
      </c>
      <c r="CY656" s="19" t="s">
        <v>151</v>
      </c>
      <c r="CZ656" s="19" t="s">
        <v>151</v>
      </c>
      <c r="DA656" s="24" t="s">
        <v>151</v>
      </c>
      <c r="DB656" s="22" t="s">
        <v>151</v>
      </c>
      <c r="DC656" s="17" t="s">
        <v>151</v>
      </c>
      <c r="DD656" s="16" t="s">
        <v>151</v>
      </c>
      <c r="DE656" s="19">
        <v>3.25</v>
      </c>
      <c r="DF656" s="21">
        <v>99</v>
      </c>
      <c r="DG656" s="19">
        <v>0</v>
      </c>
      <c r="DH656" s="19">
        <v>0</v>
      </c>
      <c r="DI656" s="19">
        <v>3.25</v>
      </c>
      <c r="DJ656" s="21">
        <v>99</v>
      </c>
      <c r="DK656" s="19" t="s">
        <v>151</v>
      </c>
      <c r="DL656" s="21" t="s">
        <v>151</v>
      </c>
      <c r="DM656" s="19">
        <v>3.25</v>
      </c>
      <c r="DN656" s="21">
        <v>99</v>
      </c>
      <c r="DO656" s="23">
        <v>20.84</v>
      </c>
      <c r="DP656" s="21">
        <v>95</v>
      </c>
      <c r="DQ656" s="23">
        <v>0</v>
      </c>
      <c r="DR656" s="19">
        <v>0</v>
      </c>
      <c r="DS656" s="23">
        <v>20.84</v>
      </c>
      <c r="DT656" s="21">
        <v>95</v>
      </c>
      <c r="DU656" s="23" t="s">
        <v>151</v>
      </c>
      <c r="DV656" s="21" t="s">
        <v>151</v>
      </c>
      <c r="DW656" s="23">
        <v>20.84</v>
      </c>
      <c r="DX656" s="21">
        <v>95</v>
      </c>
      <c r="DY656" s="18" t="s">
        <v>151</v>
      </c>
      <c r="DZ656" s="22" t="s">
        <v>151</v>
      </c>
      <c r="EA656" s="22" t="s">
        <v>151</v>
      </c>
      <c r="EB656" s="21">
        <v>8009</v>
      </c>
      <c r="EC656" s="20">
        <v>313</v>
      </c>
      <c r="ED656" s="19">
        <v>4.07</v>
      </c>
      <c r="EE656" s="21">
        <v>396</v>
      </c>
      <c r="EF656" s="20">
        <v>7</v>
      </c>
      <c r="EG656" s="19">
        <v>1.8</v>
      </c>
      <c r="EH656" s="16" t="s">
        <v>198</v>
      </c>
      <c r="EI656" s="17" t="s">
        <v>151</v>
      </c>
      <c r="EJ656" s="17" t="s">
        <v>151</v>
      </c>
      <c r="EK656" s="18" t="s">
        <v>151</v>
      </c>
      <c r="EL656" s="18" t="s">
        <v>151</v>
      </c>
      <c r="EM656" s="18" t="s">
        <v>151</v>
      </c>
      <c r="EN656" s="18" t="s">
        <v>151</v>
      </c>
      <c r="EO656" s="18" t="s">
        <v>151</v>
      </c>
      <c r="EP656" s="17" t="s">
        <v>151</v>
      </c>
      <c r="EQ656" s="16" t="s">
        <v>151</v>
      </c>
      <c r="ER656" s="16" t="s">
        <v>151</v>
      </c>
      <c r="ES656" s="3">
        <f>HYPERLINK("https://my.pitchbook.com?c=539458-30","View Company Online")</f>
      </c>
    </row>
    <row r="657">
      <c r="A657" s="30" t="s">
        <v>13539</v>
      </c>
      <c r="B657" s="30" t="s">
        <v>13540</v>
      </c>
      <c r="C657" s="31" t="s">
        <v>151</v>
      </c>
      <c r="D657" s="30" t="s">
        <v>151</v>
      </c>
      <c r="E657" s="30" t="s">
        <v>151</v>
      </c>
      <c r="F657" s="30" t="s">
        <v>13541</v>
      </c>
      <c r="G657" s="30" t="s">
        <v>151</v>
      </c>
      <c r="H657" s="30" t="s">
        <v>151</v>
      </c>
      <c r="I657" s="30" t="s">
        <v>13542</v>
      </c>
      <c r="J657" s="30" t="s">
        <v>13539</v>
      </c>
      <c r="K657" s="30" t="s">
        <v>13543</v>
      </c>
      <c r="L657" s="30" t="s">
        <v>205</v>
      </c>
      <c r="M657" s="30" t="s">
        <v>206</v>
      </c>
      <c r="N657" s="30" t="s">
        <v>269</v>
      </c>
      <c r="O657" s="30" t="s">
        <v>8958</v>
      </c>
      <c r="P657" s="30" t="s">
        <v>1107</v>
      </c>
      <c r="Q657" s="30" t="s">
        <v>13544</v>
      </c>
      <c r="R657" s="30" t="s">
        <v>151</v>
      </c>
      <c r="S657" s="30" t="s">
        <v>162</v>
      </c>
      <c r="T657" s="37">
        <v>12</v>
      </c>
      <c r="U657" s="30" t="s">
        <v>163</v>
      </c>
      <c r="V657" s="30" t="s">
        <v>164</v>
      </c>
      <c r="W657" s="30" t="s">
        <v>165</v>
      </c>
      <c r="X657" s="28" t="s">
        <v>13545</v>
      </c>
      <c r="Y657" s="28" t="s">
        <v>13546</v>
      </c>
      <c r="Z657" s="40">
        <v>23</v>
      </c>
      <c r="AA657" s="30" t="s">
        <v>13547</v>
      </c>
      <c r="AB657" s="30" t="s">
        <v>151</v>
      </c>
      <c r="AC657" s="30" t="s">
        <v>151</v>
      </c>
      <c r="AD657" s="39">
        <v>2022</v>
      </c>
      <c r="AE657" s="30" t="s">
        <v>151</v>
      </c>
      <c r="AF657" s="35">
        <v>45488</v>
      </c>
      <c r="AG657" s="30" t="s">
        <v>151</v>
      </c>
      <c r="AH657" s="30" t="s">
        <v>151</v>
      </c>
      <c r="AI657" s="38" t="s">
        <v>151</v>
      </c>
      <c r="AJ657" s="32" t="s">
        <v>151</v>
      </c>
      <c r="AK657" s="38" t="s">
        <v>151</v>
      </c>
      <c r="AL657" s="38" t="s">
        <v>151</v>
      </c>
      <c r="AM657" s="38" t="s">
        <v>151</v>
      </c>
      <c r="AN657" s="38" t="s">
        <v>151</v>
      </c>
      <c r="AO657" s="38" t="s">
        <v>151</v>
      </c>
      <c r="AP657" s="38" t="s">
        <v>151</v>
      </c>
      <c r="AQ657" s="38" t="s">
        <v>151</v>
      </c>
      <c r="AR657" s="29" t="s">
        <v>151</v>
      </c>
      <c r="AS657" s="30" t="s">
        <v>13548</v>
      </c>
      <c r="AT657" s="30" t="s">
        <v>13549</v>
      </c>
      <c r="AU657" s="31">
        <v>2</v>
      </c>
      <c r="AV657" s="30" t="s">
        <v>151</v>
      </c>
      <c r="AW657" s="30" t="s">
        <v>151</v>
      </c>
      <c r="AX657" s="30" t="s">
        <v>151</v>
      </c>
      <c r="AY657" s="30" t="s">
        <v>13550</v>
      </c>
      <c r="AZ657" s="30" t="s">
        <v>151</v>
      </c>
      <c r="BA657" s="30" t="s">
        <v>151</v>
      </c>
      <c r="BB657" s="30" t="s">
        <v>151</v>
      </c>
      <c r="BC657" s="30" t="s">
        <v>151</v>
      </c>
      <c r="BD657" s="30" t="s">
        <v>13551</v>
      </c>
      <c r="BE657" s="30" t="s">
        <v>13552</v>
      </c>
      <c r="BF657" s="30" t="s">
        <v>403</v>
      </c>
      <c r="BG657" s="30" t="s">
        <v>151</v>
      </c>
      <c r="BH657" s="30" t="s">
        <v>13553</v>
      </c>
      <c r="BI657" s="30" t="s">
        <v>13554</v>
      </c>
      <c r="BJ657" s="30" t="s">
        <v>13555</v>
      </c>
      <c r="BK657" s="30" t="s">
        <v>151</v>
      </c>
      <c r="BL657" s="30" t="s">
        <v>13556</v>
      </c>
      <c r="BM657" s="30" t="s">
        <v>184</v>
      </c>
      <c r="BN657" s="29" t="s">
        <v>13557</v>
      </c>
      <c r="BO657" s="30" t="s">
        <v>186</v>
      </c>
      <c r="BP657" s="29" t="s">
        <v>13553</v>
      </c>
      <c r="BQ657" s="29" t="s">
        <v>13558</v>
      </c>
      <c r="BR657" s="30" t="s">
        <v>13559</v>
      </c>
      <c r="BS657" s="30" t="s">
        <v>187</v>
      </c>
      <c r="BT657" s="30" t="s">
        <v>188</v>
      </c>
      <c r="BU657" s="35">
        <v>45047</v>
      </c>
      <c r="BV657" s="37">
        <v>12</v>
      </c>
      <c r="BW657" s="30" t="s">
        <v>192</v>
      </c>
      <c r="BX657" s="37">
        <v>40</v>
      </c>
      <c r="BY657" s="30" t="s">
        <v>192</v>
      </c>
      <c r="BZ657" s="30" t="s">
        <v>293</v>
      </c>
      <c r="CA657" s="30" t="s">
        <v>293</v>
      </c>
      <c r="CB657" s="30" t="s">
        <v>151</v>
      </c>
      <c r="CC657" s="30" t="s">
        <v>165</v>
      </c>
      <c r="CD657" s="30" t="s">
        <v>151</v>
      </c>
      <c r="CE657" s="30" t="s">
        <v>191</v>
      </c>
      <c r="CF657" s="35">
        <v>45047</v>
      </c>
      <c r="CG657" s="37">
        <v>12</v>
      </c>
      <c r="CH657" s="30" t="s">
        <v>192</v>
      </c>
      <c r="CI657" s="37">
        <v>40</v>
      </c>
      <c r="CJ657" s="30" t="s">
        <v>192</v>
      </c>
      <c r="CK657" s="29" t="s">
        <v>151</v>
      </c>
      <c r="CL657" s="30" t="s">
        <v>293</v>
      </c>
      <c r="CM657" s="30" t="s">
        <v>293</v>
      </c>
      <c r="CN657" s="30" t="s">
        <v>151</v>
      </c>
      <c r="CO657" s="30" t="s">
        <v>165</v>
      </c>
      <c r="CP657" s="35">
        <v>45047</v>
      </c>
      <c r="CQ657" s="37" t="s">
        <v>151</v>
      </c>
      <c r="CR657" s="30" t="s">
        <v>151</v>
      </c>
      <c r="CS657" s="30" t="s">
        <v>191</v>
      </c>
      <c r="CT657" s="29" t="s">
        <v>151</v>
      </c>
      <c r="CU657" s="30" t="s">
        <v>151</v>
      </c>
      <c r="CV657" s="32" t="s">
        <v>151</v>
      </c>
      <c r="CW657" s="32" t="s">
        <v>151</v>
      </c>
      <c r="CX657" s="30" t="s">
        <v>151</v>
      </c>
      <c r="CY657" s="32" t="s">
        <v>151</v>
      </c>
      <c r="CZ657" s="32" t="s">
        <v>151</v>
      </c>
      <c r="DA657" s="37">
        <v>40</v>
      </c>
      <c r="DB657" s="35">
        <v>45047</v>
      </c>
      <c r="DC657" s="30" t="s">
        <v>293</v>
      </c>
      <c r="DD657" s="29" t="s">
        <v>151</v>
      </c>
      <c r="DE657" s="32">
        <v>0.87</v>
      </c>
      <c r="DF657" s="34">
        <v>96</v>
      </c>
      <c r="DG657" s="32">
        <v>0</v>
      </c>
      <c r="DH657" s="32">
        <v>0</v>
      </c>
      <c r="DI657" s="32">
        <v>1.09</v>
      </c>
      <c r="DJ657" s="34">
        <v>97</v>
      </c>
      <c r="DK657" s="32" t="s">
        <v>151</v>
      </c>
      <c r="DL657" s="34" t="s">
        <v>151</v>
      </c>
      <c r="DM657" s="32">
        <v>1.09</v>
      </c>
      <c r="DN657" s="34">
        <v>97</v>
      </c>
      <c r="DO657" s="36">
        <v>3.64</v>
      </c>
      <c r="DP657" s="34">
        <v>78</v>
      </c>
      <c r="DQ657" s="36">
        <v>0</v>
      </c>
      <c r="DR657" s="32">
        <v>0</v>
      </c>
      <c r="DS657" s="36">
        <v>5.74</v>
      </c>
      <c r="DT657" s="34">
        <v>84</v>
      </c>
      <c r="DU657" s="36" t="s">
        <v>151</v>
      </c>
      <c r="DV657" s="34" t="s">
        <v>151</v>
      </c>
      <c r="DW657" s="36">
        <v>5.74</v>
      </c>
      <c r="DX657" s="34">
        <v>83</v>
      </c>
      <c r="DY657" s="31" t="s">
        <v>151</v>
      </c>
      <c r="DZ657" s="35" t="s">
        <v>151</v>
      </c>
      <c r="EA657" s="35" t="s">
        <v>151</v>
      </c>
      <c r="EB657" s="34">
        <v>1210</v>
      </c>
      <c r="EC657" s="33">
        <v>-127</v>
      </c>
      <c r="ED657" s="32">
        <v>-9.5</v>
      </c>
      <c r="EE657" s="34">
        <v>109</v>
      </c>
      <c r="EF657" s="33">
        <v>2</v>
      </c>
      <c r="EG657" s="32">
        <v>1.87</v>
      </c>
      <c r="EH657" s="29" t="s">
        <v>198</v>
      </c>
      <c r="EI657" s="30" t="s">
        <v>151</v>
      </c>
      <c r="EJ657" s="30" t="s">
        <v>151</v>
      </c>
      <c r="EK657" s="31" t="s">
        <v>151</v>
      </c>
      <c r="EL657" s="31" t="s">
        <v>151</v>
      </c>
      <c r="EM657" s="31" t="s">
        <v>151</v>
      </c>
      <c r="EN657" s="31" t="s">
        <v>151</v>
      </c>
      <c r="EO657" s="31" t="s">
        <v>151</v>
      </c>
      <c r="EP657" s="30" t="s">
        <v>151</v>
      </c>
      <c r="EQ657" s="29" t="s">
        <v>151</v>
      </c>
      <c r="ER657" s="29" t="s">
        <v>151</v>
      </c>
      <c r="ES657" s="4">
        <f>HYPERLINK("https://my.pitchbook.com?c=528269-23","View Company Online")</f>
      </c>
    </row>
    <row r="658">
      <c r="A658" s="17" t="s">
        <v>13560</v>
      </c>
      <c r="B658" s="17" t="s">
        <v>13561</v>
      </c>
      <c r="C658" s="18" t="s">
        <v>151</v>
      </c>
      <c r="D658" s="17" t="s">
        <v>151</v>
      </c>
      <c r="E658" s="17" t="s">
        <v>151</v>
      </c>
      <c r="F658" s="17" t="s">
        <v>151</v>
      </c>
      <c r="G658" s="17" t="s">
        <v>151</v>
      </c>
      <c r="H658" s="17" t="s">
        <v>151</v>
      </c>
      <c r="I658" s="17" t="s">
        <v>151</v>
      </c>
      <c r="J658" s="17" t="s">
        <v>13560</v>
      </c>
      <c r="K658" s="17" t="s">
        <v>13562</v>
      </c>
      <c r="L658" s="17" t="s">
        <v>205</v>
      </c>
      <c r="M658" s="17" t="s">
        <v>206</v>
      </c>
      <c r="N658" s="17" t="s">
        <v>269</v>
      </c>
      <c r="O658" s="17" t="s">
        <v>563</v>
      </c>
      <c r="P658" s="17" t="s">
        <v>304</v>
      </c>
      <c r="Q658" s="17" t="s">
        <v>13563</v>
      </c>
      <c r="R658" s="17" t="s">
        <v>151</v>
      </c>
      <c r="S658" s="17" t="s">
        <v>162</v>
      </c>
      <c r="T658" s="24">
        <v>2</v>
      </c>
      <c r="U658" s="17" t="s">
        <v>1727</v>
      </c>
      <c r="V658" s="17" t="s">
        <v>164</v>
      </c>
      <c r="W658" s="17" t="s">
        <v>165</v>
      </c>
      <c r="X658" s="15" t="s">
        <v>13564</v>
      </c>
      <c r="Y658" s="15" t="s">
        <v>13565</v>
      </c>
      <c r="Z658" s="27">
        <v>9</v>
      </c>
      <c r="AA658" s="17" t="s">
        <v>7329</v>
      </c>
      <c r="AB658" s="17" t="s">
        <v>151</v>
      </c>
      <c r="AC658" s="17" t="s">
        <v>151</v>
      </c>
      <c r="AD658" s="26">
        <v>2023</v>
      </c>
      <c r="AE658" s="17" t="s">
        <v>151</v>
      </c>
      <c r="AF658" s="22">
        <v>45588</v>
      </c>
      <c r="AG658" s="17" t="s">
        <v>151</v>
      </c>
      <c r="AH658" s="17" t="s">
        <v>151</v>
      </c>
      <c r="AI658" s="25" t="s">
        <v>151</v>
      </c>
      <c r="AJ658" s="19" t="s">
        <v>151</v>
      </c>
      <c r="AK658" s="25" t="s">
        <v>151</v>
      </c>
      <c r="AL658" s="25" t="s">
        <v>151</v>
      </c>
      <c r="AM658" s="25" t="s">
        <v>151</v>
      </c>
      <c r="AN658" s="25" t="s">
        <v>151</v>
      </c>
      <c r="AO658" s="25" t="s">
        <v>151</v>
      </c>
      <c r="AP658" s="25" t="s">
        <v>151</v>
      </c>
      <c r="AQ658" s="25" t="s">
        <v>151</v>
      </c>
      <c r="AR658" s="16" t="s">
        <v>151</v>
      </c>
      <c r="AS658" s="17" t="s">
        <v>13566</v>
      </c>
      <c r="AT658" s="17" t="s">
        <v>13567</v>
      </c>
      <c r="AU658" s="18">
        <v>1</v>
      </c>
      <c r="AV658" s="17" t="s">
        <v>151</v>
      </c>
      <c r="AW658" s="17" t="s">
        <v>151</v>
      </c>
      <c r="AX658" s="17" t="s">
        <v>151</v>
      </c>
      <c r="AY658" s="17" t="s">
        <v>13568</v>
      </c>
      <c r="AZ658" s="17" t="s">
        <v>151</v>
      </c>
      <c r="BA658" s="17" t="s">
        <v>151</v>
      </c>
      <c r="BB658" s="17" t="s">
        <v>151</v>
      </c>
      <c r="BC658" s="17" t="s">
        <v>151</v>
      </c>
      <c r="BD658" s="17" t="s">
        <v>13569</v>
      </c>
      <c r="BE658" s="17" t="s">
        <v>13570</v>
      </c>
      <c r="BF658" s="17" t="s">
        <v>221</v>
      </c>
      <c r="BG658" s="17" t="s">
        <v>13571</v>
      </c>
      <c r="BH658" s="17" t="s">
        <v>151</v>
      </c>
      <c r="BI658" s="17" t="s">
        <v>5192</v>
      </c>
      <c r="BJ658" s="17" t="s">
        <v>13572</v>
      </c>
      <c r="BK658" s="17" t="s">
        <v>151</v>
      </c>
      <c r="BL658" s="17" t="s">
        <v>5194</v>
      </c>
      <c r="BM658" s="17" t="s">
        <v>5195</v>
      </c>
      <c r="BN658" s="16" t="s">
        <v>13573</v>
      </c>
      <c r="BO658" s="17" t="s">
        <v>186</v>
      </c>
      <c r="BP658" s="16" t="s">
        <v>151</v>
      </c>
      <c r="BQ658" s="16" t="s">
        <v>151</v>
      </c>
      <c r="BR658" s="17" t="s">
        <v>13574</v>
      </c>
      <c r="BS658" s="17" t="s">
        <v>187</v>
      </c>
      <c r="BT658" s="17" t="s">
        <v>188</v>
      </c>
      <c r="BU658" s="22">
        <v>45330</v>
      </c>
      <c r="BV658" s="24">
        <v>2</v>
      </c>
      <c r="BW658" s="17" t="s">
        <v>192</v>
      </c>
      <c r="BX658" s="24" t="s">
        <v>151</v>
      </c>
      <c r="BY658" s="17" t="s">
        <v>151</v>
      </c>
      <c r="BZ658" s="17" t="s">
        <v>293</v>
      </c>
      <c r="CA658" s="17" t="s">
        <v>293</v>
      </c>
      <c r="CB658" s="17" t="s">
        <v>151</v>
      </c>
      <c r="CC658" s="17" t="s">
        <v>165</v>
      </c>
      <c r="CD658" s="17" t="s">
        <v>151</v>
      </c>
      <c r="CE658" s="17" t="s">
        <v>191</v>
      </c>
      <c r="CF658" s="22">
        <v>45330</v>
      </c>
      <c r="CG658" s="24">
        <v>2</v>
      </c>
      <c r="CH658" s="17" t="s">
        <v>192</v>
      </c>
      <c r="CI658" s="24" t="s">
        <v>151</v>
      </c>
      <c r="CJ658" s="17" t="s">
        <v>151</v>
      </c>
      <c r="CK658" s="16" t="s">
        <v>151</v>
      </c>
      <c r="CL658" s="17" t="s">
        <v>293</v>
      </c>
      <c r="CM658" s="17" t="s">
        <v>293</v>
      </c>
      <c r="CN658" s="17" t="s">
        <v>151</v>
      </c>
      <c r="CO658" s="17" t="s">
        <v>165</v>
      </c>
      <c r="CP658" s="22">
        <v>45330</v>
      </c>
      <c r="CQ658" s="24" t="s">
        <v>151</v>
      </c>
      <c r="CR658" s="17" t="s">
        <v>151</v>
      </c>
      <c r="CS658" s="17" t="s">
        <v>191</v>
      </c>
      <c r="CT658" s="16" t="s">
        <v>151</v>
      </c>
      <c r="CU658" s="17" t="s">
        <v>151</v>
      </c>
      <c r="CV658" s="19" t="s">
        <v>151</v>
      </c>
      <c r="CW658" s="19" t="s">
        <v>151</v>
      </c>
      <c r="CX658" s="17" t="s">
        <v>151</v>
      </c>
      <c r="CY658" s="19" t="s">
        <v>151</v>
      </c>
      <c r="CZ658" s="19" t="s">
        <v>151</v>
      </c>
      <c r="DA658" s="24" t="s">
        <v>151</v>
      </c>
      <c r="DB658" s="22" t="s">
        <v>151</v>
      </c>
      <c r="DC658" s="17" t="s">
        <v>151</v>
      </c>
      <c r="DD658" s="16" t="s">
        <v>151</v>
      </c>
      <c r="DE658" s="19">
        <v>7.93</v>
      </c>
      <c r="DF658" s="21">
        <v>100</v>
      </c>
      <c r="DG658" s="19">
        <v>0</v>
      </c>
      <c r="DH658" s="19">
        <v>0</v>
      </c>
      <c r="DI658" s="19" t="s">
        <v>151</v>
      </c>
      <c r="DJ658" s="21" t="s">
        <v>151</v>
      </c>
      <c r="DK658" s="19" t="s">
        <v>151</v>
      </c>
      <c r="DL658" s="21" t="s">
        <v>151</v>
      </c>
      <c r="DM658" s="19" t="s">
        <v>151</v>
      </c>
      <c r="DN658" s="21" t="s">
        <v>151</v>
      </c>
      <c r="DO658" s="23">
        <v>0.69</v>
      </c>
      <c r="DP658" s="21">
        <v>42</v>
      </c>
      <c r="DQ658" s="23">
        <v>0</v>
      </c>
      <c r="DR658" s="19">
        <v>0</v>
      </c>
      <c r="DS658" s="23" t="s">
        <v>151</v>
      </c>
      <c r="DT658" s="21" t="s">
        <v>151</v>
      </c>
      <c r="DU658" s="23" t="s">
        <v>151</v>
      </c>
      <c r="DV658" s="21" t="s">
        <v>151</v>
      </c>
      <c r="DW658" s="23" t="s">
        <v>151</v>
      </c>
      <c r="DX658" s="21" t="s">
        <v>151</v>
      </c>
      <c r="DY658" s="18" t="s">
        <v>151</v>
      </c>
      <c r="DZ658" s="22" t="s">
        <v>151</v>
      </c>
      <c r="EA658" s="22" t="s">
        <v>151</v>
      </c>
      <c r="EB658" s="21">
        <v>13</v>
      </c>
      <c r="EC658" s="20">
        <v>-66</v>
      </c>
      <c r="ED658" s="19">
        <v>-83.54</v>
      </c>
      <c r="EE658" s="21" t="s">
        <v>151</v>
      </c>
      <c r="EF658" s="20" t="s">
        <v>151</v>
      </c>
      <c r="EG658" s="19" t="s">
        <v>151</v>
      </c>
      <c r="EH658" s="16" t="s">
        <v>198</v>
      </c>
      <c r="EI658" s="17" t="s">
        <v>151</v>
      </c>
      <c r="EJ658" s="17" t="s">
        <v>151</v>
      </c>
      <c r="EK658" s="18" t="s">
        <v>151</v>
      </c>
      <c r="EL658" s="18" t="s">
        <v>151</v>
      </c>
      <c r="EM658" s="18" t="s">
        <v>151</v>
      </c>
      <c r="EN658" s="18" t="s">
        <v>151</v>
      </c>
      <c r="EO658" s="18" t="s">
        <v>151</v>
      </c>
      <c r="EP658" s="17" t="s">
        <v>151</v>
      </c>
      <c r="EQ658" s="16" t="s">
        <v>151</v>
      </c>
      <c r="ER658" s="16" t="s">
        <v>151</v>
      </c>
      <c r="ES658" s="3">
        <f>HYPERLINK("https://my.pitchbook.com?c=571975-21","View Company Online")</f>
      </c>
    </row>
    <row r="659">
      <c r="A659" s="30" t="s">
        <v>13575</v>
      </c>
      <c r="B659" s="30" t="s">
        <v>13576</v>
      </c>
      <c r="C659" s="31" t="s">
        <v>151</v>
      </c>
      <c r="D659" s="30" t="s">
        <v>151</v>
      </c>
      <c r="E659" s="30" t="s">
        <v>151</v>
      </c>
      <c r="F659" s="30" t="s">
        <v>13577</v>
      </c>
      <c r="G659" s="30" t="s">
        <v>151</v>
      </c>
      <c r="H659" s="30" t="s">
        <v>151</v>
      </c>
      <c r="I659" s="30" t="s">
        <v>13578</v>
      </c>
      <c r="J659" s="30" t="s">
        <v>13575</v>
      </c>
      <c r="K659" s="30" t="s">
        <v>13579</v>
      </c>
      <c r="L659" s="30" t="s">
        <v>616</v>
      </c>
      <c r="M659" s="30" t="s">
        <v>834</v>
      </c>
      <c r="N659" s="30" t="s">
        <v>3076</v>
      </c>
      <c r="O659" s="30" t="s">
        <v>5651</v>
      </c>
      <c r="P659" s="30" t="s">
        <v>13580</v>
      </c>
      <c r="Q659" s="30" t="s">
        <v>13581</v>
      </c>
      <c r="R659" s="30" t="s">
        <v>151</v>
      </c>
      <c r="S659" s="30" t="s">
        <v>162</v>
      </c>
      <c r="T659" s="37">
        <v>5</v>
      </c>
      <c r="U659" s="30" t="s">
        <v>163</v>
      </c>
      <c r="V659" s="30" t="s">
        <v>164</v>
      </c>
      <c r="W659" s="30" t="s">
        <v>165</v>
      </c>
      <c r="X659" s="28" t="s">
        <v>13582</v>
      </c>
      <c r="Y659" s="28" t="s">
        <v>13583</v>
      </c>
      <c r="Z659" s="40">
        <v>32</v>
      </c>
      <c r="AA659" s="30" t="s">
        <v>13584</v>
      </c>
      <c r="AB659" s="30" t="s">
        <v>151</v>
      </c>
      <c r="AC659" s="30" t="s">
        <v>151</v>
      </c>
      <c r="AD659" s="39">
        <v>2022</v>
      </c>
      <c r="AE659" s="30" t="s">
        <v>151</v>
      </c>
      <c r="AF659" s="35">
        <v>45569</v>
      </c>
      <c r="AG659" s="30" t="s">
        <v>151</v>
      </c>
      <c r="AH659" s="30" t="s">
        <v>151</v>
      </c>
      <c r="AI659" s="38" t="s">
        <v>151</v>
      </c>
      <c r="AJ659" s="32" t="s">
        <v>151</v>
      </c>
      <c r="AK659" s="38" t="s">
        <v>151</v>
      </c>
      <c r="AL659" s="38" t="s">
        <v>151</v>
      </c>
      <c r="AM659" s="38" t="s">
        <v>151</v>
      </c>
      <c r="AN659" s="38" t="s">
        <v>151</v>
      </c>
      <c r="AO659" s="38" t="s">
        <v>151</v>
      </c>
      <c r="AP659" s="38" t="s">
        <v>151</v>
      </c>
      <c r="AQ659" s="38" t="s">
        <v>151</v>
      </c>
      <c r="AR659" s="29" t="s">
        <v>151</v>
      </c>
      <c r="AS659" s="30" t="s">
        <v>13585</v>
      </c>
      <c r="AT659" s="30" t="s">
        <v>13586</v>
      </c>
      <c r="AU659" s="31">
        <v>7</v>
      </c>
      <c r="AV659" s="30" t="s">
        <v>151</v>
      </c>
      <c r="AW659" s="30" t="s">
        <v>151</v>
      </c>
      <c r="AX659" s="30" t="s">
        <v>151</v>
      </c>
      <c r="AY659" s="30" t="s">
        <v>13587</v>
      </c>
      <c r="AZ659" s="30" t="s">
        <v>151</v>
      </c>
      <c r="BA659" s="30" t="s">
        <v>151</v>
      </c>
      <c r="BB659" s="30" t="s">
        <v>151</v>
      </c>
      <c r="BC659" s="30" t="s">
        <v>151</v>
      </c>
      <c r="BD659" s="30" t="s">
        <v>13588</v>
      </c>
      <c r="BE659" s="30" t="s">
        <v>13589</v>
      </c>
      <c r="BF659" s="30" t="s">
        <v>221</v>
      </c>
      <c r="BG659" s="30" t="s">
        <v>151</v>
      </c>
      <c r="BH659" s="30" t="s">
        <v>151</v>
      </c>
      <c r="BI659" s="30" t="s">
        <v>6837</v>
      </c>
      <c r="BJ659" s="30" t="s">
        <v>6838</v>
      </c>
      <c r="BK659" s="30" t="s">
        <v>151</v>
      </c>
      <c r="BL659" s="30" t="s">
        <v>6839</v>
      </c>
      <c r="BM659" s="30" t="s">
        <v>1388</v>
      </c>
      <c r="BN659" s="29" t="s">
        <v>6840</v>
      </c>
      <c r="BO659" s="30" t="s">
        <v>186</v>
      </c>
      <c r="BP659" s="29" t="s">
        <v>151</v>
      </c>
      <c r="BQ659" s="29" t="s">
        <v>151</v>
      </c>
      <c r="BR659" s="30" t="s">
        <v>151</v>
      </c>
      <c r="BS659" s="30" t="s">
        <v>187</v>
      </c>
      <c r="BT659" s="30" t="s">
        <v>188</v>
      </c>
      <c r="BU659" s="35">
        <v>44875</v>
      </c>
      <c r="BV659" s="37">
        <v>5</v>
      </c>
      <c r="BW659" s="30" t="s">
        <v>192</v>
      </c>
      <c r="BX659" s="37" t="s">
        <v>151</v>
      </c>
      <c r="BY659" s="30" t="s">
        <v>151</v>
      </c>
      <c r="BZ659" s="30" t="s">
        <v>293</v>
      </c>
      <c r="CA659" s="30" t="s">
        <v>293</v>
      </c>
      <c r="CB659" s="30" t="s">
        <v>151</v>
      </c>
      <c r="CC659" s="30" t="s">
        <v>165</v>
      </c>
      <c r="CD659" s="30" t="s">
        <v>151</v>
      </c>
      <c r="CE659" s="30" t="s">
        <v>191</v>
      </c>
      <c r="CF659" s="35">
        <v>44875</v>
      </c>
      <c r="CG659" s="37">
        <v>5</v>
      </c>
      <c r="CH659" s="30" t="s">
        <v>192</v>
      </c>
      <c r="CI659" s="37" t="s">
        <v>151</v>
      </c>
      <c r="CJ659" s="30" t="s">
        <v>151</v>
      </c>
      <c r="CK659" s="29" t="s">
        <v>151</v>
      </c>
      <c r="CL659" s="30" t="s">
        <v>293</v>
      </c>
      <c r="CM659" s="30" t="s">
        <v>293</v>
      </c>
      <c r="CN659" s="30" t="s">
        <v>151</v>
      </c>
      <c r="CO659" s="30" t="s">
        <v>165</v>
      </c>
      <c r="CP659" s="35">
        <v>44875</v>
      </c>
      <c r="CQ659" s="37" t="s">
        <v>151</v>
      </c>
      <c r="CR659" s="30" t="s">
        <v>151</v>
      </c>
      <c r="CS659" s="30" t="s">
        <v>191</v>
      </c>
      <c r="CT659" s="29" t="s">
        <v>151</v>
      </c>
      <c r="CU659" s="30" t="s">
        <v>151</v>
      </c>
      <c r="CV659" s="32" t="s">
        <v>151</v>
      </c>
      <c r="CW659" s="32" t="s">
        <v>151</v>
      </c>
      <c r="CX659" s="30" t="s">
        <v>151</v>
      </c>
      <c r="CY659" s="32" t="s">
        <v>151</v>
      </c>
      <c r="CZ659" s="32" t="s">
        <v>151</v>
      </c>
      <c r="DA659" s="37" t="s">
        <v>151</v>
      </c>
      <c r="DB659" s="35" t="s">
        <v>151</v>
      </c>
      <c r="DC659" s="30" t="s">
        <v>151</v>
      </c>
      <c r="DD659" s="29" t="s">
        <v>151</v>
      </c>
      <c r="DE659" s="32">
        <v>0.41</v>
      </c>
      <c r="DF659" s="34">
        <v>93</v>
      </c>
      <c r="DG659" s="32">
        <v>0</v>
      </c>
      <c r="DH659" s="32">
        <v>0</v>
      </c>
      <c r="DI659" s="32">
        <v>0</v>
      </c>
      <c r="DJ659" s="34">
        <v>10</v>
      </c>
      <c r="DK659" s="32" t="s">
        <v>151</v>
      </c>
      <c r="DL659" s="34" t="s">
        <v>151</v>
      </c>
      <c r="DM659" s="32">
        <v>0</v>
      </c>
      <c r="DN659" s="34">
        <v>10</v>
      </c>
      <c r="DO659" s="36">
        <v>2.13</v>
      </c>
      <c r="DP659" s="34">
        <v>68</v>
      </c>
      <c r="DQ659" s="36">
        <v>0</v>
      </c>
      <c r="DR659" s="32">
        <v>0</v>
      </c>
      <c r="DS659" s="36">
        <v>1.79</v>
      </c>
      <c r="DT659" s="34">
        <v>63</v>
      </c>
      <c r="DU659" s="36" t="s">
        <v>151</v>
      </c>
      <c r="DV659" s="34" t="s">
        <v>151</v>
      </c>
      <c r="DW659" s="36">
        <v>1.79</v>
      </c>
      <c r="DX659" s="34">
        <v>63</v>
      </c>
      <c r="DY659" s="31" t="s">
        <v>151</v>
      </c>
      <c r="DZ659" s="35" t="s">
        <v>151</v>
      </c>
      <c r="EA659" s="35" t="s">
        <v>151</v>
      </c>
      <c r="EB659" s="34">
        <v>1426</v>
      </c>
      <c r="EC659" s="33">
        <v>38</v>
      </c>
      <c r="ED659" s="32">
        <v>2.74</v>
      </c>
      <c r="EE659" s="34">
        <v>34</v>
      </c>
      <c r="EF659" s="33">
        <v>0</v>
      </c>
      <c r="EG659" s="32">
        <v>0</v>
      </c>
      <c r="EH659" s="29" t="s">
        <v>198</v>
      </c>
      <c r="EI659" s="30" t="s">
        <v>151</v>
      </c>
      <c r="EJ659" s="30" t="s">
        <v>151</v>
      </c>
      <c r="EK659" s="31" t="s">
        <v>151</v>
      </c>
      <c r="EL659" s="31" t="s">
        <v>151</v>
      </c>
      <c r="EM659" s="31" t="s">
        <v>151</v>
      </c>
      <c r="EN659" s="31" t="s">
        <v>151</v>
      </c>
      <c r="EO659" s="31" t="s">
        <v>151</v>
      </c>
      <c r="EP659" s="30" t="s">
        <v>151</v>
      </c>
      <c r="EQ659" s="29" t="s">
        <v>151</v>
      </c>
      <c r="ER659" s="29" t="s">
        <v>151</v>
      </c>
      <c r="ES659" s="4">
        <f>HYPERLINK("https://my.pitchbook.com?c=513048-43","View Company Online")</f>
      </c>
    </row>
    <row r="660">
      <c r="A660" s="17" t="s">
        <v>13590</v>
      </c>
      <c r="B660" s="17" t="s">
        <v>13591</v>
      </c>
      <c r="C660" s="18" t="s">
        <v>151</v>
      </c>
      <c r="D660" s="17" t="s">
        <v>151</v>
      </c>
      <c r="E660" s="17" t="s">
        <v>13592</v>
      </c>
      <c r="F660" s="17" t="s">
        <v>13593</v>
      </c>
      <c r="G660" s="17" t="s">
        <v>151</v>
      </c>
      <c r="H660" s="17" t="s">
        <v>151</v>
      </c>
      <c r="I660" s="17" t="s">
        <v>151</v>
      </c>
      <c r="J660" s="17" t="s">
        <v>13590</v>
      </c>
      <c r="K660" s="17" t="s">
        <v>13594</v>
      </c>
      <c r="L660" s="17" t="s">
        <v>205</v>
      </c>
      <c r="M660" s="17" t="s">
        <v>206</v>
      </c>
      <c r="N660" s="17" t="s">
        <v>1268</v>
      </c>
      <c r="O660" s="17" t="s">
        <v>13595</v>
      </c>
      <c r="P660" s="17" t="s">
        <v>13596</v>
      </c>
      <c r="Q660" s="17" t="s">
        <v>13597</v>
      </c>
      <c r="R660" s="17" t="s">
        <v>151</v>
      </c>
      <c r="S660" s="17" t="s">
        <v>162</v>
      </c>
      <c r="T660" s="24">
        <v>3.5</v>
      </c>
      <c r="U660" s="17" t="s">
        <v>163</v>
      </c>
      <c r="V660" s="17" t="s">
        <v>164</v>
      </c>
      <c r="W660" s="17" t="s">
        <v>165</v>
      </c>
      <c r="X660" s="15" t="s">
        <v>13598</v>
      </c>
      <c r="Y660" s="15" t="s">
        <v>13599</v>
      </c>
      <c r="Z660" s="27">
        <v>8</v>
      </c>
      <c r="AA660" s="17" t="s">
        <v>13600</v>
      </c>
      <c r="AB660" s="17" t="s">
        <v>151</v>
      </c>
      <c r="AC660" s="17" t="s">
        <v>151</v>
      </c>
      <c r="AD660" s="26">
        <v>2020</v>
      </c>
      <c r="AE660" s="17" t="s">
        <v>151</v>
      </c>
      <c r="AF660" s="22">
        <v>45419</v>
      </c>
      <c r="AG660" s="17" t="s">
        <v>151</v>
      </c>
      <c r="AH660" s="17" t="s">
        <v>151</v>
      </c>
      <c r="AI660" s="25" t="s">
        <v>151</v>
      </c>
      <c r="AJ660" s="19" t="s">
        <v>151</v>
      </c>
      <c r="AK660" s="25" t="s">
        <v>151</v>
      </c>
      <c r="AL660" s="25" t="s">
        <v>151</v>
      </c>
      <c r="AM660" s="25" t="s">
        <v>151</v>
      </c>
      <c r="AN660" s="25" t="s">
        <v>151</v>
      </c>
      <c r="AO660" s="25" t="s">
        <v>151</v>
      </c>
      <c r="AP660" s="25" t="s">
        <v>151</v>
      </c>
      <c r="AQ660" s="25" t="s">
        <v>151</v>
      </c>
      <c r="AR660" s="16" t="s">
        <v>151</v>
      </c>
      <c r="AS660" s="17" t="s">
        <v>13601</v>
      </c>
      <c r="AT660" s="17" t="s">
        <v>13602</v>
      </c>
      <c r="AU660" s="18">
        <v>6</v>
      </c>
      <c r="AV660" s="17" t="s">
        <v>151</v>
      </c>
      <c r="AW660" s="17" t="s">
        <v>151</v>
      </c>
      <c r="AX660" s="17" t="s">
        <v>151</v>
      </c>
      <c r="AY660" s="17" t="s">
        <v>13603</v>
      </c>
      <c r="AZ660" s="17" t="s">
        <v>151</v>
      </c>
      <c r="BA660" s="17" t="s">
        <v>151</v>
      </c>
      <c r="BB660" s="17" t="s">
        <v>151</v>
      </c>
      <c r="BC660" s="17" t="s">
        <v>151</v>
      </c>
      <c r="BD660" s="17" t="s">
        <v>13604</v>
      </c>
      <c r="BE660" s="17" t="s">
        <v>13605</v>
      </c>
      <c r="BF660" s="17" t="s">
        <v>493</v>
      </c>
      <c r="BG660" s="17" t="s">
        <v>13606</v>
      </c>
      <c r="BH660" s="17" t="s">
        <v>151</v>
      </c>
      <c r="BI660" s="17" t="s">
        <v>906</v>
      </c>
      <c r="BJ660" s="17" t="s">
        <v>13607</v>
      </c>
      <c r="BK660" s="17" t="s">
        <v>151</v>
      </c>
      <c r="BL660" s="17" t="s">
        <v>259</v>
      </c>
      <c r="BM660" s="17" t="s">
        <v>259</v>
      </c>
      <c r="BN660" s="16" t="s">
        <v>1306</v>
      </c>
      <c r="BO660" s="17" t="s">
        <v>186</v>
      </c>
      <c r="BP660" s="16" t="s">
        <v>13608</v>
      </c>
      <c r="BQ660" s="16" t="s">
        <v>151</v>
      </c>
      <c r="BR660" s="17" t="s">
        <v>13609</v>
      </c>
      <c r="BS660" s="17" t="s">
        <v>187</v>
      </c>
      <c r="BT660" s="17" t="s">
        <v>188</v>
      </c>
      <c r="BU660" s="22">
        <v>44075</v>
      </c>
      <c r="BV660" s="24">
        <v>2.5</v>
      </c>
      <c r="BW660" s="17" t="s">
        <v>192</v>
      </c>
      <c r="BX660" s="24" t="s">
        <v>151</v>
      </c>
      <c r="BY660" s="17" t="s">
        <v>151</v>
      </c>
      <c r="BZ660" s="17" t="s">
        <v>293</v>
      </c>
      <c r="CA660" s="17" t="s">
        <v>293</v>
      </c>
      <c r="CB660" s="17" t="s">
        <v>151</v>
      </c>
      <c r="CC660" s="17" t="s">
        <v>165</v>
      </c>
      <c r="CD660" s="17" t="s">
        <v>151</v>
      </c>
      <c r="CE660" s="17" t="s">
        <v>191</v>
      </c>
      <c r="CF660" s="22">
        <v>44615</v>
      </c>
      <c r="CG660" s="24">
        <v>1</v>
      </c>
      <c r="CH660" s="17" t="s">
        <v>192</v>
      </c>
      <c r="CI660" s="24" t="s">
        <v>151</v>
      </c>
      <c r="CJ660" s="17" t="s">
        <v>151</v>
      </c>
      <c r="CK660" s="16" t="s">
        <v>151</v>
      </c>
      <c r="CL660" s="17" t="s">
        <v>231</v>
      </c>
      <c r="CM660" s="17" t="s">
        <v>151</v>
      </c>
      <c r="CN660" s="17" t="s">
        <v>151</v>
      </c>
      <c r="CO660" s="17" t="s">
        <v>165</v>
      </c>
      <c r="CP660" s="22">
        <v>44615</v>
      </c>
      <c r="CQ660" s="24" t="s">
        <v>151</v>
      </c>
      <c r="CR660" s="17" t="s">
        <v>151</v>
      </c>
      <c r="CS660" s="17" t="s">
        <v>191</v>
      </c>
      <c r="CT660" s="16">
        <v>26</v>
      </c>
      <c r="CU660" s="17" t="s">
        <v>263</v>
      </c>
      <c r="CV660" s="19">
        <v>27</v>
      </c>
      <c r="CW660" s="19">
        <v>73</v>
      </c>
      <c r="CX660" s="17" t="s">
        <v>263</v>
      </c>
      <c r="CY660" s="19">
        <v>1</v>
      </c>
      <c r="CZ660" s="19">
        <v>26</v>
      </c>
      <c r="DA660" s="24" t="s">
        <v>151</v>
      </c>
      <c r="DB660" s="22" t="s">
        <v>151</v>
      </c>
      <c r="DC660" s="17" t="s">
        <v>151</v>
      </c>
      <c r="DD660" s="16" t="s">
        <v>151</v>
      </c>
      <c r="DE660" s="19" t="s">
        <v>151</v>
      </c>
      <c r="DF660" s="21" t="s">
        <v>151</v>
      </c>
      <c r="DG660" s="19" t="s">
        <v>151</v>
      </c>
      <c r="DH660" s="19" t="s">
        <v>151</v>
      </c>
      <c r="DI660" s="19" t="s">
        <v>151</v>
      </c>
      <c r="DJ660" s="21" t="s">
        <v>151</v>
      </c>
      <c r="DK660" s="19" t="s">
        <v>151</v>
      </c>
      <c r="DL660" s="21" t="s">
        <v>151</v>
      </c>
      <c r="DM660" s="19" t="s">
        <v>151</v>
      </c>
      <c r="DN660" s="21" t="s">
        <v>151</v>
      </c>
      <c r="DO660" s="23" t="s">
        <v>151</v>
      </c>
      <c r="DP660" s="21" t="s">
        <v>151</v>
      </c>
      <c r="DQ660" s="23" t="s">
        <v>151</v>
      </c>
      <c r="DR660" s="19" t="s">
        <v>151</v>
      </c>
      <c r="DS660" s="23" t="s">
        <v>151</v>
      </c>
      <c r="DT660" s="21" t="s">
        <v>151</v>
      </c>
      <c r="DU660" s="23" t="s">
        <v>151</v>
      </c>
      <c r="DV660" s="21" t="s">
        <v>151</v>
      </c>
      <c r="DW660" s="23" t="s">
        <v>151</v>
      </c>
      <c r="DX660" s="21" t="s">
        <v>151</v>
      </c>
      <c r="DY660" s="18" t="s">
        <v>151</v>
      </c>
      <c r="DZ660" s="22" t="s">
        <v>151</v>
      </c>
      <c r="EA660" s="22" t="s">
        <v>151</v>
      </c>
      <c r="EB660" s="21" t="s">
        <v>151</v>
      </c>
      <c r="EC660" s="20" t="s">
        <v>151</v>
      </c>
      <c r="ED660" s="19" t="s">
        <v>151</v>
      </c>
      <c r="EE660" s="21" t="s">
        <v>151</v>
      </c>
      <c r="EF660" s="20" t="s">
        <v>151</v>
      </c>
      <c r="EG660" s="19" t="s">
        <v>151</v>
      </c>
      <c r="EH660" s="16" t="s">
        <v>198</v>
      </c>
      <c r="EI660" s="17" t="s">
        <v>151</v>
      </c>
      <c r="EJ660" s="17" t="s">
        <v>151</v>
      </c>
      <c r="EK660" s="18" t="s">
        <v>151</v>
      </c>
      <c r="EL660" s="18" t="s">
        <v>151</v>
      </c>
      <c r="EM660" s="18" t="s">
        <v>151</v>
      </c>
      <c r="EN660" s="18" t="s">
        <v>151</v>
      </c>
      <c r="EO660" s="18" t="s">
        <v>151</v>
      </c>
      <c r="EP660" s="17" t="s">
        <v>151</v>
      </c>
      <c r="EQ660" s="16" t="s">
        <v>151</v>
      </c>
      <c r="ER660" s="16" t="s">
        <v>151</v>
      </c>
      <c r="ES660" s="3">
        <f>HYPERLINK("https://my.pitchbook.com?c=442312-48","View Company Online")</f>
      </c>
    </row>
    <row r="661">
      <c r="A661" s="30" t="s">
        <v>13610</v>
      </c>
      <c r="B661" s="30" t="s">
        <v>13611</v>
      </c>
      <c r="C661" s="31" t="s">
        <v>151</v>
      </c>
      <c r="D661" s="30" t="s">
        <v>151</v>
      </c>
      <c r="E661" s="30" t="s">
        <v>151</v>
      </c>
      <c r="F661" s="30" t="s">
        <v>13612</v>
      </c>
      <c r="G661" s="30" t="s">
        <v>151</v>
      </c>
      <c r="H661" s="30" t="s">
        <v>151</v>
      </c>
      <c r="I661" s="30" t="s">
        <v>151</v>
      </c>
      <c r="J661" s="30" t="s">
        <v>13610</v>
      </c>
      <c r="K661" s="30" t="s">
        <v>13613</v>
      </c>
      <c r="L661" s="30" t="s">
        <v>1178</v>
      </c>
      <c r="M661" s="30" t="s">
        <v>1179</v>
      </c>
      <c r="N661" s="30" t="s">
        <v>1179</v>
      </c>
      <c r="O661" s="30" t="s">
        <v>13614</v>
      </c>
      <c r="P661" s="30" t="s">
        <v>209</v>
      </c>
      <c r="Q661" s="30" t="s">
        <v>13615</v>
      </c>
      <c r="R661" s="30" t="s">
        <v>151</v>
      </c>
      <c r="S661" s="30" t="s">
        <v>162</v>
      </c>
      <c r="T661" s="37">
        <v>18.3</v>
      </c>
      <c r="U661" s="30" t="s">
        <v>163</v>
      </c>
      <c r="V661" s="30" t="s">
        <v>164</v>
      </c>
      <c r="W661" s="30" t="s">
        <v>165</v>
      </c>
      <c r="X661" s="28" t="s">
        <v>13616</v>
      </c>
      <c r="Y661" s="28" t="s">
        <v>13617</v>
      </c>
      <c r="Z661" s="40">
        <v>9</v>
      </c>
      <c r="AA661" s="30" t="s">
        <v>13618</v>
      </c>
      <c r="AB661" s="30" t="s">
        <v>151</v>
      </c>
      <c r="AC661" s="30" t="s">
        <v>151</v>
      </c>
      <c r="AD661" s="39">
        <v>2022</v>
      </c>
      <c r="AE661" s="30" t="s">
        <v>151</v>
      </c>
      <c r="AF661" s="35">
        <v>45615</v>
      </c>
      <c r="AG661" s="30" t="s">
        <v>151</v>
      </c>
      <c r="AH661" s="30" t="s">
        <v>13619</v>
      </c>
      <c r="AI661" s="38" t="s">
        <v>151</v>
      </c>
      <c r="AJ661" s="32" t="s">
        <v>151</v>
      </c>
      <c r="AK661" s="38" t="s">
        <v>151</v>
      </c>
      <c r="AL661" s="38" t="s">
        <v>151</v>
      </c>
      <c r="AM661" s="38" t="s">
        <v>151</v>
      </c>
      <c r="AN661" s="38" t="s">
        <v>151</v>
      </c>
      <c r="AO661" s="38" t="s">
        <v>151</v>
      </c>
      <c r="AP661" s="38" t="s">
        <v>151</v>
      </c>
      <c r="AQ661" s="38" t="s">
        <v>151</v>
      </c>
      <c r="AR661" s="29" t="s">
        <v>151</v>
      </c>
      <c r="AS661" s="30" t="s">
        <v>13620</v>
      </c>
      <c r="AT661" s="30" t="s">
        <v>13621</v>
      </c>
      <c r="AU661" s="31">
        <v>10</v>
      </c>
      <c r="AV661" s="30" t="s">
        <v>151</v>
      </c>
      <c r="AW661" s="30" t="s">
        <v>151</v>
      </c>
      <c r="AX661" s="30" t="s">
        <v>151</v>
      </c>
      <c r="AY661" s="30" t="s">
        <v>13622</v>
      </c>
      <c r="AZ661" s="30" t="s">
        <v>151</v>
      </c>
      <c r="BA661" s="30" t="s">
        <v>151</v>
      </c>
      <c r="BB661" s="30" t="s">
        <v>151</v>
      </c>
      <c r="BC661" s="30" t="s">
        <v>151</v>
      </c>
      <c r="BD661" s="30" t="s">
        <v>13623</v>
      </c>
      <c r="BE661" s="30" t="s">
        <v>13624</v>
      </c>
      <c r="BF661" s="30" t="s">
        <v>221</v>
      </c>
      <c r="BG661" s="30" t="s">
        <v>13625</v>
      </c>
      <c r="BH661" s="30" t="s">
        <v>151</v>
      </c>
      <c r="BI661" s="30" t="s">
        <v>11448</v>
      </c>
      <c r="BJ661" s="30" t="s">
        <v>13626</v>
      </c>
      <c r="BK661" s="30" t="s">
        <v>13627</v>
      </c>
      <c r="BL661" s="30" t="s">
        <v>11450</v>
      </c>
      <c r="BM661" s="30" t="s">
        <v>1388</v>
      </c>
      <c r="BN661" s="29" t="s">
        <v>13628</v>
      </c>
      <c r="BO661" s="30" t="s">
        <v>186</v>
      </c>
      <c r="BP661" s="29" t="s">
        <v>151</v>
      </c>
      <c r="BQ661" s="29" t="s">
        <v>151</v>
      </c>
      <c r="BR661" s="30" t="s">
        <v>13629</v>
      </c>
      <c r="BS661" s="30" t="s">
        <v>187</v>
      </c>
      <c r="BT661" s="30" t="s">
        <v>188</v>
      </c>
      <c r="BU661" s="35">
        <v>45223</v>
      </c>
      <c r="BV661" s="37">
        <v>3.3</v>
      </c>
      <c r="BW661" s="30" t="s">
        <v>192</v>
      </c>
      <c r="BX661" s="37" t="s">
        <v>151</v>
      </c>
      <c r="BY661" s="30" t="s">
        <v>151</v>
      </c>
      <c r="BZ661" s="30" t="s">
        <v>293</v>
      </c>
      <c r="CA661" s="30" t="s">
        <v>293</v>
      </c>
      <c r="CB661" s="30" t="s">
        <v>151</v>
      </c>
      <c r="CC661" s="30" t="s">
        <v>165</v>
      </c>
      <c r="CD661" s="30" t="s">
        <v>151</v>
      </c>
      <c r="CE661" s="30" t="s">
        <v>191</v>
      </c>
      <c r="CF661" s="35">
        <v>45615</v>
      </c>
      <c r="CG661" s="37">
        <v>15</v>
      </c>
      <c r="CH661" s="30" t="s">
        <v>192</v>
      </c>
      <c r="CI661" s="37" t="s">
        <v>151</v>
      </c>
      <c r="CJ661" s="30" t="s">
        <v>151</v>
      </c>
      <c r="CK661" s="29" t="s">
        <v>151</v>
      </c>
      <c r="CL661" s="30" t="s">
        <v>231</v>
      </c>
      <c r="CM661" s="30" t="s">
        <v>232</v>
      </c>
      <c r="CN661" s="30" t="s">
        <v>151</v>
      </c>
      <c r="CO661" s="30" t="s">
        <v>165</v>
      </c>
      <c r="CP661" s="35">
        <v>45615</v>
      </c>
      <c r="CQ661" s="37" t="s">
        <v>151</v>
      </c>
      <c r="CR661" s="30" t="s">
        <v>151</v>
      </c>
      <c r="CS661" s="30" t="s">
        <v>191</v>
      </c>
      <c r="CT661" s="29">
        <v>83</v>
      </c>
      <c r="CU661" s="30" t="s">
        <v>196</v>
      </c>
      <c r="CV661" s="32">
        <v>74</v>
      </c>
      <c r="CW661" s="32">
        <v>26</v>
      </c>
      <c r="CX661" s="30" t="s">
        <v>294</v>
      </c>
      <c r="CY661" s="32">
        <v>3</v>
      </c>
      <c r="CZ661" s="32">
        <v>71</v>
      </c>
      <c r="DA661" s="37" t="s">
        <v>151</v>
      </c>
      <c r="DB661" s="35" t="s">
        <v>151</v>
      </c>
      <c r="DC661" s="30" t="s">
        <v>151</v>
      </c>
      <c r="DD661" s="29" t="s">
        <v>151</v>
      </c>
      <c r="DE661" s="32">
        <v>1.92</v>
      </c>
      <c r="DF661" s="34">
        <v>98</v>
      </c>
      <c r="DG661" s="32">
        <v>0</v>
      </c>
      <c r="DH661" s="32">
        <v>0</v>
      </c>
      <c r="DI661" s="32">
        <v>1.92</v>
      </c>
      <c r="DJ661" s="34">
        <v>98</v>
      </c>
      <c r="DK661" s="32" t="s">
        <v>151</v>
      </c>
      <c r="DL661" s="34" t="s">
        <v>151</v>
      </c>
      <c r="DM661" s="32">
        <v>1.92</v>
      </c>
      <c r="DN661" s="34">
        <v>98</v>
      </c>
      <c r="DO661" s="36">
        <v>11.53</v>
      </c>
      <c r="DP661" s="34">
        <v>91</v>
      </c>
      <c r="DQ661" s="36">
        <v>0</v>
      </c>
      <c r="DR661" s="32">
        <v>0</v>
      </c>
      <c r="DS661" s="36">
        <v>11.53</v>
      </c>
      <c r="DT661" s="34">
        <v>91</v>
      </c>
      <c r="DU661" s="36" t="s">
        <v>151</v>
      </c>
      <c r="DV661" s="34" t="s">
        <v>151</v>
      </c>
      <c r="DW661" s="36">
        <v>11.53</v>
      </c>
      <c r="DX661" s="34">
        <v>91</v>
      </c>
      <c r="DY661" s="31" t="s">
        <v>151</v>
      </c>
      <c r="DZ661" s="35" t="s">
        <v>151</v>
      </c>
      <c r="EA661" s="35" t="s">
        <v>151</v>
      </c>
      <c r="EB661" s="34" t="s">
        <v>151</v>
      </c>
      <c r="EC661" s="33" t="s">
        <v>151</v>
      </c>
      <c r="ED661" s="32" t="s">
        <v>151</v>
      </c>
      <c r="EE661" s="34">
        <v>219</v>
      </c>
      <c r="EF661" s="33">
        <v>3</v>
      </c>
      <c r="EG661" s="32">
        <v>1.39</v>
      </c>
      <c r="EH661" s="29" t="s">
        <v>198</v>
      </c>
      <c r="EI661" s="30" t="s">
        <v>151</v>
      </c>
      <c r="EJ661" s="30" t="s">
        <v>151</v>
      </c>
      <c r="EK661" s="31" t="s">
        <v>151</v>
      </c>
      <c r="EL661" s="31" t="s">
        <v>151</v>
      </c>
      <c r="EM661" s="31" t="s">
        <v>151</v>
      </c>
      <c r="EN661" s="31" t="s">
        <v>151</v>
      </c>
      <c r="EO661" s="31" t="s">
        <v>151</v>
      </c>
      <c r="EP661" s="30" t="s">
        <v>151</v>
      </c>
      <c r="EQ661" s="29" t="s">
        <v>151</v>
      </c>
      <c r="ER661" s="29" t="s">
        <v>151</v>
      </c>
      <c r="ES661" s="4">
        <f>HYPERLINK("https://my.pitchbook.com?c=539007-22","View Company Online")</f>
      </c>
    </row>
    <row r="662">
      <c r="A662" s="17" t="s">
        <v>13630</v>
      </c>
      <c r="B662" s="17" t="s">
        <v>13631</v>
      </c>
      <c r="C662" s="18" t="s">
        <v>151</v>
      </c>
      <c r="D662" s="17" t="s">
        <v>151</v>
      </c>
      <c r="E662" s="17" t="s">
        <v>151</v>
      </c>
      <c r="F662" s="17" t="s">
        <v>13632</v>
      </c>
      <c r="G662" s="17" t="s">
        <v>151</v>
      </c>
      <c r="H662" s="17" t="s">
        <v>151</v>
      </c>
      <c r="I662" s="17" t="s">
        <v>13633</v>
      </c>
      <c r="J662" s="17" t="s">
        <v>13630</v>
      </c>
      <c r="K662" s="17" t="s">
        <v>13634</v>
      </c>
      <c r="L662" s="17" t="s">
        <v>205</v>
      </c>
      <c r="M662" s="17" t="s">
        <v>206</v>
      </c>
      <c r="N662" s="17" t="s">
        <v>269</v>
      </c>
      <c r="O662" s="17" t="s">
        <v>563</v>
      </c>
      <c r="P662" s="17" t="s">
        <v>7308</v>
      </c>
      <c r="Q662" s="17" t="s">
        <v>13635</v>
      </c>
      <c r="R662" s="17" t="s">
        <v>151</v>
      </c>
      <c r="S662" s="17" t="s">
        <v>162</v>
      </c>
      <c r="T662" s="24">
        <v>0.69</v>
      </c>
      <c r="U662" s="17" t="s">
        <v>163</v>
      </c>
      <c r="V662" s="17" t="s">
        <v>164</v>
      </c>
      <c r="W662" s="17" t="s">
        <v>165</v>
      </c>
      <c r="X662" s="15" t="s">
        <v>13636</v>
      </c>
      <c r="Y662" s="15" t="s">
        <v>13637</v>
      </c>
      <c r="Z662" s="27">
        <v>2</v>
      </c>
      <c r="AA662" s="17" t="s">
        <v>13638</v>
      </c>
      <c r="AB662" s="17" t="s">
        <v>151</v>
      </c>
      <c r="AC662" s="17" t="s">
        <v>151</v>
      </c>
      <c r="AD662" s="26">
        <v>2017</v>
      </c>
      <c r="AE662" s="17" t="s">
        <v>151</v>
      </c>
      <c r="AF662" s="22">
        <v>45457</v>
      </c>
      <c r="AG662" s="17" t="s">
        <v>151</v>
      </c>
      <c r="AH662" s="17" t="s">
        <v>151</v>
      </c>
      <c r="AI662" s="25">
        <v>47.97</v>
      </c>
      <c r="AJ662" s="19">
        <v>71.42</v>
      </c>
      <c r="AK662" s="25" t="s">
        <v>151</v>
      </c>
      <c r="AL662" s="25">
        <v>7.39</v>
      </c>
      <c r="AM662" s="25" t="s">
        <v>151</v>
      </c>
      <c r="AN662" s="25" t="s">
        <v>151</v>
      </c>
      <c r="AO662" s="25" t="s">
        <v>151</v>
      </c>
      <c r="AP662" s="25" t="s">
        <v>151</v>
      </c>
      <c r="AQ662" s="25" t="s">
        <v>151</v>
      </c>
      <c r="AR662" s="16" t="s">
        <v>810</v>
      </c>
      <c r="AS662" s="17" t="s">
        <v>13639</v>
      </c>
      <c r="AT662" s="17" t="s">
        <v>13640</v>
      </c>
      <c r="AU662" s="18">
        <v>3</v>
      </c>
      <c r="AV662" s="17" t="s">
        <v>151</v>
      </c>
      <c r="AW662" s="17" t="s">
        <v>151</v>
      </c>
      <c r="AX662" s="17" t="s">
        <v>151</v>
      </c>
      <c r="AY662" s="17" t="s">
        <v>13641</v>
      </c>
      <c r="AZ662" s="17" t="s">
        <v>151</v>
      </c>
      <c r="BA662" s="17" t="s">
        <v>151</v>
      </c>
      <c r="BB662" s="17" t="s">
        <v>13642</v>
      </c>
      <c r="BC662" s="17" t="s">
        <v>13643</v>
      </c>
      <c r="BD662" s="17" t="s">
        <v>13644</v>
      </c>
      <c r="BE662" s="17" t="s">
        <v>13645</v>
      </c>
      <c r="BF662" s="17" t="s">
        <v>403</v>
      </c>
      <c r="BG662" s="17" t="s">
        <v>13646</v>
      </c>
      <c r="BH662" s="17" t="s">
        <v>151</v>
      </c>
      <c r="BI662" s="17" t="s">
        <v>5818</v>
      </c>
      <c r="BJ662" s="17" t="s">
        <v>13647</v>
      </c>
      <c r="BK662" s="17" t="s">
        <v>151</v>
      </c>
      <c r="BL662" s="17" t="s">
        <v>5820</v>
      </c>
      <c r="BM662" s="17" t="s">
        <v>5821</v>
      </c>
      <c r="BN662" s="16" t="s">
        <v>13648</v>
      </c>
      <c r="BO662" s="17" t="s">
        <v>186</v>
      </c>
      <c r="BP662" s="16" t="s">
        <v>151</v>
      </c>
      <c r="BQ662" s="16" t="s">
        <v>151</v>
      </c>
      <c r="BR662" s="17" t="s">
        <v>13649</v>
      </c>
      <c r="BS662" s="17" t="s">
        <v>187</v>
      </c>
      <c r="BT662" s="17" t="s">
        <v>188</v>
      </c>
      <c r="BU662" s="22">
        <v>44182</v>
      </c>
      <c r="BV662" s="24">
        <v>0.03</v>
      </c>
      <c r="BW662" s="17" t="s">
        <v>192</v>
      </c>
      <c r="BX662" s="24">
        <v>2.13</v>
      </c>
      <c r="BY662" s="17" t="s">
        <v>192</v>
      </c>
      <c r="BZ662" s="17" t="s">
        <v>231</v>
      </c>
      <c r="CA662" s="17" t="s">
        <v>151</v>
      </c>
      <c r="CB662" s="17" t="s">
        <v>151</v>
      </c>
      <c r="CC662" s="17" t="s">
        <v>165</v>
      </c>
      <c r="CD662" s="17" t="s">
        <v>151</v>
      </c>
      <c r="CE662" s="17" t="s">
        <v>191</v>
      </c>
      <c r="CF662" s="22">
        <v>45139</v>
      </c>
      <c r="CG662" s="24">
        <v>0.44</v>
      </c>
      <c r="CH662" s="17" t="s">
        <v>192</v>
      </c>
      <c r="CI662" s="24" t="s">
        <v>151</v>
      </c>
      <c r="CJ662" s="17" t="s">
        <v>151</v>
      </c>
      <c r="CK662" s="16" t="s">
        <v>151</v>
      </c>
      <c r="CL662" s="17" t="s">
        <v>1363</v>
      </c>
      <c r="CM662" s="17" t="s">
        <v>151</v>
      </c>
      <c r="CN662" s="17" t="s">
        <v>151</v>
      </c>
      <c r="CO662" s="17" t="s">
        <v>585</v>
      </c>
      <c r="CP662" s="22">
        <v>45139</v>
      </c>
      <c r="CQ662" s="24" t="s">
        <v>151</v>
      </c>
      <c r="CR662" s="17" t="s">
        <v>151</v>
      </c>
      <c r="CS662" s="17" t="s">
        <v>191</v>
      </c>
      <c r="CT662" s="16" t="s">
        <v>151</v>
      </c>
      <c r="CU662" s="17" t="s">
        <v>151</v>
      </c>
      <c r="CV662" s="19" t="s">
        <v>151</v>
      </c>
      <c r="CW662" s="19" t="s">
        <v>151</v>
      </c>
      <c r="CX662" s="17" t="s">
        <v>151</v>
      </c>
      <c r="CY662" s="19" t="s">
        <v>151</v>
      </c>
      <c r="CZ662" s="19" t="s">
        <v>151</v>
      </c>
      <c r="DA662" s="24">
        <v>2.13</v>
      </c>
      <c r="DB662" s="22">
        <v>44182</v>
      </c>
      <c r="DC662" s="17" t="s">
        <v>231</v>
      </c>
      <c r="DD662" s="16" t="s">
        <v>151</v>
      </c>
      <c r="DE662" s="19">
        <v>-1.39</v>
      </c>
      <c r="DF662" s="21">
        <v>3</v>
      </c>
      <c r="DG662" s="19">
        <v>0</v>
      </c>
      <c r="DH662" s="19">
        <v>0</v>
      </c>
      <c r="DI662" s="19">
        <v>0</v>
      </c>
      <c r="DJ662" s="21">
        <v>10</v>
      </c>
      <c r="DK662" s="19" t="s">
        <v>151</v>
      </c>
      <c r="DL662" s="21" t="s">
        <v>151</v>
      </c>
      <c r="DM662" s="19">
        <v>0</v>
      </c>
      <c r="DN662" s="21">
        <v>10</v>
      </c>
      <c r="DO662" s="23">
        <v>0.93</v>
      </c>
      <c r="DP662" s="21">
        <v>48</v>
      </c>
      <c r="DQ662" s="23">
        <v>0</v>
      </c>
      <c r="DR662" s="19">
        <v>0</v>
      </c>
      <c r="DS662" s="23">
        <v>1.84</v>
      </c>
      <c r="DT662" s="21">
        <v>64</v>
      </c>
      <c r="DU662" s="23" t="s">
        <v>151</v>
      </c>
      <c r="DV662" s="21" t="s">
        <v>151</v>
      </c>
      <c r="DW662" s="23">
        <v>1.84</v>
      </c>
      <c r="DX662" s="21">
        <v>64</v>
      </c>
      <c r="DY662" s="18" t="s">
        <v>151</v>
      </c>
      <c r="DZ662" s="22" t="s">
        <v>151</v>
      </c>
      <c r="EA662" s="22" t="s">
        <v>151</v>
      </c>
      <c r="EB662" s="21" t="s">
        <v>151</v>
      </c>
      <c r="EC662" s="20" t="s">
        <v>151</v>
      </c>
      <c r="ED662" s="19" t="s">
        <v>151</v>
      </c>
      <c r="EE662" s="21">
        <v>35</v>
      </c>
      <c r="EF662" s="20">
        <v>0</v>
      </c>
      <c r="EG662" s="19">
        <v>0</v>
      </c>
      <c r="EH662" s="16" t="s">
        <v>198</v>
      </c>
      <c r="EI662" s="17" t="s">
        <v>151</v>
      </c>
      <c r="EJ662" s="17" t="s">
        <v>151</v>
      </c>
      <c r="EK662" s="18" t="s">
        <v>151</v>
      </c>
      <c r="EL662" s="18" t="s">
        <v>151</v>
      </c>
      <c r="EM662" s="18" t="s">
        <v>151</v>
      </c>
      <c r="EN662" s="18" t="s">
        <v>151</v>
      </c>
      <c r="EO662" s="18" t="s">
        <v>151</v>
      </c>
      <c r="EP662" s="17" t="s">
        <v>151</v>
      </c>
      <c r="EQ662" s="16" t="s">
        <v>151</v>
      </c>
      <c r="ER662" s="16" t="s">
        <v>151</v>
      </c>
      <c r="ES662" s="3">
        <f>HYPERLINK("https://my.pitchbook.com?c=438142-06","View Company Online")</f>
      </c>
    </row>
    <row r="663">
      <c r="A663" s="30" t="s">
        <v>13650</v>
      </c>
      <c r="B663" s="30" t="s">
        <v>13651</v>
      </c>
      <c r="C663" s="31" t="s">
        <v>151</v>
      </c>
      <c r="D663" s="30" t="s">
        <v>151</v>
      </c>
      <c r="E663" s="30" t="s">
        <v>151</v>
      </c>
      <c r="F663" s="30" t="s">
        <v>151</v>
      </c>
      <c r="G663" s="30" t="s">
        <v>151</v>
      </c>
      <c r="H663" s="30" t="s">
        <v>151</v>
      </c>
      <c r="I663" s="30" t="s">
        <v>13652</v>
      </c>
      <c r="J663" s="30" t="s">
        <v>13650</v>
      </c>
      <c r="K663" s="30" t="s">
        <v>13653</v>
      </c>
      <c r="L663" s="30" t="s">
        <v>616</v>
      </c>
      <c r="M663" s="30" t="s">
        <v>12505</v>
      </c>
      <c r="N663" s="30" t="s">
        <v>12506</v>
      </c>
      <c r="O663" s="30" t="s">
        <v>13654</v>
      </c>
      <c r="P663" s="30" t="s">
        <v>8649</v>
      </c>
      <c r="Q663" s="30" t="s">
        <v>13655</v>
      </c>
      <c r="R663" s="30" t="s">
        <v>151</v>
      </c>
      <c r="S663" s="30" t="s">
        <v>162</v>
      </c>
      <c r="T663" s="37">
        <v>6</v>
      </c>
      <c r="U663" s="30" t="s">
        <v>163</v>
      </c>
      <c r="V663" s="30" t="s">
        <v>164</v>
      </c>
      <c r="W663" s="30" t="s">
        <v>165</v>
      </c>
      <c r="X663" s="28" t="s">
        <v>13656</v>
      </c>
      <c r="Y663" s="28" t="s">
        <v>13657</v>
      </c>
      <c r="Z663" s="40" t="s">
        <v>151</v>
      </c>
      <c r="AA663" s="30" t="s">
        <v>151</v>
      </c>
      <c r="AB663" s="30" t="s">
        <v>151</v>
      </c>
      <c r="AC663" s="30" t="s">
        <v>151</v>
      </c>
      <c r="AD663" s="39">
        <v>2023</v>
      </c>
      <c r="AE663" s="30" t="s">
        <v>151</v>
      </c>
      <c r="AF663" s="35">
        <v>45581</v>
      </c>
      <c r="AG663" s="30" t="s">
        <v>151</v>
      </c>
      <c r="AH663" s="30" t="s">
        <v>151</v>
      </c>
      <c r="AI663" s="38" t="s">
        <v>151</v>
      </c>
      <c r="AJ663" s="32" t="s">
        <v>151</v>
      </c>
      <c r="AK663" s="38" t="s">
        <v>151</v>
      </c>
      <c r="AL663" s="38" t="s">
        <v>151</v>
      </c>
      <c r="AM663" s="38" t="s">
        <v>151</v>
      </c>
      <c r="AN663" s="38" t="s">
        <v>151</v>
      </c>
      <c r="AO663" s="38" t="s">
        <v>151</v>
      </c>
      <c r="AP663" s="38" t="s">
        <v>151</v>
      </c>
      <c r="AQ663" s="38" t="s">
        <v>151</v>
      </c>
      <c r="AR663" s="29" t="s">
        <v>151</v>
      </c>
      <c r="AS663" s="30" t="s">
        <v>13658</v>
      </c>
      <c r="AT663" s="30" t="s">
        <v>13659</v>
      </c>
      <c r="AU663" s="31">
        <v>6</v>
      </c>
      <c r="AV663" s="30" t="s">
        <v>151</v>
      </c>
      <c r="AW663" s="30" t="s">
        <v>151</v>
      </c>
      <c r="AX663" s="30" t="s">
        <v>151</v>
      </c>
      <c r="AY663" s="30" t="s">
        <v>13660</v>
      </c>
      <c r="AZ663" s="30" t="s">
        <v>151</v>
      </c>
      <c r="BA663" s="30" t="s">
        <v>151</v>
      </c>
      <c r="BB663" s="30" t="s">
        <v>151</v>
      </c>
      <c r="BC663" s="30" t="s">
        <v>151</v>
      </c>
      <c r="BD663" s="30" t="s">
        <v>13661</v>
      </c>
      <c r="BE663" s="30" t="s">
        <v>13662</v>
      </c>
      <c r="BF663" s="30" t="s">
        <v>2427</v>
      </c>
      <c r="BG663" s="30" t="s">
        <v>151</v>
      </c>
      <c r="BH663" s="30" t="s">
        <v>151</v>
      </c>
      <c r="BI663" s="30" t="s">
        <v>13663</v>
      </c>
      <c r="BJ663" s="30" t="s">
        <v>151</v>
      </c>
      <c r="BK663" s="30" t="s">
        <v>151</v>
      </c>
      <c r="BL663" s="30" t="s">
        <v>13664</v>
      </c>
      <c r="BM663" s="30" t="s">
        <v>184</v>
      </c>
      <c r="BN663" s="29" t="s">
        <v>151</v>
      </c>
      <c r="BO663" s="30" t="s">
        <v>186</v>
      </c>
      <c r="BP663" s="29" t="s">
        <v>151</v>
      </c>
      <c r="BQ663" s="29" t="s">
        <v>151</v>
      </c>
      <c r="BR663" s="30" t="s">
        <v>151</v>
      </c>
      <c r="BS663" s="30" t="s">
        <v>187</v>
      </c>
      <c r="BT663" s="30" t="s">
        <v>188</v>
      </c>
      <c r="BU663" s="35">
        <v>45341</v>
      </c>
      <c r="BV663" s="37">
        <v>6.3</v>
      </c>
      <c r="BW663" s="30" t="s">
        <v>193</v>
      </c>
      <c r="BX663" s="37" t="s">
        <v>151</v>
      </c>
      <c r="BY663" s="30" t="s">
        <v>151</v>
      </c>
      <c r="BZ663" s="30" t="s">
        <v>231</v>
      </c>
      <c r="CA663" s="30" t="s">
        <v>151</v>
      </c>
      <c r="CB663" s="30" t="s">
        <v>151</v>
      </c>
      <c r="CC663" s="30" t="s">
        <v>165</v>
      </c>
      <c r="CD663" s="30" t="s">
        <v>151</v>
      </c>
      <c r="CE663" s="30" t="s">
        <v>191</v>
      </c>
      <c r="CF663" s="35">
        <v>45341</v>
      </c>
      <c r="CG663" s="37">
        <v>6.3</v>
      </c>
      <c r="CH663" s="30" t="s">
        <v>193</v>
      </c>
      <c r="CI663" s="37" t="s">
        <v>151</v>
      </c>
      <c r="CJ663" s="30" t="s">
        <v>151</v>
      </c>
      <c r="CK663" s="29" t="s">
        <v>151</v>
      </c>
      <c r="CL663" s="30" t="s">
        <v>231</v>
      </c>
      <c r="CM663" s="30" t="s">
        <v>151</v>
      </c>
      <c r="CN663" s="30" t="s">
        <v>151</v>
      </c>
      <c r="CO663" s="30" t="s">
        <v>165</v>
      </c>
      <c r="CP663" s="35">
        <v>45341</v>
      </c>
      <c r="CQ663" s="37" t="s">
        <v>151</v>
      </c>
      <c r="CR663" s="30" t="s">
        <v>151</v>
      </c>
      <c r="CS663" s="30" t="s">
        <v>191</v>
      </c>
      <c r="CT663" s="29" t="s">
        <v>151</v>
      </c>
      <c r="CU663" s="30" t="s">
        <v>151</v>
      </c>
      <c r="CV663" s="32" t="s">
        <v>151</v>
      </c>
      <c r="CW663" s="32" t="s">
        <v>151</v>
      </c>
      <c r="CX663" s="30" t="s">
        <v>151</v>
      </c>
      <c r="CY663" s="32" t="s">
        <v>151</v>
      </c>
      <c r="CZ663" s="32" t="s">
        <v>151</v>
      </c>
      <c r="DA663" s="37" t="s">
        <v>151</v>
      </c>
      <c r="DB663" s="35" t="s">
        <v>151</v>
      </c>
      <c r="DC663" s="30" t="s">
        <v>151</v>
      </c>
      <c r="DD663" s="29" t="s">
        <v>151</v>
      </c>
      <c r="DE663" s="32" t="s">
        <v>151</v>
      </c>
      <c r="DF663" s="34" t="s">
        <v>151</v>
      </c>
      <c r="DG663" s="32" t="s">
        <v>151</v>
      </c>
      <c r="DH663" s="32" t="s">
        <v>151</v>
      </c>
      <c r="DI663" s="32" t="s">
        <v>151</v>
      </c>
      <c r="DJ663" s="34" t="s">
        <v>151</v>
      </c>
      <c r="DK663" s="32" t="s">
        <v>151</v>
      </c>
      <c r="DL663" s="34" t="s">
        <v>151</v>
      </c>
      <c r="DM663" s="32" t="s">
        <v>151</v>
      </c>
      <c r="DN663" s="34" t="s">
        <v>151</v>
      </c>
      <c r="DO663" s="36" t="s">
        <v>151</v>
      </c>
      <c r="DP663" s="34" t="s">
        <v>151</v>
      </c>
      <c r="DQ663" s="36" t="s">
        <v>151</v>
      </c>
      <c r="DR663" s="32" t="s">
        <v>151</v>
      </c>
      <c r="DS663" s="36" t="s">
        <v>151</v>
      </c>
      <c r="DT663" s="34" t="s">
        <v>151</v>
      </c>
      <c r="DU663" s="36" t="s">
        <v>151</v>
      </c>
      <c r="DV663" s="34" t="s">
        <v>151</v>
      </c>
      <c r="DW663" s="36" t="s">
        <v>151</v>
      </c>
      <c r="DX663" s="34" t="s">
        <v>151</v>
      </c>
      <c r="DY663" s="31" t="s">
        <v>151</v>
      </c>
      <c r="DZ663" s="35" t="s">
        <v>151</v>
      </c>
      <c r="EA663" s="35" t="s">
        <v>151</v>
      </c>
      <c r="EB663" s="34" t="s">
        <v>151</v>
      </c>
      <c r="EC663" s="33" t="s">
        <v>151</v>
      </c>
      <c r="ED663" s="32" t="s">
        <v>151</v>
      </c>
      <c r="EE663" s="34" t="s">
        <v>151</v>
      </c>
      <c r="EF663" s="33" t="s">
        <v>151</v>
      </c>
      <c r="EG663" s="32" t="s">
        <v>151</v>
      </c>
      <c r="EH663" s="29" t="s">
        <v>198</v>
      </c>
      <c r="EI663" s="30" t="s">
        <v>151</v>
      </c>
      <c r="EJ663" s="30" t="s">
        <v>151</v>
      </c>
      <c r="EK663" s="31" t="s">
        <v>151</v>
      </c>
      <c r="EL663" s="31" t="s">
        <v>151</v>
      </c>
      <c r="EM663" s="31" t="s">
        <v>151</v>
      </c>
      <c r="EN663" s="31" t="s">
        <v>151</v>
      </c>
      <c r="EO663" s="31" t="s">
        <v>151</v>
      </c>
      <c r="EP663" s="30" t="s">
        <v>151</v>
      </c>
      <c r="EQ663" s="29" t="s">
        <v>151</v>
      </c>
      <c r="ER663" s="29" t="s">
        <v>151</v>
      </c>
      <c r="ES663" s="4">
        <f>HYPERLINK("https://my.pitchbook.com?c=537526-00","View Company Online")</f>
      </c>
    </row>
    <row r="664">
      <c r="A664" s="17" t="s">
        <v>13665</v>
      </c>
      <c r="B664" s="17" t="s">
        <v>13666</v>
      </c>
      <c r="C664" s="18" t="s">
        <v>151</v>
      </c>
      <c r="D664" s="17" t="s">
        <v>13667</v>
      </c>
      <c r="E664" s="17" t="s">
        <v>151</v>
      </c>
      <c r="F664" s="17" t="s">
        <v>13668</v>
      </c>
      <c r="G664" s="17" t="s">
        <v>151</v>
      </c>
      <c r="H664" s="17" t="s">
        <v>151</v>
      </c>
      <c r="I664" s="17" t="s">
        <v>13669</v>
      </c>
      <c r="J664" s="17" t="s">
        <v>13665</v>
      </c>
      <c r="K664" s="17" t="s">
        <v>13670</v>
      </c>
      <c r="L664" s="17" t="s">
        <v>205</v>
      </c>
      <c r="M664" s="17" t="s">
        <v>206</v>
      </c>
      <c r="N664" s="17" t="s">
        <v>269</v>
      </c>
      <c r="O664" s="17" t="s">
        <v>1106</v>
      </c>
      <c r="P664" s="17" t="s">
        <v>13671</v>
      </c>
      <c r="Q664" s="17" t="s">
        <v>13672</v>
      </c>
      <c r="R664" s="17" t="s">
        <v>151</v>
      </c>
      <c r="S664" s="17" t="s">
        <v>162</v>
      </c>
      <c r="T664" s="24">
        <v>3.17</v>
      </c>
      <c r="U664" s="17" t="s">
        <v>163</v>
      </c>
      <c r="V664" s="17" t="s">
        <v>164</v>
      </c>
      <c r="W664" s="17" t="s">
        <v>165</v>
      </c>
      <c r="X664" s="15" t="s">
        <v>13673</v>
      </c>
      <c r="Y664" s="15" t="s">
        <v>13674</v>
      </c>
      <c r="Z664" s="27">
        <v>10</v>
      </c>
      <c r="AA664" s="17" t="s">
        <v>13675</v>
      </c>
      <c r="AB664" s="17" t="s">
        <v>151</v>
      </c>
      <c r="AC664" s="17" t="s">
        <v>151</v>
      </c>
      <c r="AD664" s="26">
        <v>2020</v>
      </c>
      <c r="AE664" s="17" t="s">
        <v>151</v>
      </c>
      <c r="AF664" s="22">
        <v>45602</v>
      </c>
      <c r="AG664" s="17" t="s">
        <v>13676</v>
      </c>
      <c r="AH664" s="17" t="s">
        <v>13676</v>
      </c>
      <c r="AI664" s="25">
        <v>1.4</v>
      </c>
      <c r="AJ664" s="19">
        <v>79.49</v>
      </c>
      <c r="AK664" s="25" t="s">
        <v>151</v>
      </c>
      <c r="AL664" s="25" t="s">
        <v>151</v>
      </c>
      <c r="AM664" s="25" t="s">
        <v>151</v>
      </c>
      <c r="AN664" s="25" t="s">
        <v>151</v>
      </c>
      <c r="AO664" s="25" t="s">
        <v>151</v>
      </c>
      <c r="AP664" s="25" t="s">
        <v>151</v>
      </c>
      <c r="AQ664" s="25" t="s">
        <v>151</v>
      </c>
      <c r="AR664" s="16" t="s">
        <v>170</v>
      </c>
      <c r="AS664" s="17" t="s">
        <v>13677</v>
      </c>
      <c r="AT664" s="17" t="s">
        <v>13678</v>
      </c>
      <c r="AU664" s="18">
        <v>7</v>
      </c>
      <c r="AV664" s="17" t="s">
        <v>151</v>
      </c>
      <c r="AW664" s="17" t="s">
        <v>151</v>
      </c>
      <c r="AX664" s="17" t="s">
        <v>151</v>
      </c>
      <c r="AY664" s="17" t="s">
        <v>13679</v>
      </c>
      <c r="AZ664" s="17" t="s">
        <v>151</v>
      </c>
      <c r="BA664" s="17" t="s">
        <v>151</v>
      </c>
      <c r="BB664" s="17" t="s">
        <v>13680</v>
      </c>
      <c r="BC664" s="17" t="s">
        <v>13681</v>
      </c>
      <c r="BD664" s="17" t="s">
        <v>13682</v>
      </c>
      <c r="BE664" s="17" t="s">
        <v>13683</v>
      </c>
      <c r="BF664" s="17" t="s">
        <v>493</v>
      </c>
      <c r="BG664" s="17" t="s">
        <v>13684</v>
      </c>
      <c r="BH664" s="17" t="s">
        <v>13685</v>
      </c>
      <c r="BI664" s="17" t="s">
        <v>5541</v>
      </c>
      <c r="BJ664" s="17" t="s">
        <v>13686</v>
      </c>
      <c r="BK664" s="17" t="s">
        <v>13687</v>
      </c>
      <c r="BL664" s="17" t="s">
        <v>5544</v>
      </c>
      <c r="BM664" s="17" t="s">
        <v>823</v>
      </c>
      <c r="BN664" s="16" t="s">
        <v>5545</v>
      </c>
      <c r="BO664" s="17" t="s">
        <v>186</v>
      </c>
      <c r="BP664" s="16" t="s">
        <v>13688</v>
      </c>
      <c r="BQ664" s="16" t="s">
        <v>151</v>
      </c>
      <c r="BR664" s="17" t="s">
        <v>151</v>
      </c>
      <c r="BS664" s="17" t="s">
        <v>187</v>
      </c>
      <c r="BT664" s="17" t="s">
        <v>188</v>
      </c>
      <c r="BU664" s="22">
        <v>44085</v>
      </c>
      <c r="BV664" s="24">
        <v>0.3</v>
      </c>
      <c r="BW664" s="17" t="s">
        <v>192</v>
      </c>
      <c r="BX664" s="24" t="s">
        <v>151</v>
      </c>
      <c r="BY664" s="17" t="s">
        <v>151</v>
      </c>
      <c r="BZ664" s="17" t="s">
        <v>293</v>
      </c>
      <c r="CA664" s="17" t="s">
        <v>293</v>
      </c>
      <c r="CB664" s="17" t="s">
        <v>151</v>
      </c>
      <c r="CC664" s="17" t="s">
        <v>165</v>
      </c>
      <c r="CD664" s="17" t="s">
        <v>151</v>
      </c>
      <c r="CE664" s="17" t="s">
        <v>191</v>
      </c>
      <c r="CF664" s="22">
        <v>45302</v>
      </c>
      <c r="CG664" s="24" t="s">
        <v>151</v>
      </c>
      <c r="CH664" s="17" t="s">
        <v>151</v>
      </c>
      <c r="CI664" s="24" t="s">
        <v>151</v>
      </c>
      <c r="CJ664" s="17" t="s">
        <v>151</v>
      </c>
      <c r="CK664" s="16" t="s">
        <v>151</v>
      </c>
      <c r="CL664" s="17" t="s">
        <v>231</v>
      </c>
      <c r="CM664" s="17" t="s">
        <v>151</v>
      </c>
      <c r="CN664" s="17" t="s">
        <v>151</v>
      </c>
      <c r="CO664" s="17" t="s">
        <v>165</v>
      </c>
      <c r="CP664" s="22">
        <v>45302</v>
      </c>
      <c r="CQ664" s="24" t="s">
        <v>151</v>
      </c>
      <c r="CR664" s="17" t="s">
        <v>151</v>
      </c>
      <c r="CS664" s="17" t="s">
        <v>191</v>
      </c>
      <c r="CT664" s="16">
        <v>65</v>
      </c>
      <c r="CU664" s="17" t="s">
        <v>196</v>
      </c>
      <c r="CV664" s="19">
        <v>62</v>
      </c>
      <c r="CW664" s="19">
        <v>38</v>
      </c>
      <c r="CX664" s="17" t="s">
        <v>294</v>
      </c>
      <c r="CY664" s="19">
        <v>1</v>
      </c>
      <c r="CZ664" s="19">
        <v>61</v>
      </c>
      <c r="DA664" s="24">
        <v>15</v>
      </c>
      <c r="DB664" s="22">
        <v>45043</v>
      </c>
      <c r="DC664" s="17" t="s">
        <v>293</v>
      </c>
      <c r="DD664" s="16" t="s">
        <v>151</v>
      </c>
      <c r="DE664" s="19">
        <v>-0.83</v>
      </c>
      <c r="DF664" s="21">
        <v>5</v>
      </c>
      <c r="DG664" s="19">
        <v>0</v>
      </c>
      <c r="DH664" s="19">
        <v>0</v>
      </c>
      <c r="DI664" s="19">
        <v>0</v>
      </c>
      <c r="DJ664" s="21">
        <v>10</v>
      </c>
      <c r="DK664" s="19">
        <v>0</v>
      </c>
      <c r="DL664" s="21">
        <v>11</v>
      </c>
      <c r="DM664" s="19">
        <v>0</v>
      </c>
      <c r="DN664" s="21">
        <v>10</v>
      </c>
      <c r="DO664" s="23">
        <v>1.52</v>
      </c>
      <c r="DP664" s="21">
        <v>60</v>
      </c>
      <c r="DQ664" s="23">
        <v>0</v>
      </c>
      <c r="DR664" s="19">
        <v>0</v>
      </c>
      <c r="DS664" s="23">
        <v>2.26</v>
      </c>
      <c r="DT664" s="21">
        <v>69</v>
      </c>
      <c r="DU664" s="23">
        <v>0.47</v>
      </c>
      <c r="DV664" s="21">
        <v>33</v>
      </c>
      <c r="DW664" s="23">
        <v>4.05</v>
      </c>
      <c r="DX664" s="21">
        <v>79</v>
      </c>
      <c r="DY664" s="18" t="s">
        <v>151</v>
      </c>
      <c r="DZ664" s="22" t="s">
        <v>151</v>
      </c>
      <c r="EA664" s="22" t="s">
        <v>151</v>
      </c>
      <c r="EB664" s="21">
        <v>101</v>
      </c>
      <c r="EC664" s="20">
        <v>-36</v>
      </c>
      <c r="ED664" s="19">
        <v>-26.28</v>
      </c>
      <c r="EE664" s="21">
        <v>77</v>
      </c>
      <c r="EF664" s="20">
        <v>2</v>
      </c>
      <c r="EG664" s="19">
        <v>2.67</v>
      </c>
      <c r="EH664" s="16" t="s">
        <v>198</v>
      </c>
      <c r="EI664" s="17" t="s">
        <v>151</v>
      </c>
      <c r="EJ664" s="17" t="s">
        <v>151</v>
      </c>
      <c r="EK664" s="18" t="s">
        <v>151</v>
      </c>
      <c r="EL664" s="18" t="s">
        <v>151</v>
      </c>
      <c r="EM664" s="18" t="s">
        <v>151</v>
      </c>
      <c r="EN664" s="18" t="s">
        <v>151</v>
      </c>
      <c r="EO664" s="18" t="s">
        <v>151</v>
      </c>
      <c r="EP664" s="17" t="s">
        <v>151</v>
      </c>
      <c r="EQ664" s="16" t="s">
        <v>151</v>
      </c>
      <c r="ER664" s="16" t="s">
        <v>151</v>
      </c>
      <c r="ES664" s="3">
        <f>HYPERLINK("https://my.pitchbook.com?c=493919-11","View Company Online")</f>
      </c>
    </row>
    <row r="665">
      <c r="A665" s="30" t="s">
        <v>13689</v>
      </c>
      <c r="B665" s="30" t="s">
        <v>13690</v>
      </c>
      <c r="C665" s="31" t="s">
        <v>151</v>
      </c>
      <c r="D665" s="30" t="s">
        <v>151</v>
      </c>
      <c r="E665" s="30" t="s">
        <v>151</v>
      </c>
      <c r="F665" s="30" t="s">
        <v>13691</v>
      </c>
      <c r="G665" s="30" t="s">
        <v>151</v>
      </c>
      <c r="H665" s="30" t="s">
        <v>151</v>
      </c>
      <c r="I665" s="30" t="s">
        <v>151</v>
      </c>
      <c r="J665" s="30" t="s">
        <v>13689</v>
      </c>
      <c r="K665" s="30" t="s">
        <v>13692</v>
      </c>
      <c r="L665" s="30" t="s">
        <v>616</v>
      </c>
      <c r="M665" s="30" t="s">
        <v>834</v>
      </c>
      <c r="N665" s="30" t="s">
        <v>835</v>
      </c>
      <c r="O665" s="30" t="s">
        <v>1992</v>
      </c>
      <c r="P665" s="30" t="s">
        <v>7308</v>
      </c>
      <c r="Q665" s="30" t="s">
        <v>13693</v>
      </c>
      <c r="R665" s="30" t="s">
        <v>151</v>
      </c>
      <c r="S665" s="30" t="s">
        <v>162</v>
      </c>
      <c r="T665" s="37">
        <v>1.25</v>
      </c>
      <c r="U665" s="30" t="s">
        <v>163</v>
      </c>
      <c r="V665" s="30" t="s">
        <v>164</v>
      </c>
      <c r="W665" s="30" t="s">
        <v>165</v>
      </c>
      <c r="X665" s="28" t="s">
        <v>13694</v>
      </c>
      <c r="Y665" s="28" t="s">
        <v>13695</v>
      </c>
      <c r="Z665" s="40">
        <v>4</v>
      </c>
      <c r="AA665" s="30" t="s">
        <v>13696</v>
      </c>
      <c r="AB665" s="30" t="s">
        <v>151</v>
      </c>
      <c r="AC665" s="30" t="s">
        <v>151</v>
      </c>
      <c r="AD665" s="39">
        <v>2020</v>
      </c>
      <c r="AE665" s="30" t="s">
        <v>151</v>
      </c>
      <c r="AF665" s="35">
        <v>45595</v>
      </c>
      <c r="AG665" s="30" t="s">
        <v>151</v>
      </c>
      <c r="AH665" s="30" t="s">
        <v>151</v>
      </c>
      <c r="AI665" s="38" t="s">
        <v>151</v>
      </c>
      <c r="AJ665" s="32" t="s">
        <v>151</v>
      </c>
      <c r="AK665" s="38" t="s">
        <v>151</v>
      </c>
      <c r="AL665" s="38" t="s">
        <v>151</v>
      </c>
      <c r="AM665" s="38" t="s">
        <v>151</v>
      </c>
      <c r="AN665" s="38" t="s">
        <v>151</v>
      </c>
      <c r="AO665" s="38" t="s">
        <v>151</v>
      </c>
      <c r="AP665" s="38" t="s">
        <v>151</v>
      </c>
      <c r="AQ665" s="38" t="s">
        <v>151</v>
      </c>
      <c r="AR665" s="29" t="s">
        <v>151</v>
      </c>
      <c r="AS665" s="30" t="s">
        <v>13697</v>
      </c>
      <c r="AT665" s="30" t="s">
        <v>13698</v>
      </c>
      <c r="AU665" s="31">
        <v>3</v>
      </c>
      <c r="AV665" s="30" t="s">
        <v>151</v>
      </c>
      <c r="AW665" s="30" t="s">
        <v>151</v>
      </c>
      <c r="AX665" s="30" t="s">
        <v>151</v>
      </c>
      <c r="AY665" s="30" t="s">
        <v>13699</v>
      </c>
      <c r="AZ665" s="30" t="s">
        <v>151</v>
      </c>
      <c r="BA665" s="30" t="s">
        <v>151</v>
      </c>
      <c r="BB665" s="30" t="s">
        <v>151</v>
      </c>
      <c r="BC665" s="30" t="s">
        <v>151</v>
      </c>
      <c r="BD665" s="30" t="s">
        <v>13700</v>
      </c>
      <c r="BE665" s="30" t="s">
        <v>13701</v>
      </c>
      <c r="BF665" s="30" t="s">
        <v>221</v>
      </c>
      <c r="BG665" s="30" t="s">
        <v>13702</v>
      </c>
      <c r="BH665" s="30" t="s">
        <v>151</v>
      </c>
      <c r="BI665" s="30" t="s">
        <v>906</v>
      </c>
      <c r="BJ665" s="30" t="s">
        <v>151</v>
      </c>
      <c r="BK665" s="30" t="s">
        <v>151</v>
      </c>
      <c r="BL665" s="30" t="s">
        <v>259</v>
      </c>
      <c r="BM665" s="30" t="s">
        <v>259</v>
      </c>
      <c r="BN665" s="29" t="s">
        <v>151</v>
      </c>
      <c r="BO665" s="30" t="s">
        <v>186</v>
      </c>
      <c r="BP665" s="29" t="s">
        <v>151</v>
      </c>
      <c r="BQ665" s="29" t="s">
        <v>151</v>
      </c>
      <c r="BR665" s="30" t="s">
        <v>151</v>
      </c>
      <c r="BS665" s="30" t="s">
        <v>187</v>
      </c>
      <c r="BT665" s="30" t="s">
        <v>188</v>
      </c>
      <c r="BU665" s="35">
        <v>44412</v>
      </c>
      <c r="BV665" s="37" t="s">
        <v>151</v>
      </c>
      <c r="BW665" s="30" t="s">
        <v>151</v>
      </c>
      <c r="BX665" s="37" t="s">
        <v>151</v>
      </c>
      <c r="BY665" s="30" t="s">
        <v>151</v>
      </c>
      <c r="BZ665" s="30" t="s">
        <v>189</v>
      </c>
      <c r="CA665" s="30" t="s">
        <v>151</v>
      </c>
      <c r="CB665" s="30" t="s">
        <v>151</v>
      </c>
      <c r="CC665" s="30" t="s">
        <v>190</v>
      </c>
      <c r="CD665" s="30" t="s">
        <v>151</v>
      </c>
      <c r="CE665" s="30" t="s">
        <v>191</v>
      </c>
      <c r="CF665" s="35">
        <v>44543</v>
      </c>
      <c r="CG665" s="37">
        <v>1.25</v>
      </c>
      <c r="CH665" s="30" t="s">
        <v>192</v>
      </c>
      <c r="CI665" s="37">
        <v>4.25</v>
      </c>
      <c r="CJ665" s="30" t="s">
        <v>192</v>
      </c>
      <c r="CK665" s="29" t="s">
        <v>151</v>
      </c>
      <c r="CL665" s="30" t="s">
        <v>293</v>
      </c>
      <c r="CM665" s="30" t="s">
        <v>293</v>
      </c>
      <c r="CN665" s="30" t="s">
        <v>151</v>
      </c>
      <c r="CO665" s="30" t="s">
        <v>165</v>
      </c>
      <c r="CP665" s="35">
        <v>44543</v>
      </c>
      <c r="CQ665" s="37" t="s">
        <v>151</v>
      </c>
      <c r="CR665" s="30" t="s">
        <v>151</v>
      </c>
      <c r="CS665" s="30" t="s">
        <v>191</v>
      </c>
      <c r="CT665" s="29" t="s">
        <v>151</v>
      </c>
      <c r="CU665" s="30" t="s">
        <v>151</v>
      </c>
      <c r="CV665" s="32" t="s">
        <v>151</v>
      </c>
      <c r="CW665" s="32" t="s">
        <v>151</v>
      </c>
      <c r="CX665" s="30" t="s">
        <v>151</v>
      </c>
      <c r="CY665" s="32" t="s">
        <v>151</v>
      </c>
      <c r="CZ665" s="32" t="s">
        <v>151</v>
      </c>
      <c r="DA665" s="37">
        <v>4.25</v>
      </c>
      <c r="DB665" s="35">
        <v>44543</v>
      </c>
      <c r="DC665" s="30" t="s">
        <v>293</v>
      </c>
      <c r="DD665" s="29" t="s">
        <v>151</v>
      </c>
      <c r="DE665" s="32">
        <v>2.08</v>
      </c>
      <c r="DF665" s="34">
        <v>98</v>
      </c>
      <c r="DG665" s="32">
        <v>0</v>
      </c>
      <c r="DH665" s="32">
        <v>0</v>
      </c>
      <c r="DI665" s="32">
        <v>0</v>
      </c>
      <c r="DJ665" s="34">
        <v>10</v>
      </c>
      <c r="DK665" s="32" t="s">
        <v>151</v>
      </c>
      <c r="DL665" s="34" t="s">
        <v>151</v>
      </c>
      <c r="DM665" s="32">
        <v>0</v>
      </c>
      <c r="DN665" s="34">
        <v>10</v>
      </c>
      <c r="DO665" s="36">
        <v>2.15</v>
      </c>
      <c r="DP665" s="34">
        <v>68</v>
      </c>
      <c r="DQ665" s="36">
        <v>0</v>
      </c>
      <c r="DR665" s="32">
        <v>0</v>
      </c>
      <c r="DS665" s="36">
        <v>4</v>
      </c>
      <c r="DT665" s="34">
        <v>79</v>
      </c>
      <c r="DU665" s="36" t="s">
        <v>151</v>
      </c>
      <c r="DV665" s="34" t="s">
        <v>151</v>
      </c>
      <c r="DW665" s="36">
        <v>4</v>
      </c>
      <c r="DX665" s="34">
        <v>79</v>
      </c>
      <c r="DY665" s="31" t="s">
        <v>151</v>
      </c>
      <c r="DZ665" s="35" t="s">
        <v>151</v>
      </c>
      <c r="EA665" s="35" t="s">
        <v>151</v>
      </c>
      <c r="EB665" s="34">
        <v>969</v>
      </c>
      <c r="EC665" s="33">
        <v>-281</v>
      </c>
      <c r="ED665" s="32">
        <v>-22.48</v>
      </c>
      <c r="EE665" s="34">
        <v>76</v>
      </c>
      <c r="EF665" s="33">
        <v>2</v>
      </c>
      <c r="EG665" s="32">
        <v>2.7</v>
      </c>
      <c r="EH665" s="29" t="s">
        <v>198</v>
      </c>
      <c r="EI665" s="30" t="s">
        <v>151</v>
      </c>
      <c r="EJ665" s="30" t="s">
        <v>151</v>
      </c>
      <c r="EK665" s="31" t="s">
        <v>151</v>
      </c>
      <c r="EL665" s="31" t="s">
        <v>151</v>
      </c>
      <c r="EM665" s="31" t="s">
        <v>151</v>
      </c>
      <c r="EN665" s="31" t="s">
        <v>151</v>
      </c>
      <c r="EO665" s="31" t="s">
        <v>151</v>
      </c>
      <c r="EP665" s="30" t="s">
        <v>151</v>
      </c>
      <c r="EQ665" s="29" t="s">
        <v>151</v>
      </c>
      <c r="ER665" s="29" t="s">
        <v>151</v>
      </c>
      <c r="ES665" s="4">
        <f>HYPERLINK("https://my.pitchbook.com?c=489023-02","View Company Online")</f>
      </c>
    </row>
    <row r="666">
      <c r="A666" s="17" t="s">
        <v>13703</v>
      </c>
      <c r="B666" s="17" t="s">
        <v>13704</v>
      </c>
      <c r="C666" s="18" t="s">
        <v>151</v>
      </c>
      <c r="D666" s="17" t="s">
        <v>151</v>
      </c>
      <c r="E666" s="17" t="s">
        <v>13705</v>
      </c>
      <c r="F666" s="17" t="s">
        <v>13706</v>
      </c>
      <c r="G666" s="17" t="s">
        <v>151</v>
      </c>
      <c r="H666" s="17" t="s">
        <v>151</v>
      </c>
      <c r="I666" s="17" t="s">
        <v>13707</v>
      </c>
      <c r="J666" s="17" t="s">
        <v>13703</v>
      </c>
      <c r="K666" s="17" t="s">
        <v>13708</v>
      </c>
      <c r="L666" s="17" t="s">
        <v>205</v>
      </c>
      <c r="M666" s="17" t="s">
        <v>206</v>
      </c>
      <c r="N666" s="17" t="s">
        <v>269</v>
      </c>
      <c r="O666" s="17" t="s">
        <v>1746</v>
      </c>
      <c r="P666" s="17" t="s">
        <v>1153</v>
      </c>
      <c r="Q666" s="17" t="s">
        <v>13709</v>
      </c>
      <c r="R666" s="17" t="s">
        <v>151</v>
      </c>
      <c r="S666" s="17" t="s">
        <v>162</v>
      </c>
      <c r="T666" s="24">
        <v>0.65</v>
      </c>
      <c r="U666" s="17" t="s">
        <v>163</v>
      </c>
      <c r="V666" s="17" t="s">
        <v>164</v>
      </c>
      <c r="W666" s="17" t="s">
        <v>165</v>
      </c>
      <c r="X666" s="15" t="s">
        <v>13710</v>
      </c>
      <c r="Y666" s="15" t="s">
        <v>13711</v>
      </c>
      <c r="Z666" s="27">
        <v>14</v>
      </c>
      <c r="AA666" s="17" t="s">
        <v>13712</v>
      </c>
      <c r="AB666" s="17" t="s">
        <v>151</v>
      </c>
      <c r="AC666" s="17" t="s">
        <v>151</v>
      </c>
      <c r="AD666" s="26">
        <v>2021</v>
      </c>
      <c r="AE666" s="17" t="s">
        <v>151</v>
      </c>
      <c r="AF666" s="22">
        <v>45561</v>
      </c>
      <c r="AG666" s="17" t="s">
        <v>151</v>
      </c>
      <c r="AH666" s="17" t="s">
        <v>151</v>
      </c>
      <c r="AI666" s="25">
        <v>0.2</v>
      </c>
      <c r="AJ666" s="19" t="s">
        <v>151</v>
      </c>
      <c r="AK666" s="25" t="s">
        <v>151</v>
      </c>
      <c r="AL666" s="25" t="s">
        <v>151</v>
      </c>
      <c r="AM666" s="25" t="s">
        <v>151</v>
      </c>
      <c r="AN666" s="25" t="s">
        <v>151</v>
      </c>
      <c r="AO666" s="25" t="s">
        <v>151</v>
      </c>
      <c r="AP666" s="25" t="s">
        <v>151</v>
      </c>
      <c r="AQ666" s="25" t="s">
        <v>151</v>
      </c>
      <c r="AR666" s="16" t="s">
        <v>841</v>
      </c>
      <c r="AS666" s="17" t="s">
        <v>13713</v>
      </c>
      <c r="AT666" s="17" t="s">
        <v>13714</v>
      </c>
      <c r="AU666" s="18">
        <v>7</v>
      </c>
      <c r="AV666" s="17" t="s">
        <v>151</v>
      </c>
      <c r="AW666" s="17" t="s">
        <v>151</v>
      </c>
      <c r="AX666" s="17" t="s">
        <v>151</v>
      </c>
      <c r="AY666" s="17" t="s">
        <v>13715</v>
      </c>
      <c r="AZ666" s="17" t="s">
        <v>151</v>
      </c>
      <c r="BA666" s="17" t="s">
        <v>151</v>
      </c>
      <c r="BB666" s="17" t="s">
        <v>151</v>
      </c>
      <c r="BC666" s="17" t="s">
        <v>151</v>
      </c>
      <c r="BD666" s="17" t="s">
        <v>13716</v>
      </c>
      <c r="BE666" s="17" t="s">
        <v>13717</v>
      </c>
      <c r="BF666" s="17" t="s">
        <v>221</v>
      </c>
      <c r="BG666" s="17" t="s">
        <v>13718</v>
      </c>
      <c r="BH666" s="17" t="s">
        <v>151</v>
      </c>
      <c r="BI666" s="17" t="s">
        <v>1384</v>
      </c>
      <c r="BJ666" s="17" t="s">
        <v>1385</v>
      </c>
      <c r="BK666" s="17" t="s">
        <v>151</v>
      </c>
      <c r="BL666" s="17" t="s">
        <v>1387</v>
      </c>
      <c r="BM666" s="17" t="s">
        <v>1388</v>
      </c>
      <c r="BN666" s="16" t="s">
        <v>1389</v>
      </c>
      <c r="BO666" s="17" t="s">
        <v>186</v>
      </c>
      <c r="BP666" s="16" t="s">
        <v>151</v>
      </c>
      <c r="BQ666" s="16" t="s">
        <v>151</v>
      </c>
      <c r="BR666" s="17" t="s">
        <v>13719</v>
      </c>
      <c r="BS666" s="17" t="s">
        <v>187</v>
      </c>
      <c r="BT666" s="17" t="s">
        <v>188</v>
      </c>
      <c r="BU666" s="22">
        <v>44544</v>
      </c>
      <c r="BV666" s="24">
        <v>0.65</v>
      </c>
      <c r="BW666" s="17" t="s">
        <v>192</v>
      </c>
      <c r="BX666" s="24" t="s">
        <v>151</v>
      </c>
      <c r="BY666" s="17" t="s">
        <v>151</v>
      </c>
      <c r="BZ666" s="17" t="s">
        <v>293</v>
      </c>
      <c r="CA666" s="17" t="s">
        <v>293</v>
      </c>
      <c r="CB666" s="17" t="s">
        <v>151</v>
      </c>
      <c r="CC666" s="17" t="s">
        <v>165</v>
      </c>
      <c r="CD666" s="17" t="s">
        <v>151</v>
      </c>
      <c r="CE666" s="17" t="s">
        <v>191</v>
      </c>
      <c r="CF666" s="22" t="s">
        <v>151</v>
      </c>
      <c r="CG666" s="24">
        <v>1</v>
      </c>
      <c r="CH666" s="17" t="s">
        <v>192</v>
      </c>
      <c r="CI666" s="24" t="s">
        <v>151</v>
      </c>
      <c r="CJ666" s="17" t="s">
        <v>151</v>
      </c>
      <c r="CK666" s="16" t="s">
        <v>151</v>
      </c>
      <c r="CL666" s="17" t="s">
        <v>293</v>
      </c>
      <c r="CM666" s="17" t="s">
        <v>293</v>
      </c>
      <c r="CN666" s="17" t="s">
        <v>151</v>
      </c>
      <c r="CO666" s="17" t="s">
        <v>165</v>
      </c>
      <c r="CP666" s="22" t="s">
        <v>151</v>
      </c>
      <c r="CQ666" s="24" t="s">
        <v>151</v>
      </c>
      <c r="CR666" s="17" t="s">
        <v>151</v>
      </c>
      <c r="CS666" s="17" t="s">
        <v>1125</v>
      </c>
      <c r="CT666" s="16" t="s">
        <v>151</v>
      </c>
      <c r="CU666" s="17" t="s">
        <v>151</v>
      </c>
      <c r="CV666" s="19" t="s">
        <v>151</v>
      </c>
      <c r="CW666" s="19" t="s">
        <v>151</v>
      </c>
      <c r="CX666" s="17" t="s">
        <v>151</v>
      </c>
      <c r="CY666" s="19" t="s">
        <v>151</v>
      </c>
      <c r="CZ666" s="19" t="s">
        <v>151</v>
      </c>
      <c r="DA666" s="24" t="s">
        <v>151</v>
      </c>
      <c r="DB666" s="22" t="s">
        <v>151</v>
      </c>
      <c r="DC666" s="17" t="s">
        <v>151</v>
      </c>
      <c r="DD666" s="16" t="s">
        <v>151</v>
      </c>
      <c r="DE666" s="19">
        <v>0.85</v>
      </c>
      <c r="DF666" s="21">
        <v>96</v>
      </c>
      <c r="DG666" s="19">
        <v>-0.02</v>
      </c>
      <c r="DH666" s="19">
        <v>-2.71</v>
      </c>
      <c r="DI666" s="19">
        <v>0.73</v>
      </c>
      <c r="DJ666" s="21">
        <v>96</v>
      </c>
      <c r="DK666" s="19" t="s">
        <v>151</v>
      </c>
      <c r="DL666" s="21" t="s">
        <v>151</v>
      </c>
      <c r="DM666" s="19">
        <v>0.73</v>
      </c>
      <c r="DN666" s="21">
        <v>96</v>
      </c>
      <c r="DO666" s="23">
        <v>23.72</v>
      </c>
      <c r="DP666" s="21">
        <v>96</v>
      </c>
      <c r="DQ666" s="23">
        <v>0</v>
      </c>
      <c r="DR666" s="19">
        <v>0</v>
      </c>
      <c r="DS666" s="23">
        <v>46.37</v>
      </c>
      <c r="DT666" s="21">
        <v>98</v>
      </c>
      <c r="DU666" s="23" t="s">
        <v>151</v>
      </c>
      <c r="DV666" s="21" t="s">
        <v>151</v>
      </c>
      <c r="DW666" s="23">
        <v>46.37</v>
      </c>
      <c r="DX666" s="21">
        <v>98</v>
      </c>
      <c r="DY666" s="18" t="s">
        <v>151</v>
      </c>
      <c r="DZ666" s="22" t="s">
        <v>151</v>
      </c>
      <c r="EA666" s="22" t="s">
        <v>151</v>
      </c>
      <c r="EB666" s="21">
        <v>6340</v>
      </c>
      <c r="EC666" s="20">
        <v>-71</v>
      </c>
      <c r="ED666" s="19">
        <v>-1.11</v>
      </c>
      <c r="EE666" s="21">
        <v>881</v>
      </c>
      <c r="EF666" s="20">
        <v>2</v>
      </c>
      <c r="EG666" s="19">
        <v>0.23</v>
      </c>
      <c r="EH666" s="16" t="s">
        <v>198</v>
      </c>
      <c r="EI666" s="17" t="s">
        <v>151</v>
      </c>
      <c r="EJ666" s="17" t="s">
        <v>151</v>
      </c>
      <c r="EK666" s="18" t="s">
        <v>151</v>
      </c>
      <c r="EL666" s="18" t="s">
        <v>151</v>
      </c>
      <c r="EM666" s="18" t="s">
        <v>151</v>
      </c>
      <c r="EN666" s="18" t="s">
        <v>151</v>
      </c>
      <c r="EO666" s="18" t="s">
        <v>151</v>
      </c>
      <c r="EP666" s="17" t="s">
        <v>151</v>
      </c>
      <c r="EQ666" s="16" t="s">
        <v>151</v>
      </c>
      <c r="ER666" s="16" t="s">
        <v>151</v>
      </c>
      <c r="ES666" s="3">
        <f>HYPERLINK("https://my.pitchbook.com?c=489071-44","View Company Online")</f>
      </c>
    </row>
    <row r="667">
      <c r="A667" s="30" t="s">
        <v>13720</v>
      </c>
      <c r="B667" s="30" t="s">
        <v>13721</v>
      </c>
      <c r="C667" s="31" t="s">
        <v>151</v>
      </c>
      <c r="D667" s="30" t="s">
        <v>151</v>
      </c>
      <c r="E667" s="30" t="s">
        <v>13722</v>
      </c>
      <c r="F667" s="30" t="s">
        <v>13723</v>
      </c>
      <c r="G667" s="30" t="s">
        <v>151</v>
      </c>
      <c r="H667" s="30" t="s">
        <v>151</v>
      </c>
      <c r="I667" s="30" t="s">
        <v>13724</v>
      </c>
      <c r="J667" s="30" t="s">
        <v>13720</v>
      </c>
      <c r="K667" s="30" t="s">
        <v>13725</v>
      </c>
      <c r="L667" s="30" t="s">
        <v>616</v>
      </c>
      <c r="M667" s="30" t="s">
        <v>834</v>
      </c>
      <c r="N667" s="30" t="s">
        <v>835</v>
      </c>
      <c r="O667" s="30" t="s">
        <v>1992</v>
      </c>
      <c r="P667" s="30" t="s">
        <v>151</v>
      </c>
      <c r="Q667" s="30" t="s">
        <v>13726</v>
      </c>
      <c r="R667" s="30" t="s">
        <v>151</v>
      </c>
      <c r="S667" s="30" t="s">
        <v>162</v>
      </c>
      <c r="T667" s="37">
        <v>51.78</v>
      </c>
      <c r="U667" s="30" t="s">
        <v>163</v>
      </c>
      <c r="V667" s="30" t="s">
        <v>164</v>
      </c>
      <c r="W667" s="30" t="s">
        <v>165</v>
      </c>
      <c r="X667" s="28" t="s">
        <v>13727</v>
      </c>
      <c r="Y667" s="28" t="s">
        <v>13728</v>
      </c>
      <c r="Z667" s="40">
        <v>44</v>
      </c>
      <c r="AA667" s="30" t="s">
        <v>13729</v>
      </c>
      <c r="AB667" s="30" t="s">
        <v>151</v>
      </c>
      <c r="AC667" s="30" t="s">
        <v>151</v>
      </c>
      <c r="AD667" s="39">
        <v>2017</v>
      </c>
      <c r="AE667" s="30" t="s">
        <v>151</v>
      </c>
      <c r="AF667" s="35">
        <v>45280</v>
      </c>
      <c r="AG667" s="30" t="s">
        <v>151</v>
      </c>
      <c r="AH667" s="30" t="s">
        <v>151</v>
      </c>
      <c r="AI667" s="38" t="s">
        <v>151</v>
      </c>
      <c r="AJ667" s="32" t="s">
        <v>151</v>
      </c>
      <c r="AK667" s="38" t="s">
        <v>151</v>
      </c>
      <c r="AL667" s="38" t="s">
        <v>151</v>
      </c>
      <c r="AM667" s="38" t="s">
        <v>151</v>
      </c>
      <c r="AN667" s="38" t="s">
        <v>151</v>
      </c>
      <c r="AO667" s="38" t="s">
        <v>151</v>
      </c>
      <c r="AP667" s="38" t="s">
        <v>151</v>
      </c>
      <c r="AQ667" s="38" t="s">
        <v>151</v>
      </c>
      <c r="AR667" s="29" t="s">
        <v>151</v>
      </c>
      <c r="AS667" s="30" t="s">
        <v>13730</v>
      </c>
      <c r="AT667" s="30" t="s">
        <v>13731</v>
      </c>
      <c r="AU667" s="31">
        <v>15</v>
      </c>
      <c r="AV667" s="30" t="s">
        <v>151</v>
      </c>
      <c r="AW667" s="30" t="s">
        <v>151</v>
      </c>
      <c r="AX667" s="30" t="s">
        <v>151</v>
      </c>
      <c r="AY667" s="30" t="s">
        <v>13732</v>
      </c>
      <c r="AZ667" s="30" t="s">
        <v>151</v>
      </c>
      <c r="BA667" s="30" t="s">
        <v>151</v>
      </c>
      <c r="BB667" s="30" t="s">
        <v>151</v>
      </c>
      <c r="BC667" s="30" t="s">
        <v>601</v>
      </c>
      <c r="BD667" s="30" t="s">
        <v>13733</v>
      </c>
      <c r="BE667" s="30" t="s">
        <v>13734</v>
      </c>
      <c r="BF667" s="30" t="s">
        <v>493</v>
      </c>
      <c r="BG667" s="30" t="s">
        <v>13735</v>
      </c>
      <c r="BH667" s="30" t="s">
        <v>13736</v>
      </c>
      <c r="BI667" s="30" t="s">
        <v>13737</v>
      </c>
      <c r="BJ667" s="30" t="s">
        <v>13738</v>
      </c>
      <c r="BK667" s="30" t="s">
        <v>13739</v>
      </c>
      <c r="BL667" s="30" t="s">
        <v>13740</v>
      </c>
      <c r="BM667" s="30" t="s">
        <v>184</v>
      </c>
      <c r="BN667" s="29" t="s">
        <v>13741</v>
      </c>
      <c r="BO667" s="30" t="s">
        <v>186</v>
      </c>
      <c r="BP667" s="29" t="s">
        <v>13736</v>
      </c>
      <c r="BQ667" s="29" t="s">
        <v>151</v>
      </c>
      <c r="BR667" s="30" t="s">
        <v>151</v>
      </c>
      <c r="BS667" s="30" t="s">
        <v>187</v>
      </c>
      <c r="BT667" s="30" t="s">
        <v>188</v>
      </c>
      <c r="BU667" s="35">
        <v>43888</v>
      </c>
      <c r="BV667" s="37">
        <v>1.5</v>
      </c>
      <c r="BW667" s="30" t="s">
        <v>192</v>
      </c>
      <c r="BX667" s="37">
        <v>6</v>
      </c>
      <c r="BY667" s="30" t="s">
        <v>192</v>
      </c>
      <c r="BZ667" s="30" t="s">
        <v>293</v>
      </c>
      <c r="CA667" s="30" t="s">
        <v>293</v>
      </c>
      <c r="CB667" s="30" t="s">
        <v>151</v>
      </c>
      <c r="CC667" s="30" t="s">
        <v>165</v>
      </c>
      <c r="CD667" s="30" t="s">
        <v>151</v>
      </c>
      <c r="CE667" s="30" t="s">
        <v>191</v>
      </c>
      <c r="CF667" s="35">
        <v>44596</v>
      </c>
      <c r="CG667" s="37">
        <v>40</v>
      </c>
      <c r="CH667" s="30" t="s">
        <v>192</v>
      </c>
      <c r="CI667" s="37">
        <v>305</v>
      </c>
      <c r="CJ667" s="30" t="s">
        <v>192</v>
      </c>
      <c r="CK667" s="29">
        <v>7.57</v>
      </c>
      <c r="CL667" s="30" t="s">
        <v>194</v>
      </c>
      <c r="CM667" s="30" t="s">
        <v>326</v>
      </c>
      <c r="CN667" s="30" t="s">
        <v>151</v>
      </c>
      <c r="CO667" s="30" t="s">
        <v>165</v>
      </c>
      <c r="CP667" s="35">
        <v>44596</v>
      </c>
      <c r="CQ667" s="37" t="s">
        <v>151</v>
      </c>
      <c r="CR667" s="30" t="s">
        <v>151</v>
      </c>
      <c r="CS667" s="30" t="s">
        <v>191</v>
      </c>
      <c r="CT667" s="29">
        <v>83</v>
      </c>
      <c r="CU667" s="30" t="s">
        <v>196</v>
      </c>
      <c r="CV667" s="32">
        <v>92</v>
      </c>
      <c r="CW667" s="32">
        <v>8</v>
      </c>
      <c r="CX667" s="30" t="s">
        <v>294</v>
      </c>
      <c r="CY667" s="32">
        <v>3</v>
      </c>
      <c r="CZ667" s="32">
        <v>89</v>
      </c>
      <c r="DA667" s="37">
        <v>305</v>
      </c>
      <c r="DB667" s="35">
        <v>44596</v>
      </c>
      <c r="DC667" s="30" t="s">
        <v>194</v>
      </c>
      <c r="DD667" s="29">
        <v>7.57</v>
      </c>
      <c r="DE667" s="32">
        <v>0.09</v>
      </c>
      <c r="DF667" s="34">
        <v>90</v>
      </c>
      <c r="DG667" s="32">
        <v>0</v>
      </c>
      <c r="DH667" s="32">
        <v>0</v>
      </c>
      <c r="DI667" s="32">
        <v>0.45</v>
      </c>
      <c r="DJ667" s="34">
        <v>95</v>
      </c>
      <c r="DK667" s="32" t="s">
        <v>151</v>
      </c>
      <c r="DL667" s="34" t="s">
        <v>151</v>
      </c>
      <c r="DM667" s="32">
        <v>0.45</v>
      </c>
      <c r="DN667" s="34">
        <v>95</v>
      </c>
      <c r="DO667" s="36">
        <v>6.22</v>
      </c>
      <c r="DP667" s="34">
        <v>85</v>
      </c>
      <c r="DQ667" s="36">
        <v>0</v>
      </c>
      <c r="DR667" s="32">
        <v>0</v>
      </c>
      <c r="DS667" s="36">
        <v>9.05</v>
      </c>
      <c r="DT667" s="34">
        <v>89</v>
      </c>
      <c r="DU667" s="36" t="s">
        <v>151</v>
      </c>
      <c r="DV667" s="34" t="s">
        <v>151</v>
      </c>
      <c r="DW667" s="36">
        <v>9.05</v>
      </c>
      <c r="DX667" s="34">
        <v>89</v>
      </c>
      <c r="DY667" s="31" t="s">
        <v>151</v>
      </c>
      <c r="DZ667" s="35" t="s">
        <v>151</v>
      </c>
      <c r="EA667" s="35" t="s">
        <v>151</v>
      </c>
      <c r="EB667" s="34" t="s">
        <v>151</v>
      </c>
      <c r="EC667" s="33" t="s">
        <v>151</v>
      </c>
      <c r="ED667" s="32" t="s">
        <v>151</v>
      </c>
      <c r="EE667" s="34">
        <v>172</v>
      </c>
      <c r="EF667" s="33">
        <v>0</v>
      </c>
      <c r="EG667" s="32">
        <v>0</v>
      </c>
      <c r="EH667" s="29" t="s">
        <v>198</v>
      </c>
      <c r="EI667" s="30" t="s">
        <v>151</v>
      </c>
      <c r="EJ667" s="30" t="s">
        <v>151</v>
      </c>
      <c r="EK667" s="31" t="s">
        <v>151</v>
      </c>
      <c r="EL667" s="31" t="s">
        <v>151</v>
      </c>
      <c r="EM667" s="31" t="s">
        <v>151</v>
      </c>
      <c r="EN667" s="31" t="s">
        <v>151</v>
      </c>
      <c r="EO667" s="31" t="s">
        <v>151</v>
      </c>
      <c r="EP667" s="30" t="s">
        <v>151</v>
      </c>
      <c r="EQ667" s="29" t="s">
        <v>151</v>
      </c>
      <c r="ER667" s="29" t="s">
        <v>151</v>
      </c>
      <c r="ES667" s="4">
        <f>HYPERLINK("https://my.pitchbook.com?c=432809-65","View Company Online")</f>
      </c>
    </row>
    <row r="668">
      <c r="A668" s="17" t="s">
        <v>13742</v>
      </c>
      <c r="B668" s="17" t="s">
        <v>13743</v>
      </c>
      <c r="C668" s="18" t="s">
        <v>151</v>
      </c>
      <c r="D668" s="17" t="s">
        <v>151</v>
      </c>
      <c r="E668" s="17" t="s">
        <v>151</v>
      </c>
      <c r="F668" s="17" t="s">
        <v>13744</v>
      </c>
      <c r="G668" s="17" t="s">
        <v>151</v>
      </c>
      <c r="H668" s="17" t="s">
        <v>151</v>
      </c>
      <c r="I668" s="17" t="s">
        <v>13745</v>
      </c>
      <c r="J668" s="17" t="s">
        <v>13742</v>
      </c>
      <c r="K668" s="17" t="s">
        <v>13746</v>
      </c>
      <c r="L668" s="17" t="s">
        <v>205</v>
      </c>
      <c r="M668" s="17" t="s">
        <v>206</v>
      </c>
      <c r="N668" s="17" t="s">
        <v>1268</v>
      </c>
      <c r="O668" s="17" t="s">
        <v>1485</v>
      </c>
      <c r="P668" s="17" t="s">
        <v>1769</v>
      </c>
      <c r="Q668" s="17" t="s">
        <v>13747</v>
      </c>
      <c r="R668" s="17" t="s">
        <v>151</v>
      </c>
      <c r="S668" s="17" t="s">
        <v>162</v>
      </c>
      <c r="T668" s="24">
        <v>14.7</v>
      </c>
      <c r="U668" s="17" t="s">
        <v>163</v>
      </c>
      <c r="V668" s="17" t="s">
        <v>164</v>
      </c>
      <c r="W668" s="17" t="s">
        <v>165</v>
      </c>
      <c r="X668" s="15" t="s">
        <v>13748</v>
      </c>
      <c r="Y668" s="15" t="s">
        <v>13749</v>
      </c>
      <c r="Z668" s="27">
        <v>33</v>
      </c>
      <c r="AA668" s="17" t="s">
        <v>13750</v>
      </c>
      <c r="AB668" s="17" t="s">
        <v>151</v>
      </c>
      <c r="AC668" s="17" t="s">
        <v>151</v>
      </c>
      <c r="AD668" s="26">
        <v>2018</v>
      </c>
      <c r="AE668" s="17" t="s">
        <v>151</v>
      </c>
      <c r="AF668" s="22">
        <v>45616</v>
      </c>
      <c r="AG668" s="17" t="s">
        <v>151</v>
      </c>
      <c r="AH668" s="17" t="s">
        <v>151</v>
      </c>
      <c r="AI668" s="25" t="s">
        <v>151</v>
      </c>
      <c r="AJ668" s="19" t="s">
        <v>151</v>
      </c>
      <c r="AK668" s="25" t="s">
        <v>151</v>
      </c>
      <c r="AL668" s="25" t="s">
        <v>151</v>
      </c>
      <c r="AM668" s="25" t="s">
        <v>151</v>
      </c>
      <c r="AN668" s="25" t="s">
        <v>151</v>
      </c>
      <c r="AO668" s="25" t="s">
        <v>151</v>
      </c>
      <c r="AP668" s="25" t="s">
        <v>151</v>
      </c>
      <c r="AQ668" s="25" t="s">
        <v>151</v>
      </c>
      <c r="AR668" s="16" t="s">
        <v>151</v>
      </c>
      <c r="AS668" s="17" t="s">
        <v>13751</v>
      </c>
      <c r="AT668" s="17" t="s">
        <v>13752</v>
      </c>
      <c r="AU668" s="18">
        <v>13</v>
      </c>
      <c r="AV668" s="17" t="s">
        <v>151</v>
      </c>
      <c r="AW668" s="17" t="s">
        <v>151</v>
      </c>
      <c r="AX668" s="17" t="s">
        <v>151</v>
      </c>
      <c r="AY668" s="17" t="s">
        <v>13753</v>
      </c>
      <c r="AZ668" s="17" t="s">
        <v>151</v>
      </c>
      <c r="BA668" s="17" t="s">
        <v>151</v>
      </c>
      <c r="BB668" s="17" t="s">
        <v>151</v>
      </c>
      <c r="BC668" s="17" t="s">
        <v>374</v>
      </c>
      <c r="BD668" s="17" t="s">
        <v>13754</v>
      </c>
      <c r="BE668" s="17" t="s">
        <v>13755</v>
      </c>
      <c r="BF668" s="17" t="s">
        <v>493</v>
      </c>
      <c r="BG668" s="17" t="s">
        <v>13756</v>
      </c>
      <c r="BH668" s="17" t="s">
        <v>151</v>
      </c>
      <c r="BI668" s="17" t="s">
        <v>4299</v>
      </c>
      <c r="BJ668" s="17" t="s">
        <v>13757</v>
      </c>
      <c r="BK668" s="17" t="s">
        <v>13758</v>
      </c>
      <c r="BL668" s="17" t="s">
        <v>4300</v>
      </c>
      <c r="BM668" s="17" t="s">
        <v>1388</v>
      </c>
      <c r="BN668" s="16" t="s">
        <v>10744</v>
      </c>
      <c r="BO668" s="17" t="s">
        <v>186</v>
      </c>
      <c r="BP668" s="16" t="s">
        <v>151</v>
      </c>
      <c r="BQ668" s="16" t="s">
        <v>151</v>
      </c>
      <c r="BR668" s="17" t="s">
        <v>13759</v>
      </c>
      <c r="BS668" s="17" t="s">
        <v>187</v>
      </c>
      <c r="BT668" s="17" t="s">
        <v>188</v>
      </c>
      <c r="BU668" s="22">
        <v>44204</v>
      </c>
      <c r="BV668" s="24">
        <v>3.7</v>
      </c>
      <c r="BW668" s="17" t="s">
        <v>192</v>
      </c>
      <c r="BX668" s="24">
        <v>12.7</v>
      </c>
      <c r="BY668" s="17" t="s">
        <v>192</v>
      </c>
      <c r="BZ668" s="17" t="s">
        <v>293</v>
      </c>
      <c r="CA668" s="17" t="s">
        <v>293</v>
      </c>
      <c r="CB668" s="17" t="s">
        <v>151</v>
      </c>
      <c r="CC668" s="17" t="s">
        <v>165</v>
      </c>
      <c r="CD668" s="17" t="s">
        <v>13760</v>
      </c>
      <c r="CE668" s="17" t="s">
        <v>191</v>
      </c>
      <c r="CF668" s="22">
        <v>44846</v>
      </c>
      <c r="CG668" s="24">
        <v>11</v>
      </c>
      <c r="CH668" s="17" t="s">
        <v>192</v>
      </c>
      <c r="CI668" s="24">
        <v>41</v>
      </c>
      <c r="CJ668" s="17" t="s">
        <v>192</v>
      </c>
      <c r="CK668" s="16">
        <v>2.36</v>
      </c>
      <c r="CL668" s="17" t="s">
        <v>231</v>
      </c>
      <c r="CM668" s="17" t="s">
        <v>232</v>
      </c>
      <c r="CN668" s="17" t="s">
        <v>151</v>
      </c>
      <c r="CO668" s="17" t="s">
        <v>165</v>
      </c>
      <c r="CP668" s="22">
        <v>44846</v>
      </c>
      <c r="CQ668" s="24" t="s">
        <v>151</v>
      </c>
      <c r="CR668" s="17" t="s">
        <v>151</v>
      </c>
      <c r="CS668" s="17" t="s">
        <v>191</v>
      </c>
      <c r="CT668" s="16">
        <v>90</v>
      </c>
      <c r="CU668" s="17" t="s">
        <v>196</v>
      </c>
      <c r="CV668" s="19">
        <v>82</v>
      </c>
      <c r="CW668" s="19">
        <v>18</v>
      </c>
      <c r="CX668" s="17" t="s">
        <v>294</v>
      </c>
      <c r="CY668" s="19">
        <v>1</v>
      </c>
      <c r="CZ668" s="19">
        <v>81</v>
      </c>
      <c r="DA668" s="24">
        <v>41</v>
      </c>
      <c r="DB668" s="22">
        <v>44846</v>
      </c>
      <c r="DC668" s="17" t="s">
        <v>231</v>
      </c>
      <c r="DD668" s="16">
        <v>2.36</v>
      </c>
      <c r="DE668" s="19">
        <v>-0.7</v>
      </c>
      <c r="DF668" s="21">
        <v>6</v>
      </c>
      <c r="DG668" s="19">
        <v>0</v>
      </c>
      <c r="DH668" s="19">
        <v>0</v>
      </c>
      <c r="DI668" s="19">
        <v>-0.7</v>
      </c>
      <c r="DJ668" s="21">
        <v>6</v>
      </c>
      <c r="DK668" s="19" t="s">
        <v>151</v>
      </c>
      <c r="DL668" s="21" t="s">
        <v>151</v>
      </c>
      <c r="DM668" s="19">
        <v>-0.7</v>
      </c>
      <c r="DN668" s="21">
        <v>5</v>
      </c>
      <c r="DO668" s="23">
        <v>16.32</v>
      </c>
      <c r="DP668" s="21">
        <v>94</v>
      </c>
      <c r="DQ668" s="23">
        <v>0</v>
      </c>
      <c r="DR668" s="19">
        <v>0</v>
      </c>
      <c r="DS668" s="23">
        <v>16.32</v>
      </c>
      <c r="DT668" s="21">
        <v>94</v>
      </c>
      <c r="DU668" s="23" t="s">
        <v>151</v>
      </c>
      <c r="DV668" s="21" t="s">
        <v>151</v>
      </c>
      <c r="DW668" s="23">
        <v>16.32</v>
      </c>
      <c r="DX668" s="21">
        <v>94</v>
      </c>
      <c r="DY668" s="18" t="s">
        <v>151</v>
      </c>
      <c r="DZ668" s="22" t="s">
        <v>151</v>
      </c>
      <c r="EA668" s="22" t="s">
        <v>151</v>
      </c>
      <c r="EB668" s="21">
        <v>2752</v>
      </c>
      <c r="EC668" s="20">
        <v>94</v>
      </c>
      <c r="ED668" s="19">
        <v>3.54</v>
      </c>
      <c r="EE668" s="21">
        <v>310</v>
      </c>
      <c r="EF668" s="20">
        <v>0</v>
      </c>
      <c r="EG668" s="19">
        <v>0</v>
      </c>
      <c r="EH668" s="16" t="s">
        <v>198</v>
      </c>
      <c r="EI668" s="17" t="s">
        <v>151</v>
      </c>
      <c r="EJ668" s="17" t="s">
        <v>151</v>
      </c>
      <c r="EK668" s="18" t="s">
        <v>151</v>
      </c>
      <c r="EL668" s="18" t="s">
        <v>151</v>
      </c>
      <c r="EM668" s="18" t="s">
        <v>151</v>
      </c>
      <c r="EN668" s="18" t="s">
        <v>151</v>
      </c>
      <c r="EO668" s="18" t="s">
        <v>151</v>
      </c>
      <c r="EP668" s="17" t="s">
        <v>151</v>
      </c>
      <c r="EQ668" s="16" t="s">
        <v>151</v>
      </c>
      <c r="ER668" s="16" t="s">
        <v>151</v>
      </c>
      <c r="ES668" s="3">
        <f>HYPERLINK("https://my.pitchbook.com?c=268571-53","View Company Online")</f>
      </c>
    </row>
    <row r="669">
      <c r="A669" s="30" t="s">
        <v>13761</v>
      </c>
      <c r="B669" s="30" t="s">
        <v>13762</v>
      </c>
      <c r="C669" s="31" t="s">
        <v>151</v>
      </c>
      <c r="D669" s="30" t="s">
        <v>151</v>
      </c>
      <c r="E669" s="30" t="s">
        <v>13763</v>
      </c>
      <c r="F669" s="30" t="s">
        <v>13764</v>
      </c>
      <c r="G669" s="30" t="s">
        <v>151</v>
      </c>
      <c r="H669" s="30" t="s">
        <v>151</v>
      </c>
      <c r="I669" s="30" t="s">
        <v>13765</v>
      </c>
      <c r="J669" s="30" t="s">
        <v>13761</v>
      </c>
      <c r="K669" s="30" t="s">
        <v>13766</v>
      </c>
      <c r="L669" s="30" t="s">
        <v>205</v>
      </c>
      <c r="M669" s="30" t="s">
        <v>206</v>
      </c>
      <c r="N669" s="30" t="s">
        <v>1268</v>
      </c>
      <c r="O669" s="30" t="s">
        <v>2129</v>
      </c>
      <c r="P669" s="30" t="s">
        <v>13767</v>
      </c>
      <c r="Q669" s="30" t="s">
        <v>13768</v>
      </c>
      <c r="R669" s="30" t="s">
        <v>151</v>
      </c>
      <c r="S669" s="30" t="s">
        <v>162</v>
      </c>
      <c r="T669" s="37">
        <v>2</v>
      </c>
      <c r="U669" s="30" t="s">
        <v>163</v>
      </c>
      <c r="V669" s="30" t="s">
        <v>164</v>
      </c>
      <c r="W669" s="30" t="s">
        <v>165</v>
      </c>
      <c r="X669" s="28" t="s">
        <v>13769</v>
      </c>
      <c r="Y669" s="28" t="s">
        <v>13770</v>
      </c>
      <c r="Z669" s="40">
        <v>6</v>
      </c>
      <c r="AA669" s="30" t="s">
        <v>13771</v>
      </c>
      <c r="AB669" s="30" t="s">
        <v>151</v>
      </c>
      <c r="AC669" s="30" t="s">
        <v>151</v>
      </c>
      <c r="AD669" s="39">
        <v>2021</v>
      </c>
      <c r="AE669" s="30" t="s">
        <v>151</v>
      </c>
      <c r="AF669" s="35">
        <v>45537</v>
      </c>
      <c r="AG669" s="30" t="s">
        <v>151</v>
      </c>
      <c r="AH669" s="30" t="s">
        <v>151</v>
      </c>
      <c r="AI669" s="38" t="s">
        <v>151</v>
      </c>
      <c r="AJ669" s="32" t="s">
        <v>151</v>
      </c>
      <c r="AK669" s="38" t="s">
        <v>151</v>
      </c>
      <c r="AL669" s="38" t="s">
        <v>151</v>
      </c>
      <c r="AM669" s="38" t="s">
        <v>151</v>
      </c>
      <c r="AN669" s="38" t="s">
        <v>151</v>
      </c>
      <c r="AO669" s="38" t="s">
        <v>151</v>
      </c>
      <c r="AP669" s="38" t="s">
        <v>151</v>
      </c>
      <c r="AQ669" s="38" t="s">
        <v>151</v>
      </c>
      <c r="AR669" s="29" t="s">
        <v>151</v>
      </c>
      <c r="AS669" s="30" t="s">
        <v>13772</v>
      </c>
      <c r="AT669" s="30" t="s">
        <v>13773</v>
      </c>
      <c r="AU669" s="31">
        <v>16</v>
      </c>
      <c r="AV669" s="30" t="s">
        <v>151</v>
      </c>
      <c r="AW669" s="30" t="s">
        <v>151</v>
      </c>
      <c r="AX669" s="30" t="s">
        <v>151</v>
      </c>
      <c r="AY669" s="30" t="s">
        <v>13774</v>
      </c>
      <c r="AZ669" s="30" t="s">
        <v>151</v>
      </c>
      <c r="BA669" s="30" t="s">
        <v>151</v>
      </c>
      <c r="BB669" s="30" t="s">
        <v>151</v>
      </c>
      <c r="BC669" s="30" t="s">
        <v>1115</v>
      </c>
      <c r="BD669" s="30" t="s">
        <v>13775</v>
      </c>
      <c r="BE669" s="30" t="s">
        <v>13776</v>
      </c>
      <c r="BF669" s="30" t="s">
        <v>493</v>
      </c>
      <c r="BG669" s="30" t="s">
        <v>13777</v>
      </c>
      <c r="BH669" s="30" t="s">
        <v>13778</v>
      </c>
      <c r="BI669" s="30" t="s">
        <v>13779</v>
      </c>
      <c r="BJ669" s="30" t="s">
        <v>13780</v>
      </c>
      <c r="BK669" s="30" t="s">
        <v>151</v>
      </c>
      <c r="BL669" s="30" t="s">
        <v>13781</v>
      </c>
      <c r="BM669" s="30" t="s">
        <v>1957</v>
      </c>
      <c r="BN669" s="29" t="s">
        <v>13782</v>
      </c>
      <c r="BO669" s="30" t="s">
        <v>186</v>
      </c>
      <c r="BP669" s="29" t="s">
        <v>13778</v>
      </c>
      <c r="BQ669" s="29" t="s">
        <v>151</v>
      </c>
      <c r="BR669" s="30" t="s">
        <v>13783</v>
      </c>
      <c r="BS669" s="30" t="s">
        <v>187</v>
      </c>
      <c r="BT669" s="30" t="s">
        <v>188</v>
      </c>
      <c r="BU669" s="35">
        <v>44726</v>
      </c>
      <c r="BV669" s="37">
        <v>2</v>
      </c>
      <c r="BW669" s="30" t="s">
        <v>192</v>
      </c>
      <c r="BX669" s="37">
        <v>8</v>
      </c>
      <c r="BY669" s="30" t="s">
        <v>192</v>
      </c>
      <c r="BZ669" s="30" t="s">
        <v>293</v>
      </c>
      <c r="CA669" s="30" t="s">
        <v>293</v>
      </c>
      <c r="CB669" s="30" t="s">
        <v>151</v>
      </c>
      <c r="CC669" s="30" t="s">
        <v>165</v>
      </c>
      <c r="CD669" s="30" t="s">
        <v>151</v>
      </c>
      <c r="CE669" s="30" t="s">
        <v>191</v>
      </c>
      <c r="CF669" s="35">
        <v>44726</v>
      </c>
      <c r="CG669" s="37">
        <v>2</v>
      </c>
      <c r="CH669" s="30" t="s">
        <v>192</v>
      </c>
      <c r="CI669" s="37">
        <v>8</v>
      </c>
      <c r="CJ669" s="30" t="s">
        <v>192</v>
      </c>
      <c r="CK669" s="29" t="s">
        <v>151</v>
      </c>
      <c r="CL669" s="30" t="s">
        <v>293</v>
      </c>
      <c r="CM669" s="30" t="s">
        <v>293</v>
      </c>
      <c r="CN669" s="30" t="s">
        <v>151</v>
      </c>
      <c r="CO669" s="30" t="s">
        <v>165</v>
      </c>
      <c r="CP669" s="35">
        <v>44726</v>
      </c>
      <c r="CQ669" s="37" t="s">
        <v>151</v>
      </c>
      <c r="CR669" s="30" t="s">
        <v>151</v>
      </c>
      <c r="CS669" s="30" t="s">
        <v>191</v>
      </c>
      <c r="CT669" s="29" t="s">
        <v>151</v>
      </c>
      <c r="CU669" s="30" t="s">
        <v>151</v>
      </c>
      <c r="CV669" s="32" t="s">
        <v>151</v>
      </c>
      <c r="CW669" s="32" t="s">
        <v>151</v>
      </c>
      <c r="CX669" s="30" t="s">
        <v>151</v>
      </c>
      <c r="CY669" s="32" t="s">
        <v>151</v>
      </c>
      <c r="CZ669" s="32" t="s">
        <v>151</v>
      </c>
      <c r="DA669" s="37">
        <v>8</v>
      </c>
      <c r="DB669" s="35">
        <v>44726</v>
      </c>
      <c r="DC669" s="30" t="s">
        <v>293</v>
      </c>
      <c r="DD669" s="29" t="s">
        <v>151</v>
      </c>
      <c r="DE669" s="32">
        <v>0</v>
      </c>
      <c r="DF669" s="34">
        <v>11</v>
      </c>
      <c r="DG669" s="32">
        <v>0</v>
      </c>
      <c r="DH669" s="32">
        <v>0</v>
      </c>
      <c r="DI669" s="32">
        <v>0</v>
      </c>
      <c r="DJ669" s="34">
        <v>10</v>
      </c>
      <c r="DK669" s="32" t="s">
        <v>151</v>
      </c>
      <c r="DL669" s="34" t="s">
        <v>151</v>
      </c>
      <c r="DM669" s="32">
        <v>0</v>
      </c>
      <c r="DN669" s="34">
        <v>10</v>
      </c>
      <c r="DO669" s="36">
        <v>1.6</v>
      </c>
      <c r="DP669" s="34">
        <v>61</v>
      </c>
      <c r="DQ669" s="36">
        <v>0</v>
      </c>
      <c r="DR669" s="32">
        <v>0</v>
      </c>
      <c r="DS669" s="36">
        <v>2.74</v>
      </c>
      <c r="DT669" s="34">
        <v>72</v>
      </c>
      <c r="DU669" s="36" t="s">
        <v>151</v>
      </c>
      <c r="DV669" s="34" t="s">
        <v>151</v>
      </c>
      <c r="DW669" s="36">
        <v>2.74</v>
      </c>
      <c r="DX669" s="34">
        <v>72</v>
      </c>
      <c r="DY669" s="31" t="s">
        <v>151</v>
      </c>
      <c r="DZ669" s="35" t="s">
        <v>151</v>
      </c>
      <c r="EA669" s="35" t="s">
        <v>151</v>
      </c>
      <c r="EB669" s="34">
        <v>450</v>
      </c>
      <c r="EC669" s="33">
        <v>59</v>
      </c>
      <c r="ED669" s="32">
        <v>15.09</v>
      </c>
      <c r="EE669" s="34">
        <v>52</v>
      </c>
      <c r="EF669" s="33">
        <v>0</v>
      </c>
      <c r="EG669" s="32">
        <v>0</v>
      </c>
      <c r="EH669" s="29" t="s">
        <v>198</v>
      </c>
      <c r="EI669" s="30" t="s">
        <v>151</v>
      </c>
      <c r="EJ669" s="30" t="s">
        <v>151</v>
      </c>
      <c r="EK669" s="31" t="s">
        <v>151</v>
      </c>
      <c r="EL669" s="31" t="s">
        <v>151</v>
      </c>
      <c r="EM669" s="31" t="s">
        <v>151</v>
      </c>
      <c r="EN669" s="31" t="s">
        <v>151</v>
      </c>
      <c r="EO669" s="31" t="s">
        <v>151</v>
      </c>
      <c r="EP669" s="30" t="s">
        <v>151</v>
      </c>
      <c r="EQ669" s="29" t="s">
        <v>151</v>
      </c>
      <c r="ER669" s="29" t="s">
        <v>151</v>
      </c>
      <c r="ES669" s="4">
        <f>HYPERLINK("https://my.pitchbook.com?c=498324-16","View Company Online")</f>
      </c>
    </row>
    <row r="670">
      <c r="A670" s="17" t="s">
        <v>13784</v>
      </c>
      <c r="B670" s="17" t="s">
        <v>13785</v>
      </c>
      <c r="C670" s="18" t="s">
        <v>151</v>
      </c>
      <c r="D670" s="17" t="s">
        <v>151</v>
      </c>
      <c r="E670" s="17" t="s">
        <v>13786</v>
      </c>
      <c r="F670" s="17" t="s">
        <v>13787</v>
      </c>
      <c r="G670" s="17" t="s">
        <v>151</v>
      </c>
      <c r="H670" s="17" t="s">
        <v>151</v>
      </c>
      <c r="I670" s="17" t="s">
        <v>151</v>
      </c>
      <c r="J670" s="17" t="s">
        <v>13784</v>
      </c>
      <c r="K670" s="17" t="s">
        <v>13788</v>
      </c>
      <c r="L670" s="17" t="s">
        <v>205</v>
      </c>
      <c r="M670" s="17" t="s">
        <v>206</v>
      </c>
      <c r="N670" s="17" t="s">
        <v>1130</v>
      </c>
      <c r="O670" s="17" t="s">
        <v>13789</v>
      </c>
      <c r="P670" s="17" t="s">
        <v>13790</v>
      </c>
      <c r="Q670" s="17" t="s">
        <v>13791</v>
      </c>
      <c r="R670" s="17" t="s">
        <v>151</v>
      </c>
      <c r="S670" s="17" t="s">
        <v>162</v>
      </c>
      <c r="T670" s="24">
        <v>0.05</v>
      </c>
      <c r="U670" s="17" t="s">
        <v>163</v>
      </c>
      <c r="V670" s="17" t="s">
        <v>164</v>
      </c>
      <c r="W670" s="17" t="s">
        <v>165</v>
      </c>
      <c r="X670" s="15" t="s">
        <v>13792</v>
      </c>
      <c r="Y670" s="15" t="s">
        <v>13793</v>
      </c>
      <c r="Z670" s="27">
        <v>14</v>
      </c>
      <c r="AA670" s="17" t="s">
        <v>13794</v>
      </c>
      <c r="AB670" s="17" t="s">
        <v>151</v>
      </c>
      <c r="AC670" s="17" t="s">
        <v>151</v>
      </c>
      <c r="AD670" s="26">
        <v>2020</v>
      </c>
      <c r="AE670" s="17" t="s">
        <v>151</v>
      </c>
      <c r="AF670" s="22">
        <v>45580</v>
      </c>
      <c r="AG670" s="17" t="s">
        <v>151</v>
      </c>
      <c r="AH670" s="17" t="s">
        <v>151</v>
      </c>
      <c r="AI670" s="25" t="s">
        <v>151</v>
      </c>
      <c r="AJ670" s="19" t="s">
        <v>151</v>
      </c>
      <c r="AK670" s="25" t="s">
        <v>151</v>
      </c>
      <c r="AL670" s="25" t="s">
        <v>151</v>
      </c>
      <c r="AM670" s="25" t="s">
        <v>151</v>
      </c>
      <c r="AN670" s="25" t="s">
        <v>151</v>
      </c>
      <c r="AO670" s="25" t="s">
        <v>151</v>
      </c>
      <c r="AP670" s="25" t="s">
        <v>151</v>
      </c>
      <c r="AQ670" s="25" t="s">
        <v>151</v>
      </c>
      <c r="AR670" s="16" t="s">
        <v>151</v>
      </c>
      <c r="AS670" s="17" t="s">
        <v>1294</v>
      </c>
      <c r="AT670" s="17" t="s">
        <v>13795</v>
      </c>
      <c r="AU670" s="18">
        <v>12</v>
      </c>
      <c r="AV670" s="17" t="s">
        <v>151</v>
      </c>
      <c r="AW670" s="17" t="s">
        <v>151</v>
      </c>
      <c r="AX670" s="17" t="s">
        <v>151</v>
      </c>
      <c r="AY670" s="17" t="s">
        <v>13796</v>
      </c>
      <c r="AZ670" s="17" t="s">
        <v>151</v>
      </c>
      <c r="BA670" s="17" t="s">
        <v>151</v>
      </c>
      <c r="BB670" s="17" t="s">
        <v>151</v>
      </c>
      <c r="BC670" s="17" t="s">
        <v>151</v>
      </c>
      <c r="BD670" s="17" t="s">
        <v>13797</v>
      </c>
      <c r="BE670" s="17" t="s">
        <v>13798</v>
      </c>
      <c r="BF670" s="17" t="s">
        <v>13799</v>
      </c>
      <c r="BG670" s="17" t="s">
        <v>13800</v>
      </c>
      <c r="BH670" s="17" t="s">
        <v>13801</v>
      </c>
      <c r="BI670" s="17" t="s">
        <v>707</v>
      </c>
      <c r="BJ670" s="17" t="s">
        <v>13802</v>
      </c>
      <c r="BK670" s="17" t="s">
        <v>13803</v>
      </c>
      <c r="BL670" s="17" t="s">
        <v>709</v>
      </c>
      <c r="BM670" s="17" t="s">
        <v>184</v>
      </c>
      <c r="BN670" s="16" t="s">
        <v>710</v>
      </c>
      <c r="BO670" s="17" t="s">
        <v>186</v>
      </c>
      <c r="BP670" s="16" t="s">
        <v>13804</v>
      </c>
      <c r="BQ670" s="16" t="s">
        <v>151</v>
      </c>
      <c r="BR670" s="17" t="s">
        <v>13805</v>
      </c>
      <c r="BS670" s="17" t="s">
        <v>187</v>
      </c>
      <c r="BT670" s="17" t="s">
        <v>188</v>
      </c>
      <c r="BU670" s="22">
        <v>43831</v>
      </c>
      <c r="BV670" s="24" t="s">
        <v>151</v>
      </c>
      <c r="BW670" s="17" t="s">
        <v>151</v>
      </c>
      <c r="BX670" s="24" t="s">
        <v>151</v>
      </c>
      <c r="BY670" s="17" t="s">
        <v>151</v>
      </c>
      <c r="BZ670" s="17" t="s">
        <v>189</v>
      </c>
      <c r="CA670" s="17" t="s">
        <v>151</v>
      </c>
      <c r="CB670" s="17" t="s">
        <v>151</v>
      </c>
      <c r="CC670" s="17" t="s">
        <v>190</v>
      </c>
      <c r="CD670" s="17" t="s">
        <v>151</v>
      </c>
      <c r="CE670" s="17" t="s">
        <v>191</v>
      </c>
      <c r="CF670" s="22">
        <v>45444</v>
      </c>
      <c r="CG670" s="24" t="s">
        <v>151</v>
      </c>
      <c r="CH670" s="17" t="s">
        <v>151</v>
      </c>
      <c r="CI670" s="24" t="s">
        <v>151</v>
      </c>
      <c r="CJ670" s="17" t="s">
        <v>151</v>
      </c>
      <c r="CK670" s="16" t="s">
        <v>151</v>
      </c>
      <c r="CL670" s="17" t="s">
        <v>231</v>
      </c>
      <c r="CM670" s="17" t="s">
        <v>151</v>
      </c>
      <c r="CN670" s="17" t="s">
        <v>151</v>
      </c>
      <c r="CO670" s="17" t="s">
        <v>165</v>
      </c>
      <c r="CP670" s="22">
        <v>45444</v>
      </c>
      <c r="CQ670" s="24" t="s">
        <v>151</v>
      </c>
      <c r="CR670" s="17" t="s">
        <v>151</v>
      </c>
      <c r="CS670" s="17" t="s">
        <v>191</v>
      </c>
      <c r="CT670" s="16">
        <v>65</v>
      </c>
      <c r="CU670" s="17" t="s">
        <v>196</v>
      </c>
      <c r="CV670" s="19">
        <v>62</v>
      </c>
      <c r="CW670" s="19">
        <v>38</v>
      </c>
      <c r="CX670" s="17" t="s">
        <v>294</v>
      </c>
      <c r="CY670" s="19">
        <v>1</v>
      </c>
      <c r="CZ670" s="19">
        <v>61</v>
      </c>
      <c r="DA670" s="24" t="s">
        <v>151</v>
      </c>
      <c r="DB670" s="22" t="s">
        <v>151</v>
      </c>
      <c r="DC670" s="17" t="s">
        <v>151</v>
      </c>
      <c r="DD670" s="16" t="s">
        <v>151</v>
      </c>
      <c r="DE670" s="19">
        <v>0</v>
      </c>
      <c r="DF670" s="21">
        <v>11</v>
      </c>
      <c r="DG670" s="19">
        <v>0</v>
      </c>
      <c r="DH670" s="19">
        <v>0</v>
      </c>
      <c r="DI670" s="19" t="s">
        <v>151</v>
      </c>
      <c r="DJ670" s="21" t="s">
        <v>151</v>
      </c>
      <c r="DK670" s="19" t="s">
        <v>151</v>
      </c>
      <c r="DL670" s="21" t="s">
        <v>151</v>
      </c>
      <c r="DM670" s="19" t="s">
        <v>151</v>
      </c>
      <c r="DN670" s="21" t="s">
        <v>151</v>
      </c>
      <c r="DO670" s="23">
        <v>1.08</v>
      </c>
      <c r="DP670" s="21">
        <v>52</v>
      </c>
      <c r="DQ670" s="23">
        <v>0</v>
      </c>
      <c r="DR670" s="19">
        <v>0</v>
      </c>
      <c r="DS670" s="23" t="s">
        <v>151</v>
      </c>
      <c r="DT670" s="21" t="s">
        <v>151</v>
      </c>
      <c r="DU670" s="23" t="s">
        <v>151</v>
      </c>
      <c r="DV670" s="21" t="s">
        <v>151</v>
      </c>
      <c r="DW670" s="23" t="s">
        <v>151</v>
      </c>
      <c r="DX670" s="21" t="s">
        <v>151</v>
      </c>
      <c r="DY670" s="18" t="s">
        <v>151</v>
      </c>
      <c r="DZ670" s="22" t="s">
        <v>151</v>
      </c>
      <c r="EA670" s="22" t="s">
        <v>151</v>
      </c>
      <c r="EB670" s="21">
        <v>300</v>
      </c>
      <c r="EC670" s="20">
        <v>-15</v>
      </c>
      <c r="ED670" s="19">
        <v>-4.76</v>
      </c>
      <c r="EE670" s="21" t="s">
        <v>151</v>
      </c>
      <c r="EF670" s="20" t="s">
        <v>151</v>
      </c>
      <c r="EG670" s="19" t="s">
        <v>151</v>
      </c>
      <c r="EH670" s="16" t="s">
        <v>198</v>
      </c>
      <c r="EI670" s="17" t="s">
        <v>151</v>
      </c>
      <c r="EJ670" s="17" t="s">
        <v>151</v>
      </c>
      <c r="EK670" s="18" t="s">
        <v>151</v>
      </c>
      <c r="EL670" s="18" t="s">
        <v>151</v>
      </c>
      <c r="EM670" s="18" t="s">
        <v>151</v>
      </c>
      <c r="EN670" s="18" t="s">
        <v>151</v>
      </c>
      <c r="EO670" s="18" t="s">
        <v>151</v>
      </c>
      <c r="EP670" s="17" t="s">
        <v>151</v>
      </c>
      <c r="EQ670" s="16" t="s">
        <v>151</v>
      </c>
      <c r="ER670" s="16" t="s">
        <v>151</v>
      </c>
      <c r="ES670" s="3">
        <f>HYPERLINK("https://my.pitchbook.com?c=442829-08","View Company Online")</f>
      </c>
    </row>
    <row r="671">
      <c r="A671" s="30" t="s">
        <v>13806</v>
      </c>
      <c r="B671" s="30" t="s">
        <v>13807</v>
      </c>
      <c r="C671" s="31" t="s">
        <v>151</v>
      </c>
      <c r="D671" s="30" t="s">
        <v>151</v>
      </c>
      <c r="E671" s="30" t="s">
        <v>13808</v>
      </c>
      <c r="F671" s="30" t="s">
        <v>13809</v>
      </c>
      <c r="G671" s="30" t="s">
        <v>151</v>
      </c>
      <c r="H671" s="30" t="s">
        <v>151</v>
      </c>
      <c r="I671" s="30" t="s">
        <v>13810</v>
      </c>
      <c r="J671" s="30" t="s">
        <v>13806</v>
      </c>
      <c r="K671" s="30" t="s">
        <v>13811</v>
      </c>
      <c r="L671" s="30" t="s">
        <v>205</v>
      </c>
      <c r="M671" s="30" t="s">
        <v>206</v>
      </c>
      <c r="N671" s="30" t="s">
        <v>269</v>
      </c>
      <c r="O671" s="30" t="s">
        <v>563</v>
      </c>
      <c r="P671" s="30" t="s">
        <v>6478</v>
      </c>
      <c r="Q671" s="30" t="s">
        <v>13812</v>
      </c>
      <c r="R671" s="30" t="s">
        <v>151</v>
      </c>
      <c r="S671" s="30" t="s">
        <v>162</v>
      </c>
      <c r="T671" s="37">
        <v>22.22</v>
      </c>
      <c r="U671" s="30" t="s">
        <v>163</v>
      </c>
      <c r="V671" s="30" t="s">
        <v>164</v>
      </c>
      <c r="W671" s="30" t="s">
        <v>165</v>
      </c>
      <c r="X671" s="28" t="s">
        <v>13813</v>
      </c>
      <c r="Y671" s="28" t="s">
        <v>13814</v>
      </c>
      <c r="Z671" s="40">
        <v>50</v>
      </c>
      <c r="AA671" s="30" t="s">
        <v>13815</v>
      </c>
      <c r="AB671" s="30" t="s">
        <v>151</v>
      </c>
      <c r="AC671" s="30" t="s">
        <v>151</v>
      </c>
      <c r="AD671" s="39">
        <v>2017</v>
      </c>
      <c r="AE671" s="30" t="s">
        <v>151</v>
      </c>
      <c r="AF671" s="35">
        <v>45596</v>
      </c>
      <c r="AG671" s="30" t="s">
        <v>151</v>
      </c>
      <c r="AH671" s="30" t="s">
        <v>151</v>
      </c>
      <c r="AI671" s="38" t="s">
        <v>151</v>
      </c>
      <c r="AJ671" s="32" t="s">
        <v>151</v>
      </c>
      <c r="AK671" s="38" t="s">
        <v>151</v>
      </c>
      <c r="AL671" s="38" t="s">
        <v>151</v>
      </c>
      <c r="AM671" s="38" t="s">
        <v>151</v>
      </c>
      <c r="AN671" s="38" t="s">
        <v>151</v>
      </c>
      <c r="AO671" s="38" t="s">
        <v>151</v>
      </c>
      <c r="AP671" s="38" t="s">
        <v>151</v>
      </c>
      <c r="AQ671" s="38" t="s">
        <v>151</v>
      </c>
      <c r="AR671" s="29" t="s">
        <v>151</v>
      </c>
      <c r="AS671" s="30" t="s">
        <v>13816</v>
      </c>
      <c r="AT671" s="30" t="s">
        <v>13817</v>
      </c>
      <c r="AU671" s="31">
        <v>15</v>
      </c>
      <c r="AV671" s="30" t="s">
        <v>151</v>
      </c>
      <c r="AW671" s="30" t="s">
        <v>151</v>
      </c>
      <c r="AX671" s="30" t="s">
        <v>151</v>
      </c>
      <c r="AY671" s="30" t="s">
        <v>13818</v>
      </c>
      <c r="AZ671" s="30" t="s">
        <v>151</v>
      </c>
      <c r="BA671" s="30" t="s">
        <v>151</v>
      </c>
      <c r="BB671" s="30" t="s">
        <v>151</v>
      </c>
      <c r="BC671" s="30" t="s">
        <v>1277</v>
      </c>
      <c r="BD671" s="30" t="s">
        <v>13819</v>
      </c>
      <c r="BE671" s="30" t="s">
        <v>13820</v>
      </c>
      <c r="BF671" s="30" t="s">
        <v>221</v>
      </c>
      <c r="BG671" s="30" t="s">
        <v>13821</v>
      </c>
      <c r="BH671" s="30" t="s">
        <v>13822</v>
      </c>
      <c r="BI671" s="30" t="s">
        <v>12265</v>
      </c>
      <c r="BJ671" s="30" t="s">
        <v>13823</v>
      </c>
      <c r="BK671" s="30" t="s">
        <v>10589</v>
      </c>
      <c r="BL671" s="30" t="s">
        <v>12268</v>
      </c>
      <c r="BM671" s="30" t="s">
        <v>855</v>
      </c>
      <c r="BN671" s="29" t="s">
        <v>13824</v>
      </c>
      <c r="BO671" s="30" t="s">
        <v>186</v>
      </c>
      <c r="BP671" s="29" t="s">
        <v>13822</v>
      </c>
      <c r="BQ671" s="29" t="s">
        <v>151</v>
      </c>
      <c r="BR671" s="30" t="s">
        <v>13825</v>
      </c>
      <c r="BS671" s="30" t="s">
        <v>187</v>
      </c>
      <c r="BT671" s="30" t="s">
        <v>188</v>
      </c>
      <c r="BU671" s="35">
        <v>43983</v>
      </c>
      <c r="BV671" s="37">
        <v>0.37</v>
      </c>
      <c r="BW671" s="30" t="s">
        <v>192</v>
      </c>
      <c r="BX671" s="37" t="s">
        <v>151</v>
      </c>
      <c r="BY671" s="30" t="s">
        <v>151</v>
      </c>
      <c r="BZ671" s="30" t="s">
        <v>501</v>
      </c>
      <c r="CA671" s="30" t="s">
        <v>151</v>
      </c>
      <c r="CB671" s="30" t="s">
        <v>151</v>
      </c>
      <c r="CC671" s="30" t="s">
        <v>190</v>
      </c>
      <c r="CD671" s="30" t="s">
        <v>151</v>
      </c>
      <c r="CE671" s="30" t="s">
        <v>191</v>
      </c>
      <c r="CF671" s="35">
        <v>45098</v>
      </c>
      <c r="CG671" s="37" t="s">
        <v>151</v>
      </c>
      <c r="CH671" s="30" t="s">
        <v>151</v>
      </c>
      <c r="CI671" s="37" t="s">
        <v>151</v>
      </c>
      <c r="CJ671" s="30" t="s">
        <v>151</v>
      </c>
      <c r="CK671" s="29">
        <v>2.24</v>
      </c>
      <c r="CL671" s="30" t="s">
        <v>189</v>
      </c>
      <c r="CM671" s="30" t="s">
        <v>151</v>
      </c>
      <c r="CN671" s="30" t="s">
        <v>151</v>
      </c>
      <c r="CO671" s="30" t="s">
        <v>190</v>
      </c>
      <c r="CP671" s="35">
        <v>45098</v>
      </c>
      <c r="CQ671" s="37" t="s">
        <v>151</v>
      </c>
      <c r="CR671" s="30" t="s">
        <v>151</v>
      </c>
      <c r="CS671" s="30" t="s">
        <v>191</v>
      </c>
      <c r="CT671" s="29">
        <v>96</v>
      </c>
      <c r="CU671" s="30" t="s">
        <v>196</v>
      </c>
      <c r="CV671" s="32">
        <v>90</v>
      </c>
      <c r="CW671" s="32">
        <v>10</v>
      </c>
      <c r="CX671" s="30" t="s">
        <v>294</v>
      </c>
      <c r="CY671" s="32">
        <v>2</v>
      </c>
      <c r="CZ671" s="32">
        <v>88</v>
      </c>
      <c r="DA671" s="37">
        <v>53</v>
      </c>
      <c r="DB671" s="35">
        <v>45064</v>
      </c>
      <c r="DC671" s="30" t="s">
        <v>194</v>
      </c>
      <c r="DD671" s="29">
        <v>2.24</v>
      </c>
      <c r="DE671" s="32" t="s">
        <v>151</v>
      </c>
      <c r="DF671" s="34" t="s">
        <v>151</v>
      </c>
      <c r="DG671" s="32" t="s">
        <v>151</v>
      </c>
      <c r="DH671" s="32" t="s">
        <v>151</v>
      </c>
      <c r="DI671" s="32" t="s">
        <v>151</v>
      </c>
      <c r="DJ671" s="34" t="s">
        <v>151</v>
      </c>
      <c r="DK671" s="32" t="s">
        <v>151</v>
      </c>
      <c r="DL671" s="34" t="s">
        <v>151</v>
      </c>
      <c r="DM671" s="32" t="s">
        <v>151</v>
      </c>
      <c r="DN671" s="34" t="s">
        <v>151</v>
      </c>
      <c r="DO671" s="36" t="s">
        <v>151</v>
      </c>
      <c r="DP671" s="34" t="s">
        <v>151</v>
      </c>
      <c r="DQ671" s="36" t="s">
        <v>151</v>
      </c>
      <c r="DR671" s="32" t="s">
        <v>151</v>
      </c>
      <c r="DS671" s="36" t="s">
        <v>151</v>
      </c>
      <c r="DT671" s="34" t="s">
        <v>151</v>
      </c>
      <c r="DU671" s="36" t="s">
        <v>151</v>
      </c>
      <c r="DV671" s="34" t="s">
        <v>151</v>
      </c>
      <c r="DW671" s="36" t="s">
        <v>151</v>
      </c>
      <c r="DX671" s="34" t="s">
        <v>151</v>
      </c>
      <c r="DY671" s="31" t="s">
        <v>151</v>
      </c>
      <c r="DZ671" s="35" t="s">
        <v>151</v>
      </c>
      <c r="EA671" s="35" t="s">
        <v>151</v>
      </c>
      <c r="EB671" s="34" t="s">
        <v>151</v>
      </c>
      <c r="EC671" s="33" t="s">
        <v>151</v>
      </c>
      <c r="ED671" s="32" t="s">
        <v>151</v>
      </c>
      <c r="EE671" s="34" t="s">
        <v>151</v>
      </c>
      <c r="EF671" s="33" t="s">
        <v>151</v>
      </c>
      <c r="EG671" s="32" t="s">
        <v>151</v>
      </c>
      <c r="EH671" s="29" t="s">
        <v>198</v>
      </c>
      <c r="EI671" s="30" t="s">
        <v>151</v>
      </c>
      <c r="EJ671" s="30" t="s">
        <v>151</v>
      </c>
      <c r="EK671" s="31" t="s">
        <v>151</v>
      </c>
      <c r="EL671" s="31" t="s">
        <v>151</v>
      </c>
      <c r="EM671" s="31" t="s">
        <v>151</v>
      </c>
      <c r="EN671" s="31" t="s">
        <v>151</v>
      </c>
      <c r="EO671" s="31" t="s">
        <v>151</v>
      </c>
      <c r="EP671" s="30" t="s">
        <v>151</v>
      </c>
      <c r="EQ671" s="29" t="s">
        <v>151</v>
      </c>
      <c r="ER671" s="29" t="s">
        <v>151</v>
      </c>
      <c r="ES671" s="4">
        <f>HYPERLINK("https://my.pitchbook.com?c=186333-13","View Company Online")</f>
      </c>
    </row>
    <row r="672">
      <c r="A672" s="17" t="s">
        <v>13826</v>
      </c>
      <c r="B672" s="17" t="s">
        <v>13827</v>
      </c>
      <c r="C672" s="18" t="s">
        <v>151</v>
      </c>
      <c r="D672" s="17" t="s">
        <v>13828</v>
      </c>
      <c r="E672" s="17" t="s">
        <v>151</v>
      </c>
      <c r="F672" s="17" t="s">
        <v>13829</v>
      </c>
      <c r="G672" s="17" t="s">
        <v>151</v>
      </c>
      <c r="H672" s="17" t="s">
        <v>151</v>
      </c>
      <c r="I672" s="17" t="s">
        <v>151</v>
      </c>
      <c r="J672" s="17" t="s">
        <v>13826</v>
      </c>
      <c r="K672" s="17" t="s">
        <v>13830</v>
      </c>
      <c r="L672" s="17" t="s">
        <v>205</v>
      </c>
      <c r="M672" s="17" t="s">
        <v>206</v>
      </c>
      <c r="N672" s="17" t="s">
        <v>269</v>
      </c>
      <c r="O672" s="17" t="s">
        <v>865</v>
      </c>
      <c r="P672" s="17" t="s">
        <v>151</v>
      </c>
      <c r="Q672" s="17" t="s">
        <v>13831</v>
      </c>
      <c r="R672" s="17" t="s">
        <v>151</v>
      </c>
      <c r="S672" s="17" t="s">
        <v>162</v>
      </c>
      <c r="T672" s="24">
        <v>0.12</v>
      </c>
      <c r="U672" s="17" t="s">
        <v>163</v>
      </c>
      <c r="V672" s="17" t="s">
        <v>164</v>
      </c>
      <c r="W672" s="17" t="s">
        <v>165</v>
      </c>
      <c r="X672" s="15" t="s">
        <v>13832</v>
      </c>
      <c r="Y672" s="15" t="s">
        <v>13833</v>
      </c>
      <c r="Z672" s="27">
        <v>3</v>
      </c>
      <c r="AA672" s="17" t="s">
        <v>13834</v>
      </c>
      <c r="AB672" s="17" t="s">
        <v>151</v>
      </c>
      <c r="AC672" s="17" t="s">
        <v>151</v>
      </c>
      <c r="AD672" s="26" t="s">
        <v>151</v>
      </c>
      <c r="AE672" s="17" t="s">
        <v>151</v>
      </c>
      <c r="AF672" s="22">
        <v>45443</v>
      </c>
      <c r="AG672" s="17" t="s">
        <v>151</v>
      </c>
      <c r="AH672" s="17" t="s">
        <v>151</v>
      </c>
      <c r="AI672" s="25" t="s">
        <v>151</v>
      </c>
      <c r="AJ672" s="19" t="s">
        <v>151</v>
      </c>
      <c r="AK672" s="25" t="s">
        <v>151</v>
      </c>
      <c r="AL672" s="25" t="s">
        <v>151</v>
      </c>
      <c r="AM672" s="25" t="s">
        <v>151</v>
      </c>
      <c r="AN672" s="25" t="s">
        <v>151</v>
      </c>
      <c r="AO672" s="25" t="s">
        <v>151</v>
      </c>
      <c r="AP672" s="25" t="s">
        <v>151</v>
      </c>
      <c r="AQ672" s="25" t="s">
        <v>151</v>
      </c>
      <c r="AR672" s="16" t="s">
        <v>151</v>
      </c>
      <c r="AS672" s="17" t="s">
        <v>13835</v>
      </c>
      <c r="AT672" s="17" t="s">
        <v>13836</v>
      </c>
      <c r="AU672" s="18">
        <v>11</v>
      </c>
      <c r="AV672" s="17" t="s">
        <v>151</v>
      </c>
      <c r="AW672" s="17" t="s">
        <v>151</v>
      </c>
      <c r="AX672" s="17" t="s">
        <v>151</v>
      </c>
      <c r="AY672" s="17" t="s">
        <v>13837</v>
      </c>
      <c r="AZ672" s="17" t="s">
        <v>151</v>
      </c>
      <c r="BA672" s="17" t="s">
        <v>151</v>
      </c>
      <c r="BB672" s="17" t="s">
        <v>151</v>
      </c>
      <c r="BC672" s="17" t="s">
        <v>151</v>
      </c>
      <c r="BD672" s="17" t="s">
        <v>13838</v>
      </c>
      <c r="BE672" s="17" t="s">
        <v>13839</v>
      </c>
      <c r="BF672" s="17" t="s">
        <v>2427</v>
      </c>
      <c r="BG672" s="17" t="s">
        <v>13840</v>
      </c>
      <c r="BH672" s="17" t="s">
        <v>151</v>
      </c>
      <c r="BI672" s="17" t="s">
        <v>1710</v>
      </c>
      <c r="BJ672" s="17" t="s">
        <v>13841</v>
      </c>
      <c r="BK672" s="17" t="s">
        <v>151</v>
      </c>
      <c r="BL672" s="17" t="s">
        <v>1713</v>
      </c>
      <c r="BM672" s="17" t="s">
        <v>184</v>
      </c>
      <c r="BN672" s="16" t="s">
        <v>8666</v>
      </c>
      <c r="BO672" s="17" t="s">
        <v>186</v>
      </c>
      <c r="BP672" s="16" t="s">
        <v>151</v>
      </c>
      <c r="BQ672" s="16" t="s">
        <v>151</v>
      </c>
      <c r="BR672" s="17" t="s">
        <v>13842</v>
      </c>
      <c r="BS672" s="17" t="s">
        <v>187</v>
      </c>
      <c r="BT672" s="17" t="s">
        <v>188</v>
      </c>
      <c r="BU672" s="22">
        <v>43543</v>
      </c>
      <c r="BV672" s="24" t="s">
        <v>151</v>
      </c>
      <c r="BW672" s="17" t="s">
        <v>151</v>
      </c>
      <c r="BX672" s="24" t="s">
        <v>151</v>
      </c>
      <c r="BY672" s="17" t="s">
        <v>151</v>
      </c>
      <c r="BZ672" s="17" t="s">
        <v>189</v>
      </c>
      <c r="CA672" s="17" t="s">
        <v>151</v>
      </c>
      <c r="CB672" s="17" t="s">
        <v>151</v>
      </c>
      <c r="CC672" s="17" t="s">
        <v>190</v>
      </c>
      <c r="CD672" s="17" t="s">
        <v>151</v>
      </c>
      <c r="CE672" s="17" t="s">
        <v>191</v>
      </c>
      <c r="CF672" s="22">
        <v>44287</v>
      </c>
      <c r="CG672" s="24" t="s">
        <v>151</v>
      </c>
      <c r="CH672" s="17" t="s">
        <v>151</v>
      </c>
      <c r="CI672" s="24" t="s">
        <v>151</v>
      </c>
      <c r="CJ672" s="17" t="s">
        <v>151</v>
      </c>
      <c r="CK672" s="16" t="s">
        <v>151</v>
      </c>
      <c r="CL672" s="17" t="s">
        <v>231</v>
      </c>
      <c r="CM672" s="17" t="s">
        <v>151</v>
      </c>
      <c r="CN672" s="17" t="s">
        <v>151</v>
      </c>
      <c r="CO672" s="17" t="s">
        <v>165</v>
      </c>
      <c r="CP672" s="22">
        <v>44287</v>
      </c>
      <c r="CQ672" s="24" t="s">
        <v>151</v>
      </c>
      <c r="CR672" s="17" t="s">
        <v>151</v>
      </c>
      <c r="CS672" s="17" t="s">
        <v>191</v>
      </c>
      <c r="CT672" s="16">
        <v>12</v>
      </c>
      <c r="CU672" s="17" t="s">
        <v>263</v>
      </c>
      <c r="CV672" s="19">
        <v>13</v>
      </c>
      <c r="CW672" s="19">
        <v>87</v>
      </c>
      <c r="CX672" s="17" t="s">
        <v>263</v>
      </c>
      <c r="CY672" s="19">
        <v>1</v>
      </c>
      <c r="CZ672" s="19">
        <v>12</v>
      </c>
      <c r="DA672" s="24">
        <v>5</v>
      </c>
      <c r="DB672" s="22">
        <v>43855</v>
      </c>
      <c r="DC672" s="17" t="s">
        <v>293</v>
      </c>
      <c r="DD672" s="16" t="s">
        <v>151</v>
      </c>
      <c r="DE672" s="19">
        <v>0</v>
      </c>
      <c r="DF672" s="21">
        <v>11</v>
      </c>
      <c r="DG672" s="19">
        <v>0</v>
      </c>
      <c r="DH672" s="19">
        <v>0</v>
      </c>
      <c r="DI672" s="19">
        <v>0</v>
      </c>
      <c r="DJ672" s="21">
        <v>10</v>
      </c>
      <c r="DK672" s="19" t="s">
        <v>151</v>
      </c>
      <c r="DL672" s="21" t="s">
        <v>151</v>
      </c>
      <c r="DM672" s="19">
        <v>0</v>
      </c>
      <c r="DN672" s="21">
        <v>10</v>
      </c>
      <c r="DO672" s="23">
        <v>0.75</v>
      </c>
      <c r="DP672" s="21">
        <v>43</v>
      </c>
      <c r="DQ672" s="23">
        <v>0</v>
      </c>
      <c r="DR672" s="19">
        <v>0</v>
      </c>
      <c r="DS672" s="23">
        <v>1.26</v>
      </c>
      <c r="DT672" s="21">
        <v>55</v>
      </c>
      <c r="DU672" s="23" t="s">
        <v>151</v>
      </c>
      <c r="DV672" s="21" t="s">
        <v>151</v>
      </c>
      <c r="DW672" s="23">
        <v>1.26</v>
      </c>
      <c r="DX672" s="21">
        <v>55</v>
      </c>
      <c r="DY672" s="18" t="s">
        <v>151</v>
      </c>
      <c r="DZ672" s="22" t="s">
        <v>151</v>
      </c>
      <c r="EA672" s="22" t="s">
        <v>151</v>
      </c>
      <c r="EB672" s="21">
        <v>152</v>
      </c>
      <c r="EC672" s="20">
        <v>20</v>
      </c>
      <c r="ED672" s="19">
        <v>15.15</v>
      </c>
      <c r="EE672" s="21">
        <v>24</v>
      </c>
      <c r="EF672" s="20">
        <v>0</v>
      </c>
      <c r="EG672" s="19">
        <v>0</v>
      </c>
      <c r="EH672" s="16" t="s">
        <v>198</v>
      </c>
      <c r="EI672" s="17" t="s">
        <v>151</v>
      </c>
      <c r="EJ672" s="17" t="s">
        <v>151</v>
      </c>
      <c r="EK672" s="18" t="s">
        <v>151</v>
      </c>
      <c r="EL672" s="18" t="s">
        <v>151</v>
      </c>
      <c r="EM672" s="18" t="s">
        <v>151</v>
      </c>
      <c r="EN672" s="18" t="s">
        <v>151</v>
      </c>
      <c r="EO672" s="18" t="s">
        <v>151</v>
      </c>
      <c r="EP672" s="17" t="s">
        <v>151</v>
      </c>
      <c r="EQ672" s="16" t="s">
        <v>151</v>
      </c>
      <c r="ER672" s="16" t="s">
        <v>151</v>
      </c>
      <c r="ES672" s="3">
        <f>HYPERLINK("https://my.pitchbook.com?c=458215-30","View Company Online")</f>
      </c>
    </row>
    <row r="673">
      <c r="A673" s="30" t="s">
        <v>13843</v>
      </c>
      <c r="B673" s="30" t="s">
        <v>13844</v>
      </c>
      <c r="C673" s="31" t="s">
        <v>151</v>
      </c>
      <c r="D673" s="30" t="s">
        <v>151</v>
      </c>
      <c r="E673" s="30" t="s">
        <v>13845</v>
      </c>
      <c r="F673" s="30" t="s">
        <v>13846</v>
      </c>
      <c r="G673" s="30" t="s">
        <v>151</v>
      </c>
      <c r="H673" s="30" t="s">
        <v>151</v>
      </c>
      <c r="I673" s="30" t="s">
        <v>151</v>
      </c>
      <c r="J673" s="30" t="s">
        <v>13843</v>
      </c>
      <c r="K673" s="30" t="s">
        <v>13847</v>
      </c>
      <c r="L673" s="30" t="s">
        <v>155</v>
      </c>
      <c r="M673" s="30" t="s">
        <v>2320</v>
      </c>
      <c r="N673" s="30" t="s">
        <v>2321</v>
      </c>
      <c r="O673" s="30" t="s">
        <v>2322</v>
      </c>
      <c r="P673" s="30" t="s">
        <v>2773</v>
      </c>
      <c r="Q673" s="30" t="s">
        <v>13848</v>
      </c>
      <c r="R673" s="30" t="s">
        <v>151</v>
      </c>
      <c r="S673" s="30" t="s">
        <v>162</v>
      </c>
      <c r="T673" s="37">
        <v>6</v>
      </c>
      <c r="U673" s="30" t="s">
        <v>163</v>
      </c>
      <c r="V673" s="30" t="s">
        <v>164</v>
      </c>
      <c r="W673" s="30" t="s">
        <v>165</v>
      </c>
      <c r="X673" s="28" t="s">
        <v>13849</v>
      </c>
      <c r="Y673" s="28" t="s">
        <v>13850</v>
      </c>
      <c r="Z673" s="40">
        <v>40</v>
      </c>
      <c r="AA673" s="30" t="s">
        <v>13851</v>
      </c>
      <c r="AB673" s="30" t="s">
        <v>151</v>
      </c>
      <c r="AC673" s="30" t="s">
        <v>151</v>
      </c>
      <c r="AD673" s="39">
        <v>2021</v>
      </c>
      <c r="AE673" s="30" t="s">
        <v>151</v>
      </c>
      <c r="AF673" s="35">
        <v>45617</v>
      </c>
      <c r="AG673" s="30" t="s">
        <v>151</v>
      </c>
      <c r="AH673" s="30" t="s">
        <v>151</v>
      </c>
      <c r="AI673" s="38" t="s">
        <v>151</v>
      </c>
      <c r="AJ673" s="32" t="s">
        <v>151</v>
      </c>
      <c r="AK673" s="38" t="s">
        <v>151</v>
      </c>
      <c r="AL673" s="38" t="s">
        <v>151</v>
      </c>
      <c r="AM673" s="38" t="s">
        <v>151</v>
      </c>
      <c r="AN673" s="38" t="s">
        <v>151</v>
      </c>
      <c r="AO673" s="38" t="s">
        <v>151</v>
      </c>
      <c r="AP673" s="38" t="s">
        <v>151</v>
      </c>
      <c r="AQ673" s="38" t="s">
        <v>151</v>
      </c>
      <c r="AR673" s="29" t="s">
        <v>151</v>
      </c>
      <c r="AS673" s="30" t="s">
        <v>13852</v>
      </c>
      <c r="AT673" s="30" t="s">
        <v>13853</v>
      </c>
      <c r="AU673" s="31">
        <v>7</v>
      </c>
      <c r="AV673" s="30" t="s">
        <v>151</v>
      </c>
      <c r="AW673" s="30" t="s">
        <v>151</v>
      </c>
      <c r="AX673" s="30" t="s">
        <v>151</v>
      </c>
      <c r="AY673" s="30" t="s">
        <v>13854</v>
      </c>
      <c r="AZ673" s="30" t="s">
        <v>151</v>
      </c>
      <c r="BA673" s="30" t="s">
        <v>151</v>
      </c>
      <c r="BB673" s="30" t="s">
        <v>151</v>
      </c>
      <c r="BC673" s="30" t="s">
        <v>4213</v>
      </c>
      <c r="BD673" s="30" t="s">
        <v>13855</v>
      </c>
      <c r="BE673" s="30" t="s">
        <v>13856</v>
      </c>
      <c r="BF673" s="30" t="s">
        <v>430</v>
      </c>
      <c r="BG673" s="30" t="s">
        <v>13857</v>
      </c>
      <c r="BH673" s="30" t="s">
        <v>151</v>
      </c>
      <c r="BI673" s="30" t="s">
        <v>13858</v>
      </c>
      <c r="BJ673" s="30" t="s">
        <v>13859</v>
      </c>
      <c r="BK673" s="30" t="s">
        <v>13860</v>
      </c>
      <c r="BL673" s="30" t="s">
        <v>13861</v>
      </c>
      <c r="BM673" s="30" t="s">
        <v>1576</v>
      </c>
      <c r="BN673" s="29" t="s">
        <v>13862</v>
      </c>
      <c r="BO673" s="30" t="s">
        <v>186</v>
      </c>
      <c r="BP673" s="29" t="s">
        <v>151</v>
      </c>
      <c r="BQ673" s="29" t="s">
        <v>151</v>
      </c>
      <c r="BR673" s="30" t="s">
        <v>13863</v>
      </c>
      <c r="BS673" s="30" t="s">
        <v>187</v>
      </c>
      <c r="BT673" s="30" t="s">
        <v>188</v>
      </c>
      <c r="BU673" s="35">
        <v>45313</v>
      </c>
      <c r="BV673" s="37">
        <v>6</v>
      </c>
      <c r="BW673" s="30" t="s">
        <v>192</v>
      </c>
      <c r="BX673" s="37" t="s">
        <v>151</v>
      </c>
      <c r="BY673" s="30" t="s">
        <v>151</v>
      </c>
      <c r="BZ673" s="30" t="s">
        <v>293</v>
      </c>
      <c r="CA673" s="30" t="s">
        <v>293</v>
      </c>
      <c r="CB673" s="30" t="s">
        <v>151</v>
      </c>
      <c r="CC673" s="30" t="s">
        <v>165</v>
      </c>
      <c r="CD673" s="30" t="s">
        <v>151</v>
      </c>
      <c r="CE673" s="30" t="s">
        <v>191</v>
      </c>
      <c r="CF673" s="35">
        <v>45313</v>
      </c>
      <c r="CG673" s="37">
        <v>6</v>
      </c>
      <c r="CH673" s="30" t="s">
        <v>192</v>
      </c>
      <c r="CI673" s="37" t="s">
        <v>151</v>
      </c>
      <c r="CJ673" s="30" t="s">
        <v>151</v>
      </c>
      <c r="CK673" s="29" t="s">
        <v>151</v>
      </c>
      <c r="CL673" s="30" t="s">
        <v>293</v>
      </c>
      <c r="CM673" s="30" t="s">
        <v>293</v>
      </c>
      <c r="CN673" s="30" t="s">
        <v>151</v>
      </c>
      <c r="CO673" s="30" t="s">
        <v>165</v>
      </c>
      <c r="CP673" s="35">
        <v>45313</v>
      </c>
      <c r="CQ673" s="37" t="s">
        <v>151</v>
      </c>
      <c r="CR673" s="30" t="s">
        <v>151</v>
      </c>
      <c r="CS673" s="30" t="s">
        <v>191</v>
      </c>
      <c r="CT673" s="29" t="s">
        <v>151</v>
      </c>
      <c r="CU673" s="30" t="s">
        <v>151</v>
      </c>
      <c r="CV673" s="32" t="s">
        <v>151</v>
      </c>
      <c r="CW673" s="32" t="s">
        <v>151</v>
      </c>
      <c r="CX673" s="30" t="s">
        <v>151</v>
      </c>
      <c r="CY673" s="32" t="s">
        <v>151</v>
      </c>
      <c r="CZ673" s="32" t="s">
        <v>151</v>
      </c>
      <c r="DA673" s="37" t="s">
        <v>151</v>
      </c>
      <c r="DB673" s="35" t="s">
        <v>151</v>
      </c>
      <c r="DC673" s="30" t="s">
        <v>151</v>
      </c>
      <c r="DD673" s="29" t="s">
        <v>151</v>
      </c>
      <c r="DE673" s="32">
        <v>0.49</v>
      </c>
      <c r="DF673" s="34">
        <v>94</v>
      </c>
      <c r="DG673" s="32">
        <v>0</v>
      </c>
      <c r="DH673" s="32">
        <v>0</v>
      </c>
      <c r="DI673" s="32">
        <v>0</v>
      </c>
      <c r="DJ673" s="34">
        <v>10</v>
      </c>
      <c r="DK673" s="32" t="s">
        <v>151</v>
      </c>
      <c r="DL673" s="34" t="s">
        <v>151</v>
      </c>
      <c r="DM673" s="32">
        <v>0</v>
      </c>
      <c r="DN673" s="34">
        <v>10</v>
      </c>
      <c r="DO673" s="36">
        <v>3.7</v>
      </c>
      <c r="DP673" s="34">
        <v>78</v>
      </c>
      <c r="DQ673" s="36">
        <v>0</v>
      </c>
      <c r="DR673" s="32">
        <v>0</v>
      </c>
      <c r="DS673" s="36">
        <v>4.32</v>
      </c>
      <c r="DT673" s="34">
        <v>80</v>
      </c>
      <c r="DU673" s="36" t="s">
        <v>151</v>
      </c>
      <c r="DV673" s="34" t="s">
        <v>151</v>
      </c>
      <c r="DW673" s="36">
        <v>4.32</v>
      </c>
      <c r="DX673" s="34">
        <v>80</v>
      </c>
      <c r="DY673" s="31" t="s">
        <v>151</v>
      </c>
      <c r="DZ673" s="35" t="s">
        <v>151</v>
      </c>
      <c r="EA673" s="35" t="s">
        <v>151</v>
      </c>
      <c r="EB673" s="34">
        <v>6110</v>
      </c>
      <c r="EC673" s="33">
        <v>-114</v>
      </c>
      <c r="ED673" s="32">
        <v>-1.83</v>
      </c>
      <c r="EE673" s="34">
        <v>82</v>
      </c>
      <c r="EF673" s="33">
        <v>4</v>
      </c>
      <c r="EG673" s="32">
        <v>5.13</v>
      </c>
      <c r="EH673" s="29" t="s">
        <v>198</v>
      </c>
      <c r="EI673" s="30" t="s">
        <v>151</v>
      </c>
      <c r="EJ673" s="30" t="s">
        <v>151</v>
      </c>
      <c r="EK673" s="31" t="s">
        <v>151</v>
      </c>
      <c r="EL673" s="31" t="s">
        <v>151</v>
      </c>
      <c r="EM673" s="31" t="s">
        <v>151</v>
      </c>
      <c r="EN673" s="31" t="s">
        <v>151</v>
      </c>
      <c r="EO673" s="31" t="s">
        <v>151</v>
      </c>
      <c r="EP673" s="30" t="s">
        <v>151</v>
      </c>
      <c r="EQ673" s="29" t="s">
        <v>151</v>
      </c>
      <c r="ER673" s="29" t="s">
        <v>151</v>
      </c>
      <c r="ES673" s="4">
        <f>HYPERLINK("https://my.pitchbook.com?c=553181-59","View Company Online")</f>
      </c>
    </row>
    <row r="674">
      <c r="A674" s="17" t="s">
        <v>13864</v>
      </c>
      <c r="B674" s="17" t="s">
        <v>13865</v>
      </c>
      <c r="C674" s="18" t="s">
        <v>151</v>
      </c>
      <c r="D674" s="17" t="s">
        <v>151</v>
      </c>
      <c r="E674" s="17" t="s">
        <v>151</v>
      </c>
      <c r="F674" s="17" t="s">
        <v>13866</v>
      </c>
      <c r="G674" s="17" t="s">
        <v>151</v>
      </c>
      <c r="H674" s="17" t="s">
        <v>151</v>
      </c>
      <c r="I674" s="17" t="s">
        <v>151</v>
      </c>
      <c r="J674" s="17" t="s">
        <v>13864</v>
      </c>
      <c r="K674" s="17" t="s">
        <v>13867</v>
      </c>
      <c r="L674" s="17" t="s">
        <v>205</v>
      </c>
      <c r="M674" s="17" t="s">
        <v>206</v>
      </c>
      <c r="N674" s="17" t="s">
        <v>269</v>
      </c>
      <c r="O674" s="17" t="s">
        <v>563</v>
      </c>
      <c r="P674" s="17" t="s">
        <v>2922</v>
      </c>
      <c r="Q674" s="17" t="s">
        <v>13868</v>
      </c>
      <c r="R674" s="17" t="s">
        <v>151</v>
      </c>
      <c r="S674" s="17" t="s">
        <v>162</v>
      </c>
      <c r="T674" s="24">
        <v>5.7</v>
      </c>
      <c r="U674" s="17" t="s">
        <v>163</v>
      </c>
      <c r="V674" s="17" t="s">
        <v>164</v>
      </c>
      <c r="W674" s="17" t="s">
        <v>165</v>
      </c>
      <c r="X674" s="15" t="s">
        <v>13869</v>
      </c>
      <c r="Y674" s="15" t="s">
        <v>13870</v>
      </c>
      <c r="Z674" s="27">
        <v>32</v>
      </c>
      <c r="AA674" s="17" t="s">
        <v>13871</v>
      </c>
      <c r="AB674" s="17" t="s">
        <v>151</v>
      </c>
      <c r="AC674" s="17" t="s">
        <v>151</v>
      </c>
      <c r="AD674" s="26">
        <v>2021</v>
      </c>
      <c r="AE674" s="17" t="s">
        <v>151</v>
      </c>
      <c r="AF674" s="22">
        <v>45390</v>
      </c>
      <c r="AG674" s="17" t="s">
        <v>151</v>
      </c>
      <c r="AH674" s="17" t="s">
        <v>151</v>
      </c>
      <c r="AI674" s="25" t="s">
        <v>151</v>
      </c>
      <c r="AJ674" s="19" t="s">
        <v>151</v>
      </c>
      <c r="AK674" s="25" t="s">
        <v>151</v>
      </c>
      <c r="AL674" s="25" t="s">
        <v>151</v>
      </c>
      <c r="AM674" s="25" t="s">
        <v>151</v>
      </c>
      <c r="AN674" s="25" t="s">
        <v>151</v>
      </c>
      <c r="AO674" s="25" t="s">
        <v>151</v>
      </c>
      <c r="AP674" s="25" t="s">
        <v>151</v>
      </c>
      <c r="AQ674" s="25" t="s">
        <v>151</v>
      </c>
      <c r="AR674" s="16" t="s">
        <v>151</v>
      </c>
      <c r="AS674" s="17" t="s">
        <v>13872</v>
      </c>
      <c r="AT674" s="17" t="s">
        <v>13873</v>
      </c>
      <c r="AU674" s="18">
        <v>1</v>
      </c>
      <c r="AV674" s="17" t="s">
        <v>151</v>
      </c>
      <c r="AW674" s="17" t="s">
        <v>151</v>
      </c>
      <c r="AX674" s="17" t="s">
        <v>151</v>
      </c>
      <c r="AY674" s="17" t="s">
        <v>13874</v>
      </c>
      <c r="AZ674" s="17" t="s">
        <v>151</v>
      </c>
      <c r="BA674" s="17" t="s">
        <v>151</v>
      </c>
      <c r="BB674" s="17" t="s">
        <v>151</v>
      </c>
      <c r="BC674" s="17" t="s">
        <v>151</v>
      </c>
      <c r="BD674" s="17" t="s">
        <v>13875</v>
      </c>
      <c r="BE674" s="17" t="s">
        <v>13876</v>
      </c>
      <c r="BF674" s="17" t="s">
        <v>493</v>
      </c>
      <c r="BG674" s="17" t="s">
        <v>13877</v>
      </c>
      <c r="BH674" s="17" t="s">
        <v>13878</v>
      </c>
      <c r="BI674" s="17" t="s">
        <v>13879</v>
      </c>
      <c r="BJ674" s="17" t="s">
        <v>13880</v>
      </c>
      <c r="BK674" s="17" t="s">
        <v>151</v>
      </c>
      <c r="BL674" s="17" t="s">
        <v>6127</v>
      </c>
      <c r="BM674" s="17" t="s">
        <v>2591</v>
      </c>
      <c r="BN674" s="16" t="s">
        <v>13881</v>
      </c>
      <c r="BO674" s="17" t="s">
        <v>186</v>
      </c>
      <c r="BP674" s="16" t="s">
        <v>13878</v>
      </c>
      <c r="BQ674" s="16" t="s">
        <v>151</v>
      </c>
      <c r="BR674" s="17" t="s">
        <v>151</v>
      </c>
      <c r="BS674" s="17" t="s">
        <v>187</v>
      </c>
      <c r="BT674" s="17" t="s">
        <v>188</v>
      </c>
      <c r="BU674" s="22">
        <v>45079</v>
      </c>
      <c r="BV674" s="24">
        <v>2.8</v>
      </c>
      <c r="BW674" s="17" t="s">
        <v>192</v>
      </c>
      <c r="BX674" s="24" t="s">
        <v>151</v>
      </c>
      <c r="BY674" s="17" t="s">
        <v>151</v>
      </c>
      <c r="BZ674" s="17" t="s">
        <v>293</v>
      </c>
      <c r="CA674" s="17" t="s">
        <v>293</v>
      </c>
      <c r="CB674" s="17" t="s">
        <v>151</v>
      </c>
      <c r="CC674" s="17" t="s">
        <v>165</v>
      </c>
      <c r="CD674" s="17" t="s">
        <v>151</v>
      </c>
      <c r="CE674" s="17" t="s">
        <v>191</v>
      </c>
      <c r="CF674" s="22">
        <v>45359</v>
      </c>
      <c r="CG674" s="24">
        <v>2.9</v>
      </c>
      <c r="CH674" s="17" t="s">
        <v>192</v>
      </c>
      <c r="CI674" s="24" t="s">
        <v>151</v>
      </c>
      <c r="CJ674" s="17" t="s">
        <v>151</v>
      </c>
      <c r="CK674" s="16" t="s">
        <v>151</v>
      </c>
      <c r="CL674" s="17" t="s">
        <v>231</v>
      </c>
      <c r="CM674" s="17" t="s">
        <v>151</v>
      </c>
      <c r="CN674" s="17" t="s">
        <v>151</v>
      </c>
      <c r="CO674" s="17" t="s">
        <v>165</v>
      </c>
      <c r="CP674" s="22">
        <v>45359</v>
      </c>
      <c r="CQ674" s="24" t="s">
        <v>151</v>
      </c>
      <c r="CR674" s="17" t="s">
        <v>151</v>
      </c>
      <c r="CS674" s="17" t="s">
        <v>191</v>
      </c>
      <c r="CT674" s="16">
        <v>34</v>
      </c>
      <c r="CU674" s="17" t="s">
        <v>263</v>
      </c>
      <c r="CV674" s="19">
        <v>35</v>
      </c>
      <c r="CW674" s="19">
        <v>65</v>
      </c>
      <c r="CX674" s="17" t="s">
        <v>263</v>
      </c>
      <c r="CY674" s="19">
        <v>1</v>
      </c>
      <c r="CZ674" s="19">
        <v>34</v>
      </c>
      <c r="DA674" s="24" t="s">
        <v>151</v>
      </c>
      <c r="DB674" s="22" t="s">
        <v>151</v>
      </c>
      <c r="DC674" s="17" t="s">
        <v>151</v>
      </c>
      <c r="DD674" s="16" t="s">
        <v>151</v>
      </c>
      <c r="DE674" s="19">
        <v>0.33</v>
      </c>
      <c r="DF674" s="21">
        <v>93</v>
      </c>
      <c r="DG674" s="19">
        <v>0</v>
      </c>
      <c r="DH674" s="19">
        <v>0</v>
      </c>
      <c r="DI674" s="19">
        <v>0</v>
      </c>
      <c r="DJ674" s="21">
        <v>10</v>
      </c>
      <c r="DK674" s="19">
        <v>0</v>
      </c>
      <c r="DL674" s="21">
        <v>11</v>
      </c>
      <c r="DM674" s="19">
        <v>0</v>
      </c>
      <c r="DN674" s="21">
        <v>10</v>
      </c>
      <c r="DO674" s="23">
        <v>2.54</v>
      </c>
      <c r="DP674" s="21">
        <v>71</v>
      </c>
      <c r="DQ674" s="23">
        <v>0</v>
      </c>
      <c r="DR674" s="19">
        <v>0</v>
      </c>
      <c r="DS674" s="23">
        <v>2.08</v>
      </c>
      <c r="DT674" s="21">
        <v>67</v>
      </c>
      <c r="DU674" s="23">
        <v>1.8</v>
      </c>
      <c r="DV674" s="21">
        <v>68</v>
      </c>
      <c r="DW674" s="23">
        <v>2.37</v>
      </c>
      <c r="DX674" s="21">
        <v>69</v>
      </c>
      <c r="DY674" s="18" t="s">
        <v>151</v>
      </c>
      <c r="DZ674" s="22" t="s">
        <v>151</v>
      </c>
      <c r="EA674" s="22" t="s">
        <v>151</v>
      </c>
      <c r="EB674" s="21">
        <v>367</v>
      </c>
      <c r="EC674" s="20">
        <v>36</v>
      </c>
      <c r="ED674" s="19">
        <v>10.88</v>
      </c>
      <c r="EE674" s="21">
        <v>45</v>
      </c>
      <c r="EF674" s="20">
        <v>0</v>
      </c>
      <c r="EG674" s="19">
        <v>0</v>
      </c>
      <c r="EH674" s="16" t="s">
        <v>198</v>
      </c>
      <c r="EI674" s="17" t="s">
        <v>151</v>
      </c>
      <c r="EJ674" s="17" t="s">
        <v>151</v>
      </c>
      <c r="EK674" s="18" t="s">
        <v>151</v>
      </c>
      <c r="EL674" s="18" t="s">
        <v>151</v>
      </c>
      <c r="EM674" s="18" t="s">
        <v>151</v>
      </c>
      <c r="EN674" s="18" t="s">
        <v>151</v>
      </c>
      <c r="EO674" s="18" t="s">
        <v>151</v>
      </c>
      <c r="EP674" s="17" t="s">
        <v>151</v>
      </c>
      <c r="EQ674" s="16" t="s">
        <v>151</v>
      </c>
      <c r="ER674" s="16" t="s">
        <v>151</v>
      </c>
      <c r="ES674" s="3">
        <f>HYPERLINK("https://my.pitchbook.com?c=528787-27","View Company Online")</f>
      </c>
    </row>
    <row r="675">
      <c r="A675" s="30" t="s">
        <v>13882</v>
      </c>
      <c r="B675" s="30" t="s">
        <v>13883</v>
      </c>
      <c r="C675" s="31" t="s">
        <v>151</v>
      </c>
      <c r="D675" s="30" t="s">
        <v>151</v>
      </c>
      <c r="E675" s="30" t="s">
        <v>13884</v>
      </c>
      <c r="F675" s="30" t="s">
        <v>13885</v>
      </c>
      <c r="G675" s="30" t="s">
        <v>151</v>
      </c>
      <c r="H675" s="30" t="s">
        <v>151</v>
      </c>
      <c r="I675" s="30" t="s">
        <v>151</v>
      </c>
      <c r="J675" s="30" t="s">
        <v>13882</v>
      </c>
      <c r="K675" s="30" t="s">
        <v>13886</v>
      </c>
      <c r="L675" s="30" t="s">
        <v>205</v>
      </c>
      <c r="M675" s="30" t="s">
        <v>206</v>
      </c>
      <c r="N675" s="30" t="s">
        <v>1268</v>
      </c>
      <c r="O675" s="30" t="s">
        <v>2129</v>
      </c>
      <c r="P675" s="30" t="s">
        <v>2279</v>
      </c>
      <c r="Q675" s="30" t="s">
        <v>13887</v>
      </c>
      <c r="R675" s="30" t="s">
        <v>151</v>
      </c>
      <c r="S675" s="30" t="s">
        <v>162</v>
      </c>
      <c r="T675" s="37">
        <v>1.12</v>
      </c>
      <c r="U675" s="30" t="s">
        <v>163</v>
      </c>
      <c r="V675" s="30" t="s">
        <v>164</v>
      </c>
      <c r="W675" s="30" t="s">
        <v>165</v>
      </c>
      <c r="X675" s="28" t="s">
        <v>13888</v>
      </c>
      <c r="Y675" s="28" t="s">
        <v>13889</v>
      </c>
      <c r="Z675" s="40">
        <v>2</v>
      </c>
      <c r="AA675" s="30" t="s">
        <v>13890</v>
      </c>
      <c r="AB675" s="30" t="s">
        <v>151</v>
      </c>
      <c r="AC675" s="30" t="s">
        <v>151</v>
      </c>
      <c r="AD675" s="39">
        <v>2021</v>
      </c>
      <c r="AE675" s="30" t="s">
        <v>151</v>
      </c>
      <c r="AF675" s="35">
        <v>45568</v>
      </c>
      <c r="AG675" s="30" t="s">
        <v>151</v>
      </c>
      <c r="AH675" s="30" t="s">
        <v>151</v>
      </c>
      <c r="AI675" s="38" t="s">
        <v>151</v>
      </c>
      <c r="AJ675" s="32" t="s">
        <v>151</v>
      </c>
      <c r="AK675" s="38" t="s">
        <v>151</v>
      </c>
      <c r="AL675" s="38" t="s">
        <v>151</v>
      </c>
      <c r="AM675" s="38" t="s">
        <v>151</v>
      </c>
      <c r="AN675" s="38" t="s">
        <v>151</v>
      </c>
      <c r="AO675" s="38" t="s">
        <v>151</v>
      </c>
      <c r="AP675" s="38" t="s">
        <v>151</v>
      </c>
      <c r="AQ675" s="38" t="s">
        <v>151</v>
      </c>
      <c r="AR675" s="29" t="s">
        <v>151</v>
      </c>
      <c r="AS675" s="30" t="s">
        <v>13891</v>
      </c>
      <c r="AT675" s="30" t="s">
        <v>13892</v>
      </c>
      <c r="AU675" s="31">
        <v>3</v>
      </c>
      <c r="AV675" s="30" t="s">
        <v>151</v>
      </c>
      <c r="AW675" s="30" t="s">
        <v>151</v>
      </c>
      <c r="AX675" s="30" t="s">
        <v>151</v>
      </c>
      <c r="AY675" s="30" t="s">
        <v>13893</v>
      </c>
      <c r="AZ675" s="30" t="s">
        <v>151</v>
      </c>
      <c r="BA675" s="30" t="s">
        <v>151</v>
      </c>
      <c r="BB675" s="30" t="s">
        <v>151</v>
      </c>
      <c r="BC675" s="30" t="s">
        <v>151</v>
      </c>
      <c r="BD675" s="30" t="s">
        <v>13894</v>
      </c>
      <c r="BE675" s="30" t="s">
        <v>13895</v>
      </c>
      <c r="BF675" s="30" t="s">
        <v>403</v>
      </c>
      <c r="BG675" s="30" t="s">
        <v>13896</v>
      </c>
      <c r="BH675" s="30" t="s">
        <v>13897</v>
      </c>
      <c r="BI675" s="30" t="s">
        <v>1409</v>
      </c>
      <c r="BJ675" s="30" t="s">
        <v>151</v>
      </c>
      <c r="BK675" s="30" t="s">
        <v>151</v>
      </c>
      <c r="BL675" s="30" t="s">
        <v>1412</v>
      </c>
      <c r="BM675" s="30" t="s">
        <v>823</v>
      </c>
      <c r="BN675" s="29" t="s">
        <v>151</v>
      </c>
      <c r="BO675" s="30" t="s">
        <v>186</v>
      </c>
      <c r="BP675" s="29" t="s">
        <v>13897</v>
      </c>
      <c r="BQ675" s="29" t="s">
        <v>151</v>
      </c>
      <c r="BR675" s="30" t="s">
        <v>13898</v>
      </c>
      <c r="BS675" s="30" t="s">
        <v>187</v>
      </c>
      <c r="BT675" s="30" t="s">
        <v>188</v>
      </c>
      <c r="BU675" s="35">
        <v>44476</v>
      </c>
      <c r="BV675" s="37">
        <v>1</v>
      </c>
      <c r="BW675" s="30" t="s">
        <v>192</v>
      </c>
      <c r="BX675" s="37" t="s">
        <v>151</v>
      </c>
      <c r="BY675" s="30" t="s">
        <v>151</v>
      </c>
      <c r="BZ675" s="30" t="s">
        <v>293</v>
      </c>
      <c r="CA675" s="30" t="s">
        <v>293</v>
      </c>
      <c r="CB675" s="30" t="s">
        <v>151</v>
      </c>
      <c r="CC675" s="30" t="s">
        <v>165</v>
      </c>
      <c r="CD675" s="30" t="s">
        <v>151</v>
      </c>
      <c r="CE675" s="30" t="s">
        <v>191</v>
      </c>
      <c r="CF675" s="35">
        <v>44936</v>
      </c>
      <c r="CG675" s="37">
        <v>0.12</v>
      </c>
      <c r="CH675" s="30" t="s">
        <v>192</v>
      </c>
      <c r="CI675" s="37">
        <v>2</v>
      </c>
      <c r="CJ675" s="30" t="s">
        <v>192</v>
      </c>
      <c r="CK675" s="29" t="s">
        <v>151</v>
      </c>
      <c r="CL675" s="30" t="s">
        <v>189</v>
      </c>
      <c r="CM675" s="30" t="s">
        <v>151</v>
      </c>
      <c r="CN675" s="30" t="s">
        <v>151</v>
      </c>
      <c r="CO675" s="30" t="s">
        <v>190</v>
      </c>
      <c r="CP675" s="35">
        <v>44936</v>
      </c>
      <c r="CQ675" s="37" t="s">
        <v>151</v>
      </c>
      <c r="CR675" s="30" t="s">
        <v>151</v>
      </c>
      <c r="CS675" s="30" t="s">
        <v>191</v>
      </c>
      <c r="CT675" s="29" t="s">
        <v>151</v>
      </c>
      <c r="CU675" s="30" t="s">
        <v>151</v>
      </c>
      <c r="CV675" s="32" t="s">
        <v>151</v>
      </c>
      <c r="CW675" s="32" t="s">
        <v>151</v>
      </c>
      <c r="CX675" s="30" t="s">
        <v>151</v>
      </c>
      <c r="CY675" s="32" t="s">
        <v>151</v>
      </c>
      <c r="CZ675" s="32" t="s">
        <v>151</v>
      </c>
      <c r="DA675" s="37">
        <v>2</v>
      </c>
      <c r="DB675" s="35">
        <v>44936</v>
      </c>
      <c r="DC675" s="30" t="s">
        <v>189</v>
      </c>
      <c r="DD675" s="29" t="s">
        <v>151</v>
      </c>
      <c r="DE675" s="32">
        <v>0</v>
      </c>
      <c r="DF675" s="34">
        <v>11</v>
      </c>
      <c r="DG675" s="32">
        <v>0</v>
      </c>
      <c r="DH675" s="32">
        <v>0</v>
      </c>
      <c r="DI675" s="32">
        <v>0</v>
      </c>
      <c r="DJ675" s="34">
        <v>10</v>
      </c>
      <c r="DK675" s="32" t="s">
        <v>151</v>
      </c>
      <c r="DL675" s="34" t="s">
        <v>151</v>
      </c>
      <c r="DM675" s="32">
        <v>0</v>
      </c>
      <c r="DN675" s="34">
        <v>10</v>
      </c>
      <c r="DO675" s="36">
        <v>2.42</v>
      </c>
      <c r="DP675" s="34">
        <v>70</v>
      </c>
      <c r="DQ675" s="36">
        <v>0</v>
      </c>
      <c r="DR675" s="32">
        <v>0</v>
      </c>
      <c r="DS675" s="36">
        <v>2.42</v>
      </c>
      <c r="DT675" s="34">
        <v>70</v>
      </c>
      <c r="DU675" s="36" t="s">
        <v>151</v>
      </c>
      <c r="DV675" s="34" t="s">
        <v>151</v>
      </c>
      <c r="DW675" s="36">
        <v>2.42</v>
      </c>
      <c r="DX675" s="34">
        <v>70</v>
      </c>
      <c r="DY675" s="31" t="s">
        <v>151</v>
      </c>
      <c r="DZ675" s="35" t="s">
        <v>151</v>
      </c>
      <c r="EA675" s="35" t="s">
        <v>151</v>
      </c>
      <c r="EB675" s="34">
        <v>0</v>
      </c>
      <c r="EC675" s="33">
        <v>0</v>
      </c>
      <c r="ED675" s="32">
        <v>0</v>
      </c>
      <c r="EE675" s="34">
        <v>46</v>
      </c>
      <c r="EF675" s="33">
        <v>0</v>
      </c>
      <c r="EG675" s="32">
        <v>0</v>
      </c>
      <c r="EH675" s="29" t="s">
        <v>198</v>
      </c>
      <c r="EI675" s="30" t="s">
        <v>151</v>
      </c>
      <c r="EJ675" s="30" t="s">
        <v>151</v>
      </c>
      <c r="EK675" s="31" t="s">
        <v>151</v>
      </c>
      <c r="EL675" s="31" t="s">
        <v>151</v>
      </c>
      <c r="EM675" s="31" t="s">
        <v>151</v>
      </c>
      <c r="EN675" s="31" t="s">
        <v>151</v>
      </c>
      <c r="EO675" s="31" t="s">
        <v>151</v>
      </c>
      <c r="EP675" s="30" t="s">
        <v>151</v>
      </c>
      <c r="EQ675" s="29" t="s">
        <v>151</v>
      </c>
      <c r="ER675" s="29" t="s">
        <v>151</v>
      </c>
      <c r="ES675" s="4">
        <f>HYPERLINK("https://my.pitchbook.com?c=521415-01","View Company Online")</f>
      </c>
    </row>
    <row r="676">
      <c r="A676" s="17" t="s">
        <v>13899</v>
      </c>
      <c r="B676" s="17" t="s">
        <v>13900</v>
      </c>
      <c r="C676" s="18" t="s">
        <v>151</v>
      </c>
      <c r="D676" s="17" t="s">
        <v>151</v>
      </c>
      <c r="E676" s="17" t="s">
        <v>151</v>
      </c>
      <c r="F676" s="17" t="s">
        <v>13901</v>
      </c>
      <c r="G676" s="17" t="s">
        <v>151</v>
      </c>
      <c r="H676" s="17" t="s">
        <v>151</v>
      </c>
      <c r="I676" s="17" t="s">
        <v>13902</v>
      </c>
      <c r="J676" s="17" t="s">
        <v>13899</v>
      </c>
      <c r="K676" s="17" t="s">
        <v>13903</v>
      </c>
      <c r="L676" s="17" t="s">
        <v>205</v>
      </c>
      <c r="M676" s="17" t="s">
        <v>206</v>
      </c>
      <c r="N676" s="17" t="s">
        <v>1082</v>
      </c>
      <c r="O676" s="17" t="s">
        <v>1607</v>
      </c>
      <c r="P676" s="17" t="s">
        <v>13904</v>
      </c>
      <c r="Q676" s="17" t="s">
        <v>13905</v>
      </c>
      <c r="R676" s="17" t="s">
        <v>151</v>
      </c>
      <c r="S676" s="17" t="s">
        <v>162</v>
      </c>
      <c r="T676" s="24">
        <v>8.6</v>
      </c>
      <c r="U676" s="17" t="s">
        <v>1727</v>
      </c>
      <c r="V676" s="17" t="s">
        <v>164</v>
      </c>
      <c r="W676" s="17" t="s">
        <v>165</v>
      </c>
      <c r="X676" s="15" t="s">
        <v>13906</v>
      </c>
      <c r="Y676" s="15" t="s">
        <v>13907</v>
      </c>
      <c r="Z676" s="27">
        <v>9</v>
      </c>
      <c r="AA676" s="17" t="s">
        <v>13908</v>
      </c>
      <c r="AB676" s="17" t="s">
        <v>151</v>
      </c>
      <c r="AC676" s="17" t="s">
        <v>151</v>
      </c>
      <c r="AD676" s="26">
        <v>2022</v>
      </c>
      <c r="AE676" s="17" t="s">
        <v>151</v>
      </c>
      <c r="AF676" s="22">
        <v>45589</v>
      </c>
      <c r="AG676" s="17" t="s">
        <v>151</v>
      </c>
      <c r="AH676" s="17" t="s">
        <v>151</v>
      </c>
      <c r="AI676" s="25" t="s">
        <v>151</v>
      </c>
      <c r="AJ676" s="19" t="s">
        <v>151</v>
      </c>
      <c r="AK676" s="25" t="s">
        <v>151</v>
      </c>
      <c r="AL676" s="25" t="s">
        <v>151</v>
      </c>
      <c r="AM676" s="25" t="s">
        <v>151</v>
      </c>
      <c r="AN676" s="25" t="s">
        <v>151</v>
      </c>
      <c r="AO676" s="25" t="s">
        <v>151</v>
      </c>
      <c r="AP676" s="25" t="s">
        <v>151</v>
      </c>
      <c r="AQ676" s="25" t="s">
        <v>151</v>
      </c>
      <c r="AR676" s="16" t="s">
        <v>151</v>
      </c>
      <c r="AS676" s="17" t="s">
        <v>13909</v>
      </c>
      <c r="AT676" s="17" t="s">
        <v>13910</v>
      </c>
      <c r="AU676" s="18">
        <v>12</v>
      </c>
      <c r="AV676" s="17" t="s">
        <v>151</v>
      </c>
      <c r="AW676" s="17" t="s">
        <v>151</v>
      </c>
      <c r="AX676" s="17" t="s">
        <v>151</v>
      </c>
      <c r="AY676" s="17" t="s">
        <v>13911</v>
      </c>
      <c r="AZ676" s="17" t="s">
        <v>151</v>
      </c>
      <c r="BA676" s="17" t="s">
        <v>151</v>
      </c>
      <c r="BB676" s="17" t="s">
        <v>151</v>
      </c>
      <c r="BC676" s="17" t="s">
        <v>4213</v>
      </c>
      <c r="BD676" s="17" t="s">
        <v>13912</v>
      </c>
      <c r="BE676" s="17" t="s">
        <v>13913</v>
      </c>
      <c r="BF676" s="17" t="s">
        <v>403</v>
      </c>
      <c r="BG676" s="17" t="s">
        <v>13914</v>
      </c>
      <c r="BH676" s="17" t="s">
        <v>13915</v>
      </c>
      <c r="BI676" s="17" t="s">
        <v>906</v>
      </c>
      <c r="BJ676" s="17" t="s">
        <v>13916</v>
      </c>
      <c r="BK676" s="17" t="s">
        <v>13917</v>
      </c>
      <c r="BL676" s="17" t="s">
        <v>259</v>
      </c>
      <c r="BM676" s="17" t="s">
        <v>259</v>
      </c>
      <c r="BN676" s="16" t="s">
        <v>1123</v>
      </c>
      <c r="BO676" s="17" t="s">
        <v>186</v>
      </c>
      <c r="BP676" s="16" t="s">
        <v>13915</v>
      </c>
      <c r="BQ676" s="16" t="s">
        <v>151</v>
      </c>
      <c r="BR676" s="17" t="s">
        <v>13918</v>
      </c>
      <c r="BS676" s="17" t="s">
        <v>187</v>
      </c>
      <c r="BT676" s="17" t="s">
        <v>188</v>
      </c>
      <c r="BU676" s="22">
        <v>44858</v>
      </c>
      <c r="BV676" s="24">
        <v>4.3</v>
      </c>
      <c r="BW676" s="17" t="s">
        <v>193</v>
      </c>
      <c r="BX676" s="24">
        <v>16.3</v>
      </c>
      <c r="BY676" s="17" t="s">
        <v>192</v>
      </c>
      <c r="BZ676" s="17" t="s">
        <v>293</v>
      </c>
      <c r="CA676" s="17" t="s">
        <v>293</v>
      </c>
      <c r="CB676" s="17" t="s">
        <v>151</v>
      </c>
      <c r="CC676" s="17" t="s">
        <v>165</v>
      </c>
      <c r="CD676" s="17" t="s">
        <v>151</v>
      </c>
      <c r="CE676" s="17" t="s">
        <v>191</v>
      </c>
      <c r="CF676" s="22">
        <v>45566</v>
      </c>
      <c r="CG676" s="24" t="s">
        <v>151</v>
      </c>
      <c r="CH676" s="17" t="s">
        <v>151</v>
      </c>
      <c r="CI676" s="24" t="s">
        <v>151</v>
      </c>
      <c r="CJ676" s="17" t="s">
        <v>151</v>
      </c>
      <c r="CK676" s="16" t="s">
        <v>151</v>
      </c>
      <c r="CL676" s="17" t="s">
        <v>231</v>
      </c>
      <c r="CM676" s="17" t="s">
        <v>151</v>
      </c>
      <c r="CN676" s="17" t="s">
        <v>151</v>
      </c>
      <c r="CO676" s="17" t="s">
        <v>165</v>
      </c>
      <c r="CP676" s="22">
        <v>45566</v>
      </c>
      <c r="CQ676" s="24" t="s">
        <v>151</v>
      </c>
      <c r="CR676" s="17" t="s">
        <v>151</v>
      </c>
      <c r="CS676" s="17" t="s">
        <v>191</v>
      </c>
      <c r="CT676" s="16">
        <v>67</v>
      </c>
      <c r="CU676" s="17" t="s">
        <v>196</v>
      </c>
      <c r="CV676" s="19">
        <v>63</v>
      </c>
      <c r="CW676" s="19">
        <v>37</v>
      </c>
      <c r="CX676" s="17" t="s">
        <v>294</v>
      </c>
      <c r="CY676" s="19">
        <v>1</v>
      </c>
      <c r="CZ676" s="19">
        <v>62</v>
      </c>
      <c r="DA676" s="24">
        <v>16.3</v>
      </c>
      <c r="DB676" s="22">
        <v>44858</v>
      </c>
      <c r="DC676" s="17" t="s">
        <v>293</v>
      </c>
      <c r="DD676" s="16" t="s">
        <v>151</v>
      </c>
      <c r="DE676" s="19">
        <v>0.89</v>
      </c>
      <c r="DF676" s="21">
        <v>96</v>
      </c>
      <c r="DG676" s="19">
        <v>0</v>
      </c>
      <c r="DH676" s="19">
        <v>0</v>
      </c>
      <c r="DI676" s="19">
        <v>0</v>
      </c>
      <c r="DJ676" s="21">
        <v>10</v>
      </c>
      <c r="DK676" s="19" t="s">
        <v>151</v>
      </c>
      <c r="DL676" s="21" t="s">
        <v>151</v>
      </c>
      <c r="DM676" s="19">
        <v>0</v>
      </c>
      <c r="DN676" s="21">
        <v>10</v>
      </c>
      <c r="DO676" s="23">
        <v>1.31</v>
      </c>
      <c r="DP676" s="21">
        <v>56</v>
      </c>
      <c r="DQ676" s="23">
        <v>0</v>
      </c>
      <c r="DR676" s="19">
        <v>0</v>
      </c>
      <c r="DS676" s="23">
        <v>2</v>
      </c>
      <c r="DT676" s="21">
        <v>66</v>
      </c>
      <c r="DU676" s="23" t="s">
        <v>151</v>
      </c>
      <c r="DV676" s="21" t="s">
        <v>151</v>
      </c>
      <c r="DW676" s="23">
        <v>2</v>
      </c>
      <c r="DX676" s="21">
        <v>65</v>
      </c>
      <c r="DY676" s="18" t="s">
        <v>151</v>
      </c>
      <c r="DZ676" s="22" t="s">
        <v>151</v>
      </c>
      <c r="EA676" s="22" t="s">
        <v>151</v>
      </c>
      <c r="EB676" s="21">
        <v>220</v>
      </c>
      <c r="EC676" s="20">
        <v>-44</v>
      </c>
      <c r="ED676" s="19">
        <v>-16.67</v>
      </c>
      <c r="EE676" s="21">
        <v>38</v>
      </c>
      <c r="EF676" s="20">
        <v>0</v>
      </c>
      <c r="EG676" s="19">
        <v>0</v>
      </c>
      <c r="EH676" s="16" t="s">
        <v>198</v>
      </c>
      <c r="EI676" s="17" t="s">
        <v>151</v>
      </c>
      <c r="EJ676" s="17" t="s">
        <v>151</v>
      </c>
      <c r="EK676" s="18" t="s">
        <v>151</v>
      </c>
      <c r="EL676" s="18" t="s">
        <v>151</v>
      </c>
      <c r="EM676" s="18" t="s">
        <v>151</v>
      </c>
      <c r="EN676" s="18" t="s">
        <v>151</v>
      </c>
      <c r="EO676" s="18" t="s">
        <v>151</v>
      </c>
      <c r="EP676" s="17" t="s">
        <v>151</v>
      </c>
      <c r="EQ676" s="16" t="s">
        <v>151</v>
      </c>
      <c r="ER676" s="16" t="s">
        <v>151</v>
      </c>
      <c r="ES676" s="3">
        <f>HYPERLINK("https://my.pitchbook.com?c=522128-89","View Company Online")</f>
      </c>
    </row>
    <row r="677">
      <c r="A677" s="30" t="s">
        <v>13919</v>
      </c>
      <c r="B677" s="30" t="s">
        <v>13920</v>
      </c>
      <c r="C677" s="31" t="s">
        <v>151</v>
      </c>
      <c r="D677" s="30" t="s">
        <v>151</v>
      </c>
      <c r="E677" s="30" t="s">
        <v>151</v>
      </c>
      <c r="F677" s="30" t="s">
        <v>13921</v>
      </c>
      <c r="G677" s="30" t="s">
        <v>151</v>
      </c>
      <c r="H677" s="30" t="s">
        <v>151</v>
      </c>
      <c r="I677" s="30" t="s">
        <v>151</v>
      </c>
      <c r="J677" s="30" t="s">
        <v>13919</v>
      </c>
      <c r="K677" s="30" t="s">
        <v>13922</v>
      </c>
      <c r="L677" s="30" t="s">
        <v>205</v>
      </c>
      <c r="M677" s="30" t="s">
        <v>206</v>
      </c>
      <c r="N677" s="30" t="s">
        <v>269</v>
      </c>
      <c r="O677" s="30" t="s">
        <v>13923</v>
      </c>
      <c r="P677" s="30" t="s">
        <v>4707</v>
      </c>
      <c r="Q677" s="30" t="s">
        <v>13924</v>
      </c>
      <c r="R677" s="30" t="s">
        <v>151</v>
      </c>
      <c r="S677" s="30" t="s">
        <v>162</v>
      </c>
      <c r="T677" s="37">
        <v>0.55</v>
      </c>
      <c r="U677" s="30" t="s">
        <v>163</v>
      </c>
      <c r="V677" s="30" t="s">
        <v>164</v>
      </c>
      <c r="W677" s="30" t="s">
        <v>165</v>
      </c>
      <c r="X677" s="28" t="s">
        <v>13925</v>
      </c>
      <c r="Y677" s="28" t="s">
        <v>13926</v>
      </c>
      <c r="Z677" s="40">
        <v>22</v>
      </c>
      <c r="AA677" s="30" t="s">
        <v>13927</v>
      </c>
      <c r="AB677" s="30" t="s">
        <v>151</v>
      </c>
      <c r="AC677" s="30" t="s">
        <v>151</v>
      </c>
      <c r="AD677" s="39">
        <v>2015</v>
      </c>
      <c r="AE677" s="30" t="s">
        <v>151</v>
      </c>
      <c r="AF677" s="35">
        <v>45569</v>
      </c>
      <c r="AG677" s="30" t="s">
        <v>151</v>
      </c>
      <c r="AH677" s="30" t="s">
        <v>151</v>
      </c>
      <c r="AI677" s="38" t="s">
        <v>151</v>
      </c>
      <c r="AJ677" s="32" t="s">
        <v>151</v>
      </c>
      <c r="AK677" s="38" t="s">
        <v>151</v>
      </c>
      <c r="AL677" s="38" t="s">
        <v>151</v>
      </c>
      <c r="AM677" s="38" t="s">
        <v>151</v>
      </c>
      <c r="AN677" s="38" t="s">
        <v>151</v>
      </c>
      <c r="AO677" s="38" t="s">
        <v>151</v>
      </c>
      <c r="AP677" s="38" t="s">
        <v>151</v>
      </c>
      <c r="AQ677" s="38" t="s">
        <v>151</v>
      </c>
      <c r="AR677" s="29" t="s">
        <v>151</v>
      </c>
      <c r="AS677" s="30" t="s">
        <v>13928</v>
      </c>
      <c r="AT677" s="30" t="s">
        <v>13929</v>
      </c>
      <c r="AU677" s="31">
        <v>3</v>
      </c>
      <c r="AV677" s="30" t="s">
        <v>151</v>
      </c>
      <c r="AW677" s="30" t="s">
        <v>151</v>
      </c>
      <c r="AX677" s="30" t="s">
        <v>151</v>
      </c>
      <c r="AY677" s="30" t="s">
        <v>13930</v>
      </c>
      <c r="AZ677" s="30" t="s">
        <v>151</v>
      </c>
      <c r="BA677" s="30" t="s">
        <v>151</v>
      </c>
      <c r="BB677" s="30" t="s">
        <v>13931</v>
      </c>
      <c r="BC677" s="30" t="s">
        <v>151</v>
      </c>
      <c r="BD677" s="30" t="s">
        <v>13932</v>
      </c>
      <c r="BE677" s="30" t="s">
        <v>13933</v>
      </c>
      <c r="BF677" s="30" t="s">
        <v>546</v>
      </c>
      <c r="BG677" s="30" t="s">
        <v>13934</v>
      </c>
      <c r="BH677" s="30" t="s">
        <v>13935</v>
      </c>
      <c r="BI677" s="30" t="s">
        <v>2430</v>
      </c>
      <c r="BJ677" s="30" t="s">
        <v>13936</v>
      </c>
      <c r="BK677" s="30" t="s">
        <v>151</v>
      </c>
      <c r="BL677" s="30" t="s">
        <v>2432</v>
      </c>
      <c r="BM677" s="30" t="s">
        <v>322</v>
      </c>
      <c r="BN677" s="29" t="s">
        <v>13937</v>
      </c>
      <c r="BO677" s="30" t="s">
        <v>186</v>
      </c>
      <c r="BP677" s="29" t="s">
        <v>13935</v>
      </c>
      <c r="BQ677" s="29" t="s">
        <v>151</v>
      </c>
      <c r="BR677" s="30" t="s">
        <v>13938</v>
      </c>
      <c r="BS677" s="30" t="s">
        <v>187</v>
      </c>
      <c r="BT677" s="30" t="s">
        <v>188</v>
      </c>
      <c r="BU677" s="35">
        <v>44915</v>
      </c>
      <c r="BV677" s="37">
        <v>0.02</v>
      </c>
      <c r="BW677" s="30" t="s">
        <v>192</v>
      </c>
      <c r="BX677" s="37">
        <v>0.33</v>
      </c>
      <c r="BY677" s="30" t="s">
        <v>192</v>
      </c>
      <c r="BZ677" s="30" t="s">
        <v>189</v>
      </c>
      <c r="CA677" s="30" t="s">
        <v>151</v>
      </c>
      <c r="CB677" s="30" t="s">
        <v>151</v>
      </c>
      <c r="CC677" s="30" t="s">
        <v>190</v>
      </c>
      <c r="CD677" s="30" t="s">
        <v>151</v>
      </c>
      <c r="CE677" s="30" t="s">
        <v>191</v>
      </c>
      <c r="CF677" s="35">
        <v>45412</v>
      </c>
      <c r="CG677" s="37">
        <v>0.41</v>
      </c>
      <c r="CH677" s="30" t="s">
        <v>192</v>
      </c>
      <c r="CI677" s="37">
        <v>7</v>
      </c>
      <c r="CJ677" s="30" t="s">
        <v>192</v>
      </c>
      <c r="CK677" s="29" t="s">
        <v>151</v>
      </c>
      <c r="CL677" s="30" t="s">
        <v>293</v>
      </c>
      <c r="CM677" s="30" t="s">
        <v>293</v>
      </c>
      <c r="CN677" s="30" t="s">
        <v>151</v>
      </c>
      <c r="CO677" s="30" t="s">
        <v>165</v>
      </c>
      <c r="CP677" s="35">
        <v>45412</v>
      </c>
      <c r="CQ677" s="37">
        <v>0.41</v>
      </c>
      <c r="CR677" s="30" t="s">
        <v>13939</v>
      </c>
      <c r="CS677" s="30" t="s">
        <v>191</v>
      </c>
      <c r="CT677" s="29">
        <v>44</v>
      </c>
      <c r="CU677" s="30" t="s">
        <v>263</v>
      </c>
      <c r="CV677" s="32">
        <v>43</v>
      </c>
      <c r="CW677" s="32">
        <v>57</v>
      </c>
      <c r="CX677" s="30" t="s">
        <v>263</v>
      </c>
      <c r="CY677" s="32">
        <v>1</v>
      </c>
      <c r="CZ677" s="32">
        <v>42</v>
      </c>
      <c r="DA677" s="37">
        <v>7</v>
      </c>
      <c r="DB677" s="35">
        <v>45412</v>
      </c>
      <c r="DC677" s="30" t="s">
        <v>293</v>
      </c>
      <c r="DD677" s="29" t="s">
        <v>151</v>
      </c>
      <c r="DE677" s="32">
        <v>0</v>
      </c>
      <c r="DF677" s="34">
        <v>11</v>
      </c>
      <c r="DG677" s="32">
        <v>0</v>
      </c>
      <c r="DH677" s="32">
        <v>0</v>
      </c>
      <c r="DI677" s="32">
        <v>0</v>
      </c>
      <c r="DJ677" s="34">
        <v>10</v>
      </c>
      <c r="DK677" s="32" t="s">
        <v>151</v>
      </c>
      <c r="DL677" s="34" t="s">
        <v>151</v>
      </c>
      <c r="DM677" s="32">
        <v>0</v>
      </c>
      <c r="DN677" s="34">
        <v>10</v>
      </c>
      <c r="DO677" s="36">
        <v>2.82</v>
      </c>
      <c r="DP677" s="34">
        <v>73</v>
      </c>
      <c r="DQ677" s="36">
        <v>0</v>
      </c>
      <c r="DR677" s="32">
        <v>0</v>
      </c>
      <c r="DS677" s="36">
        <v>3.95</v>
      </c>
      <c r="DT677" s="34">
        <v>79</v>
      </c>
      <c r="DU677" s="36" t="s">
        <v>151</v>
      </c>
      <c r="DV677" s="34" t="s">
        <v>151</v>
      </c>
      <c r="DW677" s="36">
        <v>3.95</v>
      </c>
      <c r="DX677" s="34">
        <v>78</v>
      </c>
      <c r="DY677" s="31" t="s">
        <v>151</v>
      </c>
      <c r="DZ677" s="35" t="s">
        <v>151</v>
      </c>
      <c r="EA677" s="35" t="s">
        <v>151</v>
      </c>
      <c r="EB677" s="34" t="s">
        <v>151</v>
      </c>
      <c r="EC677" s="33" t="s">
        <v>151</v>
      </c>
      <c r="ED677" s="32" t="s">
        <v>151</v>
      </c>
      <c r="EE677" s="34">
        <v>75</v>
      </c>
      <c r="EF677" s="33">
        <v>1</v>
      </c>
      <c r="EG677" s="32">
        <v>1.35</v>
      </c>
      <c r="EH677" s="29" t="s">
        <v>198</v>
      </c>
      <c r="EI677" s="30" t="s">
        <v>151</v>
      </c>
      <c r="EJ677" s="30" t="s">
        <v>151</v>
      </c>
      <c r="EK677" s="31" t="s">
        <v>151</v>
      </c>
      <c r="EL677" s="31" t="s">
        <v>151</v>
      </c>
      <c r="EM677" s="31" t="s">
        <v>151</v>
      </c>
      <c r="EN677" s="31" t="s">
        <v>151</v>
      </c>
      <c r="EO677" s="31" t="s">
        <v>151</v>
      </c>
      <c r="EP677" s="30" t="s">
        <v>151</v>
      </c>
      <c r="EQ677" s="29" t="s">
        <v>151</v>
      </c>
      <c r="ER677" s="29" t="s">
        <v>151</v>
      </c>
      <c r="ES677" s="4">
        <f>HYPERLINK("https://my.pitchbook.com?c=321164-11","View Company Online")</f>
      </c>
    </row>
    <row r="678">
      <c r="A678" s="17" t="s">
        <v>13940</v>
      </c>
      <c r="B678" s="17" t="s">
        <v>13941</v>
      </c>
      <c r="C678" s="18" t="s">
        <v>151</v>
      </c>
      <c r="D678" s="17" t="s">
        <v>13942</v>
      </c>
      <c r="E678" s="17" t="s">
        <v>13943</v>
      </c>
      <c r="F678" s="17" t="s">
        <v>13944</v>
      </c>
      <c r="G678" s="17" t="s">
        <v>151</v>
      </c>
      <c r="H678" s="17" t="s">
        <v>151</v>
      </c>
      <c r="I678" s="17" t="s">
        <v>151</v>
      </c>
      <c r="J678" s="17" t="s">
        <v>13940</v>
      </c>
      <c r="K678" s="17" t="s">
        <v>13945</v>
      </c>
      <c r="L678" s="17" t="s">
        <v>205</v>
      </c>
      <c r="M678" s="17" t="s">
        <v>206</v>
      </c>
      <c r="N678" s="17" t="s">
        <v>1940</v>
      </c>
      <c r="O678" s="17" t="s">
        <v>13946</v>
      </c>
      <c r="P678" s="17" t="s">
        <v>13947</v>
      </c>
      <c r="Q678" s="17" t="s">
        <v>13948</v>
      </c>
      <c r="R678" s="17" t="s">
        <v>151</v>
      </c>
      <c r="S678" s="17" t="s">
        <v>162</v>
      </c>
      <c r="T678" s="24">
        <v>2.89</v>
      </c>
      <c r="U678" s="17" t="s">
        <v>163</v>
      </c>
      <c r="V678" s="17" t="s">
        <v>164</v>
      </c>
      <c r="W678" s="17" t="s">
        <v>165</v>
      </c>
      <c r="X678" s="15" t="s">
        <v>13949</v>
      </c>
      <c r="Y678" s="15" t="s">
        <v>13950</v>
      </c>
      <c r="Z678" s="27">
        <v>16</v>
      </c>
      <c r="AA678" s="17" t="s">
        <v>13951</v>
      </c>
      <c r="AB678" s="17" t="s">
        <v>151</v>
      </c>
      <c r="AC678" s="17" t="s">
        <v>151</v>
      </c>
      <c r="AD678" s="26">
        <v>2016</v>
      </c>
      <c r="AE678" s="17" t="s">
        <v>151</v>
      </c>
      <c r="AF678" s="22">
        <v>45590</v>
      </c>
      <c r="AG678" s="17" t="s">
        <v>151</v>
      </c>
      <c r="AH678" s="17" t="s">
        <v>151</v>
      </c>
      <c r="AI678" s="25" t="s">
        <v>151</v>
      </c>
      <c r="AJ678" s="19" t="s">
        <v>151</v>
      </c>
      <c r="AK678" s="25" t="s">
        <v>151</v>
      </c>
      <c r="AL678" s="25" t="s">
        <v>151</v>
      </c>
      <c r="AM678" s="25" t="s">
        <v>151</v>
      </c>
      <c r="AN678" s="25" t="s">
        <v>151</v>
      </c>
      <c r="AO678" s="25" t="s">
        <v>151</v>
      </c>
      <c r="AP678" s="25" t="s">
        <v>151</v>
      </c>
      <c r="AQ678" s="25" t="s">
        <v>151</v>
      </c>
      <c r="AR678" s="16" t="s">
        <v>151</v>
      </c>
      <c r="AS678" s="17" t="s">
        <v>13952</v>
      </c>
      <c r="AT678" s="17" t="s">
        <v>13953</v>
      </c>
      <c r="AU678" s="18">
        <v>5</v>
      </c>
      <c r="AV678" s="17" t="s">
        <v>151</v>
      </c>
      <c r="AW678" s="17" t="s">
        <v>151</v>
      </c>
      <c r="AX678" s="17" t="s">
        <v>151</v>
      </c>
      <c r="AY678" s="17" t="s">
        <v>13954</v>
      </c>
      <c r="AZ678" s="17" t="s">
        <v>151</v>
      </c>
      <c r="BA678" s="17" t="s">
        <v>151</v>
      </c>
      <c r="BB678" s="17" t="s">
        <v>151</v>
      </c>
      <c r="BC678" s="17" t="s">
        <v>13955</v>
      </c>
      <c r="BD678" s="17" t="s">
        <v>13956</v>
      </c>
      <c r="BE678" s="17" t="s">
        <v>13957</v>
      </c>
      <c r="BF678" s="17" t="s">
        <v>13958</v>
      </c>
      <c r="BG678" s="17" t="s">
        <v>13959</v>
      </c>
      <c r="BH678" s="17" t="s">
        <v>13960</v>
      </c>
      <c r="BI678" s="17" t="s">
        <v>906</v>
      </c>
      <c r="BJ678" s="17" t="s">
        <v>13961</v>
      </c>
      <c r="BK678" s="17" t="s">
        <v>13962</v>
      </c>
      <c r="BL678" s="17" t="s">
        <v>259</v>
      </c>
      <c r="BM678" s="17" t="s">
        <v>259</v>
      </c>
      <c r="BN678" s="16" t="s">
        <v>1476</v>
      </c>
      <c r="BO678" s="17" t="s">
        <v>186</v>
      </c>
      <c r="BP678" s="16" t="s">
        <v>13963</v>
      </c>
      <c r="BQ678" s="16" t="s">
        <v>151</v>
      </c>
      <c r="BR678" s="17" t="s">
        <v>13964</v>
      </c>
      <c r="BS678" s="17" t="s">
        <v>187</v>
      </c>
      <c r="BT678" s="17" t="s">
        <v>188</v>
      </c>
      <c r="BU678" s="22">
        <v>42736</v>
      </c>
      <c r="BV678" s="24" t="s">
        <v>151</v>
      </c>
      <c r="BW678" s="17" t="s">
        <v>151</v>
      </c>
      <c r="BX678" s="24" t="s">
        <v>151</v>
      </c>
      <c r="BY678" s="17" t="s">
        <v>151</v>
      </c>
      <c r="BZ678" s="17" t="s">
        <v>189</v>
      </c>
      <c r="CA678" s="17" t="s">
        <v>151</v>
      </c>
      <c r="CB678" s="17" t="s">
        <v>151</v>
      </c>
      <c r="CC678" s="17" t="s">
        <v>190</v>
      </c>
      <c r="CD678" s="17" t="s">
        <v>151</v>
      </c>
      <c r="CE678" s="17" t="s">
        <v>191</v>
      </c>
      <c r="CF678" s="22">
        <v>45583</v>
      </c>
      <c r="CG678" s="24" t="s">
        <v>151</v>
      </c>
      <c r="CH678" s="17" t="s">
        <v>151</v>
      </c>
      <c r="CI678" s="24" t="s">
        <v>151</v>
      </c>
      <c r="CJ678" s="17" t="s">
        <v>151</v>
      </c>
      <c r="CK678" s="16" t="s">
        <v>151</v>
      </c>
      <c r="CL678" s="17" t="s">
        <v>189</v>
      </c>
      <c r="CM678" s="17" t="s">
        <v>151</v>
      </c>
      <c r="CN678" s="17" t="s">
        <v>151</v>
      </c>
      <c r="CO678" s="17" t="s">
        <v>190</v>
      </c>
      <c r="CP678" s="22">
        <v>45583</v>
      </c>
      <c r="CQ678" s="24" t="s">
        <v>151</v>
      </c>
      <c r="CR678" s="17" t="s">
        <v>151</v>
      </c>
      <c r="CS678" s="17" t="s">
        <v>191</v>
      </c>
      <c r="CT678" s="16">
        <v>46</v>
      </c>
      <c r="CU678" s="17" t="s">
        <v>196</v>
      </c>
      <c r="CV678" s="19">
        <v>58</v>
      </c>
      <c r="CW678" s="19">
        <v>42</v>
      </c>
      <c r="CX678" s="17" t="s">
        <v>294</v>
      </c>
      <c r="CY678" s="19">
        <v>1</v>
      </c>
      <c r="CZ678" s="19">
        <v>57</v>
      </c>
      <c r="DA678" s="24">
        <v>2.5</v>
      </c>
      <c r="DB678" s="22">
        <v>44272</v>
      </c>
      <c r="DC678" s="17" t="s">
        <v>194</v>
      </c>
      <c r="DD678" s="16" t="s">
        <v>151</v>
      </c>
      <c r="DE678" s="19">
        <v>0.61</v>
      </c>
      <c r="DF678" s="21">
        <v>94</v>
      </c>
      <c r="DG678" s="19">
        <v>-0.06</v>
      </c>
      <c r="DH678" s="19">
        <v>-9.3</v>
      </c>
      <c r="DI678" s="19" t="s">
        <v>151</v>
      </c>
      <c r="DJ678" s="21" t="s">
        <v>151</v>
      </c>
      <c r="DK678" s="19" t="s">
        <v>151</v>
      </c>
      <c r="DL678" s="21" t="s">
        <v>151</v>
      </c>
      <c r="DM678" s="19" t="s">
        <v>151</v>
      </c>
      <c r="DN678" s="21" t="s">
        <v>151</v>
      </c>
      <c r="DO678" s="23">
        <v>7.28</v>
      </c>
      <c r="DP678" s="21">
        <v>87</v>
      </c>
      <c r="DQ678" s="23">
        <v>0</v>
      </c>
      <c r="DR678" s="19">
        <v>0</v>
      </c>
      <c r="DS678" s="23" t="s">
        <v>151</v>
      </c>
      <c r="DT678" s="21" t="s">
        <v>151</v>
      </c>
      <c r="DU678" s="23" t="s">
        <v>151</v>
      </c>
      <c r="DV678" s="21" t="s">
        <v>151</v>
      </c>
      <c r="DW678" s="23" t="s">
        <v>151</v>
      </c>
      <c r="DX678" s="21" t="s">
        <v>151</v>
      </c>
      <c r="DY678" s="18" t="s">
        <v>151</v>
      </c>
      <c r="DZ678" s="22" t="s">
        <v>151</v>
      </c>
      <c r="EA678" s="22" t="s">
        <v>151</v>
      </c>
      <c r="EB678" s="21">
        <v>222</v>
      </c>
      <c r="EC678" s="20">
        <v>33</v>
      </c>
      <c r="ED678" s="19">
        <v>17.46</v>
      </c>
      <c r="EE678" s="21" t="s">
        <v>151</v>
      </c>
      <c r="EF678" s="20" t="s">
        <v>151</v>
      </c>
      <c r="EG678" s="19" t="s">
        <v>151</v>
      </c>
      <c r="EH678" s="16" t="s">
        <v>198</v>
      </c>
      <c r="EI678" s="17" t="s">
        <v>151</v>
      </c>
      <c r="EJ678" s="17" t="s">
        <v>151</v>
      </c>
      <c r="EK678" s="18" t="s">
        <v>151</v>
      </c>
      <c r="EL678" s="18" t="s">
        <v>151</v>
      </c>
      <c r="EM678" s="18" t="s">
        <v>151</v>
      </c>
      <c r="EN678" s="18" t="s">
        <v>151</v>
      </c>
      <c r="EO678" s="18" t="s">
        <v>151</v>
      </c>
      <c r="EP678" s="17" t="s">
        <v>151</v>
      </c>
      <c r="EQ678" s="16" t="s">
        <v>151</v>
      </c>
      <c r="ER678" s="16" t="s">
        <v>151</v>
      </c>
      <c r="ES678" s="3">
        <f>HYPERLINK("https://my.pitchbook.com?c=228061-27","View Company Online")</f>
      </c>
    </row>
    <row r="679">
      <c r="A679" s="30" t="s">
        <v>13965</v>
      </c>
      <c r="B679" s="30" t="s">
        <v>13966</v>
      </c>
      <c r="C679" s="31" t="s">
        <v>151</v>
      </c>
      <c r="D679" s="30" t="s">
        <v>151</v>
      </c>
      <c r="E679" s="30" t="s">
        <v>151</v>
      </c>
      <c r="F679" s="30" t="s">
        <v>13967</v>
      </c>
      <c r="G679" s="30" t="s">
        <v>151</v>
      </c>
      <c r="H679" s="30" t="s">
        <v>151</v>
      </c>
      <c r="I679" s="30" t="s">
        <v>13968</v>
      </c>
      <c r="J679" s="30" t="s">
        <v>13965</v>
      </c>
      <c r="K679" s="30" t="s">
        <v>13969</v>
      </c>
      <c r="L679" s="30" t="s">
        <v>205</v>
      </c>
      <c r="M679" s="30" t="s">
        <v>206</v>
      </c>
      <c r="N679" s="30" t="s">
        <v>269</v>
      </c>
      <c r="O679" s="30" t="s">
        <v>13970</v>
      </c>
      <c r="P679" s="30" t="s">
        <v>2922</v>
      </c>
      <c r="Q679" s="30" t="s">
        <v>13971</v>
      </c>
      <c r="R679" s="30" t="s">
        <v>151</v>
      </c>
      <c r="S679" s="30" t="s">
        <v>162</v>
      </c>
      <c r="T679" s="37">
        <v>6.43</v>
      </c>
      <c r="U679" s="30" t="s">
        <v>163</v>
      </c>
      <c r="V679" s="30" t="s">
        <v>164</v>
      </c>
      <c r="W679" s="30" t="s">
        <v>165</v>
      </c>
      <c r="X679" s="28" t="s">
        <v>13972</v>
      </c>
      <c r="Y679" s="28" t="s">
        <v>13973</v>
      </c>
      <c r="Z679" s="40">
        <v>17</v>
      </c>
      <c r="AA679" s="30" t="s">
        <v>13974</v>
      </c>
      <c r="AB679" s="30" t="s">
        <v>151</v>
      </c>
      <c r="AC679" s="30" t="s">
        <v>151</v>
      </c>
      <c r="AD679" s="39">
        <v>2021</v>
      </c>
      <c r="AE679" s="30" t="s">
        <v>151</v>
      </c>
      <c r="AF679" s="35">
        <v>45338</v>
      </c>
      <c r="AG679" s="30" t="s">
        <v>151</v>
      </c>
      <c r="AH679" s="30" t="s">
        <v>151</v>
      </c>
      <c r="AI679" s="38" t="s">
        <v>151</v>
      </c>
      <c r="AJ679" s="32" t="s">
        <v>151</v>
      </c>
      <c r="AK679" s="38" t="s">
        <v>151</v>
      </c>
      <c r="AL679" s="38" t="s">
        <v>151</v>
      </c>
      <c r="AM679" s="38" t="s">
        <v>151</v>
      </c>
      <c r="AN679" s="38" t="s">
        <v>151</v>
      </c>
      <c r="AO679" s="38" t="s">
        <v>151</v>
      </c>
      <c r="AP679" s="38" t="s">
        <v>151</v>
      </c>
      <c r="AQ679" s="38" t="s">
        <v>151</v>
      </c>
      <c r="AR679" s="29" t="s">
        <v>151</v>
      </c>
      <c r="AS679" s="30" t="s">
        <v>13975</v>
      </c>
      <c r="AT679" s="30" t="s">
        <v>13976</v>
      </c>
      <c r="AU679" s="31">
        <v>16</v>
      </c>
      <c r="AV679" s="30" t="s">
        <v>151</v>
      </c>
      <c r="AW679" s="30" t="s">
        <v>151</v>
      </c>
      <c r="AX679" s="30" t="s">
        <v>151</v>
      </c>
      <c r="AY679" s="30" t="s">
        <v>13977</v>
      </c>
      <c r="AZ679" s="30" t="s">
        <v>151</v>
      </c>
      <c r="BA679" s="30" t="s">
        <v>151</v>
      </c>
      <c r="BB679" s="30" t="s">
        <v>151</v>
      </c>
      <c r="BC679" s="30" t="s">
        <v>151</v>
      </c>
      <c r="BD679" s="30" t="s">
        <v>13978</v>
      </c>
      <c r="BE679" s="30" t="s">
        <v>13979</v>
      </c>
      <c r="BF679" s="30" t="s">
        <v>2427</v>
      </c>
      <c r="BG679" s="30" t="s">
        <v>13980</v>
      </c>
      <c r="BH679" s="30" t="s">
        <v>151</v>
      </c>
      <c r="BI679" s="30" t="s">
        <v>764</v>
      </c>
      <c r="BJ679" s="30" t="s">
        <v>13981</v>
      </c>
      <c r="BK679" s="30" t="s">
        <v>320</v>
      </c>
      <c r="BL679" s="30" t="s">
        <v>767</v>
      </c>
      <c r="BM679" s="30" t="s">
        <v>184</v>
      </c>
      <c r="BN679" s="29" t="s">
        <v>1170</v>
      </c>
      <c r="BO679" s="30" t="s">
        <v>186</v>
      </c>
      <c r="BP679" s="29" t="s">
        <v>151</v>
      </c>
      <c r="BQ679" s="29" t="s">
        <v>151</v>
      </c>
      <c r="BR679" s="30" t="s">
        <v>13982</v>
      </c>
      <c r="BS679" s="30" t="s">
        <v>187</v>
      </c>
      <c r="BT679" s="30" t="s">
        <v>188</v>
      </c>
      <c r="BU679" s="35">
        <v>44440</v>
      </c>
      <c r="BV679" s="37">
        <v>0.13</v>
      </c>
      <c r="BW679" s="30" t="s">
        <v>192</v>
      </c>
      <c r="BX679" s="37">
        <v>1.79</v>
      </c>
      <c r="BY679" s="30" t="s">
        <v>192</v>
      </c>
      <c r="BZ679" s="30" t="s">
        <v>189</v>
      </c>
      <c r="CA679" s="30" t="s">
        <v>151</v>
      </c>
      <c r="CB679" s="30" t="s">
        <v>151</v>
      </c>
      <c r="CC679" s="30" t="s">
        <v>190</v>
      </c>
      <c r="CD679" s="30" t="s">
        <v>151</v>
      </c>
      <c r="CE679" s="30" t="s">
        <v>191</v>
      </c>
      <c r="CF679" s="35">
        <v>44881</v>
      </c>
      <c r="CG679" s="37">
        <v>6.3</v>
      </c>
      <c r="CH679" s="30" t="s">
        <v>192</v>
      </c>
      <c r="CI679" s="37" t="s">
        <v>151</v>
      </c>
      <c r="CJ679" s="30" t="s">
        <v>151</v>
      </c>
      <c r="CK679" s="29" t="s">
        <v>151</v>
      </c>
      <c r="CL679" s="30" t="s">
        <v>293</v>
      </c>
      <c r="CM679" s="30" t="s">
        <v>293</v>
      </c>
      <c r="CN679" s="30" t="s">
        <v>151</v>
      </c>
      <c r="CO679" s="30" t="s">
        <v>165</v>
      </c>
      <c r="CP679" s="35">
        <v>44881</v>
      </c>
      <c r="CQ679" s="37" t="s">
        <v>151</v>
      </c>
      <c r="CR679" s="30" t="s">
        <v>151</v>
      </c>
      <c r="CS679" s="30" t="s">
        <v>191</v>
      </c>
      <c r="CT679" s="29" t="s">
        <v>151</v>
      </c>
      <c r="CU679" s="30" t="s">
        <v>151</v>
      </c>
      <c r="CV679" s="32" t="s">
        <v>151</v>
      </c>
      <c r="CW679" s="32" t="s">
        <v>151</v>
      </c>
      <c r="CX679" s="30" t="s">
        <v>151</v>
      </c>
      <c r="CY679" s="32" t="s">
        <v>151</v>
      </c>
      <c r="CZ679" s="32" t="s">
        <v>151</v>
      </c>
      <c r="DA679" s="37">
        <v>1.79</v>
      </c>
      <c r="DB679" s="35">
        <v>44440</v>
      </c>
      <c r="DC679" s="30" t="s">
        <v>189</v>
      </c>
      <c r="DD679" s="29" t="s">
        <v>151</v>
      </c>
      <c r="DE679" s="32">
        <v>0.3</v>
      </c>
      <c r="DF679" s="34">
        <v>92</v>
      </c>
      <c r="DG679" s="32">
        <v>0</v>
      </c>
      <c r="DH679" s="32">
        <v>0</v>
      </c>
      <c r="DI679" s="32">
        <v>1.29</v>
      </c>
      <c r="DJ679" s="34">
        <v>97</v>
      </c>
      <c r="DK679" s="32" t="s">
        <v>151</v>
      </c>
      <c r="DL679" s="34" t="s">
        <v>151</v>
      </c>
      <c r="DM679" s="32">
        <v>1.29</v>
      </c>
      <c r="DN679" s="34">
        <v>97</v>
      </c>
      <c r="DO679" s="36">
        <v>8.79</v>
      </c>
      <c r="DP679" s="34">
        <v>89</v>
      </c>
      <c r="DQ679" s="36">
        <v>0</v>
      </c>
      <c r="DR679" s="32">
        <v>0</v>
      </c>
      <c r="DS679" s="36">
        <v>16.26</v>
      </c>
      <c r="DT679" s="34">
        <v>94</v>
      </c>
      <c r="DU679" s="36" t="s">
        <v>151</v>
      </c>
      <c r="DV679" s="34" t="s">
        <v>151</v>
      </c>
      <c r="DW679" s="36">
        <v>16.26</v>
      </c>
      <c r="DX679" s="34">
        <v>94</v>
      </c>
      <c r="DY679" s="31" t="s">
        <v>151</v>
      </c>
      <c r="DZ679" s="35" t="s">
        <v>151</v>
      </c>
      <c r="EA679" s="35" t="s">
        <v>151</v>
      </c>
      <c r="EB679" s="34">
        <v>7290</v>
      </c>
      <c r="EC679" s="33">
        <v>-120</v>
      </c>
      <c r="ED679" s="32">
        <v>-1.62</v>
      </c>
      <c r="EE679" s="34">
        <v>309</v>
      </c>
      <c r="EF679" s="33">
        <v>3</v>
      </c>
      <c r="EG679" s="32">
        <v>0.98</v>
      </c>
      <c r="EH679" s="29" t="s">
        <v>198</v>
      </c>
      <c r="EI679" s="30" t="s">
        <v>151</v>
      </c>
      <c r="EJ679" s="30" t="s">
        <v>151</v>
      </c>
      <c r="EK679" s="31" t="s">
        <v>151</v>
      </c>
      <c r="EL679" s="31" t="s">
        <v>151</v>
      </c>
      <c r="EM679" s="31" t="s">
        <v>151</v>
      </c>
      <c r="EN679" s="31" t="s">
        <v>151</v>
      </c>
      <c r="EO679" s="31" t="s">
        <v>151</v>
      </c>
      <c r="EP679" s="30" t="s">
        <v>151</v>
      </c>
      <c r="EQ679" s="29" t="s">
        <v>151</v>
      </c>
      <c r="ER679" s="29" t="s">
        <v>151</v>
      </c>
      <c r="ES679" s="4">
        <f>HYPERLINK("https://my.pitchbook.com?c=484579-45","View Company Online")</f>
      </c>
    </row>
    <row r="680">
      <c r="A680" s="17" t="s">
        <v>13983</v>
      </c>
      <c r="B680" s="17" t="s">
        <v>13984</v>
      </c>
      <c r="C680" s="18" t="s">
        <v>151</v>
      </c>
      <c r="D680" s="17" t="s">
        <v>151</v>
      </c>
      <c r="E680" s="17" t="s">
        <v>13985</v>
      </c>
      <c r="F680" s="17" t="s">
        <v>13986</v>
      </c>
      <c r="G680" s="17" t="s">
        <v>151</v>
      </c>
      <c r="H680" s="17" t="s">
        <v>151</v>
      </c>
      <c r="I680" s="17" t="s">
        <v>151</v>
      </c>
      <c r="J680" s="17" t="s">
        <v>13983</v>
      </c>
      <c r="K680" s="17" t="s">
        <v>13987</v>
      </c>
      <c r="L680" s="17" t="s">
        <v>205</v>
      </c>
      <c r="M680" s="17" t="s">
        <v>206</v>
      </c>
      <c r="N680" s="17" t="s">
        <v>269</v>
      </c>
      <c r="O680" s="17" t="s">
        <v>11224</v>
      </c>
      <c r="P680" s="17" t="s">
        <v>13988</v>
      </c>
      <c r="Q680" s="17" t="s">
        <v>13989</v>
      </c>
      <c r="R680" s="17" t="s">
        <v>151</v>
      </c>
      <c r="S680" s="17" t="s">
        <v>162</v>
      </c>
      <c r="T680" s="24">
        <v>0.25</v>
      </c>
      <c r="U680" s="17" t="s">
        <v>163</v>
      </c>
      <c r="V680" s="17" t="s">
        <v>164</v>
      </c>
      <c r="W680" s="17" t="s">
        <v>165</v>
      </c>
      <c r="X680" s="15" t="s">
        <v>13990</v>
      </c>
      <c r="Y680" s="15" t="s">
        <v>13991</v>
      </c>
      <c r="Z680" s="27">
        <v>9</v>
      </c>
      <c r="AA680" s="17" t="s">
        <v>13992</v>
      </c>
      <c r="AB680" s="17" t="s">
        <v>151</v>
      </c>
      <c r="AC680" s="17" t="s">
        <v>151</v>
      </c>
      <c r="AD680" s="26">
        <v>2004</v>
      </c>
      <c r="AE680" s="17" t="s">
        <v>151</v>
      </c>
      <c r="AF680" s="22">
        <v>45469</v>
      </c>
      <c r="AG680" s="17" t="s">
        <v>151</v>
      </c>
      <c r="AH680" s="17" t="s">
        <v>151</v>
      </c>
      <c r="AI680" s="25" t="s">
        <v>151</v>
      </c>
      <c r="AJ680" s="19" t="s">
        <v>151</v>
      </c>
      <c r="AK680" s="25" t="s">
        <v>151</v>
      </c>
      <c r="AL680" s="25" t="s">
        <v>151</v>
      </c>
      <c r="AM680" s="25" t="s">
        <v>151</v>
      </c>
      <c r="AN680" s="25" t="s">
        <v>151</v>
      </c>
      <c r="AO680" s="25" t="s">
        <v>151</v>
      </c>
      <c r="AP680" s="25" t="s">
        <v>151</v>
      </c>
      <c r="AQ680" s="25" t="s">
        <v>151</v>
      </c>
      <c r="AR680" s="16" t="s">
        <v>151</v>
      </c>
      <c r="AS680" s="17" t="s">
        <v>13993</v>
      </c>
      <c r="AT680" s="17" t="s">
        <v>9357</v>
      </c>
      <c r="AU680" s="18">
        <v>1</v>
      </c>
      <c r="AV680" s="17" t="s">
        <v>151</v>
      </c>
      <c r="AW680" s="17" t="s">
        <v>151</v>
      </c>
      <c r="AX680" s="17" t="s">
        <v>151</v>
      </c>
      <c r="AY680" s="17" t="s">
        <v>13994</v>
      </c>
      <c r="AZ680" s="17" t="s">
        <v>151</v>
      </c>
      <c r="BA680" s="17" t="s">
        <v>151</v>
      </c>
      <c r="BB680" s="17" t="s">
        <v>151</v>
      </c>
      <c r="BC680" s="17" t="s">
        <v>13995</v>
      </c>
      <c r="BD680" s="17" t="s">
        <v>13996</v>
      </c>
      <c r="BE680" s="17" t="s">
        <v>13997</v>
      </c>
      <c r="BF680" s="17" t="s">
        <v>403</v>
      </c>
      <c r="BG680" s="17" t="s">
        <v>13998</v>
      </c>
      <c r="BH680" s="17" t="s">
        <v>13999</v>
      </c>
      <c r="BI680" s="17" t="s">
        <v>578</v>
      </c>
      <c r="BJ680" s="17" t="s">
        <v>14000</v>
      </c>
      <c r="BK680" s="17" t="s">
        <v>881</v>
      </c>
      <c r="BL680" s="17" t="s">
        <v>581</v>
      </c>
      <c r="BM680" s="17" t="s">
        <v>582</v>
      </c>
      <c r="BN680" s="16" t="s">
        <v>14001</v>
      </c>
      <c r="BO680" s="17" t="s">
        <v>186</v>
      </c>
      <c r="BP680" s="16" t="s">
        <v>13999</v>
      </c>
      <c r="BQ680" s="16" t="s">
        <v>151</v>
      </c>
      <c r="BR680" s="17" t="s">
        <v>14002</v>
      </c>
      <c r="BS680" s="17" t="s">
        <v>187</v>
      </c>
      <c r="BT680" s="17" t="s">
        <v>188</v>
      </c>
      <c r="BU680" s="22">
        <v>44099</v>
      </c>
      <c r="BV680" s="24">
        <v>0.25</v>
      </c>
      <c r="BW680" s="17" t="s">
        <v>192</v>
      </c>
      <c r="BX680" s="24" t="s">
        <v>151</v>
      </c>
      <c r="BY680" s="17" t="s">
        <v>151</v>
      </c>
      <c r="BZ680" s="17" t="s">
        <v>194</v>
      </c>
      <c r="CA680" s="17" t="s">
        <v>151</v>
      </c>
      <c r="CB680" s="17" t="s">
        <v>151</v>
      </c>
      <c r="CC680" s="17" t="s">
        <v>165</v>
      </c>
      <c r="CD680" s="17" t="s">
        <v>14003</v>
      </c>
      <c r="CE680" s="17" t="s">
        <v>191</v>
      </c>
      <c r="CF680" s="22">
        <v>44099</v>
      </c>
      <c r="CG680" s="24">
        <v>0.25</v>
      </c>
      <c r="CH680" s="17" t="s">
        <v>192</v>
      </c>
      <c r="CI680" s="24" t="s">
        <v>151</v>
      </c>
      <c r="CJ680" s="17" t="s">
        <v>151</v>
      </c>
      <c r="CK680" s="16" t="s">
        <v>151</v>
      </c>
      <c r="CL680" s="17" t="s">
        <v>194</v>
      </c>
      <c r="CM680" s="17" t="s">
        <v>151</v>
      </c>
      <c r="CN680" s="17" t="s">
        <v>151</v>
      </c>
      <c r="CO680" s="17" t="s">
        <v>165</v>
      </c>
      <c r="CP680" s="22">
        <v>44099</v>
      </c>
      <c r="CQ680" s="24">
        <v>0.03</v>
      </c>
      <c r="CR680" s="17" t="s">
        <v>14003</v>
      </c>
      <c r="CS680" s="17" t="s">
        <v>191</v>
      </c>
      <c r="CT680" s="16" t="s">
        <v>151</v>
      </c>
      <c r="CU680" s="17" t="s">
        <v>151</v>
      </c>
      <c r="CV680" s="19" t="s">
        <v>151</v>
      </c>
      <c r="CW680" s="19" t="s">
        <v>151</v>
      </c>
      <c r="CX680" s="17" t="s">
        <v>151</v>
      </c>
      <c r="CY680" s="19" t="s">
        <v>151</v>
      </c>
      <c r="CZ680" s="19" t="s">
        <v>151</v>
      </c>
      <c r="DA680" s="24" t="s">
        <v>151</v>
      </c>
      <c r="DB680" s="22" t="s">
        <v>151</v>
      </c>
      <c r="DC680" s="17" t="s">
        <v>151</v>
      </c>
      <c r="DD680" s="16" t="s">
        <v>151</v>
      </c>
      <c r="DE680" s="19">
        <v>0</v>
      </c>
      <c r="DF680" s="21">
        <v>11</v>
      </c>
      <c r="DG680" s="19">
        <v>0</v>
      </c>
      <c r="DH680" s="19">
        <v>0</v>
      </c>
      <c r="DI680" s="19">
        <v>0</v>
      </c>
      <c r="DJ680" s="21">
        <v>10</v>
      </c>
      <c r="DK680" s="19">
        <v>0</v>
      </c>
      <c r="DL680" s="21">
        <v>11</v>
      </c>
      <c r="DM680" s="19">
        <v>0</v>
      </c>
      <c r="DN680" s="21">
        <v>10</v>
      </c>
      <c r="DO680" s="23">
        <v>3.08</v>
      </c>
      <c r="DP680" s="21">
        <v>75</v>
      </c>
      <c r="DQ680" s="23">
        <v>0</v>
      </c>
      <c r="DR680" s="19">
        <v>0</v>
      </c>
      <c r="DS680" s="23">
        <v>3.08</v>
      </c>
      <c r="DT680" s="21">
        <v>75</v>
      </c>
      <c r="DU680" s="23">
        <v>2.9</v>
      </c>
      <c r="DV680" s="21">
        <v>76</v>
      </c>
      <c r="DW680" s="23">
        <v>3.26</v>
      </c>
      <c r="DX680" s="21">
        <v>75</v>
      </c>
      <c r="DY680" s="18">
        <v>13</v>
      </c>
      <c r="DZ680" s="22">
        <v>44596</v>
      </c>
      <c r="EA680" s="22" t="s">
        <v>14004</v>
      </c>
      <c r="EB680" s="21">
        <v>0</v>
      </c>
      <c r="EC680" s="20">
        <v>0</v>
      </c>
      <c r="ED680" s="19">
        <v>0</v>
      </c>
      <c r="EE680" s="21">
        <v>62</v>
      </c>
      <c r="EF680" s="20">
        <v>0</v>
      </c>
      <c r="EG680" s="19">
        <v>0</v>
      </c>
      <c r="EH680" s="16" t="s">
        <v>198</v>
      </c>
      <c r="EI680" s="17" t="s">
        <v>151</v>
      </c>
      <c r="EJ680" s="17" t="s">
        <v>151</v>
      </c>
      <c r="EK680" s="18" t="s">
        <v>151</v>
      </c>
      <c r="EL680" s="18" t="s">
        <v>151</v>
      </c>
      <c r="EM680" s="18" t="s">
        <v>151</v>
      </c>
      <c r="EN680" s="18" t="s">
        <v>151</v>
      </c>
      <c r="EO680" s="18" t="s">
        <v>151</v>
      </c>
      <c r="EP680" s="17" t="s">
        <v>151</v>
      </c>
      <c r="EQ680" s="16" t="s">
        <v>151</v>
      </c>
      <c r="ER680" s="16" t="s">
        <v>151</v>
      </c>
      <c r="ES680" s="3">
        <f>HYPERLINK("https://my.pitchbook.com?c=439696-99","View Company Online")</f>
      </c>
    </row>
    <row r="681">
      <c r="A681" s="30" t="s">
        <v>14005</v>
      </c>
      <c r="B681" s="30" t="s">
        <v>14006</v>
      </c>
      <c r="C681" s="31" t="s">
        <v>151</v>
      </c>
      <c r="D681" s="30" t="s">
        <v>14007</v>
      </c>
      <c r="E681" s="30" t="s">
        <v>14008</v>
      </c>
      <c r="F681" s="30" t="s">
        <v>14009</v>
      </c>
      <c r="G681" s="30" t="s">
        <v>151</v>
      </c>
      <c r="H681" s="30" t="s">
        <v>151</v>
      </c>
      <c r="I681" s="30" t="s">
        <v>14010</v>
      </c>
      <c r="J681" s="30" t="s">
        <v>14005</v>
      </c>
      <c r="K681" s="30" t="s">
        <v>14011</v>
      </c>
      <c r="L681" s="30" t="s">
        <v>205</v>
      </c>
      <c r="M681" s="30" t="s">
        <v>206</v>
      </c>
      <c r="N681" s="30" t="s">
        <v>1268</v>
      </c>
      <c r="O681" s="30" t="s">
        <v>14012</v>
      </c>
      <c r="P681" s="30" t="s">
        <v>1205</v>
      </c>
      <c r="Q681" s="30" t="s">
        <v>14013</v>
      </c>
      <c r="R681" s="30" t="s">
        <v>151</v>
      </c>
      <c r="S681" s="30" t="s">
        <v>162</v>
      </c>
      <c r="T681" s="37">
        <v>12.7</v>
      </c>
      <c r="U681" s="30" t="s">
        <v>163</v>
      </c>
      <c r="V681" s="30" t="s">
        <v>164</v>
      </c>
      <c r="W681" s="30" t="s">
        <v>165</v>
      </c>
      <c r="X681" s="28" t="s">
        <v>14014</v>
      </c>
      <c r="Y681" s="28" t="s">
        <v>14015</v>
      </c>
      <c r="Z681" s="40">
        <v>10</v>
      </c>
      <c r="AA681" s="30" t="s">
        <v>14016</v>
      </c>
      <c r="AB681" s="30" t="s">
        <v>151</v>
      </c>
      <c r="AC681" s="30" t="s">
        <v>151</v>
      </c>
      <c r="AD681" s="39">
        <v>2020</v>
      </c>
      <c r="AE681" s="30" t="s">
        <v>151</v>
      </c>
      <c r="AF681" s="35">
        <v>45552</v>
      </c>
      <c r="AG681" s="30" t="s">
        <v>151</v>
      </c>
      <c r="AH681" s="30" t="s">
        <v>151</v>
      </c>
      <c r="AI681" s="38" t="s">
        <v>151</v>
      </c>
      <c r="AJ681" s="32" t="s">
        <v>151</v>
      </c>
      <c r="AK681" s="38" t="s">
        <v>151</v>
      </c>
      <c r="AL681" s="38" t="s">
        <v>151</v>
      </c>
      <c r="AM681" s="38" t="s">
        <v>151</v>
      </c>
      <c r="AN681" s="38" t="s">
        <v>151</v>
      </c>
      <c r="AO681" s="38" t="s">
        <v>151</v>
      </c>
      <c r="AP681" s="38" t="s">
        <v>151</v>
      </c>
      <c r="AQ681" s="38" t="s">
        <v>151</v>
      </c>
      <c r="AR681" s="29" t="s">
        <v>151</v>
      </c>
      <c r="AS681" s="30" t="s">
        <v>14017</v>
      </c>
      <c r="AT681" s="30" t="s">
        <v>14018</v>
      </c>
      <c r="AU681" s="31">
        <v>7</v>
      </c>
      <c r="AV681" s="30" t="s">
        <v>151</v>
      </c>
      <c r="AW681" s="30" t="s">
        <v>151</v>
      </c>
      <c r="AX681" s="30" t="s">
        <v>151</v>
      </c>
      <c r="AY681" s="30" t="s">
        <v>14019</v>
      </c>
      <c r="AZ681" s="30" t="s">
        <v>151</v>
      </c>
      <c r="BA681" s="30" t="s">
        <v>151</v>
      </c>
      <c r="BB681" s="30" t="s">
        <v>151</v>
      </c>
      <c r="BC681" s="30" t="s">
        <v>374</v>
      </c>
      <c r="BD681" s="30" t="s">
        <v>14020</v>
      </c>
      <c r="BE681" s="30" t="s">
        <v>14021</v>
      </c>
      <c r="BF681" s="30" t="s">
        <v>493</v>
      </c>
      <c r="BG681" s="30" t="s">
        <v>14022</v>
      </c>
      <c r="BH681" s="30" t="s">
        <v>14023</v>
      </c>
      <c r="BI681" s="30" t="s">
        <v>1710</v>
      </c>
      <c r="BJ681" s="30" t="s">
        <v>14024</v>
      </c>
      <c r="BK681" s="30" t="s">
        <v>14025</v>
      </c>
      <c r="BL681" s="30" t="s">
        <v>1713</v>
      </c>
      <c r="BM681" s="30" t="s">
        <v>184</v>
      </c>
      <c r="BN681" s="29" t="s">
        <v>14026</v>
      </c>
      <c r="BO681" s="30" t="s">
        <v>186</v>
      </c>
      <c r="BP681" s="29" t="s">
        <v>14023</v>
      </c>
      <c r="BQ681" s="29" t="s">
        <v>151</v>
      </c>
      <c r="BR681" s="30" t="s">
        <v>14027</v>
      </c>
      <c r="BS681" s="30" t="s">
        <v>187</v>
      </c>
      <c r="BT681" s="30" t="s">
        <v>188</v>
      </c>
      <c r="BU681" s="35">
        <v>44286</v>
      </c>
      <c r="BV681" s="37">
        <v>3</v>
      </c>
      <c r="BW681" s="30" t="s">
        <v>192</v>
      </c>
      <c r="BX681" s="37">
        <v>8</v>
      </c>
      <c r="BY681" s="30" t="s">
        <v>192</v>
      </c>
      <c r="BZ681" s="30" t="s">
        <v>293</v>
      </c>
      <c r="CA681" s="30" t="s">
        <v>472</v>
      </c>
      <c r="CB681" s="30" t="s">
        <v>151</v>
      </c>
      <c r="CC681" s="30" t="s">
        <v>165</v>
      </c>
      <c r="CD681" s="30" t="s">
        <v>151</v>
      </c>
      <c r="CE681" s="30" t="s">
        <v>191</v>
      </c>
      <c r="CF681" s="35">
        <v>45413</v>
      </c>
      <c r="CG681" s="37" t="s">
        <v>151</v>
      </c>
      <c r="CH681" s="30" t="s">
        <v>151</v>
      </c>
      <c r="CI681" s="37" t="s">
        <v>151</v>
      </c>
      <c r="CJ681" s="30" t="s">
        <v>151</v>
      </c>
      <c r="CK681" s="29" t="s">
        <v>151</v>
      </c>
      <c r="CL681" s="30" t="s">
        <v>231</v>
      </c>
      <c r="CM681" s="30" t="s">
        <v>151</v>
      </c>
      <c r="CN681" s="30" t="s">
        <v>151</v>
      </c>
      <c r="CO681" s="30" t="s">
        <v>165</v>
      </c>
      <c r="CP681" s="35">
        <v>45413</v>
      </c>
      <c r="CQ681" s="37" t="s">
        <v>151</v>
      </c>
      <c r="CR681" s="30" t="s">
        <v>151</v>
      </c>
      <c r="CS681" s="30" t="s">
        <v>191</v>
      </c>
      <c r="CT681" s="29">
        <v>94</v>
      </c>
      <c r="CU681" s="30" t="s">
        <v>196</v>
      </c>
      <c r="CV681" s="32">
        <v>87</v>
      </c>
      <c r="CW681" s="32">
        <v>13</v>
      </c>
      <c r="CX681" s="30" t="s">
        <v>294</v>
      </c>
      <c r="CY681" s="32">
        <v>1</v>
      </c>
      <c r="CZ681" s="32">
        <v>86</v>
      </c>
      <c r="DA681" s="37">
        <v>8</v>
      </c>
      <c r="DB681" s="35">
        <v>44286</v>
      </c>
      <c r="DC681" s="30" t="s">
        <v>293</v>
      </c>
      <c r="DD681" s="29" t="s">
        <v>151</v>
      </c>
      <c r="DE681" s="32">
        <v>0.48</v>
      </c>
      <c r="DF681" s="34">
        <v>94</v>
      </c>
      <c r="DG681" s="32">
        <v>0</v>
      </c>
      <c r="DH681" s="32">
        <v>0</v>
      </c>
      <c r="DI681" s="32">
        <v>0.96</v>
      </c>
      <c r="DJ681" s="34">
        <v>96</v>
      </c>
      <c r="DK681" s="32" t="s">
        <v>151</v>
      </c>
      <c r="DL681" s="34" t="s">
        <v>151</v>
      </c>
      <c r="DM681" s="32">
        <v>0.96</v>
      </c>
      <c r="DN681" s="34">
        <v>96</v>
      </c>
      <c r="DO681" s="36">
        <v>8.65</v>
      </c>
      <c r="DP681" s="34">
        <v>89</v>
      </c>
      <c r="DQ681" s="36">
        <v>0</v>
      </c>
      <c r="DR681" s="32">
        <v>0</v>
      </c>
      <c r="DS681" s="36">
        <v>16.53</v>
      </c>
      <c r="DT681" s="34">
        <v>94</v>
      </c>
      <c r="DU681" s="36" t="s">
        <v>151</v>
      </c>
      <c r="DV681" s="34" t="s">
        <v>151</v>
      </c>
      <c r="DW681" s="36">
        <v>16.53</v>
      </c>
      <c r="DX681" s="34">
        <v>94</v>
      </c>
      <c r="DY681" s="31" t="s">
        <v>151</v>
      </c>
      <c r="DZ681" s="35" t="s">
        <v>151</v>
      </c>
      <c r="EA681" s="35" t="s">
        <v>151</v>
      </c>
      <c r="EB681" s="34">
        <v>1378</v>
      </c>
      <c r="EC681" s="33">
        <v>165</v>
      </c>
      <c r="ED681" s="32">
        <v>13.6</v>
      </c>
      <c r="EE681" s="34">
        <v>314</v>
      </c>
      <c r="EF681" s="33">
        <v>3</v>
      </c>
      <c r="EG681" s="32">
        <v>0.96</v>
      </c>
      <c r="EH681" s="29" t="s">
        <v>198</v>
      </c>
      <c r="EI681" s="30" t="s">
        <v>151</v>
      </c>
      <c r="EJ681" s="30" t="s">
        <v>151</v>
      </c>
      <c r="EK681" s="31" t="s">
        <v>151</v>
      </c>
      <c r="EL681" s="31" t="s">
        <v>151</v>
      </c>
      <c r="EM681" s="31" t="s">
        <v>151</v>
      </c>
      <c r="EN681" s="31" t="s">
        <v>151</v>
      </c>
      <c r="EO681" s="31" t="s">
        <v>151</v>
      </c>
      <c r="EP681" s="30" t="s">
        <v>151</v>
      </c>
      <c r="EQ681" s="29" t="s">
        <v>151</v>
      </c>
      <c r="ER681" s="29" t="s">
        <v>151</v>
      </c>
      <c r="ES681" s="4">
        <f>HYPERLINK("https://my.pitchbook.com?c=463615-66","View Company Online")</f>
      </c>
    </row>
    <row r="682">
      <c r="A682" s="17" t="s">
        <v>14028</v>
      </c>
      <c r="B682" s="17" t="s">
        <v>14029</v>
      </c>
      <c r="C682" s="18" t="s">
        <v>151</v>
      </c>
      <c r="D682" s="17" t="s">
        <v>151</v>
      </c>
      <c r="E682" s="17" t="s">
        <v>151</v>
      </c>
      <c r="F682" s="17" t="s">
        <v>14030</v>
      </c>
      <c r="G682" s="17" t="s">
        <v>151</v>
      </c>
      <c r="H682" s="17" t="s">
        <v>151</v>
      </c>
      <c r="I682" s="17" t="s">
        <v>151</v>
      </c>
      <c r="J682" s="17" t="s">
        <v>14028</v>
      </c>
      <c r="K682" s="17" t="s">
        <v>14031</v>
      </c>
      <c r="L682" s="17" t="s">
        <v>205</v>
      </c>
      <c r="M682" s="17" t="s">
        <v>206</v>
      </c>
      <c r="N682" s="17" t="s">
        <v>1082</v>
      </c>
      <c r="O682" s="17" t="s">
        <v>14032</v>
      </c>
      <c r="P682" s="17" t="s">
        <v>14033</v>
      </c>
      <c r="Q682" s="17" t="s">
        <v>14034</v>
      </c>
      <c r="R682" s="17" t="s">
        <v>151</v>
      </c>
      <c r="S682" s="17" t="s">
        <v>162</v>
      </c>
      <c r="T682" s="24">
        <v>5</v>
      </c>
      <c r="U682" s="17" t="s">
        <v>163</v>
      </c>
      <c r="V682" s="17" t="s">
        <v>164</v>
      </c>
      <c r="W682" s="17" t="s">
        <v>165</v>
      </c>
      <c r="X682" s="15" t="s">
        <v>14035</v>
      </c>
      <c r="Y682" s="15" t="s">
        <v>14036</v>
      </c>
      <c r="Z682" s="27">
        <v>19</v>
      </c>
      <c r="AA682" s="17" t="s">
        <v>14037</v>
      </c>
      <c r="AB682" s="17" t="s">
        <v>151</v>
      </c>
      <c r="AC682" s="17" t="s">
        <v>151</v>
      </c>
      <c r="AD682" s="26">
        <v>2021</v>
      </c>
      <c r="AE682" s="17" t="s">
        <v>151</v>
      </c>
      <c r="AF682" s="22">
        <v>45603</v>
      </c>
      <c r="AG682" s="17" t="s">
        <v>151</v>
      </c>
      <c r="AH682" s="17" t="s">
        <v>151</v>
      </c>
      <c r="AI682" s="25" t="s">
        <v>151</v>
      </c>
      <c r="AJ682" s="19" t="s">
        <v>151</v>
      </c>
      <c r="AK682" s="25" t="s">
        <v>151</v>
      </c>
      <c r="AL682" s="25" t="s">
        <v>151</v>
      </c>
      <c r="AM682" s="25" t="s">
        <v>151</v>
      </c>
      <c r="AN682" s="25" t="s">
        <v>151</v>
      </c>
      <c r="AO682" s="25" t="s">
        <v>151</v>
      </c>
      <c r="AP682" s="25" t="s">
        <v>151</v>
      </c>
      <c r="AQ682" s="25" t="s">
        <v>151</v>
      </c>
      <c r="AR682" s="16" t="s">
        <v>151</v>
      </c>
      <c r="AS682" s="17" t="s">
        <v>14038</v>
      </c>
      <c r="AT682" s="17" t="s">
        <v>14039</v>
      </c>
      <c r="AU682" s="18">
        <v>4</v>
      </c>
      <c r="AV682" s="17" t="s">
        <v>151</v>
      </c>
      <c r="AW682" s="17" t="s">
        <v>151</v>
      </c>
      <c r="AX682" s="17" t="s">
        <v>151</v>
      </c>
      <c r="AY682" s="17" t="s">
        <v>14040</v>
      </c>
      <c r="AZ682" s="17" t="s">
        <v>151</v>
      </c>
      <c r="BA682" s="17" t="s">
        <v>151</v>
      </c>
      <c r="BB682" s="17" t="s">
        <v>151</v>
      </c>
      <c r="BC682" s="17" t="s">
        <v>151</v>
      </c>
      <c r="BD682" s="17" t="s">
        <v>14041</v>
      </c>
      <c r="BE682" s="17" t="s">
        <v>14042</v>
      </c>
      <c r="BF682" s="17" t="s">
        <v>403</v>
      </c>
      <c r="BG682" s="17" t="s">
        <v>14043</v>
      </c>
      <c r="BH682" s="17" t="s">
        <v>14044</v>
      </c>
      <c r="BI682" s="17" t="s">
        <v>906</v>
      </c>
      <c r="BJ682" s="17" t="s">
        <v>14045</v>
      </c>
      <c r="BK682" s="17" t="s">
        <v>151</v>
      </c>
      <c r="BL682" s="17" t="s">
        <v>259</v>
      </c>
      <c r="BM682" s="17" t="s">
        <v>259</v>
      </c>
      <c r="BN682" s="16" t="s">
        <v>9261</v>
      </c>
      <c r="BO682" s="17" t="s">
        <v>186</v>
      </c>
      <c r="BP682" s="16" t="s">
        <v>151</v>
      </c>
      <c r="BQ682" s="16" t="s">
        <v>151</v>
      </c>
      <c r="BR682" s="17" t="s">
        <v>14046</v>
      </c>
      <c r="BS682" s="17" t="s">
        <v>187</v>
      </c>
      <c r="BT682" s="17" t="s">
        <v>188</v>
      </c>
      <c r="BU682" s="22">
        <v>44833</v>
      </c>
      <c r="BV682" s="24">
        <v>5</v>
      </c>
      <c r="BW682" s="17" t="s">
        <v>192</v>
      </c>
      <c r="BX682" s="24">
        <v>12</v>
      </c>
      <c r="BY682" s="17" t="s">
        <v>192</v>
      </c>
      <c r="BZ682" s="17" t="s">
        <v>293</v>
      </c>
      <c r="CA682" s="17" t="s">
        <v>293</v>
      </c>
      <c r="CB682" s="17" t="s">
        <v>151</v>
      </c>
      <c r="CC682" s="17" t="s">
        <v>165</v>
      </c>
      <c r="CD682" s="17" t="s">
        <v>151</v>
      </c>
      <c r="CE682" s="17" t="s">
        <v>191</v>
      </c>
      <c r="CF682" s="22" t="s">
        <v>151</v>
      </c>
      <c r="CG682" s="24" t="s">
        <v>151</v>
      </c>
      <c r="CH682" s="17" t="s">
        <v>151</v>
      </c>
      <c r="CI682" s="24" t="s">
        <v>151</v>
      </c>
      <c r="CJ682" s="17" t="s">
        <v>151</v>
      </c>
      <c r="CK682" s="16" t="s">
        <v>151</v>
      </c>
      <c r="CL682" s="17" t="s">
        <v>231</v>
      </c>
      <c r="CM682" s="17" t="s">
        <v>151</v>
      </c>
      <c r="CN682" s="17" t="s">
        <v>151</v>
      </c>
      <c r="CO682" s="17" t="s">
        <v>165</v>
      </c>
      <c r="CP682" s="22" t="s">
        <v>151</v>
      </c>
      <c r="CQ682" s="24" t="s">
        <v>151</v>
      </c>
      <c r="CR682" s="17" t="s">
        <v>151</v>
      </c>
      <c r="CS682" s="17" t="s">
        <v>191</v>
      </c>
      <c r="CT682" s="16">
        <v>65</v>
      </c>
      <c r="CU682" s="17" t="s">
        <v>196</v>
      </c>
      <c r="CV682" s="19">
        <v>62</v>
      </c>
      <c r="CW682" s="19">
        <v>38</v>
      </c>
      <c r="CX682" s="17" t="s">
        <v>294</v>
      </c>
      <c r="CY682" s="19">
        <v>1</v>
      </c>
      <c r="CZ682" s="19">
        <v>61</v>
      </c>
      <c r="DA682" s="24">
        <v>12</v>
      </c>
      <c r="DB682" s="22">
        <v>44833</v>
      </c>
      <c r="DC682" s="17" t="s">
        <v>293</v>
      </c>
      <c r="DD682" s="16" t="s">
        <v>151</v>
      </c>
      <c r="DE682" s="19">
        <v>-0.3</v>
      </c>
      <c r="DF682" s="21">
        <v>9</v>
      </c>
      <c r="DG682" s="19">
        <v>0</v>
      </c>
      <c r="DH682" s="19">
        <v>0</v>
      </c>
      <c r="DI682" s="19">
        <v>0</v>
      </c>
      <c r="DJ682" s="21">
        <v>10</v>
      </c>
      <c r="DK682" s="19" t="s">
        <v>151</v>
      </c>
      <c r="DL682" s="21" t="s">
        <v>151</v>
      </c>
      <c r="DM682" s="19">
        <v>0</v>
      </c>
      <c r="DN682" s="21">
        <v>10</v>
      </c>
      <c r="DO682" s="23">
        <v>2.9</v>
      </c>
      <c r="DP682" s="21">
        <v>74</v>
      </c>
      <c r="DQ682" s="23">
        <v>0</v>
      </c>
      <c r="DR682" s="19">
        <v>0</v>
      </c>
      <c r="DS682" s="23">
        <v>4.26</v>
      </c>
      <c r="DT682" s="21">
        <v>80</v>
      </c>
      <c r="DU682" s="23" t="s">
        <v>151</v>
      </c>
      <c r="DV682" s="21" t="s">
        <v>151</v>
      </c>
      <c r="DW682" s="23">
        <v>4.26</v>
      </c>
      <c r="DX682" s="21">
        <v>80</v>
      </c>
      <c r="DY682" s="18" t="s">
        <v>151</v>
      </c>
      <c r="DZ682" s="22" t="s">
        <v>151</v>
      </c>
      <c r="EA682" s="22" t="s">
        <v>151</v>
      </c>
      <c r="EB682" s="21">
        <v>315</v>
      </c>
      <c r="EC682" s="20">
        <v>-141</v>
      </c>
      <c r="ED682" s="19">
        <v>-30.92</v>
      </c>
      <c r="EE682" s="21">
        <v>81</v>
      </c>
      <c r="EF682" s="20">
        <v>1</v>
      </c>
      <c r="EG682" s="19">
        <v>1.25</v>
      </c>
      <c r="EH682" s="16" t="s">
        <v>198</v>
      </c>
      <c r="EI682" s="17" t="s">
        <v>151</v>
      </c>
      <c r="EJ682" s="17" t="s">
        <v>151</v>
      </c>
      <c r="EK682" s="18" t="s">
        <v>151</v>
      </c>
      <c r="EL682" s="18" t="s">
        <v>151</v>
      </c>
      <c r="EM682" s="18" t="s">
        <v>151</v>
      </c>
      <c r="EN682" s="18" t="s">
        <v>151</v>
      </c>
      <c r="EO682" s="18" t="s">
        <v>151</v>
      </c>
      <c r="EP682" s="17" t="s">
        <v>151</v>
      </c>
      <c r="EQ682" s="16" t="s">
        <v>151</v>
      </c>
      <c r="ER682" s="16" t="s">
        <v>151</v>
      </c>
      <c r="ES682" s="3">
        <f>HYPERLINK("https://my.pitchbook.com?c=509580-82","View Company Online")</f>
      </c>
    </row>
    <row r="683">
      <c r="A683" s="30" t="s">
        <v>14047</v>
      </c>
      <c r="B683" s="30" t="s">
        <v>14048</v>
      </c>
      <c r="C683" s="31" t="s">
        <v>151</v>
      </c>
      <c r="D683" s="30" t="s">
        <v>151</v>
      </c>
      <c r="E683" s="30" t="s">
        <v>151</v>
      </c>
      <c r="F683" s="30" t="s">
        <v>14049</v>
      </c>
      <c r="G683" s="30" t="s">
        <v>151</v>
      </c>
      <c r="H683" s="30" t="s">
        <v>151</v>
      </c>
      <c r="I683" s="30" t="s">
        <v>14050</v>
      </c>
      <c r="J683" s="30" t="s">
        <v>14047</v>
      </c>
      <c r="K683" s="30" t="s">
        <v>14051</v>
      </c>
      <c r="L683" s="30" t="s">
        <v>205</v>
      </c>
      <c r="M683" s="30" t="s">
        <v>206</v>
      </c>
      <c r="N683" s="30" t="s">
        <v>1082</v>
      </c>
      <c r="O683" s="30" t="s">
        <v>11398</v>
      </c>
      <c r="P683" s="30" t="s">
        <v>10089</v>
      </c>
      <c r="Q683" s="30" t="s">
        <v>14052</v>
      </c>
      <c r="R683" s="30" t="s">
        <v>151</v>
      </c>
      <c r="S683" s="30" t="s">
        <v>162</v>
      </c>
      <c r="T683" s="37">
        <v>7.57</v>
      </c>
      <c r="U683" s="30" t="s">
        <v>163</v>
      </c>
      <c r="V683" s="30" t="s">
        <v>164</v>
      </c>
      <c r="W683" s="30" t="s">
        <v>165</v>
      </c>
      <c r="X683" s="28" t="s">
        <v>14053</v>
      </c>
      <c r="Y683" s="28" t="s">
        <v>14054</v>
      </c>
      <c r="Z683" s="40">
        <v>15</v>
      </c>
      <c r="AA683" s="30" t="s">
        <v>14055</v>
      </c>
      <c r="AB683" s="30" t="s">
        <v>151</v>
      </c>
      <c r="AC683" s="30" t="s">
        <v>151</v>
      </c>
      <c r="AD683" s="39">
        <v>2018</v>
      </c>
      <c r="AE683" s="30" t="s">
        <v>151</v>
      </c>
      <c r="AF683" s="35">
        <v>45510</v>
      </c>
      <c r="AG683" s="30" t="s">
        <v>151</v>
      </c>
      <c r="AH683" s="30" t="s">
        <v>151</v>
      </c>
      <c r="AI683" s="38" t="s">
        <v>151</v>
      </c>
      <c r="AJ683" s="32" t="s">
        <v>151</v>
      </c>
      <c r="AK683" s="38" t="s">
        <v>151</v>
      </c>
      <c r="AL683" s="38" t="s">
        <v>151</v>
      </c>
      <c r="AM683" s="38" t="s">
        <v>151</v>
      </c>
      <c r="AN683" s="38" t="s">
        <v>151</v>
      </c>
      <c r="AO683" s="38" t="s">
        <v>151</v>
      </c>
      <c r="AP683" s="38" t="s">
        <v>151</v>
      </c>
      <c r="AQ683" s="38" t="s">
        <v>151</v>
      </c>
      <c r="AR683" s="29" t="s">
        <v>151</v>
      </c>
      <c r="AS683" s="30" t="s">
        <v>14056</v>
      </c>
      <c r="AT683" s="30" t="s">
        <v>14057</v>
      </c>
      <c r="AU683" s="31">
        <v>1</v>
      </c>
      <c r="AV683" s="30" t="s">
        <v>151</v>
      </c>
      <c r="AW683" s="30" t="s">
        <v>14058</v>
      </c>
      <c r="AX683" s="30" t="s">
        <v>151</v>
      </c>
      <c r="AY683" s="30" t="s">
        <v>14059</v>
      </c>
      <c r="AZ683" s="30" t="s">
        <v>151</v>
      </c>
      <c r="BA683" s="30" t="s">
        <v>151</v>
      </c>
      <c r="BB683" s="30" t="s">
        <v>151</v>
      </c>
      <c r="BC683" s="30" t="s">
        <v>151</v>
      </c>
      <c r="BD683" s="30" t="s">
        <v>14060</v>
      </c>
      <c r="BE683" s="30" t="s">
        <v>14061</v>
      </c>
      <c r="BF683" s="30" t="s">
        <v>221</v>
      </c>
      <c r="BG683" s="30" t="s">
        <v>14062</v>
      </c>
      <c r="BH683" s="30" t="s">
        <v>151</v>
      </c>
      <c r="BI683" s="30" t="s">
        <v>906</v>
      </c>
      <c r="BJ683" s="30" t="s">
        <v>14063</v>
      </c>
      <c r="BK683" s="30" t="s">
        <v>151</v>
      </c>
      <c r="BL683" s="30" t="s">
        <v>259</v>
      </c>
      <c r="BM683" s="30" t="s">
        <v>259</v>
      </c>
      <c r="BN683" s="29" t="s">
        <v>1123</v>
      </c>
      <c r="BO683" s="30" t="s">
        <v>186</v>
      </c>
      <c r="BP683" s="29" t="s">
        <v>151</v>
      </c>
      <c r="BQ683" s="29" t="s">
        <v>151</v>
      </c>
      <c r="BR683" s="30" t="s">
        <v>151</v>
      </c>
      <c r="BS683" s="30" t="s">
        <v>187</v>
      </c>
      <c r="BT683" s="30" t="s">
        <v>188</v>
      </c>
      <c r="BU683" s="35" t="s">
        <v>151</v>
      </c>
      <c r="BV683" s="37">
        <v>0.57</v>
      </c>
      <c r="BW683" s="30" t="s">
        <v>192</v>
      </c>
      <c r="BX683" s="37" t="s">
        <v>151</v>
      </c>
      <c r="BY683" s="30" t="s">
        <v>151</v>
      </c>
      <c r="BZ683" s="30" t="s">
        <v>1075</v>
      </c>
      <c r="CA683" s="30" t="s">
        <v>1075</v>
      </c>
      <c r="CB683" s="30" t="s">
        <v>151</v>
      </c>
      <c r="CC683" s="30" t="s">
        <v>585</v>
      </c>
      <c r="CD683" s="30" t="s">
        <v>151</v>
      </c>
      <c r="CE683" s="30" t="s">
        <v>191</v>
      </c>
      <c r="CF683" s="35">
        <v>44409</v>
      </c>
      <c r="CG683" s="37" t="s">
        <v>151</v>
      </c>
      <c r="CH683" s="30" t="s">
        <v>151</v>
      </c>
      <c r="CI683" s="37" t="s">
        <v>151</v>
      </c>
      <c r="CJ683" s="30" t="s">
        <v>151</v>
      </c>
      <c r="CK683" s="29" t="s">
        <v>151</v>
      </c>
      <c r="CL683" s="30" t="s">
        <v>911</v>
      </c>
      <c r="CM683" s="30" t="s">
        <v>151</v>
      </c>
      <c r="CN683" s="30" t="s">
        <v>151</v>
      </c>
      <c r="CO683" s="30" t="s">
        <v>165</v>
      </c>
      <c r="CP683" s="35">
        <v>44409</v>
      </c>
      <c r="CQ683" s="37" t="s">
        <v>151</v>
      </c>
      <c r="CR683" s="30" t="s">
        <v>151</v>
      </c>
      <c r="CS683" s="30" t="s">
        <v>191</v>
      </c>
      <c r="CT683" s="29">
        <v>23</v>
      </c>
      <c r="CU683" s="30" t="s">
        <v>263</v>
      </c>
      <c r="CV683" s="32">
        <v>24</v>
      </c>
      <c r="CW683" s="32">
        <v>76</v>
      </c>
      <c r="CX683" s="30" t="s">
        <v>263</v>
      </c>
      <c r="CY683" s="32">
        <v>1</v>
      </c>
      <c r="CZ683" s="32">
        <v>23</v>
      </c>
      <c r="DA683" s="37">
        <v>19.02</v>
      </c>
      <c r="DB683" s="35">
        <v>43993</v>
      </c>
      <c r="DC683" s="30" t="s">
        <v>293</v>
      </c>
      <c r="DD683" s="29" t="s">
        <v>151</v>
      </c>
      <c r="DE683" s="32">
        <v>0.45</v>
      </c>
      <c r="DF683" s="34">
        <v>94</v>
      </c>
      <c r="DG683" s="32">
        <v>0</v>
      </c>
      <c r="DH683" s="32">
        <v>0</v>
      </c>
      <c r="DI683" s="32">
        <v>0</v>
      </c>
      <c r="DJ683" s="34">
        <v>10</v>
      </c>
      <c r="DK683" s="32">
        <v>0</v>
      </c>
      <c r="DL683" s="34">
        <v>11</v>
      </c>
      <c r="DM683" s="32" t="s">
        <v>151</v>
      </c>
      <c r="DN683" s="34" t="s">
        <v>151</v>
      </c>
      <c r="DO683" s="36">
        <v>1.21</v>
      </c>
      <c r="DP683" s="34">
        <v>54</v>
      </c>
      <c r="DQ683" s="36">
        <v>0</v>
      </c>
      <c r="DR683" s="32">
        <v>0</v>
      </c>
      <c r="DS683" s="36">
        <v>1.27</v>
      </c>
      <c r="DT683" s="34">
        <v>56</v>
      </c>
      <c r="DU683" s="36">
        <v>1.27</v>
      </c>
      <c r="DV683" s="34">
        <v>61</v>
      </c>
      <c r="DW683" s="36" t="s">
        <v>151</v>
      </c>
      <c r="DX683" s="34" t="s">
        <v>151</v>
      </c>
      <c r="DY683" s="31" t="s">
        <v>151</v>
      </c>
      <c r="DZ683" s="35" t="s">
        <v>151</v>
      </c>
      <c r="EA683" s="35" t="s">
        <v>151</v>
      </c>
      <c r="EB683" s="34">
        <v>0</v>
      </c>
      <c r="EC683" s="33">
        <v>0</v>
      </c>
      <c r="ED683" s="32">
        <v>0</v>
      </c>
      <c r="EE683" s="34" t="s">
        <v>151</v>
      </c>
      <c r="EF683" s="33" t="s">
        <v>151</v>
      </c>
      <c r="EG683" s="32" t="s">
        <v>151</v>
      </c>
      <c r="EH683" s="29" t="s">
        <v>198</v>
      </c>
      <c r="EI683" s="30" t="s">
        <v>151</v>
      </c>
      <c r="EJ683" s="30" t="s">
        <v>151</v>
      </c>
      <c r="EK683" s="31" t="s">
        <v>151</v>
      </c>
      <c r="EL683" s="31" t="s">
        <v>151</v>
      </c>
      <c r="EM683" s="31" t="s">
        <v>151</v>
      </c>
      <c r="EN683" s="31" t="s">
        <v>151</v>
      </c>
      <c r="EO683" s="31" t="s">
        <v>151</v>
      </c>
      <c r="EP683" s="30" t="s">
        <v>151</v>
      </c>
      <c r="EQ683" s="29" t="s">
        <v>151</v>
      </c>
      <c r="ER683" s="29" t="s">
        <v>151</v>
      </c>
      <c r="ES683" s="4">
        <f>HYPERLINK("https://my.pitchbook.com?c=338645-98","View Company Online")</f>
      </c>
    </row>
    <row r="684">
      <c r="A684" s="17" t="s">
        <v>14064</v>
      </c>
      <c r="B684" s="17" t="s">
        <v>14065</v>
      </c>
      <c r="C684" s="18" t="s">
        <v>151</v>
      </c>
      <c r="D684" s="17" t="s">
        <v>151</v>
      </c>
      <c r="E684" s="17" t="s">
        <v>151</v>
      </c>
      <c r="F684" s="17" t="s">
        <v>14066</v>
      </c>
      <c r="G684" s="17" t="s">
        <v>151</v>
      </c>
      <c r="H684" s="17" t="s">
        <v>151</v>
      </c>
      <c r="I684" s="17" t="s">
        <v>151</v>
      </c>
      <c r="J684" s="17" t="s">
        <v>14064</v>
      </c>
      <c r="K684" s="17" t="s">
        <v>14067</v>
      </c>
      <c r="L684" s="17" t="s">
        <v>155</v>
      </c>
      <c r="M684" s="17" t="s">
        <v>2320</v>
      </c>
      <c r="N684" s="17" t="s">
        <v>2321</v>
      </c>
      <c r="O684" s="17" t="s">
        <v>14068</v>
      </c>
      <c r="P684" s="17" t="s">
        <v>10302</v>
      </c>
      <c r="Q684" s="17" t="s">
        <v>14069</v>
      </c>
      <c r="R684" s="17" t="s">
        <v>151</v>
      </c>
      <c r="S684" s="17" t="s">
        <v>162</v>
      </c>
      <c r="T684" s="24">
        <v>7.51</v>
      </c>
      <c r="U684" s="17" t="s">
        <v>163</v>
      </c>
      <c r="V684" s="17" t="s">
        <v>164</v>
      </c>
      <c r="W684" s="17" t="s">
        <v>165</v>
      </c>
      <c r="X684" s="15" t="s">
        <v>14070</v>
      </c>
      <c r="Y684" s="15" t="s">
        <v>14071</v>
      </c>
      <c r="Z684" s="27">
        <v>14</v>
      </c>
      <c r="AA684" s="17" t="s">
        <v>14072</v>
      </c>
      <c r="AB684" s="17" t="s">
        <v>151</v>
      </c>
      <c r="AC684" s="17" t="s">
        <v>151</v>
      </c>
      <c r="AD684" s="26">
        <v>2020</v>
      </c>
      <c r="AE684" s="17" t="s">
        <v>151</v>
      </c>
      <c r="AF684" s="22">
        <v>45538</v>
      </c>
      <c r="AG684" s="17" t="s">
        <v>151</v>
      </c>
      <c r="AH684" s="17" t="s">
        <v>151</v>
      </c>
      <c r="AI684" s="25" t="s">
        <v>151</v>
      </c>
      <c r="AJ684" s="19" t="s">
        <v>151</v>
      </c>
      <c r="AK684" s="25" t="s">
        <v>151</v>
      </c>
      <c r="AL684" s="25" t="s">
        <v>151</v>
      </c>
      <c r="AM684" s="25" t="s">
        <v>151</v>
      </c>
      <c r="AN684" s="25" t="s">
        <v>151</v>
      </c>
      <c r="AO684" s="25" t="s">
        <v>151</v>
      </c>
      <c r="AP684" s="25" t="s">
        <v>151</v>
      </c>
      <c r="AQ684" s="25" t="s">
        <v>151</v>
      </c>
      <c r="AR684" s="16" t="s">
        <v>151</v>
      </c>
      <c r="AS684" s="17" t="s">
        <v>14073</v>
      </c>
      <c r="AT684" s="17" t="s">
        <v>14074</v>
      </c>
      <c r="AU684" s="18">
        <v>1</v>
      </c>
      <c r="AV684" s="17" t="s">
        <v>151</v>
      </c>
      <c r="AW684" s="17" t="s">
        <v>151</v>
      </c>
      <c r="AX684" s="17" t="s">
        <v>151</v>
      </c>
      <c r="AY684" s="17" t="s">
        <v>14075</v>
      </c>
      <c r="AZ684" s="17" t="s">
        <v>151</v>
      </c>
      <c r="BA684" s="17" t="s">
        <v>151</v>
      </c>
      <c r="BB684" s="17" t="s">
        <v>151</v>
      </c>
      <c r="BC684" s="17" t="s">
        <v>1115</v>
      </c>
      <c r="BD684" s="17" t="s">
        <v>14076</v>
      </c>
      <c r="BE684" s="17" t="s">
        <v>14077</v>
      </c>
      <c r="BF684" s="17" t="s">
        <v>493</v>
      </c>
      <c r="BG684" s="17" t="s">
        <v>14078</v>
      </c>
      <c r="BH684" s="17" t="s">
        <v>14079</v>
      </c>
      <c r="BI684" s="17" t="s">
        <v>764</v>
      </c>
      <c r="BJ684" s="17" t="s">
        <v>14080</v>
      </c>
      <c r="BK684" s="17" t="s">
        <v>14081</v>
      </c>
      <c r="BL684" s="17" t="s">
        <v>767</v>
      </c>
      <c r="BM684" s="17" t="s">
        <v>184</v>
      </c>
      <c r="BN684" s="16" t="s">
        <v>7178</v>
      </c>
      <c r="BO684" s="17" t="s">
        <v>186</v>
      </c>
      <c r="BP684" s="16" t="s">
        <v>14079</v>
      </c>
      <c r="BQ684" s="16" t="s">
        <v>151</v>
      </c>
      <c r="BR684" s="17" t="s">
        <v>14082</v>
      </c>
      <c r="BS684" s="17" t="s">
        <v>187</v>
      </c>
      <c r="BT684" s="17" t="s">
        <v>188</v>
      </c>
      <c r="BU684" s="22">
        <v>43944</v>
      </c>
      <c r="BV684" s="24">
        <v>0.63</v>
      </c>
      <c r="BW684" s="17" t="s">
        <v>192</v>
      </c>
      <c r="BX684" s="24" t="s">
        <v>151</v>
      </c>
      <c r="BY684" s="17" t="s">
        <v>151</v>
      </c>
      <c r="BZ684" s="17" t="s">
        <v>1075</v>
      </c>
      <c r="CA684" s="17" t="s">
        <v>1075</v>
      </c>
      <c r="CB684" s="17" t="s">
        <v>151</v>
      </c>
      <c r="CC684" s="17" t="s">
        <v>585</v>
      </c>
      <c r="CD684" s="17" t="s">
        <v>14083</v>
      </c>
      <c r="CE684" s="17" t="s">
        <v>191</v>
      </c>
      <c r="CF684" s="22">
        <v>45174</v>
      </c>
      <c r="CG684" s="24">
        <v>6.88</v>
      </c>
      <c r="CH684" s="17" t="s">
        <v>192</v>
      </c>
      <c r="CI684" s="24">
        <v>15.88</v>
      </c>
      <c r="CJ684" s="17" t="s">
        <v>192</v>
      </c>
      <c r="CK684" s="16" t="s">
        <v>151</v>
      </c>
      <c r="CL684" s="17" t="s">
        <v>293</v>
      </c>
      <c r="CM684" s="17" t="s">
        <v>293</v>
      </c>
      <c r="CN684" s="17" t="s">
        <v>151</v>
      </c>
      <c r="CO684" s="17" t="s">
        <v>165</v>
      </c>
      <c r="CP684" s="22">
        <v>45174</v>
      </c>
      <c r="CQ684" s="24" t="s">
        <v>151</v>
      </c>
      <c r="CR684" s="17" t="s">
        <v>151</v>
      </c>
      <c r="CS684" s="17" t="s">
        <v>191</v>
      </c>
      <c r="CT684" s="16">
        <v>34</v>
      </c>
      <c r="CU684" s="17" t="s">
        <v>263</v>
      </c>
      <c r="CV684" s="19">
        <v>34</v>
      </c>
      <c r="CW684" s="19">
        <v>66</v>
      </c>
      <c r="CX684" s="17" t="s">
        <v>263</v>
      </c>
      <c r="CY684" s="19">
        <v>1</v>
      </c>
      <c r="CZ684" s="19">
        <v>33</v>
      </c>
      <c r="DA684" s="24">
        <v>15.88</v>
      </c>
      <c r="DB684" s="22">
        <v>45174</v>
      </c>
      <c r="DC684" s="17" t="s">
        <v>293</v>
      </c>
      <c r="DD684" s="16" t="s">
        <v>151</v>
      </c>
      <c r="DE684" s="19">
        <v>1.38</v>
      </c>
      <c r="DF684" s="21">
        <v>97</v>
      </c>
      <c r="DG684" s="19">
        <v>0</v>
      </c>
      <c r="DH684" s="19">
        <v>0</v>
      </c>
      <c r="DI684" s="19">
        <v>1.38</v>
      </c>
      <c r="DJ684" s="21">
        <v>97</v>
      </c>
      <c r="DK684" s="19">
        <v>2.96</v>
      </c>
      <c r="DL684" s="21">
        <v>96</v>
      </c>
      <c r="DM684" s="19">
        <v>-0.21</v>
      </c>
      <c r="DN684" s="21">
        <v>9</v>
      </c>
      <c r="DO684" s="23">
        <v>10.81</v>
      </c>
      <c r="DP684" s="21">
        <v>91</v>
      </c>
      <c r="DQ684" s="23">
        <v>0</v>
      </c>
      <c r="DR684" s="19">
        <v>0</v>
      </c>
      <c r="DS684" s="23">
        <v>10.81</v>
      </c>
      <c r="DT684" s="21">
        <v>91</v>
      </c>
      <c r="DU684" s="23">
        <v>12.31</v>
      </c>
      <c r="DV684" s="21">
        <v>88</v>
      </c>
      <c r="DW684" s="23">
        <v>9.32</v>
      </c>
      <c r="DX684" s="21">
        <v>89</v>
      </c>
      <c r="DY684" s="18" t="s">
        <v>151</v>
      </c>
      <c r="DZ684" s="22" t="s">
        <v>151</v>
      </c>
      <c r="EA684" s="22" t="s">
        <v>151</v>
      </c>
      <c r="EB684" s="21">
        <v>2512</v>
      </c>
      <c r="EC684" s="20">
        <v>200</v>
      </c>
      <c r="ED684" s="19">
        <v>8.65</v>
      </c>
      <c r="EE684" s="21">
        <v>177</v>
      </c>
      <c r="EF684" s="20">
        <v>0</v>
      </c>
      <c r="EG684" s="19">
        <v>0</v>
      </c>
      <c r="EH684" s="16" t="s">
        <v>198</v>
      </c>
      <c r="EI684" s="17" t="s">
        <v>151</v>
      </c>
      <c r="EJ684" s="17" t="s">
        <v>151</v>
      </c>
      <c r="EK684" s="18" t="s">
        <v>151</v>
      </c>
      <c r="EL684" s="18" t="s">
        <v>151</v>
      </c>
      <c r="EM684" s="18" t="s">
        <v>151</v>
      </c>
      <c r="EN684" s="18" t="s">
        <v>151</v>
      </c>
      <c r="EO684" s="18" t="s">
        <v>151</v>
      </c>
      <c r="EP684" s="17" t="s">
        <v>151</v>
      </c>
      <c r="EQ684" s="16" t="s">
        <v>151</v>
      </c>
      <c r="ER684" s="16" t="s">
        <v>151</v>
      </c>
      <c r="ES684" s="3">
        <f>HYPERLINK("https://my.pitchbook.com?c=507323-53","View Company Online")</f>
      </c>
    </row>
    <row r="685">
      <c r="A685" s="30" t="s">
        <v>14084</v>
      </c>
      <c r="B685" s="30" t="s">
        <v>14085</v>
      </c>
      <c r="C685" s="31" t="s">
        <v>151</v>
      </c>
      <c r="D685" s="30" t="s">
        <v>14086</v>
      </c>
      <c r="E685" s="30" t="s">
        <v>14087</v>
      </c>
      <c r="F685" s="30" t="s">
        <v>14088</v>
      </c>
      <c r="G685" s="30" t="s">
        <v>151</v>
      </c>
      <c r="H685" s="30" t="s">
        <v>151</v>
      </c>
      <c r="I685" s="30" t="s">
        <v>151</v>
      </c>
      <c r="J685" s="30" t="s">
        <v>14084</v>
      </c>
      <c r="K685" s="30" t="s">
        <v>14089</v>
      </c>
      <c r="L685" s="30" t="s">
        <v>205</v>
      </c>
      <c r="M685" s="30" t="s">
        <v>206</v>
      </c>
      <c r="N685" s="30" t="s">
        <v>1940</v>
      </c>
      <c r="O685" s="30" t="s">
        <v>14090</v>
      </c>
      <c r="P685" s="30" t="s">
        <v>6887</v>
      </c>
      <c r="Q685" s="30" t="s">
        <v>14091</v>
      </c>
      <c r="R685" s="30" t="s">
        <v>780</v>
      </c>
      <c r="S685" s="30" t="s">
        <v>162</v>
      </c>
      <c r="T685" s="37">
        <v>10.94</v>
      </c>
      <c r="U685" s="30" t="s">
        <v>163</v>
      </c>
      <c r="V685" s="30" t="s">
        <v>164</v>
      </c>
      <c r="W685" s="30" t="s">
        <v>165</v>
      </c>
      <c r="X685" s="28" t="s">
        <v>14092</v>
      </c>
      <c r="Y685" s="28" t="s">
        <v>14093</v>
      </c>
      <c r="Z685" s="40">
        <v>30</v>
      </c>
      <c r="AA685" s="30" t="s">
        <v>14094</v>
      </c>
      <c r="AB685" s="30" t="s">
        <v>151</v>
      </c>
      <c r="AC685" s="30" t="s">
        <v>151</v>
      </c>
      <c r="AD685" s="39">
        <v>2016</v>
      </c>
      <c r="AE685" s="30" t="s">
        <v>151</v>
      </c>
      <c r="AF685" s="35">
        <v>45579</v>
      </c>
      <c r="AG685" s="30" t="s">
        <v>151</v>
      </c>
      <c r="AH685" s="30" t="s">
        <v>151</v>
      </c>
      <c r="AI685" s="38" t="s">
        <v>151</v>
      </c>
      <c r="AJ685" s="32" t="s">
        <v>151</v>
      </c>
      <c r="AK685" s="38" t="s">
        <v>151</v>
      </c>
      <c r="AL685" s="38" t="s">
        <v>151</v>
      </c>
      <c r="AM685" s="38" t="s">
        <v>151</v>
      </c>
      <c r="AN685" s="38" t="s">
        <v>151</v>
      </c>
      <c r="AO685" s="38" t="s">
        <v>151</v>
      </c>
      <c r="AP685" s="38" t="s">
        <v>151</v>
      </c>
      <c r="AQ685" s="38" t="s">
        <v>151</v>
      </c>
      <c r="AR685" s="29" t="s">
        <v>151</v>
      </c>
      <c r="AS685" s="30" t="s">
        <v>14095</v>
      </c>
      <c r="AT685" s="30" t="s">
        <v>14096</v>
      </c>
      <c r="AU685" s="31">
        <v>12</v>
      </c>
      <c r="AV685" s="30" t="s">
        <v>151</v>
      </c>
      <c r="AW685" s="30" t="s">
        <v>151</v>
      </c>
      <c r="AX685" s="30" t="s">
        <v>151</v>
      </c>
      <c r="AY685" s="30" t="s">
        <v>14097</v>
      </c>
      <c r="AZ685" s="30" t="s">
        <v>151</v>
      </c>
      <c r="BA685" s="30" t="s">
        <v>151</v>
      </c>
      <c r="BB685" s="30" t="s">
        <v>151</v>
      </c>
      <c r="BC685" s="30" t="s">
        <v>490</v>
      </c>
      <c r="BD685" s="30" t="s">
        <v>14098</v>
      </c>
      <c r="BE685" s="30" t="s">
        <v>14099</v>
      </c>
      <c r="BF685" s="30" t="s">
        <v>493</v>
      </c>
      <c r="BG685" s="30" t="s">
        <v>14100</v>
      </c>
      <c r="BH685" s="30" t="s">
        <v>14101</v>
      </c>
      <c r="BI685" s="30" t="s">
        <v>906</v>
      </c>
      <c r="BJ685" s="30" t="s">
        <v>14102</v>
      </c>
      <c r="BK685" s="30" t="s">
        <v>14103</v>
      </c>
      <c r="BL685" s="30" t="s">
        <v>259</v>
      </c>
      <c r="BM685" s="30" t="s">
        <v>259</v>
      </c>
      <c r="BN685" s="29" t="s">
        <v>1123</v>
      </c>
      <c r="BO685" s="30" t="s">
        <v>186</v>
      </c>
      <c r="BP685" s="29" t="s">
        <v>14104</v>
      </c>
      <c r="BQ685" s="29" t="s">
        <v>151</v>
      </c>
      <c r="BR685" s="30" t="s">
        <v>14105</v>
      </c>
      <c r="BS685" s="30" t="s">
        <v>187</v>
      </c>
      <c r="BT685" s="30" t="s">
        <v>188</v>
      </c>
      <c r="BU685" s="35">
        <v>43423</v>
      </c>
      <c r="BV685" s="37">
        <v>0.06</v>
      </c>
      <c r="BW685" s="30" t="s">
        <v>192</v>
      </c>
      <c r="BX685" s="37" t="s">
        <v>151</v>
      </c>
      <c r="BY685" s="30" t="s">
        <v>151</v>
      </c>
      <c r="BZ685" s="30" t="s">
        <v>189</v>
      </c>
      <c r="CA685" s="30" t="s">
        <v>151</v>
      </c>
      <c r="CB685" s="30" t="s">
        <v>151</v>
      </c>
      <c r="CC685" s="30" t="s">
        <v>190</v>
      </c>
      <c r="CD685" s="30" t="s">
        <v>151</v>
      </c>
      <c r="CE685" s="30" t="s">
        <v>191</v>
      </c>
      <c r="CF685" s="35">
        <v>45071</v>
      </c>
      <c r="CG685" s="37">
        <v>8.84</v>
      </c>
      <c r="CH685" s="30" t="s">
        <v>192</v>
      </c>
      <c r="CI685" s="37">
        <v>34.84</v>
      </c>
      <c r="CJ685" s="30" t="s">
        <v>192</v>
      </c>
      <c r="CK685" s="29">
        <v>4.3</v>
      </c>
      <c r="CL685" s="30" t="s">
        <v>194</v>
      </c>
      <c r="CM685" s="30" t="s">
        <v>232</v>
      </c>
      <c r="CN685" s="30" t="s">
        <v>151</v>
      </c>
      <c r="CO685" s="30" t="s">
        <v>165</v>
      </c>
      <c r="CP685" s="35">
        <v>45071</v>
      </c>
      <c r="CQ685" s="37" t="s">
        <v>151</v>
      </c>
      <c r="CR685" s="30" t="s">
        <v>151</v>
      </c>
      <c r="CS685" s="30" t="s">
        <v>191</v>
      </c>
      <c r="CT685" s="29">
        <v>98</v>
      </c>
      <c r="CU685" s="30" t="s">
        <v>196</v>
      </c>
      <c r="CV685" s="32">
        <v>96</v>
      </c>
      <c r="CW685" s="32">
        <v>4</v>
      </c>
      <c r="CX685" s="30" t="s">
        <v>294</v>
      </c>
      <c r="CY685" s="32">
        <v>1</v>
      </c>
      <c r="CZ685" s="32">
        <v>95</v>
      </c>
      <c r="DA685" s="37">
        <v>34.84</v>
      </c>
      <c r="DB685" s="35">
        <v>45071</v>
      </c>
      <c r="DC685" s="30" t="s">
        <v>194</v>
      </c>
      <c r="DD685" s="29">
        <v>4.3</v>
      </c>
      <c r="DE685" s="32">
        <v>0.86</v>
      </c>
      <c r="DF685" s="34">
        <v>96</v>
      </c>
      <c r="DG685" s="32">
        <v>-0.04</v>
      </c>
      <c r="DH685" s="32">
        <v>-3.93</v>
      </c>
      <c r="DI685" s="32">
        <v>-0.45</v>
      </c>
      <c r="DJ685" s="34">
        <v>7</v>
      </c>
      <c r="DK685" s="32" t="s">
        <v>151</v>
      </c>
      <c r="DL685" s="34" t="s">
        <v>151</v>
      </c>
      <c r="DM685" s="32">
        <v>-0.45</v>
      </c>
      <c r="DN685" s="34">
        <v>7</v>
      </c>
      <c r="DO685" s="36">
        <v>56.56</v>
      </c>
      <c r="DP685" s="34">
        <v>98</v>
      </c>
      <c r="DQ685" s="36">
        <v>0.93</v>
      </c>
      <c r="DR685" s="32">
        <v>1.67</v>
      </c>
      <c r="DS685" s="36">
        <v>7.16</v>
      </c>
      <c r="DT685" s="34">
        <v>86</v>
      </c>
      <c r="DU685" s="36" t="s">
        <v>151</v>
      </c>
      <c r="DV685" s="34" t="s">
        <v>151</v>
      </c>
      <c r="DW685" s="36">
        <v>7.16</v>
      </c>
      <c r="DX685" s="34">
        <v>86</v>
      </c>
      <c r="DY685" s="31" t="s">
        <v>151</v>
      </c>
      <c r="DZ685" s="35" t="s">
        <v>151</v>
      </c>
      <c r="EA685" s="35" t="s">
        <v>151</v>
      </c>
      <c r="EB685" s="34">
        <v>2946</v>
      </c>
      <c r="EC685" s="33">
        <v>-226</v>
      </c>
      <c r="ED685" s="32">
        <v>-7.12</v>
      </c>
      <c r="EE685" s="34">
        <v>136</v>
      </c>
      <c r="EF685" s="33">
        <v>0</v>
      </c>
      <c r="EG685" s="32">
        <v>0</v>
      </c>
      <c r="EH685" s="29" t="s">
        <v>198</v>
      </c>
      <c r="EI685" s="30" t="s">
        <v>151</v>
      </c>
      <c r="EJ685" s="30" t="s">
        <v>151</v>
      </c>
      <c r="EK685" s="31" t="s">
        <v>151</v>
      </c>
      <c r="EL685" s="31" t="s">
        <v>151</v>
      </c>
      <c r="EM685" s="31" t="s">
        <v>151</v>
      </c>
      <c r="EN685" s="31" t="s">
        <v>151</v>
      </c>
      <c r="EO685" s="31" t="s">
        <v>151</v>
      </c>
      <c r="EP685" s="30" t="s">
        <v>151</v>
      </c>
      <c r="EQ685" s="29" t="s">
        <v>151</v>
      </c>
      <c r="ER685" s="29" t="s">
        <v>151</v>
      </c>
      <c r="ES685" s="4">
        <f>HYPERLINK("https://my.pitchbook.com?c=266352-40","View Company Online")</f>
      </c>
    </row>
    <row r="686">
      <c r="A686" s="17" t="s">
        <v>14106</v>
      </c>
      <c r="B686" s="17" t="s">
        <v>14107</v>
      </c>
      <c r="C686" s="18" t="s">
        <v>151</v>
      </c>
      <c r="D686" s="17" t="s">
        <v>151</v>
      </c>
      <c r="E686" s="17" t="s">
        <v>14108</v>
      </c>
      <c r="F686" s="17" t="s">
        <v>14109</v>
      </c>
      <c r="G686" s="17" t="s">
        <v>151</v>
      </c>
      <c r="H686" s="17" t="s">
        <v>151</v>
      </c>
      <c r="I686" s="17" t="s">
        <v>14110</v>
      </c>
      <c r="J686" s="17" t="s">
        <v>14106</v>
      </c>
      <c r="K686" s="17" t="s">
        <v>14111</v>
      </c>
      <c r="L686" s="17" t="s">
        <v>205</v>
      </c>
      <c r="M686" s="17" t="s">
        <v>206</v>
      </c>
      <c r="N686" s="17" t="s">
        <v>998</v>
      </c>
      <c r="O686" s="17" t="s">
        <v>14112</v>
      </c>
      <c r="P686" s="17" t="s">
        <v>1153</v>
      </c>
      <c r="Q686" s="17" t="s">
        <v>14113</v>
      </c>
      <c r="R686" s="17" t="s">
        <v>151</v>
      </c>
      <c r="S686" s="17" t="s">
        <v>162</v>
      </c>
      <c r="T686" s="24">
        <v>3.37</v>
      </c>
      <c r="U686" s="17" t="s">
        <v>163</v>
      </c>
      <c r="V686" s="17" t="s">
        <v>164</v>
      </c>
      <c r="W686" s="17" t="s">
        <v>165</v>
      </c>
      <c r="X686" s="15" t="s">
        <v>14114</v>
      </c>
      <c r="Y686" s="15" t="s">
        <v>14115</v>
      </c>
      <c r="Z686" s="27">
        <v>3</v>
      </c>
      <c r="AA686" s="17" t="s">
        <v>8692</v>
      </c>
      <c r="AB686" s="17" t="s">
        <v>151</v>
      </c>
      <c r="AC686" s="17" t="s">
        <v>151</v>
      </c>
      <c r="AD686" s="26">
        <v>2022</v>
      </c>
      <c r="AE686" s="17" t="s">
        <v>151</v>
      </c>
      <c r="AF686" s="22">
        <v>45363</v>
      </c>
      <c r="AG686" s="17" t="s">
        <v>151</v>
      </c>
      <c r="AH686" s="17" t="s">
        <v>151</v>
      </c>
      <c r="AI686" s="25" t="s">
        <v>151</v>
      </c>
      <c r="AJ686" s="19" t="s">
        <v>151</v>
      </c>
      <c r="AK686" s="25" t="s">
        <v>151</v>
      </c>
      <c r="AL686" s="25" t="s">
        <v>151</v>
      </c>
      <c r="AM686" s="25" t="s">
        <v>151</v>
      </c>
      <c r="AN686" s="25" t="s">
        <v>151</v>
      </c>
      <c r="AO686" s="25" t="s">
        <v>151</v>
      </c>
      <c r="AP686" s="25" t="s">
        <v>151</v>
      </c>
      <c r="AQ686" s="25" t="s">
        <v>151</v>
      </c>
      <c r="AR686" s="16" t="s">
        <v>151</v>
      </c>
      <c r="AS686" s="17" t="s">
        <v>14116</v>
      </c>
      <c r="AT686" s="17" t="s">
        <v>14117</v>
      </c>
      <c r="AU686" s="18">
        <v>3</v>
      </c>
      <c r="AV686" s="17" t="s">
        <v>151</v>
      </c>
      <c r="AW686" s="17" t="s">
        <v>151</v>
      </c>
      <c r="AX686" s="17" t="s">
        <v>151</v>
      </c>
      <c r="AY686" s="17" t="s">
        <v>14118</v>
      </c>
      <c r="AZ686" s="17" t="s">
        <v>151</v>
      </c>
      <c r="BA686" s="17" t="s">
        <v>151</v>
      </c>
      <c r="BB686" s="17" t="s">
        <v>151</v>
      </c>
      <c r="BC686" s="17" t="s">
        <v>151</v>
      </c>
      <c r="BD686" s="17" t="s">
        <v>14119</v>
      </c>
      <c r="BE686" s="17" t="s">
        <v>14120</v>
      </c>
      <c r="BF686" s="17" t="s">
        <v>282</v>
      </c>
      <c r="BG686" s="17" t="s">
        <v>151</v>
      </c>
      <c r="BH686" s="17" t="s">
        <v>14121</v>
      </c>
      <c r="BI686" s="17" t="s">
        <v>11448</v>
      </c>
      <c r="BJ686" s="17" t="s">
        <v>14122</v>
      </c>
      <c r="BK686" s="17" t="s">
        <v>14123</v>
      </c>
      <c r="BL686" s="17" t="s">
        <v>11450</v>
      </c>
      <c r="BM686" s="17" t="s">
        <v>1388</v>
      </c>
      <c r="BN686" s="16" t="s">
        <v>13628</v>
      </c>
      <c r="BO686" s="17" t="s">
        <v>186</v>
      </c>
      <c r="BP686" s="16" t="s">
        <v>14121</v>
      </c>
      <c r="BQ686" s="16" t="s">
        <v>151</v>
      </c>
      <c r="BR686" s="17" t="s">
        <v>151</v>
      </c>
      <c r="BS686" s="17" t="s">
        <v>187</v>
      </c>
      <c r="BT686" s="17" t="s">
        <v>188</v>
      </c>
      <c r="BU686" s="22">
        <v>44965</v>
      </c>
      <c r="BV686" s="24">
        <v>3.37</v>
      </c>
      <c r="BW686" s="17" t="s">
        <v>192</v>
      </c>
      <c r="BX686" s="24" t="s">
        <v>151</v>
      </c>
      <c r="BY686" s="17" t="s">
        <v>151</v>
      </c>
      <c r="BZ686" s="17" t="s">
        <v>293</v>
      </c>
      <c r="CA686" s="17" t="s">
        <v>293</v>
      </c>
      <c r="CB686" s="17" t="s">
        <v>151</v>
      </c>
      <c r="CC686" s="17" t="s">
        <v>165</v>
      </c>
      <c r="CD686" s="17" t="s">
        <v>151</v>
      </c>
      <c r="CE686" s="17" t="s">
        <v>191</v>
      </c>
      <c r="CF686" s="22">
        <v>44965</v>
      </c>
      <c r="CG686" s="24">
        <v>3.37</v>
      </c>
      <c r="CH686" s="17" t="s">
        <v>192</v>
      </c>
      <c r="CI686" s="24" t="s">
        <v>151</v>
      </c>
      <c r="CJ686" s="17" t="s">
        <v>151</v>
      </c>
      <c r="CK686" s="16" t="s">
        <v>151</v>
      </c>
      <c r="CL686" s="17" t="s">
        <v>293</v>
      </c>
      <c r="CM686" s="17" t="s">
        <v>293</v>
      </c>
      <c r="CN686" s="17" t="s">
        <v>151</v>
      </c>
      <c r="CO686" s="17" t="s">
        <v>165</v>
      </c>
      <c r="CP686" s="22">
        <v>44965</v>
      </c>
      <c r="CQ686" s="24" t="s">
        <v>151</v>
      </c>
      <c r="CR686" s="17" t="s">
        <v>151</v>
      </c>
      <c r="CS686" s="17" t="s">
        <v>191</v>
      </c>
      <c r="CT686" s="16" t="s">
        <v>151</v>
      </c>
      <c r="CU686" s="17" t="s">
        <v>151</v>
      </c>
      <c r="CV686" s="19" t="s">
        <v>151</v>
      </c>
      <c r="CW686" s="19" t="s">
        <v>151</v>
      </c>
      <c r="CX686" s="17" t="s">
        <v>151</v>
      </c>
      <c r="CY686" s="19" t="s">
        <v>151</v>
      </c>
      <c r="CZ686" s="19" t="s">
        <v>151</v>
      </c>
      <c r="DA686" s="24" t="s">
        <v>151</v>
      </c>
      <c r="DB686" s="22" t="s">
        <v>151</v>
      </c>
      <c r="DC686" s="17" t="s">
        <v>151</v>
      </c>
      <c r="DD686" s="16" t="s">
        <v>151</v>
      </c>
      <c r="DE686" s="19">
        <v>-1.98</v>
      </c>
      <c r="DF686" s="21">
        <v>2</v>
      </c>
      <c r="DG686" s="19">
        <v>0</v>
      </c>
      <c r="DH686" s="19">
        <v>0</v>
      </c>
      <c r="DI686" s="19">
        <v>-0.84</v>
      </c>
      <c r="DJ686" s="21">
        <v>5</v>
      </c>
      <c r="DK686" s="19" t="s">
        <v>151</v>
      </c>
      <c r="DL686" s="21" t="s">
        <v>151</v>
      </c>
      <c r="DM686" s="19">
        <v>-0.84</v>
      </c>
      <c r="DN686" s="21">
        <v>5</v>
      </c>
      <c r="DO686" s="23">
        <v>17.06</v>
      </c>
      <c r="DP686" s="21">
        <v>94</v>
      </c>
      <c r="DQ686" s="23">
        <v>0</v>
      </c>
      <c r="DR686" s="19">
        <v>0</v>
      </c>
      <c r="DS686" s="23">
        <v>33.89</v>
      </c>
      <c r="DT686" s="21">
        <v>97</v>
      </c>
      <c r="DU686" s="23" t="s">
        <v>151</v>
      </c>
      <c r="DV686" s="21" t="s">
        <v>151</v>
      </c>
      <c r="DW686" s="23">
        <v>33.89</v>
      </c>
      <c r="DX686" s="21">
        <v>97</v>
      </c>
      <c r="DY686" s="18" t="s">
        <v>151</v>
      </c>
      <c r="DZ686" s="22" t="s">
        <v>151</v>
      </c>
      <c r="EA686" s="22" t="s">
        <v>151</v>
      </c>
      <c r="EB686" s="21">
        <v>72766</v>
      </c>
      <c r="EC686" s="20">
        <v>-2101</v>
      </c>
      <c r="ED686" s="19">
        <v>-2.81</v>
      </c>
      <c r="EE686" s="21">
        <v>644</v>
      </c>
      <c r="EF686" s="20">
        <v>-4</v>
      </c>
      <c r="EG686" s="19">
        <v>-0.62</v>
      </c>
      <c r="EH686" s="16" t="s">
        <v>198</v>
      </c>
      <c r="EI686" s="17" t="s">
        <v>151</v>
      </c>
      <c r="EJ686" s="17" t="s">
        <v>151</v>
      </c>
      <c r="EK686" s="18" t="s">
        <v>151</v>
      </c>
      <c r="EL686" s="18" t="s">
        <v>151</v>
      </c>
      <c r="EM686" s="18" t="s">
        <v>151</v>
      </c>
      <c r="EN686" s="18" t="s">
        <v>151</v>
      </c>
      <c r="EO686" s="18" t="s">
        <v>151</v>
      </c>
      <c r="EP686" s="17" t="s">
        <v>151</v>
      </c>
      <c r="EQ686" s="16" t="s">
        <v>151</v>
      </c>
      <c r="ER686" s="16" t="s">
        <v>151</v>
      </c>
      <c r="ES686" s="3">
        <f>HYPERLINK("https://my.pitchbook.com?c=527374-18","View Company Online")</f>
      </c>
    </row>
    <row r="687">
      <c r="A687" s="30" t="s">
        <v>14124</v>
      </c>
      <c r="B687" s="30" t="s">
        <v>14125</v>
      </c>
      <c r="C687" s="31" t="s">
        <v>151</v>
      </c>
      <c r="D687" s="30" t="s">
        <v>151</v>
      </c>
      <c r="E687" s="30" t="s">
        <v>151</v>
      </c>
      <c r="F687" s="30" t="s">
        <v>14126</v>
      </c>
      <c r="G687" s="30" t="s">
        <v>151</v>
      </c>
      <c r="H687" s="30" t="s">
        <v>151</v>
      </c>
      <c r="I687" s="30" t="s">
        <v>151</v>
      </c>
      <c r="J687" s="30" t="s">
        <v>14124</v>
      </c>
      <c r="K687" s="30" t="s">
        <v>14127</v>
      </c>
      <c r="L687" s="30" t="s">
        <v>205</v>
      </c>
      <c r="M687" s="30" t="s">
        <v>206</v>
      </c>
      <c r="N687" s="30" t="s">
        <v>269</v>
      </c>
      <c r="O687" s="30" t="s">
        <v>8958</v>
      </c>
      <c r="P687" s="30" t="s">
        <v>1107</v>
      </c>
      <c r="Q687" s="30" t="s">
        <v>14128</v>
      </c>
      <c r="R687" s="30" t="s">
        <v>151</v>
      </c>
      <c r="S687" s="30" t="s">
        <v>162</v>
      </c>
      <c r="T687" s="37">
        <v>0.2</v>
      </c>
      <c r="U687" s="30" t="s">
        <v>163</v>
      </c>
      <c r="V687" s="30" t="s">
        <v>164</v>
      </c>
      <c r="W687" s="30" t="s">
        <v>165</v>
      </c>
      <c r="X687" s="28" t="s">
        <v>14129</v>
      </c>
      <c r="Y687" s="28" t="s">
        <v>14130</v>
      </c>
      <c r="Z687" s="40">
        <v>4</v>
      </c>
      <c r="AA687" s="30" t="s">
        <v>14131</v>
      </c>
      <c r="AB687" s="30" t="s">
        <v>151</v>
      </c>
      <c r="AC687" s="30" t="s">
        <v>151</v>
      </c>
      <c r="AD687" s="39">
        <v>2018</v>
      </c>
      <c r="AE687" s="30" t="s">
        <v>151</v>
      </c>
      <c r="AF687" s="35">
        <v>45281</v>
      </c>
      <c r="AG687" s="30" t="s">
        <v>151</v>
      </c>
      <c r="AH687" s="30" t="s">
        <v>151</v>
      </c>
      <c r="AI687" s="38" t="s">
        <v>151</v>
      </c>
      <c r="AJ687" s="32" t="s">
        <v>151</v>
      </c>
      <c r="AK687" s="38" t="s">
        <v>151</v>
      </c>
      <c r="AL687" s="38" t="s">
        <v>151</v>
      </c>
      <c r="AM687" s="38" t="s">
        <v>151</v>
      </c>
      <c r="AN687" s="38" t="s">
        <v>151</v>
      </c>
      <c r="AO687" s="38" t="s">
        <v>151</v>
      </c>
      <c r="AP687" s="38" t="s">
        <v>151</v>
      </c>
      <c r="AQ687" s="38" t="s">
        <v>151</v>
      </c>
      <c r="AR687" s="29" t="s">
        <v>151</v>
      </c>
      <c r="AS687" s="30" t="s">
        <v>14132</v>
      </c>
      <c r="AT687" s="30" t="s">
        <v>14133</v>
      </c>
      <c r="AU687" s="31">
        <v>1</v>
      </c>
      <c r="AV687" s="30" t="s">
        <v>151</v>
      </c>
      <c r="AW687" s="30" t="s">
        <v>151</v>
      </c>
      <c r="AX687" s="30" t="s">
        <v>151</v>
      </c>
      <c r="AY687" s="30" t="s">
        <v>151</v>
      </c>
      <c r="AZ687" s="30" t="s">
        <v>151</v>
      </c>
      <c r="BA687" s="30" t="s">
        <v>151</v>
      </c>
      <c r="BB687" s="30" t="s">
        <v>151</v>
      </c>
      <c r="BC687" s="30" t="s">
        <v>151</v>
      </c>
      <c r="BD687" s="30" t="s">
        <v>14134</v>
      </c>
      <c r="BE687" s="30" t="s">
        <v>14135</v>
      </c>
      <c r="BF687" s="30" t="s">
        <v>2427</v>
      </c>
      <c r="BG687" s="30" t="s">
        <v>14136</v>
      </c>
      <c r="BH687" s="30" t="s">
        <v>14137</v>
      </c>
      <c r="BI687" s="30" t="s">
        <v>14138</v>
      </c>
      <c r="BJ687" s="30" t="s">
        <v>151</v>
      </c>
      <c r="BK687" s="30" t="s">
        <v>151</v>
      </c>
      <c r="BL687" s="30" t="s">
        <v>14139</v>
      </c>
      <c r="BM687" s="30" t="s">
        <v>823</v>
      </c>
      <c r="BN687" s="29" t="s">
        <v>151</v>
      </c>
      <c r="BO687" s="30" t="s">
        <v>186</v>
      </c>
      <c r="BP687" s="29" t="s">
        <v>14137</v>
      </c>
      <c r="BQ687" s="29" t="s">
        <v>151</v>
      </c>
      <c r="BR687" s="30" t="s">
        <v>14140</v>
      </c>
      <c r="BS687" s="30" t="s">
        <v>187</v>
      </c>
      <c r="BT687" s="30" t="s">
        <v>188</v>
      </c>
      <c r="BU687" s="35">
        <v>43831</v>
      </c>
      <c r="BV687" s="37">
        <v>0.2</v>
      </c>
      <c r="BW687" s="30" t="s">
        <v>192</v>
      </c>
      <c r="BX687" s="37" t="s">
        <v>151</v>
      </c>
      <c r="BY687" s="30" t="s">
        <v>151</v>
      </c>
      <c r="BZ687" s="30" t="s">
        <v>293</v>
      </c>
      <c r="CA687" s="30" t="s">
        <v>293</v>
      </c>
      <c r="CB687" s="30" t="s">
        <v>151</v>
      </c>
      <c r="CC687" s="30" t="s">
        <v>585</v>
      </c>
      <c r="CD687" s="30" t="s">
        <v>151</v>
      </c>
      <c r="CE687" s="30" t="s">
        <v>191</v>
      </c>
      <c r="CF687" s="35">
        <v>43831</v>
      </c>
      <c r="CG687" s="37">
        <v>0.2</v>
      </c>
      <c r="CH687" s="30" t="s">
        <v>192</v>
      </c>
      <c r="CI687" s="37" t="s">
        <v>151</v>
      </c>
      <c r="CJ687" s="30" t="s">
        <v>151</v>
      </c>
      <c r="CK687" s="29" t="s">
        <v>151</v>
      </c>
      <c r="CL687" s="30" t="s">
        <v>293</v>
      </c>
      <c r="CM687" s="30" t="s">
        <v>293</v>
      </c>
      <c r="CN687" s="30" t="s">
        <v>151</v>
      </c>
      <c r="CO687" s="30" t="s">
        <v>585</v>
      </c>
      <c r="CP687" s="35">
        <v>43831</v>
      </c>
      <c r="CQ687" s="37" t="s">
        <v>151</v>
      </c>
      <c r="CR687" s="30" t="s">
        <v>151</v>
      </c>
      <c r="CS687" s="30" t="s">
        <v>191</v>
      </c>
      <c r="CT687" s="29" t="s">
        <v>151</v>
      </c>
      <c r="CU687" s="30" t="s">
        <v>151</v>
      </c>
      <c r="CV687" s="32" t="s">
        <v>151</v>
      </c>
      <c r="CW687" s="32" t="s">
        <v>151</v>
      </c>
      <c r="CX687" s="30" t="s">
        <v>151</v>
      </c>
      <c r="CY687" s="32" t="s">
        <v>151</v>
      </c>
      <c r="CZ687" s="32" t="s">
        <v>151</v>
      </c>
      <c r="DA687" s="37" t="s">
        <v>151</v>
      </c>
      <c r="DB687" s="35" t="s">
        <v>151</v>
      </c>
      <c r="DC687" s="30" t="s">
        <v>151</v>
      </c>
      <c r="DD687" s="29" t="s">
        <v>151</v>
      </c>
      <c r="DE687" s="32">
        <v>0</v>
      </c>
      <c r="DF687" s="34">
        <v>11</v>
      </c>
      <c r="DG687" s="32">
        <v>0</v>
      </c>
      <c r="DH687" s="32">
        <v>0</v>
      </c>
      <c r="DI687" s="32">
        <v>0</v>
      </c>
      <c r="DJ687" s="34">
        <v>10</v>
      </c>
      <c r="DK687" s="32" t="s">
        <v>151</v>
      </c>
      <c r="DL687" s="34" t="s">
        <v>151</v>
      </c>
      <c r="DM687" s="32">
        <v>0</v>
      </c>
      <c r="DN687" s="34">
        <v>10</v>
      </c>
      <c r="DO687" s="36">
        <v>1.47</v>
      </c>
      <c r="DP687" s="34">
        <v>59</v>
      </c>
      <c r="DQ687" s="36">
        <v>0</v>
      </c>
      <c r="DR687" s="32">
        <v>0</v>
      </c>
      <c r="DS687" s="36">
        <v>2.63</v>
      </c>
      <c r="DT687" s="34">
        <v>72</v>
      </c>
      <c r="DU687" s="36" t="s">
        <v>151</v>
      </c>
      <c r="DV687" s="34" t="s">
        <v>151</v>
      </c>
      <c r="DW687" s="36">
        <v>2.63</v>
      </c>
      <c r="DX687" s="34">
        <v>71</v>
      </c>
      <c r="DY687" s="31" t="s">
        <v>151</v>
      </c>
      <c r="DZ687" s="35" t="s">
        <v>151</v>
      </c>
      <c r="EA687" s="35" t="s">
        <v>151</v>
      </c>
      <c r="EB687" s="34">
        <v>252</v>
      </c>
      <c r="EC687" s="33">
        <v>9</v>
      </c>
      <c r="ED687" s="32">
        <v>3.7</v>
      </c>
      <c r="EE687" s="34">
        <v>50</v>
      </c>
      <c r="EF687" s="33">
        <v>0</v>
      </c>
      <c r="EG687" s="32">
        <v>0</v>
      </c>
      <c r="EH687" s="29" t="s">
        <v>198</v>
      </c>
      <c r="EI687" s="30" t="s">
        <v>151</v>
      </c>
      <c r="EJ687" s="30" t="s">
        <v>151</v>
      </c>
      <c r="EK687" s="31" t="s">
        <v>151</v>
      </c>
      <c r="EL687" s="31" t="s">
        <v>151</v>
      </c>
      <c r="EM687" s="31" t="s">
        <v>151</v>
      </c>
      <c r="EN687" s="31" t="s">
        <v>151</v>
      </c>
      <c r="EO687" s="31" t="s">
        <v>151</v>
      </c>
      <c r="EP687" s="30" t="s">
        <v>151</v>
      </c>
      <c r="EQ687" s="29" t="s">
        <v>151</v>
      </c>
      <c r="ER687" s="29" t="s">
        <v>151</v>
      </c>
      <c r="ES687" s="4">
        <f>HYPERLINK("https://my.pitchbook.com?c=353294-02","View Company Online")</f>
      </c>
    </row>
    <row r="688">
      <c r="A688" s="17" t="s">
        <v>14141</v>
      </c>
      <c r="B688" s="17" t="s">
        <v>14142</v>
      </c>
      <c r="C688" s="18" t="s">
        <v>151</v>
      </c>
      <c r="D688" s="17" t="s">
        <v>151</v>
      </c>
      <c r="E688" s="17" t="s">
        <v>14143</v>
      </c>
      <c r="F688" s="17" t="s">
        <v>14144</v>
      </c>
      <c r="G688" s="17" t="s">
        <v>151</v>
      </c>
      <c r="H688" s="17" t="s">
        <v>151</v>
      </c>
      <c r="I688" s="17" t="s">
        <v>14145</v>
      </c>
      <c r="J688" s="17" t="s">
        <v>14141</v>
      </c>
      <c r="K688" s="17" t="s">
        <v>14146</v>
      </c>
      <c r="L688" s="17" t="s">
        <v>205</v>
      </c>
      <c r="M688" s="17" t="s">
        <v>206</v>
      </c>
      <c r="N688" s="17" t="s">
        <v>1268</v>
      </c>
      <c r="O688" s="17" t="s">
        <v>2129</v>
      </c>
      <c r="P688" s="17" t="s">
        <v>892</v>
      </c>
      <c r="Q688" s="17" t="s">
        <v>14147</v>
      </c>
      <c r="R688" s="17" t="s">
        <v>151</v>
      </c>
      <c r="S688" s="17" t="s">
        <v>162</v>
      </c>
      <c r="T688" s="24">
        <v>82.2</v>
      </c>
      <c r="U688" s="17" t="s">
        <v>163</v>
      </c>
      <c r="V688" s="17" t="s">
        <v>164</v>
      </c>
      <c r="W688" s="17" t="s">
        <v>165</v>
      </c>
      <c r="X688" s="15" t="s">
        <v>14148</v>
      </c>
      <c r="Y688" s="15" t="s">
        <v>14149</v>
      </c>
      <c r="Z688" s="27">
        <v>40</v>
      </c>
      <c r="AA688" s="17" t="s">
        <v>14150</v>
      </c>
      <c r="AB688" s="17" t="s">
        <v>151</v>
      </c>
      <c r="AC688" s="17" t="s">
        <v>151</v>
      </c>
      <c r="AD688" s="26">
        <v>2019</v>
      </c>
      <c r="AE688" s="17" t="s">
        <v>151</v>
      </c>
      <c r="AF688" s="22">
        <v>45469</v>
      </c>
      <c r="AG688" s="17" t="s">
        <v>151</v>
      </c>
      <c r="AH688" s="17" t="s">
        <v>151</v>
      </c>
      <c r="AI688" s="25" t="s">
        <v>151</v>
      </c>
      <c r="AJ688" s="19" t="s">
        <v>151</v>
      </c>
      <c r="AK688" s="25" t="s">
        <v>151</v>
      </c>
      <c r="AL688" s="25" t="s">
        <v>151</v>
      </c>
      <c r="AM688" s="25" t="s">
        <v>151</v>
      </c>
      <c r="AN688" s="25" t="s">
        <v>151</v>
      </c>
      <c r="AO688" s="25" t="s">
        <v>151</v>
      </c>
      <c r="AP688" s="25" t="s">
        <v>151</v>
      </c>
      <c r="AQ688" s="25" t="s">
        <v>151</v>
      </c>
      <c r="AR688" s="16" t="s">
        <v>151</v>
      </c>
      <c r="AS688" s="17" t="s">
        <v>14151</v>
      </c>
      <c r="AT688" s="17" t="s">
        <v>14152</v>
      </c>
      <c r="AU688" s="18">
        <v>21</v>
      </c>
      <c r="AV688" s="17" t="s">
        <v>151</v>
      </c>
      <c r="AW688" s="17" t="s">
        <v>14153</v>
      </c>
      <c r="AX688" s="17" t="s">
        <v>151</v>
      </c>
      <c r="AY688" s="17" t="s">
        <v>14154</v>
      </c>
      <c r="AZ688" s="17" t="s">
        <v>14155</v>
      </c>
      <c r="BA688" s="17" t="s">
        <v>151</v>
      </c>
      <c r="BB688" s="17" t="s">
        <v>151</v>
      </c>
      <c r="BC688" s="17" t="s">
        <v>1115</v>
      </c>
      <c r="BD688" s="17" t="s">
        <v>14156</v>
      </c>
      <c r="BE688" s="17" t="s">
        <v>14157</v>
      </c>
      <c r="BF688" s="17" t="s">
        <v>221</v>
      </c>
      <c r="BG688" s="17" t="s">
        <v>14158</v>
      </c>
      <c r="BH688" s="17" t="s">
        <v>151</v>
      </c>
      <c r="BI688" s="17" t="s">
        <v>906</v>
      </c>
      <c r="BJ688" s="17" t="s">
        <v>14159</v>
      </c>
      <c r="BK688" s="17" t="s">
        <v>151</v>
      </c>
      <c r="BL688" s="17" t="s">
        <v>259</v>
      </c>
      <c r="BM688" s="17" t="s">
        <v>259</v>
      </c>
      <c r="BN688" s="16" t="s">
        <v>5984</v>
      </c>
      <c r="BO688" s="17" t="s">
        <v>186</v>
      </c>
      <c r="BP688" s="16" t="s">
        <v>151</v>
      </c>
      <c r="BQ688" s="16" t="s">
        <v>151</v>
      </c>
      <c r="BR688" s="17" t="s">
        <v>14160</v>
      </c>
      <c r="BS688" s="17" t="s">
        <v>187</v>
      </c>
      <c r="BT688" s="17" t="s">
        <v>188</v>
      </c>
      <c r="BU688" s="22">
        <v>44000</v>
      </c>
      <c r="BV688" s="24">
        <v>5.2</v>
      </c>
      <c r="BW688" s="17" t="s">
        <v>192</v>
      </c>
      <c r="BX688" s="24">
        <v>13.63</v>
      </c>
      <c r="BY688" s="17" t="s">
        <v>192</v>
      </c>
      <c r="BZ688" s="17" t="s">
        <v>293</v>
      </c>
      <c r="CA688" s="17" t="s">
        <v>293</v>
      </c>
      <c r="CB688" s="17" t="s">
        <v>151</v>
      </c>
      <c r="CC688" s="17" t="s">
        <v>165</v>
      </c>
      <c r="CD688" s="17" t="s">
        <v>14161</v>
      </c>
      <c r="CE688" s="17" t="s">
        <v>191</v>
      </c>
      <c r="CF688" s="22" t="s">
        <v>151</v>
      </c>
      <c r="CG688" s="24" t="s">
        <v>151</v>
      </c>
      <c r="CH688" s="17" t="s">
        <v>151</v>
      </c>
      <c r="CI688" s="24" t="s">
        <v>151</v>
      </c>
      <c r="CJ688" s="17" t="s">
        <v>151</v>
      </c>
      <c r="CK688" s="16">
        <v>6.11</v>
      </c>
      <c r="CL688" s="17" t="s">
        <v>911</v>
      </c>
      <c r="CM688" s="17" t="s">
        <v>151</v>
      </c>
      <c r="CN688" s="17" t="s">
        <v>151</v>
      </c>
      <c r="CO688" s="17" t="s">
        <v>165</v>
      </c>
      <c r="CP688" s="22" t="s">
        <v>151</v>
      </c>
      <c r="CQ688" s="24" t="s">
        <v>151</v>
      </c>
      <c r="CR688" s="17" t="s">
        <v>151</v>
      </c>
      <c r="CS688" s="17" t="s">
        <v>191</v>
      </c>
      <c r="CT688" s="16">
        <v>67</v>
      </c>
      <c r="CU688" s="17" t="s">
        <v>196</v>
      </c>
      <c r="CV688" s="19">
        <v>77</v>
      </c>
      <c r="CW688" s="19">
        <v>23</v>
      </c>
      <c r="CX688" s="17" t="s">
        <v>294</v>
      </c>
      <c r="CY688" s="19">
        <v>6</v>
      </c>
      <c r="CZ688" s="19">
        <v>71</v>
      </c>
      <c r="DA688" s="24">
        <v>276</v>
      </c>
      <c r="DB688" s="22">
        <v>44376</v>
      </c>
      <c r="DC688" s="17" t="s">
        <v>231</v>
      </c>
      <c r="DD688" s="16">
        <v>6.11</v>
      </c>
      <c r="DE688" s="19">
        <v>-0.22</v>
      </c>
      <c r="DF688" s="21">
        <v>9</v>
      </c>
      <c r="DG688" s="19">
        <v>0</v>
      </c>
      <c r="DH688" s="19">
        <v>0</v>
      </c>
      <c r="DI688" s="19">
        <v>-0.22</v>
      </c>
      <c r="DJ688" s="21">
        <v>9</v>
      </c>
      <c r="DK688" s="19" t="s">
        <v>151</v>
      </c>
      <c r="DL688" s="21" t="s">
        <v>151</v>
      </c>
      <c r="DM688" s="19">
        <v>-0.22</v>
      </c>
      <c r="DN688" s="21">
        <v>9</v>
      </c>
      <c r="DO688" s="23">
        <v>11.95</v>
      </c>
      <c r="DP688" s="21">
        <v>92</v>
      </c>
      <c r="DQ688" s="23">
        <v>0</v>
      </c>
      <c r="DR688" s="19">
        <v>0</v>
      </c>
      <c r="DS688" s="23">
        <v>11.95</v>
      </c>
      <c r="DT688" s="21">
        <v>91</v>
      </c>
      <c r="DU688" s="23" t="s">
        <v>151</v>
      </c>
      <c r="DV688" s="21" t="s">
        <v>151</v>
      </c>
      <c r="DW688" s="23">
        <v>11.95</v>
      </c>
      <c r="DX688" s="21">
        <v>91</v>
      </c>
      <c r="DY688" s="18">
        <v>1</v>
      </c>
      <c r="DZ688" s="22">
        <v>44135</v>
      </c>
      <c r="EA688" s="22" t="s">
        <v>151</v>
      </c>
      <c r="EB688" s="21" t="s">
        <v>151</v>
      </c>
      <c r="EC688" s="20" t="s">
        <v>151</v>
      </c>
      <c r="ED688" s="19" t="s">
        <v>151</v>
      </c>
      <c r="EE688" s="21">
        <v>227</v>
      </c>
      <c r="EF688" s="20">
        <v>0</v>
      </c>
      <c r="EG688" s="19">
        <v>0</v>
      </c>
      <c r="EH688" s="16" t="s">
        <v>198</v>
      </c>
      <c r="EI688" s="17" t="s">
        <v>151</v>
      </c>
      <c r="EJ688" s="17" t="s">
        <v>151</v>
      </c>
      <c r="EK688" s="18" t="s">
        <v>151</v>
      </c>
      <c r="EL688" s="18" t="s">
        <v>151</v>
      </c>
      <c r="EM688" s="18" t="s">
        <v>151</v>
      </c>
      <c r="EN688" s="18" t="s">
        <v>151</v>
      </c>
      <c r="EO688" s="18" t="s">
        <v>151</v>
      </c>
      <c r="EP688" s="17" t="s">
        <v>151</v>
      </c>
      <c r="EQ688" s="16" t="s">
        <v>151</v>
      </c>
      <c r="ER688" s="16" t="s">
        <v>151</v>
      </c>
      <c r="ES688" s="3">
        <f>HYPERLINK("https://my.pitchbook.com?c=437963-32","View Company Online")</f>
      </c>
    </row>
    <row r="689">
      <c r="A689" s="30" t="s">
        <v>14162</v>
      </c>
      <c r="B689" s="30" t="s">
        <v>14163</v>
      </c>
      <c r="C689" s="31" t="s">
        <v>151</v>
      </c>
      <c r="D689" s="30" t="s">
        <v>151</v>
      </c>
      <c r="E689" s="30" t="s">
        <v>151</v>
      </c>
      <c r="F689" s="30" t="s">
        <v>14164</v>
      </c>
      <c r="G689" s="30" t="s">
        <v>151</v>
      </c>
      <c r="H689" s="30" t="s">
        <v>151</v>
      </c>
      <c r="I689" s="30" t="s">
        <v>151</v>
      </c>
      <c r="J689" s="30" t="s">
        <v>14162</v>
      </c>
      <c r="K689" s="30" t="s">
        <v>14165</v>
      </c>
      <c r="L689" s="30" t="s">
        <v>205</v>
      </c>
      <c r="M689" s="30" t="s">
        <v>206</v>
      </c>
      <c r="N689" s="30" t="s">
        <v>1940</v>
      </c>
      <c r="O689" s="30" t="s">
        <v>1941</v>
      </c>
      <c r="P689" s="30" t="s">
        <v>6887</v>
      </c>
      <c r="Q689" s="30" t="s">
        <v>14166</v>
      </c>
      <c r="R689" s="30" t="s">
        <v>151</v>
      </c>
      <c r="S689" s="30" t="s">
        <v>162</v>
      </c>
      <c r="T689" s="37">
        <v>2.35</v>
      </c>
      <c r="U689" s="30" t="s">
        <v>163</v>
      </c>
      <c r="V689" s="30" t="s">
        <v>164</v>
      </c>
      <c r="W689" s="30" t="s">
        <v>165</v>
      </c>
      <c r="X689" s="28" t="s">
        <v>14167</v>
      </c>
      <c r="Y689" s="28" t="s">
        <v>14168</v>
      </c>
      <c r="Z689" s="40">
        <v>7</v>
      </c>
      <c r="AA689" s="30" t="s">
        <v>9632</v>
      </c>
      <c r="AB689" s="30" t="s">
        <v>151</v>
      </c>
      <c r="AC689" s="30" t="s">
        <v>151</v>
      </c>
      <c r="AD689" s="39">
        <v>2022</v>
      </c>
      <c r="AE689" s="30" t="s">
        <v>151</v>
      </c>
      <c r="AF689" s="35">
        <v>45595</v>
      </c>
      <c r="AG689" s="30" t="s">
        <v>151</v>
      </c>
      <c r="AH689" s="30" t="s">
        <v>151</v>
      </c>
      <c r="AI689" s="38" t="s">
        <v>151</v>
      </c>
      <c r="AJ689" s="32" t="s">
        <v>151</v>
      </c>
      <c r="AK689" s="38" t="s">
        <v>151</v>
      </c>
      <c r="AL689" s="38" t="s">
        <v>151</v>
      </c>
      <c r="AM689" s="38" t="s">
        <v>151</v>
      </c>
      <c r="AN689" s="38" t="s">
        <v>151</v>
      </c>
      <c r="AO689" s="38" t="s">
        <v>151</v>
      </c>
      <c r="AP689" s="38" t="s">
        <v>151</v>
      </c>
      <c r="AQ689" s="38" t="s">
        <v>151</v>
      </c>
      <c r="AR689" s="29" t="s">
        <v>151</v>
      </c>
      <c r="AS689" s="30" t="s">
        <v>14169</v>
      </c>
      <c r="AT689" s="30" t="s">
        <v>14170</v>
      </c>
      <c r="AU689" s="31">
        <v>6</v>
      </c>
      <c r="AV689" s="30" t="s">
        <v>151</v>
      </c>
      <c r="AW689" s="30" t="s">
        <v>151</v>
      </c>
      <c r="AX689" s="30" t="s">
        <v>151</v>
      </c>
      <c r="AY689" s="30" t="s">
        <v>14171</v>
      </c>
      <c r="AZ689" s="30" t="s">
        <v>151</v>
      </c>
      <c r="BA689" s="30" t="s">
        <v>151</v>
      </c>
      <c r="BB689" s="30" t="s">
        <v>151</v>
      </c>
      <c r="BC689" s="30" t="s">
        <v>151</v>
      </c>
      <c r="BD689" s="30" t="s">
        <v>14172</v>
      </c>
      <c r="BE689" s="30" t="s">
        <v>14173</v>
      </c>
      <c r="BF689" s="30" t="s">
        <v>221</v>
      </c>
      <c r="BG689" s="30" t="s">
        <v>14174</v>
      </c>
      <c r="BH689" s="30" t="s">
        <v>14175</v>
      </c>
      <c r="BI689" s="30" t="s">
        <v>2652</v>
      </c>
      <c r="BJ689" s="30" t="s">
        <v>151</v>
      </c>
      <c r="BK689" s="30" t="s">
        <v>151</v>
      </c>
      <c r="BL689" s="30" t="s">
        <v>2654</v>
      </c>
      <c r="BM689" s="30" t="s">
        <v>1576</v>
      </c>
      <c r="BN689" s="29" t="s">
        <v>151</v>
      </c>
      <c r="BO689" s="30" t="s">
        <v>186</v>
      </c>
      <c r="BP689" s="29" t="s">
        <v>14175</v>
      </c>
      <c r="BQ689" s="29" t="s">
        <v>151</v>
      </c>
      <c r="BR689" s="30" t="s">
        <v>151</v>
      </c>
      <c r="BS689" s="30" t="s">
        <v>187</v>
      </c>
      <c r="BT689" s="30" t="s">
        <v>188</v>
      </c>
      <c r="BU689" s="35" t="s">
        <v>151</v>
      </c>
      <c r="BV689" s="37" t="s">
        <v>151</v>
      </c>
      <c r="BW689" s="30" t="s">
        <v>151</v>
      </c>
      <c r="BX689" s="37" t="s">
        <v>151</v>
      </c>
      <c r="BY689" s="30" t="s">
        <v>151</v>
      </c>
      <c r="BZ689" s="30" t="s">
        <v>189</v>
      </c>
      <c r="CA689" s="30" t="s">
        <v>151</v>
      </c>
      <c r="CB689" s="30" t="s">
        <v>151</v>
      </c>
      <c r="CC689" s="30" t="s">
        <v>190</v>
      </c>
      <c r="CD689" s="30" t="s">
        <v>151</v>
      </c>
      <c r="CE689" s="30" t="s">
        <v>191</v>
      </c>
      <c r="CF689" s="35">
        <v>45413</v>
      </c>
      <c r="CG689" s="37">
        <v>2.35</v>
      </c>
      <c r="CH689" s="30" t="s">
        <v>192</v>
      </c>
      <c r="CI689" s="37" t="s">
        <v>151</v>
      </c>
      <c r="CJ689" s="30" t="s">
        <v>151</v>
      </c>
      <c r="CK689" s="29" t="s">
        <v>151</v>
      </c>
      <c r="CL689" s="30" t="s">
        <v>293</v>
      </c>
      <c r="CM689" s="30" t="s">
        <v>293</v>
      </c>
      <c r="CN689" s="30" t="s">
        <v>151</v>
      </c>
      <c r="CO689" s="30" t="s">
        <v>165</v>
      </c>
      <c r="CP689" s="35">
        <v>45413</v>
      </c>
      <c r="CQ689" s="37" t="s">
        <v>151</v>
      </c>
      <c r="CR689" s="30" t="s">
        <v>151</v>
      </c>
      <c r="CS689" s="30" t="s">
        <v>191</v>
      </c>
      <c r="CT689" s="29" t="s">
        <v>151</v>
      </c>
      <c r="CU689" s="30" t="s">
        <v>151</v>
      </c>
      <c r="CV689" s="32" t="s">
        <v>151</v>
      </c>
      <c r="CW689" s="32" t="s">
        <v>151</v>
      </c>
      <c r="CX689" s="30" t="s">
        <v>151</v>
      </c>
      <c r="CY689" s="32" t="s">
        <v>151</v>
      </c>
      <c r="CZ689" s="32" t="s">
        <v>151</v>
      </c>
      <c r="DA689" s="37" t="s">
        <v>151</v>
      </c>
      <c r="DB689" s="35" t="s">
        <v>151</v>
      </c>
      <c r="DC689" s="30" t="s">
        <v>151</v>
      </c>
      <c r="DD689" s="29" t="s">
        <v>151</v>
      </c>
      <c r="DE689" s="32">
        <v>-1.26</v>
      </c>
      <c r="DF689" s="34">
        <v>3</v>
      </c>
      <c r="DG689" s="32">
        <v>0</v>
      </c>
      <c r="DH689" s="32">
        <v>0</v>
      </c>
      <c r="DI689" s="32" t="s">
        <v>151</v>
      </c>
      <c r="DJ689" s="34" t="s">
        <v>151</v>
      </c>
      <c r="DK689" s="32" t="s">
        <v>151</v>
      </c>
      <c r="DL689" s="34" t="s">
        <v>151</v>
      </c>
      <c r="DM689" s="32" t="s">
        <v>151</v>
      </c>
      <c r="DN689" s="34" t="s">
        <v>151</v>
      </c>
      <c r="DO689" s="36">
        <v>0.54</v>
      </c>
      <c r="DP689" s="34">
        <v>35</v>
      </c>
      <c r="DQ689" s="36">
        <v>0</v>
      </c>
      <c r="DR689" s="32">
        <v>0</v>
      </c>
      <c r="DS689" s="36" t="s">
        <v>151</v>
      </c>
      <c r="DT689" s="34" t="s">
        <v>151</v>
      </c>
      <c r="DU689" s="36" t="s">
        <v>151</v>
      </c>
      <c r="DV689" s="34" t="s">
        <v>151</v>
      </c>
      <c r="DW689" s="36" t="s">
        <v>151</v>
      </c>
      <c r="DX689" s="34" t="s">
        <v>151</v>
      </c>
      <c r="DY689" s="31" t="s">
        <v>151</v>
      </c>
      <c r="DZ689" s="35" t="s">
        <v>151</v>
      </c>
      <c r="EA689" s="35" t="s">
        <v>151</v>
      </c>
      <c r="EB689" s="34">
        <v>1911</v>
      </c>
      <c r="EC689" s="33">
        <v>-62</v>
      </c>
      <c r="ED689" s="32">
        <v>-3.14</v>
      </c>
      <c r="EE689" s="34" t="s">
        <v>151</v>
      </c>
      <c r="EF689" s="33" t="s">
        <v>151</v>
      </c>
      <c r="EG689" s="32" t="s">
        <v>151</v>
      </c>
      <c r="EH689" s="29" t="s">
        <v>198</v>
      </c>
      <c r="EI689" s="30" t="s">
        <v>151</v>
      </c>
      <c r="EJ689" s="30" t="s">
        <v>151</v>
      </c>
      <c r="EK689" s="31" t="s">
        <v>151</v>
      </c>
      <c r="EL689" s="31" t="s">
        <v>151</v>
      </c>
      <c r="EM689" s="31" t="s">
        <v>151</v>
      </c>
      <c r="EN689" s="31" t="s">
        <v>151</v>
      </c>
      <c r="EO689" s="31" t="s">
        <v>151</v>
      </c>
      <c r="EP689" s="30" t="s">
        <v>151</v>
      </c>
      <c r="EQ689" s="29" t="s">
        <v>151</v>
      </c>
      <c r="ER689" s="29" t="s">
        <v>151</v>
      </c>
      <c r="ES689" s="4">
        <f>HYPERLINK("https://my.pitchbook.com?c=552113-83","View Company Online")</f>
      </c>
    </row>
    <row r="690">
      <c r="A690" s="17" t="s">
        <v>14176</v>
      </c>
      <c r="B690" s="17" t="s">
        <v>14177</v>
      </c>
      <c r="C690" s="18" t="s">
        <v>151</v>
      </c>
      <c r="D690" s="17" t="s">
        <v>151</v>
      </c>
      <c r="E690" s="17" t="s">
        <v>14178</v>
      </c>
      <c r="F690" s="17" t="s">
        <v>14179</v>
      </c>
      <c r="G690" s="17" t="s">
        <v>151</v>
      </c>
      <c r="H690" s="17" t="s">
        <v>151</v>
      </c>
      <c r="I690" s="17" t="s">
        <v>151</v>
      </c>
      <c r="J690" s="17" t="s">
        <v>14176</v>
      </c>
      <c r="K690" s="17" t="s">
        <v>14180</v>
      </c>
      <c r="L690" s="17" t="s">
        <v>155</v>
      </c>
      <c r="M690" s="17" t="s">
        <v>361</v>
      </c>
      <c r="N690" s="17" t="s">
        <v>3162</v>
      </c>
      <c r="O690" s="17" t="s">
        <v>8993</v>
      </c>
      <c r="P690" s="17" t="s">
        <v>4727</v>
      </c>
      <c r="Q690" s="17" t="s">
        <v>14181</v>
      </c>
      <c r="R690" s="17" t="s">
        <v>151</v>
      </c>
      <c r="S690" s="17" t="s">
        <v>162</v>
      </c>
      <c r="T690" s="24">
        <v>8.02</v>
      </c>
      <c r="U690" s="17" t="s">
        <v>163</v>
      </c>
      <c r="V690" s="17" t="s">
        <v>164</v>
      </c>
      <c r="W690" s="17" t="s">
        <v>165</v>
      </c>
      <c r="X690" s="15" t="s">
        <v>14182</v>
      </c>
      <c r="Y690" s="15" t="s">
        <v>14183</v>
      </c>
      <c r="Z690" s="27">
        <v>13</v>
      </c>
      <c r="AA690" s="17" t="s">
        <v>14184</v>
      </c>
      <c r="AB690" s="17" t="s">
        <v>151</v>
      </c>
      <c r="AC690" s="17" t="s">
        <v>151</v>
      </c>
      <c r="AD690" s="26">
        <v>2020</v>
      </c>
      <c r="AE690" s="17" t="s">
        <v>151</v>
      </c>
      <c r="AF690" s="22">
        <v>45603</v>
      </c>
      <c r="AG690" s="17" t="s">
        <v>151</v>
      </c>
      <c r="AH690" s="17" t="s">
        <v>151</v>
      </c>
      <c r="AI690" s="25" t="s">
        <v>151</v>
      </c>
      <c r="AJ690" s="19" t="s">
        <v>151</v>
      </c>
      <c r="AK690" s="25" t="s">
        <v>151</v>
      </c>
      <c r="AL690" s="25" t="s">
        <v>151</v>
      </c>
      <c r="AM690" s="25" t="s">
        <v>151</v>
      </c>
      <c r="AN690" s="25" t="s">
        <v>151</v>
      </c>
      <c r="AO690" s="25" t="s">
        <v>151</v>
      </c>
      <c r="AP690" s="25" t="s">
        <v>151</v>
      </c>
      <c r="AQ690" s="25" t="s">
        <v>151</v>
      </c>
      <c r="AR690" s="16" t="s">
        <v>151</v>
      </c>
      <c r="AS690" s="17" t="s">
        <v>14185</v>
      </c>
      <c r="AT690" s="17" t="s">
        <v>14186</v>
      </c>
      <c r="AU690" s="18">
        <v>12</v>
      </c>
      <c r="AV690" s="17" t="s">
        <v>151</v>
      </c>
      <c r="AW690" s="17" t="s">
        <v>151</v>
      </c>
      <c r="AX690" s="17" t="s">
        <v>151</v>
      </c>
      <c r="AY690" s="17" t="s">
        <v>14187</v>
      </c>
      <c r="AZ690" s="17" t="s">
        <v>151</v>
      </c>
      <c r="BA690" s="17" t="s">
        <v>151</v>
      </c>
      <c r="BB690" s="17" t="s">
        <v>14188</v>
      </c>
      <c r="BC690" s="17" t="s">
        <v>1115</v>
      </c>
      <c r="BD690" s="17" t="s">
        <v>14189</v>
      </c>
      <c r="BE690" s="17" t="s">
        <v>14190</v>
      </c>
      <c r="BF690" s="17" t="s">
        <v>493</v>
      </c>
      <c r="BG690" s="17" t="s">
        <v>14191</v>
      </c>
      <c r="BH690" s="17" t="s">
        <v>14192</v>
      </c>
      <c r="BI690" s="17" t="s">
        <v>14193</v>
      </c>
      <c r="BJ690" s="17" t="s">
        <v>14194</v>
      </c>
      <c r="BK690" s="17" t="s">
        <v>14195</v>
      </c>
      <c r="BL690" s="17" t="s">
        <v>14196</v>
      </c>
      <c r="BM690" s="17" t="s">
        <v>289</v>
      </c>
      <c r="BN690" s="16" t="s">
        <v>14197</v>
      </c>
      <c r="BO690" s="17" t="s">
        <v>186</v>
      </c>
      <c r="BP690" s="16" t="s">
        <v>14192</v>
      </c>
      <c r="BQ690" s="16" t="s">
        <v>151</v>
      </c>
      <c r="BR690" s="17" t="s">
        <v>14198</v>
      </c>
      <c r="BS690" s="17" t="s">
        <v>187</v>
      </c>
      <c r="BT690" s="17" t="s">
        <v>188</v>
      </c>
      <c r="BU690" s="22">
        <v>44221</v>
      </c>
      <c r="BV690" s="24">
        <v>0.02</v>
      </c>
      <c r="BW690" s="17" t="s">
        <v>192</v>
      </c>
      <c r="BX690" s="24">
        <v>0.33</v>
      </c>
      <c r="BY690" s="17" t="s">
        <v>192</v>
      </c>
      <c r="BZ690" s="17" t="s">
        <v>189</v>
      </c>
      <c r="CA690" s="17" t="s">
        <v>151</v>
      </c>
      <c r="CB690" s="17" t="s">
        <v>151</v>
      </c>
      <c r="CC690" s="17" t="s">
        <v>190</v>
      </c>
      <c r="CD690" s="17" t="s">
        <v>151</v>
      </c>
      <c r="CE690" s="17" t="s">
        <v>191</v>
      </c>
      <c r="CF690" s="22">
        <v>45383</v>
      </c>
      <c r="CG690" s="24">
        <v>0.65</v>
      </c>
      <c r="CH690" s="17" t="s">
        <v>192</v>
      </c>
      <c r="CI690" s="24" t="s">
        <v>151</v>
      </c>
      <c r="CJ690" s="17" t="s">
        <v>151</v>
      </c>
      <c r="CK690" s="16" t="s">
        <v>151</v>
      </c>
      <c r="CL690" s="17" t="s">
        <v>231</v>
      </c>
      <c r="CM690" s="17" t="s">
        <v>151</v>
      </c>
      <c r="CN690" s="17" t="s">
        <v>151</v>
      </c>
      <c r="CO690" s="17" t="s">
        <v>165</v>
      </c>
      <c r="CP690" s="22">
        <v>45383</v>
      </c>
      <c r="CQ690" s="24" t="s">
        <v>151</v>
      </c>
      <c r="CR690" s="17" t="s">
        <v>151</v>
      </c>
      <c r="CS690" s="17" t="s">
        <v>191</v>
      </c>
      <c r="CT690" s="16">
        <v>60</v>
      </c>
      <c r="CU690" s="17" t="s">
        <v>196</v>
      </c>
      <c r="CV690" s="19">
        <v>56</v>
      </c>
      <c r="CW690" s="19">
        <v>44</v>
      </c>
      <c r="CX690" s="17" t="s">
        <v>294</v>
      </c>
      <c r="CY690" s="19">
        <v>1</v>
      </c>
      <c r="CZ690" s="19">
        <v>55</v>
      </c>
      <c r="DA690" s="24">
        <v>20</v>
      </c>
      <c r="DB690" s="22">
        <v>44635</v>
      </c>
      <c r="DC690" s="17" t="s">
        <v>231</v>
      </c>
      <c r="DD690" s="16">
        <v>2.07</v>
      </c>
      <c r="DE690" s="19">
        <v>-0.45</v>
      </c>
      <c r="DF690" s="21">
        <v>7</v>
      </c>
      <c r="DG690" s="19">
        <v>0</v>
      </c>
      <c r="DH690" s="19">
        <v>0</v>
      </c>
      <c r="DI690" s="19">
        <v>0</v>
      </c>
      <c r="DJ690" s="21">
        <v>10</v>
      </c>
      <c r="DK690" s="19" t="s">
        <v>151</v>
      </c>
      <c r="DL690" s="21" t="s">
        <v>151</v>
      </c>
      <c r="DM690" s="19">
        <v>0</v>
      </c>
      <c r="DN690" s="21">
        <v>10</v>
      </c>
      <c r="DO690" s="23">
        <v>2.53</v>
      </c>
      <c r="DP690" s="21">
        <v>71</v>
      </c>
      <c r="DQ690" s="23">
        <v>0</v>
      </c>
      <c r="DR690" s="19">
        <v>0</v>
      </c>
      <c r="DS690" s="23">
        <v>4.05</v>
      </c>
      <c r="DT690" s="21">
        <v>79</v>
      </c>
      <c r="DU690" s="23" t="s">
        <v>151</v>
      </c>
      <c r="DV690" s="21" t="s">
        <v>151</v>
      </c>
      <c r="DW690" s="23">
        <v>4.05</v>
      </c>
      <c r="DX690" s="21">
        <v>79</v>
      </c>
      <c r="DY690" s="18" t="s">
        <v>151</v>
      </c>
      <c r="DZ690" s="22" t="s">
        <v>151</v>
      </c>
      <c r="EA690" s="22" t="s">
        <v>151</v>
      </c>
      <c r="EB690" s="21">
        <v>359</v>
      </c>
      <c r="EC690" s="20">
        <v>-28</v>
      </c>
      <c r="ED690" s="19">
        <v>-7.24</v>
      </c>
      <c r="EE690" s="21">
        <v>77</v>
      </c>
      <c r="EF690" s="20">
        <v>0</v>
      </c>
      <c r="EG690" s="19">
        <v>0</v>
      </c>
      <c r="EH690" s="16" t="s">
        <v>198</v>
      </c>
      <c r="EI690" s="17" t="s">
        <v>151</v>
      </c>
      <c r="EJ690" s="17" t="s">
        <v>151</v>
      </c>
      <c r="EK690" s="18" t="s">
        <v>151</v>
      </c>
      <c r="EL690" s="18" t="s">
        <v>151</v>
      </c>
      <c r="EM690" s="18" t="s">
        <v>151</v>
      </c>
      <c r="EN690" s="18" t="s">
        <v>151</v>
      </c>
      <c r="EO690" s="18" t="s">
        <v>151</v>
      </c>
      <c r="EP690" s="17" t="s">
        <v>151</v>
      </c>
      <c r="EQ690" s="16" t="s">
        <v>151</v>
      </c>
      <c r="ER690" s="16" t="s">
        <v>151</v>
      </c>
      <c r="ES690" s="3">
        <f>HYPERLINK("https://my.pitchbook.com?c=462055-24","View Company Online")</f>
      </c>
    </row>
    <row r="691">
      <c r="A691" s="30" t="s">
        <v>14199</v>
      </c>
      <c r="B691" s="30" t="s">
        <v>14200</v>
      </c>
      <c r="C691" s="31" t="s">
        <v>151</v>
      </c>
      <c r="D691" s="30" t="s">
        <v>151</v>
      </c>
      <c r="E691" s="30" t="s">
        <v>151</v>
      </c>
      <c r="F691" s="30" t="s">
        <v>14201</v>
      </c>
      <c r="G691" s="30" t="s">
        <v>151</v>
      </c>
      <c r="H691" s="30" t="s">
        <v>151</v>
      </c>
      <c r="I691" s="30" t="s">
        <v>151</v>
      </c>
      <c r="J691" s="30" t="s">
        <v>14199</v>
      </c>
      <c r="K691" s="30" t="s">
        <v>14202</v>
      </c>
      <c r="L691" s="30" t="s">
        <v>205</v>
      </c>
      <c r="M691" s="30" t="s">
        <v>206</v>
      </c>
      <c r="N691" s="30" t="s">
        <v>269</v>
      </c>
      <c r="O691" s="30" t="s">
        <v>14203</v>
      </c>
      <c r="P691" s="30" t="s">
        <v>2618</v>
      </c>
      <c r="Q691" s="30" t="s">
        <v>14204</v>
      </c>
      <c r="R691" s="30" t="s">
        <v>151</v>
      </c>
      <c r="S691" s="30" t="s">
        <v>162</v>
      </c>
      <c r="T691" s="37">
        <v>2.8</v>
      </c>
      <c r="U691" s="30" t="s">
        <v>163</v>
      </c>
      <c r="V691" s="30" t="s">
        <v>164</v>
      </c>
      <c r="W691" s="30" t="s">
        <v>165</v>
      </c>
      <c r="X691" s="28" t="s">
        <v>14205</v>
      </c>
      <c r="Y691" s="28" t="s">
        <v>14206</v>
      </c>
      <c r="Z691" s="40">
        <v>10</v>
      </c>
      <c r="AA691" s="30" t="s">
        <v>14207</v>
      </c>
      <c r="AB691" s="30" t="s">
        <v>151</v>
      </c>
      <c r="AC691" s="30" t="s">
        <v>151</v>
      </c>
      <c r="AD691" s="39">
        <v>2020</v>
      </c>
      <c r="AE691" s="30" t="s">
        <v>151</v>
      </c>
      <c r="AF691" s="35">
        <v>45595</v>
      </c>
      <c r="AG691" s="30" t="s">
        <v>151</v>
      </c>
      <c r="AH691" s="30" t="s">
        <v>151</v>
      </c>
      <c r="AI691" s="38" t="s">
        <v>151</v>
      </c>
      <c r="AJ691" s="32" t="s">
        <v>151</v>
      </c>
      <c r="AK691" s="38" t="s">
        <v>151</v>
      </c>
      <c r="AL691" s="38" t="s">
        <v>151</v>
      </c>
      <c r="AM691" s="38" t="s">
        <v>151</v>
      </c>
      <c r="AN691" s="38" t="s">
        <v>151</v>
      </c>
      <c r="AO691" s="38" t="s">
        <v>151</v>
      </c>
      <c r="AP691" s="38" t="s">
        <v>151</v>
      </c>
      <c r="AQ691" s="38" t="s">
        <v>151</v>
      </c>
      <c r="AR691" s="29" t="s">
        <v>151</v>
      </c>
      <c r="AS691" s="30" t="s">
        <v>14208</v>
      </c>
      <c r="AT691" s="30" t="s">
        <v>14209</v>
      </c>
      <c r="AU691" s="31">
        <v>8</v>
      </c>
      <c r="AV691" s="30" t="s">
        <v>151</v>
      </c>
      <c r="AW691" s="30" t="s">
        <v>151</v>
      </c>
      <c r="AX691" s="30" t="s">
        <v>151</v>
      </c>
      <c r="AY691" s="30" t="s">
        <v>14210</v>
      </c>
      <c r="AZ691" s="30" t="s">
        <v>151</v>
      </c>
      <c r="BA691" s="30" t="s">
        <v>151</v>
      </c>
      <c r="BB691" s="30" t="s">
        <v>151</v>
      </c>
      <c r="BC691" s="30" t="s">
        <v>151</v>
      </c>
      <c r="BD691" s="30" t="s">
        <v>14211</v>
      </c>
      <c r="BE691" s="30" t="s">
        <v>14212</v>
      </c>
      <c r="BF691" s="30" t="s">
        <v>3400</v>
      </c>
      <c r="BG691" s="30" t="s">
        <v>14213</v>
      </c>
      <c r="BH691" s="30" t="s">
        <v>14214</v>
      </c>
      <c r="BI691" s="30" t="s">
        <v>578</v>
      </c>
      <c r="BJ691" s="30" t="s">
        <v>14215</v>
      </c>
      <c r="BK691" s="30" t="s">
        <v>151</v>
      </c>
      <c r="BL691" s="30" t="s">
        <v>581</v>
      </c>
      <c r="BM691" s="30" t="s">
        <v>582</v>
      </c>
      <c r="BN691" s="29" t="s">
        <v>14216</v>
      </c>
      <c r="BO691" s="30" t="s">
        <v>186</v>
      </c>
      <c r="BP691" s="29" t="s">
        <v>14214</v>
      </c>
      <c r="BQ691" s="29" t="s">
        <v>151</v>
      </c>
      <c r="BR691" s="30" t="s">
        <v>14217</v>
      </c>
      <c r="BS691" s="30" t="s">
        <v>187</v>
      </c>
      <c r="BT691" s="30" t="s">
        <v>188</v>
      </c>
      <c r="BU691" s="35">
        <v>44927</v>
      </c>
      <c r="BV691" s="37" t="s">
        <v>151</v>
      </c>
      <c r="BW691" s="30" t="s">
        <v>151</v>
      </c>
      <c r="BX691" s="37" t="s">
        <v>151</v>
      </c>
      <c r="BY691" s="30" t="s">
        <v>151</v>
      </c>
      <c r="BZ691" s="30" t="s">
        <v>189</v>
      </c>
      <c r="CA691" s="30" t="s">
        <v>151</v>
      </c>
      <c r="CB691" s="30" t="s">
        <v>151</v>
      </c>
      <c r="CC691" s="30" t="s">
        <v>190</v>
      </c>
      <c r="CD691" s="30" t="s">
        <v>151</v>
      </c>
      <c r="CE691" s="30" t="s">
        <v>191</v>
      </c>
      <c r="CF691" s="35">
        <v>45490</v>
      </c>
      <c r="CG691" s="37">
        <v>2.8</v>
      </c>
      <c r="CH691" s="30" t="s">
        <v>192</v>
      </c>
      <c r="CI691" s="37" t="s">
        <v>151</v>
      </c>
      <c r="CJ691" s="30" t="s">
        <v>151</v>
      </c>
      <c r="CK691" s="29" t="s">
        <v>151</v>
      </c>
      <c r="CL691" s="30" t="s">
        <v>293</v>
      </c>
      <c r="CM691" s="30" t="s">
        <v>293</v>
      </c>
      <c r="CN691" s="30" t="s">
        <v>151</v>
      </c>
      <c r="CO691" s="30" t="s">
        <v>165</v>
      </c>
      <c r="CP691" s="35">
        <v>45490</v>
      </c>
      <c r="CQ691" s="37" t="s">
        <v>151</v>
      </c>
      <c r="CR691" s="30" t="s">
        <v>151</v>
      </c>
      <c r="CS691" s="30" t="s">
        <v>191</v>
      </c>
      <c r="CT691" s="29" t="s">
        <v>151</v>
      </c>
      <c r="CU691" s="30" t="s">
        <v>151</v>
      </c>
      <c r="CV691" s="32" t="s">
        <v>151</v>
      </c>
      <c r="CW691" s="32" t="s">
        <v>151</v>
      </c>
      <c r="CX691" s="30" t="s">
        <v>151</v>
      </c>
      <c r="CY691" s="32" t="s">
        <v>151</v>
      </c>
      <c r="CZ691" s="32" t="s">
        <v>151</v>
      </c>
      <c r="DA691" s="37" t="s">
        <v>151</v>
      </c>
      <c r="DB691" s="35" t="s">
        <v>151</v>
      </c>
      <c r="DC691" s="30" t="s">
        <v>151</v>
      </c>
      <c r="DD691" s="29" t="s">
        <v>151</v>
      </c>
      <c r="DE691" s="32">
        <v>0</v>
      </c>
      <c r="DF691" s="34">
        <v>11</v>
      </c>
      <c r="DG691" s="32">
        <v>0</v>
      </c>
      <c r="DH691" s="32">
        <v>0</v>
      </c>
      <c r="DI691" s="32" t="s">
        <v>151</v>
      </c>
      <c r="DJ691" s="34" t="s">
        <v>151</v>
      </c>
      <c r="DK691" s="32" t="s">
        <v>151</v>
      </c>
      <c r="DL691" s="34" t="s">
        <v>151</v>
      </c>
      <c r="DM691" s="32" t="s">
        <v>151</v>
      </c>
      <c r="DN691" s="34" t="s">
        <v>151</v>
      </c>
      <c r="DO691" s="36">
        <v>0.77</v>
      </c>
      <c r="DP691" s="34">
        <v>44</v>
      </c>
      <c r="DQ691" s="36">
        <v>0</v>
      </c>
      <c r="DR691" s="32">
        <v>0</v>
      </c>
      <c r="DS691" s="36" t="s">
        <v>151</v>
      </c>
      <c r="DT691" s="34" t="s">
        <v>151</v>
      </c>
      <c r="DU691" s="36" t="s">
        <v>151</v>
      </c>
      <c r="DV691" s="34" t="s">
        <v>151</v>
      </c>
      <c r="DW691" s="36" t="s">
        <v>151</v>
      </c>
      <c r="DX691" s="34" t="s">
        <v>151</v>
      </c>
      <c r="DY691" s="31" t="s">
        <v>151</v>
      </c>
      <c r="DZ691" s="35" t="s">
        <v>151</v>
      </c>
      <c r="EA691" s="35" t="s">
        <v>151</v>
      </c>
      <c r="EB691" s="34">
        <v>716</v>
      </c>
      <c r="EC691" s="33">
        <v>80</v>
      </c>
      <c r="ED691" s="32">
        <v>12.58</v>
      </c>
      <c r="EE691" s="34" t="s">
        <v>151</v>
      </c>
      <c r="EF691" s="33" t="s">
        <v>151</v>
      </c>
      <c r="EG691" s="32" t="s">
        <v>151</v>
      </c>
      <c r="EH691" s="29" t="s">
        <v>198</v>
      </c>
      <c r="EI691" s="30" t="s">
        <v>151</v>
      </c>
      <c r="EJ691" s="30" t="s">
        <v>151</v>
      </c>
      <c r="EK691" s="31" t="s">
        <v>151</v>
      </c>
      <c r="EL691" s="31" t="s">
        <v>151</v>
      </c>
      <c r="EM691" s="31" t="s">
        <v>151</v>
      </c>
      <c r="EN691" s="31" t="s">
        <v>151</v>
      </c>
      <c r="EO691" s="31" t="s">
        <v>151</v>
      </c>
      <c r="EP691" s="30" t="s">
        <v>151</v>
      </c>
      <c r="EQ691" s="29" t="s">
        <v>151</v>
      </c>
      <c r="ER691" s="29" t="s">
        <v>151</v>
      </c>
      <c r="ES691" s="4">
        <f>HYPERLINK("https://my.pitchbook.com?c=496385-47","View Company Online")</f>
      </c>
    </row>
    <row r="692">
      <c r="A692" s="17" t="s">
        <v>14218</v>
      </c>
      <c r="B692" s="17" t="s">
        <v>14219</v>
      </c>
      <c r="C692" s="18" t="s">
        <v>151</v>
      </c>
      <c r="D692" s="17" t="s">
        <v>14220</v>
      </c>
      <c r="E692" s="17" t="s">
        <v>151</v>
      </c>
      <c r="F692" s="17" t="s">
        <v>14221</v>
      </c>
      <c r="G692" s="17" t="s">
        <v>151</v>
      </c>
      <c r="H692" s="17" t="s">
        <v>151</v>
      </c>
      <c r="I692" s="17" t="s">
        <v>14222</v>
      </c>
      <c r="J692" s="17" t="s">
        <v>14218</v>
      </c>
      <c r="K692" s="17" t="s">
        <v>14223</v>
      </c>
      <c r="L692" s="17" t="s">
        <v>205</v>
      </c>
      <c r="M692" s="17" t="s">
        <v>206</v>
      </c>
      <c r="N692" s="17" t="s">
        <v>269</v>
      </c>
      <c r="O692" s="17" t="s">
        <v>563</v>
      </c>
      <c r="P692" s="17" t="s">
        <v>1652</v>
      </c>
      <c r="Q692" s="17" t="s">
        <v>14224</v>
      </c>
      <c r="R692" s="17" t="s">
        <v>151</v>
      </c>
      <c r="S692" s="17" t="s">
        <v>162</v>
      </c>
      <c r="T692" s="24">
        <v>4.83</v>
      </c>
      <c r="U692" s="17" t="s">
        <v>163</v>
      </c>
      <c r="V692" s="17" t="s">
        <v>164</v>
      </c>
      <c r="W692" s="17" t="s">
        <v>165</v>
      </c>
      <c r="X692" s="15" t="s">
        <v>14225</v>
      </c>
      <c r="Y692" s="15" t="s">
        <v>14226</v>
      </c>
      <c r="Z692" s="27">
        <v>25</v>
      </c>
      <c r="AA692" s="17" t="s">
        <v>14227</v>
      </c>
      <c r="AB692" s="17" t="s">
        <v>151</v>
      </c>
      <c r="AC692" s="17" t="s">
        <v>151</v>
      </c>
      <c r="AD692" s="26">
        <v>2020</v>
      </c>
      <c r="AE692" s="17" t="s">
        <v>151</v>
      </c>
      <c r="AF692" s="22">
        <v>45596</v>
      </c>
      <c r="AG692" s="17" t="s">
        <v>151</v>
      </c>
      <c r="AH692" s="17" t="s">
        <v>151</v>
      </c>
      <c r="AI692" s="25" t="s">
        <v>151</v>
      </c>
      <c r="AJ692" s="19" t="s">
        <v>151</v>
      </c>
      <c r="AK692" s="25" t="s">
        <v>151</v>
      </c>
      <c r="AL692" s="25" t="s">
        <v>151</v>
      </c>
      <c r="AM692" s="25" t="s">
        <v>151</v>
      </c>
      <c r="AN692" s="25" t="s">
        <v>151</v>
      </c>
      <c r="AO692" s="25" t="s">
        <v>151</v>
      </c>
      <c r="AP692" s="25" t="s">
        <v>151</v>
      </c>
      <c r="AQ692" s="25" t="s">
        <v>151</v>
      </c>
      <c r="AR692" s="16" t="s">
        <v>151</v>
      </c>
      <c r="AS692" s="17" t="s">
        <v>14228</v>
      </c>
      <c r="AT692" s="17" t="s">
        <v>14229</v>
      </c>
      <c r="AU692" s="18">
        <v>12</v>
      </c>
      <c r="AV692" s="17" t="s">
        <v>151</v>
      </c>
      <c r="AW692" s="17" t="s">
        <v>151</v>
      </c>
      <c r="AX692" s="17" t="s">
        <v>151</v>
      </c>
      <c r="AY692" s="17" t="s">
        <v>14230</v>
      </c>
      <c r="AZ692" s="17" t="s">
        <v>151</v>
      </c>
      <c r="BA692" s="17" t="s">
        <v>151</v>
      </c>
      <c r="BB692" s="17" t="s">
        <v>151</v>
      </c>
      <c r="BC692" s="17" t="s">
        <v>151</v>
      </c>
      <c r="BD692" s="17" t="s">
        <v>14231</v>
      </c>
      <c r="BE692" s="17" t="s">
        <v>14232</v>
      </c>
      <c r="BF692" s="17" t="s">
        <v>493</v>
      </c>
      <c r="BG692" s="17" t="s">
        <v>14233</v>
      </c>
      <c r="BH692" s="17" t="s">
        <v>151</v>
      </c>
      <c r="BI692" s="17" t="s">
        <v>14234</v>
      </c>
      <c r="BJ692" s="17" t="s">
        <v>14235</v>
      </c>
      <c r="BK692" s="17" t="s">
        <v>151</v>
      </c>
      <c r="BL692" s="17" t="s">
        <v>14236</v>
      </c>
      <c r="BM692" s="17" t="s">
        <v>470</v>
      </c>
      <c r="BN692" s="16" t="s">
        <v>14237</v>
      </c>
      <c r="BO692" s="17" t="s">
        <v>186</v>
      </c>
      <c r="BP692" s="16" t="s">
        <v>151</v>
      </c>
      <c r="BQ692" s="16" t="s">
        <v>151</v>
      </c>
      <c r="BR692" s="17" t="s">
        <v>14238</v>
      </c>
      <c r="BS692" s="17" t="s">
        <v>187</v>
      </c>
      <c r="BT692" s="17" t="s">
        <v>188</v>
      </c>
      <c r="BU692" s="22">
        <v>45008</v>
      </c>
      <c r="BV692" s="24">
        <v>2.58</v>
      </c>
      <c r="BW692" s="17" t="s">
        <v>192</v>
      </c>
      <c r="BX692" s="24">
        <v>8.57</v>
      </c>
      <c r="BY692" s="17" t="s">
        <v>192</v>
      </c>
      <c r="BZ692" s="17" t="s">
        <v>293</v>
      </c>
      <c r="CA692" s="17" t="s">
        <v>293</v>
      </c>
      <c r="CB692" s="17" t="s">
        <v>151</v>
      </c>
      <c r="CC692" s="17" t="s">
        <v>165</v>
      </c>
      <c r="CD692" s="17" t="s">
        <v>14239</v>
      </c>
      <c r="CE692" s="17" t="s">
        <v>191</v>
      </c>
      <c r="CF692" s="22">
        <v>45383</v>
      </c>
      <c r="CG692" s="24">
        <v>2.25</v>
      </c>
      <c r="CH692" s="17" t="s">
        <v>192</v>
      </c>
      <c r="CI692" s="24" t="s">
        <v>151</v>
      </c>
      <c r="CJ692" s="17" t="s">
        <v>151</v>
      </c>
      <c r="CK692" s="16" t="s">
        <v>151</v>
      </c>
      <c r="CL692" s="17" t="s">
        <v>231</v>
      </c>
      <c r="CM692" s="17" t="s">
        <v>151</v>
      </c>
      <c r="CN692" s="17" t="s">
        <v>151</v>
      </c>
      <c r="CO692" s="17" t="s">
        <v>165</v>
      </c>
      <c r="CP692" s="22">
        <v>45383</v>
      </c>
      <c r="CQ692" s="24" t="s">
        <v>151</v>
      </c>
      <c r="CR692" s="17" t="s">
        <v>151</v>
      </c>
      <c r="CS692" s="17" t="s">
        <v>191</v>
      </c>
      <c r="CT692" s="16">
        <v>71</v>
      </c>
      <c r="CU692" s="17" t="s">
        <v>196</v>
      </c>
      <c r="CV692" s="19">
        <v>66</v>
      </c>
      <c r="CW692" s="19">
        <v>34</v>
      </c>
      <c r="CX692" s="17" t="s">
        <v>294</v>
      </c>
      <c r="CY692" s="19">
        <v>1</v>
      </c>
      <c r="CZ692" s="19">
        <v>65</v>
      </c>
      <c r="DA692" s="24">
        <v>8.57</v>
      </c>
      <c r="DB692" s="22">
        <v>45008</v>
      </c>
      <c r="DC692" s="17" t="s">
        <v>293</v>
      </c>
      <c r="DD692" s="16" t="s">
        <v>151</v>
      </c>
      <c r="DE692" s="19">
        <v>-0.01</v>
      </c>
      <c r="DF692" s="21">
        <v>11</v>
      </c>
      <c r="DG692" s="19">
        <v>0</v>
      </c>
      <c r="DH692" s="19">
        <v>0</v>
      </c>
      <c r="DI692" s="19">
        <v>-0.54</v>
      </c>
      <c r="DJ692" s="21">
        <v>6</v>
      </c>
      <c r="DK692" s="19" t="s">
        <v>151</v>
      </c>
      <c r="DL692" s="21" t="s">
        <v>151</v>
      </c>
      <c r="DM692" s="19">
        <v>-0.54</v>
      </c>
      <c r="DN692" s="21">
        <v>6</v>
      </c>
      <c r="DO692" s="23">
        <v>3.91</v>
      </c>
      <c r="DP692" s="21">
        <v>79</v>
      </c>
      <c r="DQ692" s="23">
        <v>0</v>
      </c>
      <c r="DR692" s="19">
        <v>0</v>
      </c>
      <c r="DS692" s="23">
        <v>5.89</v>
      </c>
      <c r="DT692" s="21">
        <v>84</v>
      </c>
      <c r="DU692" s="23" t="s">
        <v>151</v>
      </c>
      <c r="DV692" s="21" t="s">
        <v>151</v>
      </c>
      <c r="DW692" s="23">
        <v>5.89</v>
      </c>
      <c r="DX692" s="21">
        <v>84</v>
      </c>
      <c r="DY692" s="18" t="s">
        <v>151</v>
      </c>
      <c r="DZ692" s="22" t="s">
        <v>151</v>
      </c>
      <c r="EA692" s="22" t="s">
        <v>151</v>
      </c>
      <c r="EB692" s="21">
        <v>395</v>
      </c>
      <c r="EC692" s="20">
        <v>-39</v>
      </c>
      <c r="ED692" s="19">
        <v>-8.99</v>
      </c>
      <c r="EE692" s="21">
        <v>112</v>
      </c>
      <c r="EF692" s="20">
        <v>0</v>
      </c>
      <c r="EG692" s="19">
        <v>0</v>
      </c>
      <c r="EH692" s="16" t="s">
        <v>198</v>
      </c>
      <c r="EI692" s="17" t="s">
        <v>151</v>
      </c>
      <c r="EJ692" s="17" t="s">
        <v>151</v>
      </c>
      <c r="EK692" s="18" t="s">
        <v>151</v>
      </c>
      <c r="EL692" s="18" t="s">
        <v>151</v>
      </c>
      <c r="EM692" s="18" t="s">
        <v>151</v>
      </c>
      <c r="EN692" s="18" t="s">
        <v>151</v>
      </c>
      <c r="EO692" s="18" t="s">
        <v>151</v>
      </c>
      <c r="EP692" s="17" t="s">
        <v>151</v>
      </c>
      <c r="EQ692" s="16" t="s">
        <v>151</v>
      </c>
      <c r="ER692" s="16" t="s">
        <v>151</v>
      </c>
      <c r="ES692" s="3">
        <f>HYPERLINK("https://my.pitchbook.com?c=501816-61","View Company Online")</f>
      </c>
    </row>
    <row r="693">
      <c r="A693" s="30" t="s">
        <v>14240</v>
      </c>
      <c r="B693" s="30" t="s">
        <v>14241</v>
      </c>
      <c r="C693" s="31" t="s">
        <v>151</v>
      </c>
      <c r="D693" s="30" t="s">
        <v>14242</v>
      </c>
      <c r="E693" s="30" t="s">
        <v>14243</v>
      </c>
      <c r="F693" s="30" t="s">
        <v>14244</v>
      </c>
      <c r="G693" s="30" t="s">
        <v>151</v>
      </c>
      <c r="H693" s="30" t="s">
        <v>151</v>
      </c>
      <c r="I693" s="30" t="s">
        <v>151</v>
      </c>
      <c r="J693" s="30" t="s">
        <v>14240</v>
      </c>
      <c r="K693" s="30" t="s">
        <v>14245</v>
      </c>
      <c r="L693" s="30" t="s">
        <v>205</v>
      </c>
      <c r="M693" s="30" t="s">
        <v>206</v>
      </c>
      <c r="N693" s="30" t="s">
        <v>269</v>
      </c>
      <c r="O693" s="30" t="s">
        <v>1651</v>
      </c>
      <c r="P693" s="30" t="s">
        <v>5652</v>
      </c>
      <c r="Q693" s="30" t="s">
        <v>14246</v>
      </c>
      <c r="R693" s="30" t="s">
        <v>151</v>
      </c>
      <c r="S693" s="30" t="s">
        <v>162</v>
      </c>
      <c r="T693" s="37">
        <v>10</v>
      </c>
      <c r="U693" s="30" t="s">
        <v>163</v>
      </c>
      <c r="V693" s="30" t="s">
        <v>164</v>
      </c>
      <c r="W693" s="30" t="s">
        <v>165</v>
      </c>
      <c r="X693" s="28" t="s">
        <v>14247</v>
      </c>
      <c r="Y693" s="28" t="s">
        <v>14248</v>
      </c>
      <c r="Z693" s="40">
        <v>17</v>
      </c>
      <c r="AA693" s="30" t="s">
        <v>14249</v>
      </c>
      <c r="AB693" s="30" t="s">
        <v>151</v>
      </c>
      <c r="AC693" s="30" t="s">
        <v>151</v>
      </c>
      <c r="AD693" s="39">
        <v>2020</v>
      </c>
      <c r="AE693" s="30" t="s">
        <v>151</v>
      </c>
      <c r="AF693" s="35">
        <v>45273</v>
      </c>
      <c r="AG693" s="30" t="s">
        <v>151</v>
      </c>
      <c r="AH693" s="30" t="s">
        <v>151</v>
      </c>
      <c r="AI693" s="38" t="s">
        <v>151</v>
      </c>
      <c r="AJ693" s="32" t="s">
        <v>151</v>
      </c>
      <c r="AK693" s="38" t="s">
        <v>151</v>
      </c>
      <c r="AL693" s="38" t="s">
        <v>151</v>
      </c>
      <c r="AM693" s="38" t="s">
        <v>151</v>
      </c>
      <c r="AN693" s="38" t="s">
        <v>151</v>
      </c>
      <c r="AO693" s="38" t="s">
        <v>151</v>
      </c>
      <c r="AP693" s="38" t="s">
        <v>151</v>
      </c>
      <c r="AQ693" s="38" t="s">
        <v>151</v>
      </c>
      <c r="AR693" s="29" t="s">
        <v>151</v>
      </c>
      <c r="AS693" s="30" t="s">
        <v>14250</v>
      </c>
      <c r="AT693" s="30" t="s">
        <v>14251</v>
      </c>
      <c r="AU693" s="31">
        <v>13</v>
      </c>
      <c r="AV693" s="30" t="s">
        <v>151</v>
      </c>
      <c r="AW693" s="30" t="s">
        <v>151</v>
      </c>
      <c r="AX693" s="30" t="s">
        <v>151</v>
      </c>
      <c r="AY693" s="30" t="s">
        <v>14252</v>
      </c>
      <c r="AZ693" s="30" t="s">
        <v>151</v>
      </c>
      <c r="BA693" s="30" t="s">
        <v>151</v>
      </c>
      <c r="BB693" s="30" t="s">
        <v>151</v>
      </c>
      <c r="BC693" s="30" t="s">
        <v>12835</v>
      </c>
      <c r="BD693" s="30" t="s">
        <v>14253</v>
      </c>
      <c r="BE693" s="30" t="s">
        <v>14254</v>
      </c>
      <c r="BF693" s="30" t="s">
        <v>403</v>
      </c>
      <c r="BG693" s="30" t="s">
        <v>14255</v>
      </c>
      <c r="BH693" s="30" t="s">
        <v>151</v>
      </c>
      <c r="BI693" s="30" t="s">
        <v>8523</v>
      </c>
      <c r="BJ693" s="30" t="s">
        <v>14256</v>
      </c>
      <c r="BK693" s="30" t="s">
        <v>151</v>
      </c>
      <c r="BL693" s="30" t="s">
        <v>8526</v>
      </c>
      <c r="BM693" s="30" t="s">
        <v>184</v>
      </c>
      <c r="BN693" s="29" t="s">
        <v>14257</v>
      </c>
      <c r="BO693" s="30" t="s">
        <v>186</v>
      </c>
      <c r="BP693" s="29" t="s">
        <v>151</v>
      </c>
      <c r="BQ693" s="29" t="s">
        <v>151</v>
      </c>
      <c r="BR693" s="30" t="s">
        <v>14258</v>
      </c>
      <c r="BS693" s="30" t="s">
        <v>187</v>
      </c>
      <c r="BT693" s="30" t="s">
        <v>188</v>
      </c>
      <c r="BU693" s="35">
        <v>44545</v>
      </c>
      <c r="BV693" s="37">
        <v>5</v>
      </c>
      <c r="BW693" s="30" t="s">
        <v>193</v>
      </c>
      <c r="BX693" s="37">
        <v>30</v>
      </c>
      <c r="BY693" s="30" t="s">
        <v>192</v>
      </c>
      <c r="BZ693" s="30" t="s">
        <v>293</v>
      </c>
      <c r="CA693" s="30" t="s">
        <v>293</v>
      </c>
      <c r="CB693" s="30" t="s">
        <v>151</v>
      </c>
      <c r="CC693" s="30" t="s">
        <v>165</v>
      </c>
      <c r="CD693" s="30" t="s">
        <v>151</v>
      </c>
      <c r="CE693" s="30" t="s">
        <v>191</v>
      </c>
      <c r="CF693" s="35" t="s">
        <v>151</v>
      </c>
      <c r="CG693" s="37" t="s">
        <v>151</v>
      </c>
      <c r="CH693" s="30" t="s">
        <v>151</v>
      </c>
      <c r="CI693" s="37" t="s">
        <v>151</v>
      </c>
      <c r="CJ693" s="30" t="s">
        <v>151</v>
      </c>
      <c r="CK693" s="29" t="s">
        <v>151</v>
      </c>
      <c r="CL693" s="30" t="s">
        <v>1075</v>
      </c>
      <c r="CM693" s="30" t="s">
        <v>1075</v>
      </c>
      <c r="CN693" s="30" t="s">
        <v>151</v>
      </c>
      <c r="CO693" s="30" t="s">
        <v>585</v>
      </c>
      <c r="CP693" s="35" t="s">
        <v>151</v>
      </c>
      <c r="CQ693" s="37" t="s">
        <v>151</v>
      </c>
      <c r="CR693" s="30" t="s">
        <v>151</v>
      </c>
      <c r="CS693" s="30" t="s">
        <v>191</v>
      </c>
      <c r="CT693" s="29">
        <v>47</v>
      </c>
      <c r="CU693" s="30" t="s">
        <v>263</v>
      </c>
      <c r="CV693" s="32">
        <v>46</v>
      </c>
      <c r="CW693" s="32">
        <v>54</v>
      </c>
      <c r="CX693" s="30" t="s">
        <v>263</v>
      </c>
      <c r="CY693" s="32">
        <v>1</v>
      </c>
      <c r="CZ693" s="32">
        <v>45</v>
      </c>
      <c r="DA693" s="37">
        <v>30</v>
      </c>
      <c r="DB693" s="35">
        <v>44545</v>
      </c>
      <c r="DC693" s="30" t="s">
        <v>293</v>
      </c>
      <c r="DD693" s="29" t="s">
        <v>151</v>
      </c>
      <c r="DE693" s="32">
        <v>-0.86</v>
      </c>
      <c r="DF693" s="34">
        <v>5</v>
      </c>
      <c r="DG693" s="32">
        <v>0</v>
      </c>
      <c r="DH693" s="32">
        <v>0</v>
      </c>
      <c r="DI693" s="32">
        <v>-0.86</v>
      </c>
      <c r="DJ693" s="34">
        <v>5</v>
      </c>
      <c r="DK693" s="32" t="s">
        <v>151</v>
      </c>
      <c r="DL693" s="34" t="s">
        <v>151</v>
      </c>
      <c r="DM693" s="32">
        <v>-0.86</v>
      </c>
      <c r="DN693" s="34">
        <v>5</v>
      </c>
      <c r="DO693" s="36">
        <v>385.42</v>
      </c>
      <c r="DP693" s="34">
        <v>100</v>
      </c>
      <c r="DQ693" s="36">
        <v>0</v>
      </c>
      <c r="DR693" s="32">
        <v>0</v>
      </c>
      <c r="DS693" s="36">
        <v>385.42</v>
      </c>
      <c r="DT693" s="34">
        <v>100</v>
      </c>
      <c r="DU693" s="36" t="s">
        <v>151</v>
      </c>
      <c r="DV693" s="34" t="s">
        <v>151</v>
      </c>
      <c r="DW693" s="36">
        <v>385.42</v>
      </c>
      <c r="DX693" s="34">
        <v>100</v>
      </c>
      <c r="DY693" s="31" t="s">
        <v>151</v>
      </c>
      <c r="DZ693" s="35" t="s">
        <v>151</v>
      </c>
      <c r="EA693" s="35" t="s">
        <v>151</v>
      </c>
      <c r="EB693" s="34">
        <v>1695</v>
      </c>
      <c r="EC693" s="33">
        <v>-193</v>
      </c>
      <c r="ED693" s="32">
        <v>-10.22</v>
      </c>
      <c r="EE693" s="34">
        <v>7323</v>
      </c>
      <c r="EF693" s="33">
        <v>-33</v>
      </c>
      <c r="EG693" s="32">
        <v>-0.45</v>
      </c>
      <c r="EH693" s="29" t="s">
        <v>198</v>
      </c>
      <c r="EI693" s="30" t="s">
        <v>151</v>
      </c>
      <c r="EJ693" s="30" t="s">
        <v>151</v>
      </c>
      <c r="EK693" s="31" t="s">
        <v>151</v>
      </c>
      <c r="EL693" s="31" t="s">
        <v>151</v>
      </c>
      <c r="EM693" s="31" t="s">
        <v>151</v>
      </c>
      <c r="EN693" s="31" t="s">
        <v>151</v>
      </c>
      <c r="EO693" s="31" t="s">
        <v>151</v>
      </c>
      <c r="EP693" s="30" t="s">
        <v>151</v>
      </c>
      <c r="EQ693" s="29" t="s">
        <v>151</v>
      </c>
      <c r="ER693" s="29" t="s">
        <v>151</v>
      </c>
      <c r="ES693" s="4">
        <f>HYPERLINK("https://my.pitchbook.com?c=494297-47","View Company Online")</f>
      </c>
    </row>
    <row r="694">
      <c r="A694" s="17" t="s">
        <v>14259</v>
      </c>
      <c r="B694" s="17" t="s">
        <v>14260</v>
      </c>
      <c r="C694" s="18" t="s">
        <v>151</v>
      </c>
      <c r="D694" s="17" t="s">
        <v>151</v>
      </c>
      <c r="E694" s="17" t="s">
        <v>14261</v>
      </c>
      <c r="F694" s="17" t="s">
        <v>14262</v>
      </c>
      <c r="G694" s="17" t="s">
        <v>151</v>
      </c>
      <c r="H694" s="17" t="s">
        <v>151</v>
      </c>
      <c r="I694" s="17" t="s">
        <v>151</v>
      </c>
      <c r="J694" s="17" t="s">
        <v>14259</v>
      </c>
      <c r="K694" s="17" t="s">
        <v>14263</v>
      </c>
      <c r="L694" s="17" t="s">
        <v>155</v>
      </c>
      <c r="M694" s="17" t="s">
        <v>361</v>
      </c>
      <c r="N694" s="17" t="s">
        <v>362</v>
      </c>
      <c r="O694" s="17" t="s">
        <v>363</v>
      </c>
      <c r="P694" s="17" t="s">
        <v>2174</v>
      </c>
      <c r="Q694" s="17" t="s">
        <v>14264</v>
      </c>
      <c r="R694" s="17" t="s">
        <v>151</v>
      </c>
      <c r="S694" s="17" t="s">
        <v>162</v>
      </c>
      <c r="T694" s="24">
        <v>2.25</v>
      </c>
      <c r="U694" s="17" t="s">
        <v>163</v>
      </c>
      <c r="V694" s="17" t="s">
        <v>164</v>
      </c>
      <c r="W694" s="17" t="s">
        <v>165</v>
      </c>
      <c r="X694" s="15" t="s">
        <v>14265</v>
      </c>
      <c r="Y694" s="15" t="s">
        <v>14266</v>
      </c>
      <c r="Z694" s="27" t="s">
        <v>151</v>
      </c>
      <c r="AA694" s="17" t="s">
        <v>151</v>
      </c>
      <c r="AB694" s="17" t="s">
        <v>151</v>
      </c>
      <c r="AC694" s="17" t="s">
        <v>151</v>
      </c>
      <c r="AD694" s="26">
        <v>2021</v>
      </c>
      <c r="AE694" s="17" t="s">
        <v>151</v>
      </c>
      <c r="AF694" s="22">
        <v>45539</v>
      </c>
      <c r="AG694" s="17" t="s">
        <v>151</v>
      </c>
      <c r="AH694" s="17" t="s">
        <v>151</v>
      </c>
      <c r="AI694" s="25" t="s">
        <v>151</v>
      </c>
      <c r="AJ694" s="19" t="s">
        <v>151</v>
      </c>
      <c r="AK694" s="25" t="s">
        <v>151</v>
      </c>
      <c r="AL694" s="25" t="s">
        <v>151</v>
      </c>
      <c r="AM694" s="25" t="s">
        <v>151</v>
      </c>
      <c r="AN694" s="25" t="s">
        <v>151</v>
      </c>
      <c r="AO694" s="25" t="s">
        <v>151</v>
      </c>
      <c r="AP694" s="25" t="s">
        <v>151</v>
      </c>
      <c r="AQ694" s="25" t="s">
        <v>151</v>
      </c>
      <c r="AR694" s="16" t="s">
        <v>151</v>
      </c>
      <c r="AS694" s="17" t="s">
        <v>14267</v>
      </c>
      <c r="AT694" s="17" t="s">
        <v>14268</v>
      </c>
      <c r="AU694" s="18">
        <v>5</v>
      </c>
      <c r="AV694" s="17" t="s">
        <v>151</v>
      </c>
      <c r="AW694" s="17" t="s">
        <v>151</v>
      </c>
      <c r="AX694" s="17" t="s">
        <v>151</v>
      </c>
      <c r="AY694" s="17" t="s">
        <v>14269</v>
      </c>
      <c r="AZ694" s="17" t="s">
        <v>151</v>
      </c>
      <c r="BA694" s="17" t="s">
        <v>151</v>
      </c>
      <c r="BB694" s="17" t="s">
        <v>151</v>
      </c>
      <c r="BC694" s="17" t="s">
        <v>151</v>
      </c>
      <c r="BD694" s="17" t="s">
        <v>14270</v>
      </c>
      <c r="BE694" s="17" t="s">
        <v>14271</v>
      </c>
      <c r="BF694" s="17" t="s">
        <v>221</v>
      </c>
      <c r="BG694" s="17" t="s">
        <v>14272</v>
      </c>
      <c r="BH694" s="17" t="s">
        <v>14273</v>
      </c>
      <c r="BI694" s="17" t="s">
        <v>14274</v>
      </c>
      <c r="BJ694" s="17" t="s">
        <v>14275</v>
      </c>
      <c r="BK694" s="17" t="s">
        <v>151</v>
      </c>
      <c r="BL694" s="17" t="s">
        <v>14276</v>
      </c>
      <c r="BM694" s="17" t="s">
        <v>823</v>
      </c>
      <c r="BN694" s="16" t="s">
        <v>14277</v>
      </c>
      <c r="BO694" s="17" t="s">
        <v>186</v>
      </c>
      <c r="BP694" s="16" t="s">
        <v>14273</v>
      </c>
      <c r="BQ694" s="16" t="s">
        <v>151</v>
      </c>
      <c r="BR694" s="17" t="s">
        <v>14278</v>
      </c>
      <c r="BS694" s="17" t="s">
        <v>187</v>
      </c>
      <c r="BT694" s="17" t="s">
        <v>188</v>
      </c>
      <c r="BU694" s="22">
        <v>44914</v>
      </c>
      <c r="BV694" s="24">
        <v>2.25</v>
      </c>
      <c r="BW694" s="17" t="s">
        <v>193</v>
      </c>
      <c r="BX694" s="24">
        <v>6.25</v>
      </c>
      <c r="BY694" s="17" t="s">
        <v>192</v>
      </c>
      <c r="BZ694" s="17" t="s">
        <v>293</v>
      </c>
      <c r="CA694" s="17" t="s">
        <v>293</v>
      </c>
      <c r="CB694" s="17" t="s">
        <v>151</v>
      </c>
      <c r="CC694" s="17" t="s">
        <v>165</v>
      </c>
      <c r="CD694" s="17" t="s">
        <v>151</v>
      </c>
      <c r="CE694" s="17" t="s">
        <v>191</v>
      </c>
      <c r="CF694" s="22">
        <v>44914</v>
      </c>
      <c r="CG694" s="24">
        <v>2.25</v>
      </c>
      <c r="CH694" s="17" t="s">
        <v>193</v>
      </c>
      <c r="CI694" s="24">
        <v>6.25</v>
      </c>
      <c r="CJ694" s="17" t="s">
        <v>192</v>
      </c>
      <c r="CK694" s="16" t="s">
        <v>151</v>
      </c>
      <c r="CL694" s="17" t="s">
        <v>293</v>
      </c>
      <c r="CM694" s="17" t="s">
        <v>293</v>
      </c>
      <c r="CN694" s="17" t="s">
        <v>151</v>
      </c>
      <c r="CO694" s="17" t="s">
        <v>165</v>
      </c>
      <c r="CP694" s="22">
        <v>44914</v>
      </c>
      <c r="CQ694" s="24" t="s">
        <v>151</v>
      </c>
      <c r="CR694" s="17" t="s">
        <v>151</v>
      </c>
      <c r="CS694" s="17" t="s">
        <v>191</v>
      </c>
      <c r="CT694" s="16" t="s">
        <v>151</v>
      </c>
      <c r="CU694" s="17" t="s">
        <v>151</v>
      </c>
      <c r="CV694" s="19" t="s">
        <v>151</v>
      </c>
      <c r="CW694" s="19" t="s">
        <v>151</v>
      </c>
      <c r="CX694" s="17" t="s">
        <v>151</v>
      </c>
      <c r="CY694" s="19" t="s">
        <v>151</v>
      </c>
      <c r="CZ694" s="19" t="s">
        <v>151</v>
      </c>
      <c r="DA694" s="24">
        <v>6.25</v>
      </c>
      <c r="DB694" s="22">
        <v>44914</v>
      </c>
      <c r="DC694" s="17" t="s">
        <v>293</v>
      </c>
      <c r="DD694" s="16" t="s">
        <v>151</v>
      </c>
      <c r="DE694" s="19">
        <v>0</v>
      </c>
      <c r="DF694" s="21">
        <v>11</v>
      </c>
      <c r="DG694" s="19">
        <v>0</v>
      </c>
      <c r="DH694" s="19">
        <v>0</v>
      </c>
      <c r="DI694" s="19">
        <v>0</v>
      </c>
      <c r="DJ694" s="21">
        <v>10</v>
      </c>
      <c r="DK694" s="19" t="s">
        <v>151</v>
      </c>
      <c r="DL694" s="21" t="s">
        <v>151</v>
      </c>
      <c r="DM694" s="19">
        <v>0</v>
      </c>
      <c r="DN694" s="21">
        <v>10</v>
      </c>
      <c r="DO694" s="23">
        <v>0.47</v>
      </c>
      <c r="DP694" s="21">
        <v>31</v>
      </c>
      <c r="DQ694" s="23">
        <v>0</v>
      </c>
      <c r="DR694" s="19">
        <v>0</v>
      </c>
      <c r="DS694" s="23">
        <v>0.47</v>
      </c>
      <c r="DT694" s="21">
        <v>31</v>
      </c>
      <c r="DU694" s="23" t="s">
        <v>151</v>
      </c>
      <c r="DV694" s="21" t="s">
        <v>151</v>
      </c>
      <c r="DW694" s="23">
        <v>0.47</v>
      </c>
      <c r="DX694" s="21">
        <v>31</v>
      </c>
      <c r="DY694" s="18" t="s">
        <v>151</v>
      </c>
      <c r="DZ694" s="22" t="s">
        <v>151</v>
      </c>
      <c r="EA694" s="22" t="s">
        <v>151</v>
      </c>
      <c r="EB694" s="21">
        <v>308</v>
      </c>
      <c r="EC694" s="20">
        <v>-43</v>
      </c>
      <c r="ED694" s="19">
        <v>-12.25</v>
      </c>
      <c r="EE694" s="21">
        <v>9</v>
      </c>
      <c r="EF694" s="20">
        <v>0</v>
      </c>
      <c r="EG694" s="19">
        <v>0</v>
      </c>
      <c r="EH694" s="16" t="s">
        <v>198</v>
      </c>
      <c r="EI694" s="17" t="s">
        <v>151</v>
      </c>
      <c r="EJ694" s="17" t="s">
        <v>151</v>
      </c>
      <c r="EK694" s="18" t="s">
        <v>151</v>
      </c>
      <c r="EL694" s="18" t="s">
        <v>151</v>
      </c>
      <c r="EM694" s="18" t="s">
        <v>151</v>
      </c>
      <c r="EN694" s="18" t="s">
        <v>151</v>
      </c>
      <c r="EO694" s="18" t="s">
        <v>151</v>
      </c>
      <c r="EP694" s="17" t="s">
        <v>151</v>
      </c>
      <c r="EQ694" s="16" t="s">
        <v>151</v>
      </c>
      <c r="ER694" s="16" t="s">
        <v>151</v>
      </c>
      <c r="ES694" s="3">
        <f>HYPERLINK("https://my.pitchbook.com?c=517642-48","View Company Online")</f>
      </c>
    </row>
    <row r="695">
      <c r="A695" s="30" t="s">
        <v>14279</v>
      </c>
      <c r="B695" s="30" t="s">
        <v>14280</v>
      </c>
      <c r="C695" s="31" t="s">
        <v>151</v>
      </c>
      <c r="D695" s="30" t="s">
        <v>151</v>
      </c>
      <c r="E695" s="30" t="s">
        <v>14281</v>
      </c>
      <c r="F695" s="30" t="s">
        <v>151</v>
      </c>
      <c r="G695" s="30" t="s">
        <v>151</v>
      </c>
      <c r="H695" s="30" t="s">
        <v>151</v>
      </c>
      <c r="I695" s="30" t="s">
        <v>151</v>
      </c>
      <c r="J695" s="30" t="s">
        <v>14279</v>
      </c>
      <c r="K695" s="30" t="s">
        <v>14282</v>
      </c>
      <c r="L695" s="30" t="s">
        <v>205</v>
      </c>
      <c r="M695" s="30" t="s">
        <v>206</v>
      </c>
      <c r="N695" s="30" t="s">
        <v>269</v>
      </c>
      <c r="O695" s="30" t="s">
        <v>563</v>
      </c>
      <c r="P695" s="30" t="s">
        <v>304</v>
      </c>
      <c r="Q695" s="30" t="s">
        <v>14283</v>
      </c>
      <c r="R695" s="30" t="s">
        <v>151</v>
      </c>
      <c r="S695" s="30" t="s">
        <v>162</v>
      </c>
      <c r="T695" s="37">
        <v>2.5</v>
      </c>
      <c r="U695" s="30" t="s">
        <v>163</v>
      </c>
      <c r="V695" s="30" t="s">
        <v>164</v>
      </c>
      <c r="W695" s="30" t="s">
        <v>165</v>
      </c>
      <c r="X695" s="28" t="s">
        <v>14284</v>
      </c>
      <c r="Y695" s="28" t="s">
        <v>14285</v>
      </c>
      <c r="Z695" s="40">
        <v>4</v>
      </c>
      <c r="AA695" s="30" t="s">
        <v>4170</v>
      </c>
      <c r="AB695" s="30" t="s">
        <v>151</v>
      </c>
      <c r="AC695" s="30" t="s">
        <v>151</v>
      </c>
      <c r="AD695" s="39">
        <v>2023</v>
      </c>
      <c r="AE695" s="30" t="s">
        <v>151</v>
      </c>
      <c r="AF695" s="35">
        <v>45545</v>
      </c>
      <c r="AG695" s="30" t="s">
        <v>151</v>
      </c>
      <c r="AH695" s="30" t="s">
        <v>151</v>
      </c>
      <c r="AI695" s="38" t="s">
        <v>151</v>
      </c>
      <c r="AJ695" s="32" t="s">
        <v>151</v>
      </c>
      <c r="AK695" s="38" t="s">
        <v>151</v>
      </c>
      <c r="AL695" s="38" t="s">
        <v>151</v>
      </c>
      <c r="AM695" s="38" t="s">
        <v>151</v>
      </c>
      <c r="AN695" s="38" t="s">
        <v>151</v>
      </c>
      <c r="AO695" s="38" t="s">
        <v>151</v>
      </c>
      <c r="AP695" s="38" t="s">
        <v>151</v>
      </c>
      <c r="AQ695" s="38" t="s">
        <v>151</v>
      </c>
      <c r="AR695" s="29" t="s">
        <v>151</v>
      </c>
      <c r="AS695" s="30" t="s">
        <v>14286</v>
      </c>
      <c r="AT695" s="30" t="s">
        <v>14287</v>
      </c>
      <c r="AU695" s="31">
        <v>10</v>
      </c>
      <c r="AV695" s="30" t="s">
        <v>151</v>
      </c>
      <c r="AW695" s="30" t="s">
        <v>151</v>
      </c>
      <c r="AX695" s="30" t="s">
        <v>151</v>
      </c>
      <c r="AY695" s="30" t="s">
        <v>14288</v>
      </c>
      <c r="AZ695" s="30" t="s">
        <v>151</v>
      </c>
      <c r="BA695" s="30" t="s">
        <v>151</v>
      </c>
      <c r="BB695" s="30" t="s">
        <v>151</v>
      </c>
      <c r="BC695" s="30" t="s">
        <v>151</v>
      </c>
      <c r="BD695" s="30" t="s">
        <v>14289</v>
      </c>
      <c r="BE695" s="30" t="s">
        <v>14290</v>
      </c>
      <c r="BF695" s="30" t="s">
        <v>221</v>
      </c>
      <c r="BG695" s="30" t="s">
        <v>14291</v>
      </c>
      <c r="BH695" s="30" t="s">
        <v>151</v>
      </c>
      <c r="BI695" s="30" t="s">
        <v>764</v>
      </c>
      <c r="BJ695" s="30" t="s">
        <v>151</v>
      </c>
      <c r="BK695" s="30" t="s">
        <v>151</v>
      </c>
      <c r="BL695" s="30" t="s">
        <v>767</v>
      </c>
      <c r="BM695" s="30" t="s">
        <v>184</v>
      </c>
      <c r="BN695" s="29" t="s">
        <v>151</v>
      </c>
      <c r="BO695" s="30" t="s">
        <v>186</v>
      </c>
      <c r="BP695" s="29" t="s">
        <v>151</v>
      </c>
      <c r="BQ695" s="29" t="s">
        <v>151</v>
      </c>
      <c r="BR695" s="30" t="s">
        <v>151</v>
      </c>
      <c r="BS695" s="30" t="s">
        <v>187</v>
      </c>
      <c r="BT695" s="30" t="s">
        <v>188</v>
      </c>
      <c r="BU695" s="35">
        <v>45292</v>
      </c>
      <c r="BV695" s="37">
        <v>0.5</v>
      </c>
      <c r="BW695" s="30" t="s">
        <v>192</v>
      </c>
      <c r="BX695" s="37" t="s">
        <v>151</v>
      </c>
      <c r="BY695" s="30" t="s">
        <v>151</v>
      </c>
      <c r="BZ695" s="30" t="s">
        <v>189</v>
      </c>
      <c r="CA695" s="30" t="s">
        <v>151</v>
      </c>
      <c r="CB695" s="30" t="s">
        <v>151</v>
      </c>
      <c r="CC695" s="30" t="s">
        <v>190</v>
      </c>
      <c r="CD695" s="30" t="s">
        <v>151</v>
      </c>
      <c r="CE695" s="30" t="s">
        <v>191</v>
      </c>
      <c r="CF695" s="35">
        <v>45375</v>
      </c>
      <c r="CG695" s="37">
        <v>2</v>
      </c>
      <c r="CH695" s="30" t="s">
        <v>192</v>
      </c>
      <c r="CI695" s="37" t="s">
        <v>151</v>
      </c>
      <c r="CJ695" s="30" t="s">
        <v>151</v>
      </c>
      <c r="CK695" s="29" t="s">
        <v>151</v>
      </c>
      <c r="CL695" s="30" t="s">
        <v>293</v>
      </c>
      <c r="CM695" s="30" t="s">
        <v>293</v>
      </c>
      <c r="CN695" s="30" t="s">
        <v>151</v>
      </c>
      <c r="CO695" s="30" t="s">
        <v>165</v>
      </c>
      <c r="CP695" s="35">
        <v>45375</v>
      </c>
      <c r="CQ695" s="37" t="s">
        <v>151</v>
      </c>
      <c r="CR695" s="30" t="s">
        <v>151</v>
      </c>
      <c r="CS695" s="30" t="s">
        <v>191</v>
      </c>
      <c r="CT695" s="29" t="s">
        <v>151</v>
      </c>
      <c r="CU695" s="30" t="s">
        <v>151</v>
      </c>
      <c r="CV695" s="32" t="s">
        <v>151</v>
      </c>
      <c r="CW695" s="32" t="s">
        <v>151</v>
      </c>
      <c r="CX695" s="30" t="s">
        <v>151</v>
      </c>
      <c r="CY695" s="32" t="s">
        <v>151</v>
      </c>
      <c r="CZ695" s="32" t="s">
        <v>151</v>
      </c>
      <c r="DA695" s="37" t="s">
        <v>151</v>
      </c>
      <c r="DB695" s="35" t="s">
        <v>151</v>
      </c>
      <c r="DC695" s="30" t="s">
        <v>151</v>
      </c>
      <c r="DD695" s="29" t="s">
        <v>151</v>
      </c>
      <c r="DE695" s="32">
        <v>0</v>
      </c>
      <c r="DF695" s="34">
        <v>11</v>
      </c>
      <c r="DG695" s="32">
        <v>0</v>
      </c>
      <c r="DH695" s="32">
        <v>0</v>
      </c>
      <c r="DI695" s="32" t="s">
        <v>151</v>
      </c>
      <c r="DJ695" s="34" t="s">
        <v>151</v>
      </c>
      <c r="DK695" s="32" t="s">
        <v>151</v>
      </c>
      <c r="DL695" s="34" t="s">
        <v>151</v>
      </c>
      <c r="DM695" s="32" t="s">
        <v>151</v>
      </c>
      <c r="DN695" s="34" t="s">
        <v>151</v>
      </c>
      <c r="DO695" s="36">
        <v>0.31</v>
      </c>
      <c r="DP695" s="34">
        <v>21</v>
      </c>
      <c r="DQ695" s="36">
        <v>0</v>
      </c>
      <c r="DR695" s="32">
        <v>0</v>
      </c>
      <c r="DS695" s="36" t="s">
        <v>151</v>
      </c>
      <c r="DT695" s="34" t="s">
        <v>151</v>
      </c>
      <c r="DU695" s="36" t="s">
        <v>151</v>
      </c>
      <c r="DV695" s="34" t="s">
        <v>151</v>
      </c>
      <c r="DW695" s="36" t="s">
        <v>151</v>
      </c>
      <c r="DX695" s="34" t="s">
        <v>151</v>
      </c>
      <c r="DY695" s="31" t="s">
        <v>151</v>
      </c>
      <c r="DZ695" s="35" t="s">
        <v>151</v>
      </c>
      <c r="EA695" s="35" t="s">
        <v>151</v>
      </c>
      <c r="EB695" s="34" t="s">
        <v>151</v>
      </c>
      <c r="EC695" s="33" t="s">
        <v>151</v>
      </c>
      <c r="ED695" s="32" t="s">
        <v>151</v>
      </c>
      <c r="EE695" s="34" t="s">
        <v>151</v>
      </c>
      <c r="EF695" s="33" t="s">
        <v>151</v>
      </c>
      <c r="EG695" s="32" t="s">
        <v>151</v>
      </c>
      <c r="EH695" s="29" t="s">
        <v>198</v>
      </c>
      <c r="EI695" s="30" t="s">
        <v>151</v>
      </c>
      <c r="EJ695" s="30" t="s">
        <v>151</v>
      </c>
      <c r="EK695" s="31" t="s">
        <v>151</v>
      </c>
      <c r="EL695" s="31" t="s">
        <v>151</v>
      </c>
      <c r="EM695" s="31" t="s">
        <v>151</v>
      </c>
      <c r="EN695" s="31" t="s">
        <v>151</v>
      </c>
      <c r="EO695" s="31" t="s">
        <v>151</v>
      </c>
      <c r="EP695" s="30" t="s">
        <v>151</v>
      </c>
      <c r="EQ695" s="29" t="s">
        <v>151</v>
      </c>
      <c r="ER695" s="29" t="s">
        <v>151</v>
      </c>
      <c r="ES695" s="4">
        <f>HYPERLINK("https://my.pitchbook.com?c=551392-75","View Company Online")</f>
      </c>
    </row>
    <row r="696">
      <c r="A696" s="17" t="s">
        <v>14292</v>
      </c>
      <c r="B696" s="17" t="s">
        <v>14293</v>
      </c>
      <c r="C696" s="18" t="s">
        <v>151</v>
      </c>
      <c r="D696" s="17" t="s">
        <v>151</v>
      </c>
      <c r="E696" s="17" t="s">
        <v>14294</v>
      </c>
      <c r="F696" s="17" t="s">
        <v>14295</v>
      </c>
      <c r="G696" s="17" t="s">
        <v>151</v>
      </c>
      <c r="H696" s="17" t="s">
        <v>151</v>
      </c>
      <c r="I696" s="17" t="s">
        <v>14296</v>
      </c>
      <c r="J696" s="17" t="s">
        <v>14292</v>
      </c>
      <c r="K696" s="17" t="s">
        <v>14297</v>
      </c>
      <c r="L696" s="17" t="s">
        <v>155</v>
      </c>
      <c r="M696" s="17" t="s">
        <v>361</v>
      </c>
      <c r="N696" s="17" t="s">
        <v>362</v>
      </c>
      <c r="O696" s="17" t="s">
        <v>14298</v>
      </c>
      <c r="P696" s="17" t="s">
        <v>2174</v>
      </c>
      <c r="Q696" s="17" t="s">
        <v>14299</v>
      </c>
      <c r="R696" s="17" t="s">
        <v>151</v>
      </c>
      <c r="S696" s="17" t="s">
        <v>162</v>
      </c>
      <c r="T696" s="24">
        <v>35.25</v>
      </c>
      <c r="U696" s="17" t="s">
        <v>163</v>
      </c>
      <c r="V696" s="17" t="s">
        <v>164</v>
      </c>
      <c r="W696" s="17" t="s">
        <v>165</v>
      </c>
      <c r="X696" s="15" t="s">
        <v>14300</v>
      </c>
      <c r="Y696" s="15" t="s">
        <v>14301</v>
      </c>
      <c r="Z696" s="27">
        <v>135</v>
      </c>
      <c r="AA696" s="17" t="s">
        <v>14302</v>
      </c>
      <c r="AB696" s="17" t="s">
        <v>151</v>
      </c>
      <c r="AC696" s="17" t="s">
        <v>151</v>
      </c>
      <c r="AD696" s="26">
        <v>2020</v>
      </c>
      <c r="AE696" s="17" t="s">
        <v>151</v>
      </c>
      <c r="AF696" s="22">
        <v>45469</v>
      </c>
      <c r="AG696" s="17" t="s">
        <v>151</v>
      </c>
      <c r="AH696" s="17" t="s">
        <v>151</v>
      </c>
      <c r="AI696" s="25" t="s">
        <v>151</v>
      </c>
      <c r="AJ696" s="19" t="s">
        <v>151</v>
      </c>
      <c r="AK696" s="25" t="s">
        <v>151</v>
      </c>
      <c r="AL696" s="25" t="s">
        <v>151</v>
      </c>
      <c r="AM696" s="25" t="s">
        <v>151</v>
      </c>
      <c r="AN696" s="25" t="s">
        <v>151</v>
      </c>
      <c r="AO696" s="25" t="s">
        <v>151</v>
      </c>
      <c r="AP696" s="25" t="s">
        <v>151</v>
      </c>
      <c r="AQ696" s="25" t="s">
        <v>151</v>
      </c>
      <c r="AR696" s="16" t="s">
        <v>151</v>
      </c>
      <c r="AS696" s="17" t="s">
        <v>14303</v>
      </c>
      <c r="AT696" s="17" t="s">
        <v>14304</v>
      </c>
      <c r="AU696" s="18">
        <v>11</v>
      </c>
      <c r="AV696" s="17" t="s">
        <v>151</v>
      </c>
      <c r="AW696" s="17" t="s">
        <v>151</v>
      </c>
      <c r="AX696" s="17" t="s">
        <v>151</v>
      </c>
      <c r="AY696" s="17" t="s">
        <v>14305</v>
      </c>
      <c r="AZ696" s="17" t="s">
        <v>151</v>
      </c>
      <c r="BA696" s="17" t="s">
        <v>151</v>
      </c>
      <c r="BB696" s="17" t="s">
        <v>151</v>
      </c>
      <c r="BC696" s="17" t="s">
        <v>151</v>
      </c>
      <c r="BD696" s="17" t="s">
        <v>14306</v>
      </c>
      <c r="BE696" s="17" t="s">
        <v>14307</v>
      </c>
      <c r="BF696" s="17" t="s">
        <v>403</v>
      </c>
      <c r="BG696" s="17" t="s">
        <v>14308</v>
      </c>
      <c r="BH696" s="17" t="s">
        <v>14309</v>
      </c>
      <c r="BI696" s="17" t="s">
        <v>906</v>
      </c>
      <c r="BJ696" s="17" t="s">
        <v>151</v>
      </c>
      <c r="BK696" s="17" t="s">
        <v>151</v>
      </c>
      <c r="BL696" s="17" t="s">
        <v>259</v>
      </c>
      <c r="BM696" s="17" t="s">
        <v>259</v>
      </c>
      <c r="BN696" s="16" t="s">
        <v>1933</v>
      </c>
      <c r="BO696" s="17" t="s">
        <v>186</v>
      </c>
      <c r="BP696" s="16" t="s">
        <v>14309</v>
      </c>
      <c r="BQ696" s="16" t="s">
        <v>151</v>
      </c>
      <c r="BR696" s="17" t="s">
        <v>151</v>
      </c>
      <c r="BS696" s="17" t="s">
        <v>187</v>
      </c>
      <c r="BT696" s="17" t="s">
        <v>188</v>
      </c>
      <c r="BU696" s="22">
        <v>44348</v>
      </c>
      <c r="BV696" s="24">
        <v>3</v>
      </c>
      <c r="BW696" s="17" t="s">
        <v>192</v>
      </c>
      <c r="BX696" s="24">
        <v>20.74</v>
      </c>
      <c r="BY696" s="17" t="s">
        <v>192</v>
      </c>
      <c r="BZ696" s="17" t="s">
        <v>293</v>
      </c>
      <c r="CA696" s="17" t="s">
        <v>293</v>
      </c>
      <c r="CB696" s="17" t="s">
        <v>151</v>
      </c>
      <c r="CC696" s="17" t="s">
        <v>165</v>
      </c>
      <c r="CD696" s="17" t="s">
        <v>14239</v>
      </c>
      <c r="CE696" s="17" t="s">
        <v>191</v>
      </c>
      <c r="CF696" s="22">
        <v>45300</v>
      </c>
      <c r="CG696" s="24" t="s">
        <v>151</v>
      </c>
      <c r="CH696" s="17" t="s">
        <v>151</v>
      </c>
      <c r="CI696" s="24" t="s">
        <v>151</v>
      </c>
      <c r="CJ696" s="17" t="s">
        <v>151</v>
      </c>
      <c r="CK696" s="16" t="s">
        <v>151</v>
      </c>
      <c r="CL696" s="17" t="s">
        <v>231</v>
      </c>
      <c r="CM696" s="17" t="s">
        <v>232</v>
      </c>
      <c r="CN696" s="17" t="s">
        <v>151</v>
      </c>
      <c r="CO696" s="17" t="s">
        <v>165</v>
      </c>
      <c r="CP696" s="22">
        <v>45300</v>
      </c>
      <c r="CQ696" s="24">
        <v>6.13</v>
      </c>
      <c r="CR696" s="17" t="s">
        <v>14310</v>
      </c>
      <c r="CS696" s="17" t="s">
        <v>191</v>
      </c>
      <c r="CT696" s="16">
        <v>84</v>
      </c>
      <c r="CU696" s="17" t="s">
        <v>196</v>
      </c>
      <c r="CV696" s="19">
        <v>74</v>
      </c>
      <c r="CW696" s="19">
        <v>26</v>
      </c>
      <c r="CX696" s="17" t="s">
        <v>294</v>
      </c>
      <c r="CY696" s="19">
        <v>5</v>
      </c>
      <c r="CZ696" s="19">
        <v>69</v>
      </c>
      <c r="DA696" s="24">
        <v>80</v>
      </c>
      <c r="DB696" s="22">
        <v>44705</v>
      </c>
      <c r="DC696" s="17" t="s">
        <v>293</v>
      </c>
      <c r="DD696" s="16">
        <v>2.89</v>
      </c>
      <c r="DE696" s="19">
        <v>1.2</v>
      </c>
      <c r="DF696" s="21">
        <v>97</v>
      </c>
      <c r="DG696" s="19">
        <v>0</v>
      </c>
      <c r="DH696" s="19">
        <v>0</v>
      </c>
      <c r="DI696" s="19">
        <v>1.62</v>
      </c>
      <c r="DJ696" s="21">
        <v>98</v>
      </c>
      <c r="DK696" s="19" t="s">
        <v>151</v>
      </c>
      <c r="DL696" s="21" t="s">
        <v>151</v>
      </c>
      <c r="DM696" s="19">
        <v>1.62</v>
      </c>
      <c r="DN696" s="21">
        <v>98</v>
      </c>
      <c r="DO696" s="23">
        <v>13.48</v>
      </c>
      <c r="DP696" s="21">
        <v>93</v>
      </c>
      <c r="DQ696" s="23">
        <v>0</v>
      </c>
      <c r="DR696" s="19">
        <v>0</v>
      </c>
      <c r="DS696" s="23">
        <v>16.58</v>
      </c>
      <c r="DT696" s="21">
        <v>94</v>
      </c>
      <c r="DU696" s="23" t="s">
        <v>151</v>
      </c>
      <c r="DV696" s="21" t="s">
        <v>151</v>
      </c>
      <c r="DW696" s="23">
        <v>16.58</v>
      </c>
      <c r="DX696" s="21">
        <v>94</v>
      </c>
      <c r="DY696" s="18" t="s">
        <v>151</v>
      </c>
      <c r="DZ696" s="22" t="s">
        <v>151</v>
      </c>
      <c r="EA696" s="22" t="s">
        <v>151</v>
      </c>
      <c r="EB696" s="21">
        <v>5435</v>
      </c>
      <c r="EC696" s="20">
        <v>141</v>
      </c>
      <c r="ED696" s="19">
        <v>2.66</v>
      </c>
      <c r="EE696" s="21">
        <v>315</v>
      </c>
      <c r="EF696" s="20">
        <v>3</v>
      </c>
      <c r="EG696" s="19">
        <v>0.96</v>
      </c>
      <c r="EH696" s="16" t="s">
        <v>198</v>
      </c>
      <c r="EI696" s="17" t="s">
        <v>151</v>
      </c>
      <c r="EJ696" s="17" t="s">
        <v>151</v>
      </c>
      <c r="EK696" s="18" t="s">
        <v>151</v>
      </c>
      <c r="EL696" s="18" t="s">
        <v>151</v>
      </c>
      <c r="EM696" s="18" t="s">
        <v>151</v>
      </c>
      <c r="EN696" s="18" t="s">
        <v>151</v>
      </c>
      <c r="EO696" s="18" t="s">
        <v>151</v>
      </c>
      <c r="EP696" s="17" t="s">
        <v>151</v>
      </c>
      <c r="EQ696" s="16" t="s">
        <v>151</v>
      </c>
      <c r="ER696" s="16" t="s">
        <v>151</v>
      </c>
      <c r="ES696" s="3">
        <f>HYPERLINK("https://my.pitchbook.com?c=462944-98","View Company Online")</f>
      </c>
    </row>
    <row r="697">
      <c r="A697" s="30" t="s">
        <v>14311</v>
      </c>
      <c r="B697" s="30" t="s">
        <v>14312</v>
      </c>
      <c r="C697" s="31" t="s">
        <v>151</v>
      </c>
      <c r="D697" s="30" t="s">
        <v>151</v>
      </c>
      <c r="E697" s="30" t="s">
        <v>151</v>
      </c>
      <c r="F697" s="30" t="s">
        <v>14313</v>
      </c>
      <c r="G697" s="30" t="s">
        <v>151</v>
      </c>
      <c r="H697" s="30" t="s">
        <v>151</v>
      </c>
      <c r="I697" s="30" t="s">
        <v>14314</v>
      </c>
      <c r="J697" s="30" t="s">
        <v>14311</v>
      </c>
      <c r="K697" s="30" t="s">
        <v>14315</v>
      </c>
      <c r="L697" s="30" t="s">
        <v>205</v>
      </c>
      <c r="M697" s="30" t="s">
        <v>206</v>
      </c>
      <c r="N697" s="30" t="s">
        <v>269</v>
      </c>
      <c r="O697" s="30" t="s">
        <v>1106</v>
      </c>
      <c r="P697" s="30" t="s">
        <v>1153</v>
      </c>
      <c r="Q697" s="30" t="s">
        <v>14316</v>
      </c>
      <c r="R697" s="30" t="s">
        <v>780</v>
      </c>
      <c r="S697" s="30" t="s">
        <v>162</v>
      </c>
      <c r="T697" s="37">
        <v>5.1</v>
      </c>
      <c r="U697" s="30" t="s">
        <v>163</v>
      </c>
      <c r="V697" s="30" t="s">
        <v>164</v>
      </c>
      <c r="W697" s="30" t="s">
        <v>165</v>
      </c>
      <c r="X697" s="28" t="s">
        <v>14317</v>
      </c>
      <c r="Y697" s="28" t="s">
        <v>14318</v>
      </c>
      <c r="Z697" s="40">
        <v>178</v>
      </c>
      <c r="AA697" s="30" t="s">
        <v>14319</v>
      </c>
      <c r="AB697" s="30" t="s">
        <v>151</v>
      </c>
      <c r="AC697" s="30" t="s">
        <v>151</v>
      </c>
      <c r="AD697" s="39">
        <v>2020</v>
      </c>
      <c r="AE697" s="30" t="s">
        <v>151</v>
      </c>
      <c r="AF697" s="35">
        <v>45617</v>
      </c>
      <c r="AG697" s="30" t="s">
        <v>151</v>
      </c>
      <c r="AH697" s="30" t="s">
        <v>151</v>
      </c>
      <c r="AI697" s="38" t="s">
        <v>151</v>
      </c>
      <c r="AJ697" s="32" t="s">
        <v>151</v>
      </c>
      <c r="AK697" s="38" t="s">
        <v>151</v>
      </c>
      <c r="AL697" s="38" t="s">
        <v>151</v>
      </c>
      <c r="AM697" s="38" t="s">
        <v>151</v>
      </c>
      <c r="AN697" s="38" t="s">
        <v>151</v>
      </c>
      <c r="AO697" s="38" t="s">
        <v>151</v>
      </c>
      <c r="AP697" s="38" t="s">
        <v>151</v>
      </c>
      <c r="AQ697" s="38" t="s">
        <v>151</v>
      </c>
      <c r="AR697" s="29" t="s">
        <v>151</v>
      </c>
      <c r="AS697" s="30" t="s">
        <v>14320</v>
      </c>
      <c r="AT697" s="30" t="s">
        <v>14321</v>
      </c>
      <c r="AU697" s="31">
        <v>22</v>
      </c>
      <c r="AV697" s="30" t="s">
        <v>151</v>
      </c>
      <c r="AW697" s="30" t="s">
        <v>151</v>
      </c>
      <c r="AX697" s="30" t="s">
        <v>151</v>
      </c>
      <c r="AY697" s="30" t="s">
        <v>14322</v>
      </c>
      <c r="AZ697" s="30" t="s">
        <v>151</v>
      </c>
      <c r="BA697" s="30" t="s">
        <v>151</v>
      </c>
      <c r="BB697" s="30" t="s">
        <v>14323</v>
      </c>
      <c r="BC697" s="30" t="s">
        <v>151</v>
      </c>
      <c r="BD697" s="30" t="s">
        <v>14324</v>
      </c>
      <c r="BE697" s="30" t="s">
        <v>14325</v>
      </c>
      <c r="BF697" s="30" t="s">
        <v>403</v>
      </c>
      <c r="BG697" s="30" t="s">
        <v>14326</v>
      </c>
      <c r="BH697" s="30" t="s">
        <v>151</v>
      </c>
      <c r="BI697" s="30" t="s">
        <v>6124</v>
      </c>
      <c r="BJ697" s="30" t="s">
        <v>6125</v>
      </c>
      <c r="BK697" s="30" t="s">
        <v>14327</v>
      </c>
      <c r="BL697" s="30" t="s">
        <v>6127</v>
      </c>
      <c r="BM697" s="30" t="s">
        <v>1388</v>
      </c>
      <c r="BN697" s="29" t="s">
        <v>6128</v>
      </c>
      <c r="BO697" s="30" t="s">
        <v>186</v>
      </c>
      <c r="BP697" s="29" t="s">
        <v>151</v>
      </c>
      <c r="BQ697" s="29" t="s">
        <v>151</v>
      </c>
      <c r="BR697" s="30" t="s">
        <v>151</v>
      </c>
      <c r="BS697" s="30" t="s">
        <v>187</v>
      </c>
      <c r="BT697" s="30" t="s">
        <v>188</v>
      </c>
      <c r="BU697" s="35">
        <v>43831</v>
      </c>
      <c r="BV697" s="37">
        <v>0.6</v>
      </c>
      <c r="BW697" s="30" t="s">
        <v>192</v>
      </c>
      <c r="BX697" s="37" t="s">
        <v>151</v>
      </c>
      <c r="BY697" s="30" t="s">
        <v>151</v>
      </c>
      <c r="BZ697" s="30" t="s">
        <v>293</v>
      </c>
      <c r="CA697" s="30" t="s">
        <v>293</v>
      </c>
      <c r="CB697" s="30" t="s">
        <v>151</v>
      </c>
      <c r="CC697" s="30" t="s">
        <v>165</v>
      </c>
      <c r="CD697" s="30" t="s">
        <v>151</v>
      </c>
      <c r="CE697" s="30" t="s">
        <v>191</v>
      </c>
      <c r="CF697" s="35">
        <v>44490</v>
      </c>
      <c r="CG697" s="37">
        <v>4.5</v>
      </c>
      <c r="CH697" s="30" t="s">
        <v>192</v>
      </c>
      <c r="CI697" s="37" t="s">
        <v>151</v>
      </c>
      <c r="CJ697" s="30" t="s">
        <v>151</v>
      </c>
      <c r="CK697" s="29" t="s">
        <v>151</v>
      </c>
      <c r="CL697" s="30" t="s">
        <v>293</v>
      </c>
      <c r="CM697" s="30" t="s">
        <v>293</v>
      </c>
      <c r="CN697" s="30" t="s">
        <v>151</v>
      </c>
      <c r="CO697" s="30" t="s">
        <v>165</v>
      </c>
      <c r="CP697" s="35">
        <v>44490</v>
      </c>
      <c r="CQ697" s="37" t="s">
        <v>151</v>
      </c>
      <c r="CR697" s="30" t="s">
        <v>151</v>
      </c>
      <c r="CS697" s="30" t="s">
        <v>191</v>
      </c>
      <c r="CT697" s="29">
        <v>84</v>
      </c>
      <c r="CU697" s="30" t="s">
        <v>196</v>
      </c>
      <c r="CV697" s="32">
        <v>77</v>
      </c>
      <c r="CW697" s="32">
        <v>23</v>
      </c>
      <c r="CX697" s="30" t="s">
        <v>294</v>
      </c>
      <c r="CY697" s="32">
        <v>1</v>
      </c>
      <c r="CZ697" s="32">
        <v>76</v>
      </c>
      <c r="DA697" s="37" t="s">
        <v>151</v>
      </c>
      <c r="DB697" s="35" t="s">
        <v>151</v>
      </c>
      <c r="DC697" s="30" t="s">
        <v>151</v>
      </c>
      <c r="DD697" s="29" t="s">
        <v>151</v>
      </c>
      <c r="DE697" s="32">
        <v>3.28</v>
      </c>
      <c r="DF697" s="34">
        <v>99</v>
      </c>
      <c r="DG697" s="32">
        <v>0</v>
      </c>
      <c r="DH697" s="32">
        <v>0</v>
      </c>
      <c r="DI697" s="32">
        <v>4.36</v>
      </c>
      <c r="DJ697" s="34">
        <v>100</v>
      </c>
      <c r="DK697" s="32" t="s">
        <v>151</v>
      </c>
      <c r="DL697" s="34" t="s">
        <v>151</v>
      </c>
      <c r="DM697" s="32">
        <v>4.36</v>
      </c>
      <c r="DN697" s="34">
        <v>100</v>
      </c>
      <c r="DO697" s="36">
        <v>16.43</v>
      </c>
      <c r="DP697" s="34">
        <v>94</v>
      </c>
      <c r="DQ697" s="36">
        <v>0</v>
      </c>
      <c r="DR697" s="32">
        <v>0</v>
      </c>
      <c r="DS697" s="36">
        <v>19.16</v>
      </c>
      <c r="DT697" s="34">
        <v>95</v>
      </c>
      <c r="DU697" s="36" t="s">
        <v>151</v>
      </c>
      <c r="DV697" s="34" t="s">
        <v>151</v>
      </c>
      <c r="DW697" s="36">
        <v>19.16</v>
      </c>
      <c r="DX697" s="34">
        <v>95</v>
      </c>
      <c r="DY697" s="31" t="s">
        <v>151</v>
      </c>
      <c r="DZ697" s="35" t="s">
        <v>151</v>
      </c>
      <c r="EA697" s="35" t="s">
        <v>151</v>
      </c>
      <c r="EB697" s="34">
        <v>9452</v>
      </c>
      <c r="EC697" s="33">
        <v>590</v>
      </c>
      <c r="ED697" s="32">
        <v>6.66</v>
      </c>
      <c r="EE697" s="34">
        <v>364</v>
      </c>
      <c r="EF697" s="33">
        <v>16</v>
      </c>
      <c r="EG697" s="32">
        <v>4.6</v>
      </c>
      <c r="EH697" s="29" t="s">
        <v>198</v>
      </c>
      <c r="EI697" s="30" t="s">
        <v>151</v>
      </c>
      <c r="EJ697" s="30" t="s">
        <v>151</v>
      </c>
      <c r="EK697" s="31" t="s">
        <v>151</v>
      </c>
      <c r="EL697" s="31" t="s">
        <v>151</v>
      </c>
      <c r="EM697" s="31" t="s">
        <v>151</v>
      </c>
      <c r="EN697" s="31" t="s">
        <v>151</v>
      </c>
      <c r="EO697" s="31" t="s">
        <v>151</v>
      </c>
      <c r="EP697" s="30" t="s">
        <v>151</v>
      </c>
      <c r="EQ697" s="29" t="s">
        <v>151</v>
      </c>
      <c r="ER697" s="29" t="s">
        <v>151</v>
      </c>
      <c r="ES697" s="4">
        <f>HYPERLINK("https://my.pitchbook.com?c=437184-01","View Company Online")</f>
      </c>
    </row>
    <row r="698">
      <c r="A698" s="17" t="s">
        <v>14328</v>
      </c>
      <c r="B698" s="17" t="s">
        <v>14329</v>
      </c>
      <c r="C698" s="18" t="s">
        <v>151</v>
      </c>
      <c r="D698" s="17" t="s">
        <v>151</v>
      </c>
      <c r="E698" s="17" t="s">
        <v>14330</v>
      </c>
      <c r="F698" s="17" t="s">
        <v>14331</v>
      </c>
      <c r="G698" s="17" t="s">
        <v>151</v>
      </c>
      <c r="H698" s="17" t="s">
        <v>151</v>
      </c>
      <c r="I698" s="17" t="s">
        <v>151</v>
      </c>
      <c r="J698" s="17" t="s">
        <v>14328</v>
      </c>
      <c r="K698" s="17" t="s">
        <v>14332</v>
      </c>
      <c r="L698" s="17" t="s">
        <v>1792</v>
      </c>
      <c r="M698" s="17" t="s">
        <v>2199</v>
      </c>
      <c r="N698" s="17" t="s">
        <v>6554</v>
      </c>
      <c r="O698" s="17" t="s">
        <v>14333</v>
      </c>
      <c r="P698" s="17" t="s">
        <v>10302</v>
      </c>
      <c r="Q698" s="17" t="s">
        <v>14334</v>
      </c>
      <c r="R698" s="17" t="s">
        <v>151</v>
      </c>
      <c r="S698" s="17" t="s">
        <v>162</v>
      </c>
      <c r="T698" s="24">
        <v>4</v>
      </c>
      <c r="U698" s="17" t="s">
        <v>163</v>
      </c>
      <c r="V698" s="17" t="s">
        <v>164</v>
      </c>
      <c r="W698" s="17" t="s">
        <v>165</v>
      </c>
      <c r="X698" s="15" t="s">
        <v>14335</v>
      </c>
      <c r="Y698" s="15" t="s">
        <v>14336</v>
      </c>
      <c r="Z698" s="27">
        <v>6</v>
      </c>
      <c r="AA698" s="17" t="s">
        <v>2825</v>
      </c>
      <c r="AB698" s="17" t="s">
        <v>151</v>
      </c>
      <c r="AC698" s="17" t="s">
        <v>151</v>
      </c>
      <c r="AD698" s="26">
        <v>2023</v>
      </c>
      <c r="AE698" s="17" t="s">
        <v>151</v>
      </c>
      <c r="AF698" s="22">
        <v>45611</v>
      </c>
      <c r="AG698" s="17" t="s">
        <v>151</v>
      </c>
      <c r="AH698" s="17" t="s">
        <v>151</v>
      </c>
      <c r="AI698" s="25" t="s">
        <v>151</v>
      </c>
      <c r="AJ698" s="19" t="s">
        <v>151</v>
      </c>
      <c r="AK698" s="25" t="s">
        <v>151</v>
      </c>
      <c r="AL698" s="25" t="s">
        <v>151</v>
      </c>
      <c r="AM698" s="25" t="s">
        <v>151</v>
      </c>
      <c r="AN698" s="25" t="s">
        <v>151</v>
      </c>
      <c r="AO698" s="25" t="s">
        <v>151</v>
      </c>
      <c r="AP698" s="25" t="s">
        <v>151</v>
      </c>
      <c r="AQ698" s="25" t="s">
        <v>151</v>
      </c>
      <c r="AR698" s="16" t="s">
        <v>151</v>
      </c>
      <c r="AS698" s="17" t="s">
        <v>14337</v>
      </c>
      <c r="AT698" s="17" t="s">
        <v>14338</v>
      </c>
      <c r="AU698" s="18">
        <v>2</v>
      </c>
      <c r="AV698" s="17" t="s">
        <v>151</v>
      </c>
      <c r="AW698" s="17" t="s">
        <v>151</v>
      </c>
      <c r="AX698" s="17" t="s">
        <v>151</v>
      </c>
      <c r="AY698" s="17" t="s">
        <v>14339</v>
      </c>
      <c r="AZ698" s="17" t="s">
        <v>151</v>
      </c>
      <c r="BA698" s="17" t="s">
        <v>151</v>
      </c>
      <c r="BB698" s="17" t="s">
        <v>151</v>
      </c>
      <c r="BC698" s="17" t="s">
        <v>151</v>
      </c>
      <c r="BD698" s="17" t="s">
        <v>14340</v>
      </c>
      <c r="BE698" s="17" t="s">
        <v>14341</v>
      </c>
      <c r="BF698" s="17" t="s">
        <v>493</v>
      </c>
      <c r="BG698" s="17" t="s">
        <v>14342</v>
      </c>
      <c r="BH698" s="17" t="s">
        <v>14343</v>
      </c>
      <c r="BI698" s="17" t="s">
        <v>906</v>
      </c>
      <c r="BJ698" s="17" t="s">
        <v>14344</v>
      </c>
      <c r="BK698" s="17" t="s">
        <v>14345</v>
      </c>
      <c r="BL698" s="17" t="s">
        <v>259</v>
      </c>
      <c r="BM698" s="17" t="s">
        <v>259</v>
      </c>
      <c r="BN698" s="16" t="s">
        <v>9247</v>
      </c>
      <c r="BO698" s="17" t="s">
        <v>186</v>
      </c>
      <c r="BP698" s="16" t="s">
        <v>14343</v>
      </c>
      <c r="BQ698" s="16" t="s">
        <v>151</v>
      </c>
      <c r="BR698" s="17" t="s">
        <v>151</v>
      </c>
      <c r="BS698" s="17" t="s">
        <v>187</v>
      </c>
      <c r="BT698" s="17" t="s">
        <v>188</v>
      </c>
      <c r="BU698" s="22">
        <v>45586</v>
      </c>
      <c r="BV698" s="24">
        <v>4</v>
      </c>
      <c r="BW698" s="17" t="s">
        <v>192</v>
      </c>
      <c r="BX698" s="24" t="s">
        <v>151</v>
      </c>
      <c r="BY698" s="17" t="s">
        <v>151</v>
      </c>
      <c r="BZ698" s="17" t="s">
        <v>231</v>
      </c>
      <c r="CA698" s="17" t="s">
        <v>151</v>
      </c>
      <c r="CB698" s="17" t="s">
        <v>151</v>
      </c>
      <c r="CC698" s="17" t="s">
        <v>165</v>
      </c>
      <c r="CD698" s="17" t="s">
        <v>151</v>
      </c>
      <c r="CE698" s="17" t="s">
        <v>191</v>
      </c>
      <c r="CF698" s="22">
        <v>45586</v>
      </c>
      <c r="CG698" s="24">
        <v>4</v>
      </c>
      <c r="CH698" s="17" t="s">
        <v>192</v>
      </c>
      <c r="CI698" s="24" t="s">
        <v>151</v>
      </c>
      <c r="CJ698" s="17" t="s">
        <v>151</v>
      </c>
      <c r="CK698" s="16" t="s">
        <v>151</v>
      </c>
      <c r="CL698" s="17" t="s">
        <v>231</v>
      </c>
      <c r="CM698" s="17" t="s">
        <v>151</v>
      </c>
      <c r="CN698" s="17" t="s">
        <v>151</v>
      </c>
      <c r="CO698" s="17" t="s">
        <v>165</v>
      </c>
      <c r="CP698" s="22">
        <v>45586</v>
      </c>
      <c r="CQ698" s="24" t="s">
        <v>151</v>
      </c>
      <c r="CR698" s="17" t="s">
        <v>151</v>
      </c>
      <c r="CS698" s="17" t="s">
        <v>191</v>
      </c>
      <c r="CT698" s="16" t="s">
        <v>151</v>
      </c>
      <c r="CU698" s="17" t="s">
        <v>151</v>
      </c>
      <c r="CV698" s="19" t="s">
        <v>151</v>
      </c>
      <c r="CW698" s="19" t="s">
        <v>151</v>
      </c>
      <c r="CX698" s="17" t="s">
        <v>151</v>
      </c>
      <c r="CY698" s="19" t="s">
        <v>151</v>
      </c>
      <c r="CZ698" s="19" t="s">
        <v>151</v>
      </c>
      <c r="DA698" s="24" t="s">
        <v>151</v>
      </c>
      <c r="DB698" s="22" t="s">
        <v>151</v>
      </c>
      <c r="DC698" s="17" t="s">
        <v>151</v>
      </c>
      <c r="DD698" s="16" t="s">
        <v>151</v>
      </c>
      <c r="DE698" s="19">
        <v>0</v>
      </c>
      <c r="DF698" s="21">
        <v>11</v>
      </c>
      <c r="DG698" s="19">
        <v>0</v>
      </c>
      <c r="DH698" s="19">
        <v>0</v>
      </c>
      <c r="DI698" s="19">
        <v>0</v>
      </c>
      <c r="DJ698" s="21">
        <v>10</v>
      </c>
      <c r="DK698" s="19" t="s">
        <v>151</v>
      </c>
      <c r="DL698" s="21" t="s">
        <v>151</v>
      </c>
      <c r="DM698" s="19">
        <v>0</v>
      </c>
      <c r="DN698" s="21">
        <v>10</v>
      </c>
      <c r="DO698" s="23">
        <v>0.3</v>
      </c>
      <c r="DP698" s="21">
        <v>21</v>
      </c>
      <c r="DQ698" s="23">
        <v>0</v>
      </c>
      <c r="DR698" s="19">
        <v>0</v>
      </c>
      <c r="DS698" s="23">
        <v>0.21</v>
      </c>
      <c r="DT698" s="21">
        <v>14</v>
      </c>
      <c r="DU698" s="23" t="s">
        <v>151</v>
      </c>
      <c r="DV698" s="21" t="s">
        <v>151</v>
      </c>
      <c r="DW698" s="23">
        <v>0.21</v>
      </c>
      <c r="DX698" s="21">
        <v>14</v>
      </c>
      <c r="DY698" s="18" t="s">
        <v>151</v>
      </c>
      <c r="DZ698" s="22" t="s">
        <v>151</v>
      </c>
      <c r="EA698" s="22" t="s">
        <v>151</v>
      </c>
      <c r="EB698" s="21">
        <v>490</v>
      </c>
      <c r="EC698" s="20">
        <v>41</v>
      </c>
      <c r="ED698" s="19">
        <v>9.13</v>
      </c>
      <c r="EE698" s="21">
        <v>4</v>
      </c>
      <c r="EF698" s="20">
        <v>0</v>
      </c>
      <c r="EG698" s="19">
        <v>0</v>
      </c>
      <c r="EH698" s="16" t="s">
        <v>198</v>
      </c>
      <c r="EI698" s="17" t="s">
        <v>151</v>
      </c>
      <c r="EJ698" s="17" t="s">
        <v>151</v>
      </c>
      <c r="EK698" s="18" t="s">
        <v>151</v>
      </c>
      <c r="EL698" s="18" t="s">
        <v>151</v>
      </c>
      <c r="EM698" s="18" t="s">
        <v>151</v>
      </c>
      <c r="EN698" s="18" t="s">
        <v>151</v>
      </c>
      <c r="EO698" s="18" t="s">
        <v>151</v>
      </c>
      <c r="EP698" s="17" t="s">
        <v>151</v>
      </c>
      <c r="EQ698" s="16" t="s">
        <v>151</v>
      </c>
      <c r="ER698" s="16" t="s">
        <v>151</v>
      </c>
      <c r="ES698" s="3">
        <f>HYPERLINK("https://my.pitchbook.com?c=542211-76","View Company Online")</f>
      </c>
    </row>
    <row r="699">
      <c r="A699" s="30" t="s">
        <v>14346</v>
      </c>
      <c r="B699" s="30" t="s">
        <v>14347</v>
      </c>
      <c r="C699" s="31" t="s">
        <v>151</v>
      </c>
      <c r="D699" s="30" t="s">
        <v>14348</v>
      </c>
      <c r="E699" s="30" t="s">
        <v>14349</v>
      </c>
      <c r="F699" s="30" t="s">
        <v>14350</v>
      </c>
      <c r="G699" s="30" t="s">
        <v>151</v>
      </c>
      <c r="H699" s="30" t="s">
        <v>151</v>
      </c>
      <c r="I699" s="30" t="s">
        <v>151</v>
      </c>
      <c r="J699" s="30" t="s">
        <v>14346</v>
      </c>
      <c r="K699" s="30" t="s">
        <v>14351</v>
      </c>
      <c r="L699" s="30" t="s">
        <v>205</v>
      </c>
      <c r="M699" s="30" t="s">
        <v>206</v>
      </c>
      <c r="N699" s="30" t="s">
        <v>694</v>
      </c>
      <c r="O699" s="30" t="s">
        <v>8126</v>
      </c>
      <c r="P699" s="30" t="s">
        <v>2640</v>
      </c>
      <c r="Q699" s="30" t="s">
        <v>14352</v>
      </c>
      <c r="R699" s="30" t="s">
        <v>151</v>
      </c>
      <c r="S699" s="30" t="s">
        <v>162</v>
      </c>
      <c r="T699" s="37">
        <v>0.1</v>
      </c>
      <c r="U699" s="30" t="s">
        <v>163</v>
      </c>
      <c r="V699" s="30" t="s">
        <v>164</v>
      </c>
      <c r="W699" s="30" t="s">
        <v>165</v>
      </c>
      <c r="X699" s="28" t="s">
        <v>14353</v>
      </c>
      <c r="Y699" s="28" t="s">
        <v>14354</v>
      </c>
      <c r="Z699" s="40">
        <v>10</v>
      </c>
      <c r="AA699" s="30" t="s">
        <v>14355</v>
      </c>
      <c r="AB699" s="30" t="s">
        <v>151</v>
      </c>
      <c r="AC699" s="30" t="s">
        <v>151</v>
      </c>
      <c r="AD699" s="39">
        <v>2020</v>
      </c>
      <c r="AE699" s="30" t="s">
        <v>151</v>
      </c>
      <c r="AF699" s="35">
        <v>45539</v>
      </c>
      <c r="AG699" s="30" t="s">
        <v>151</v>
      </c>
      <c r="AH699" s="30" t="s">
        <v>151</v>
      </c>
      <c r="AI699" s="38" t="s">
        <v>151</v>
      </c>
      <c r="AJ699" s="32" t="s">
        <v>151</v>
      </c>
      <c r="AK699" s="38" t="s">
        <v>151</v>
      </c>
      <c r="AL699" s="38" t="s">
        <v>151</v>
      </c>
      <c r="AM699" s="38" t="s">
        <v>151</v>
      </c>
      <c r="AN699" s="38" t="s">
        <v>151</v>
      </c>
      <c r="AO699" s="38" t="s">
        <v>151</v>
      </c>
      <c r="AP699" s="38" t="s">
        <v>151</v>
      </c>
      <c r="AQ699" s="38" t="s">
        <v>151</v>
      </c>
      <c r="AR699" s="29" t="s">
        <v>151</v>
      </c>
      <c r="AS699" s="30" t="s">
        <v>14356</v>
      </c>
      <c r="AT699" s="30" t="s">
        <v>14357</v>
      </c>
      <c r="AU699" s="31">
        <v>2</v>
      </c>
      <c r="AV699" s="30" t="s">
        <v>151</v>
      </c>
      <c r="AW699" s="30" t="s">
        <v>151</v>
      </c>
      <c r="AX699" s="30" t="s">
        <v>151</v>
      </c>
      <c r="AY699" s="30" t="s">
        <v>14358</v>
      </c>
      <c r="AZ699" s="30" t="s">
        <v>151</v>
      </c>
      <c r="BA699" s="30" t="s">
        <v>151</v>
      </c>
      <c r="BB699" s="30" t="s">
        <v>151</v>
      </c>
      <c r="BC699" s="30" t="s">
        <v>151</v>
      </c>
      <c r="BD699" s="30" t="s">
        <v>14359</v>
      </c>
      <c r="BE699" s="30" t="s">
        <v>14360</v>
      </c>
      <c r="BF699" s="30" t="s">
        <v>14361</v>
      </c>
      <c r="BG699" s="30" t="s">
        <v>14362</v>
      </c>
      <c r="BH699" s="30" t="s">
        <v>14363</v>
      </c>
      <c r="BI699" s="30" t="s">
        <v>906</v>
      </c>
      <c r="BJ699" s="30" t="s">
        <v>151</v>
      </c>
      <c r="BK699" s="30" t="s">
        <v>151</v>
      </c>
      <c r="BL699" s="30" t="s">
        <v>259</v>
      </c>
      <c r="BM699" s="30" t="s">
        <v>259</v>
      </c>
      <c r="BN699" s="29" t="s">
        <v>151</v>
      </c>
      <c r="BO699" s="30" t="s">
        <v>186</v>
      </c>
      <c r="BP699" s="29" t="s">
        <v>151</v>
      </c>
      <c r="BQ699" s="29" t="s">
        <v>151</v>
      </c>
      <c r="BR699" s="30" t="s">
        <v>151</v>
      </c>
      <c r="BS699" s="30" t="s">
        <v>187</v>
      </c>
      <c r="BT699" s="30" t="s">
        <v>188</v>
      </c>
      <c r="BU699" s="35">
        <v>44572</v>
      </c>
      <c r="BV699" s="37">
        <v>0.1</v>
      </c>
      <c r="BW699" s="30" t="s">
        <v>192</v>
      </c>
      <c r="BX699" s="37" t="s">
        <v>151</v>
      </c>
      <c r="BY699" s="30" t="s">
        <v>151</v>
      </c>
      <c r="BZ699" s="30" t="s">
        <v>293</v>
      </c>
      <c r="CA699" s="30" t="s">
        <v>293</v>
      </c>
      <c r="CB699" s="30" t="s">
        <v>151</v>
      </c>
      <c r="CC699" s="30" t="s">
        <v>165</v>
      </c>
      <c r="CD699" s="30" t="s">
        <v>151</v>
      </c>
      <c r="CE699" s="30" t="s">
        <v>191</v>
      </c>
      <c r="CF699" s="35">
        <v>44572</v>
      </c>
      <c r="CG699" s="37">
        <v>0.1</v>
      </c>
      <c r="CH699" s="30" t="s">
        <v>192</v>
      </c>
      <c r="CI699" s="37" t="s">
        <v>151</v>
      </c>
      <c r="CJ699" s="30" t="s">
        <v>151</v>
      </c>
      <c r="CK699" s="29" t="s">
        <v>151</v>
      </c>
      <c r="CL699" s="30" t="s">
        <v>293</v>
      </c>
      <c r="CM699" s="30" t="s">
        <v>293</v>
      </c>
      <c r="CN699" s="30" t="s">
        <v>151</v>
      </c>
      <c r="CO699" s="30" t="s">
        <v>165</v>
      </c>
      <c r="CP699" s="35">
        <v>44572</v>
      </c>
      <c r="CQ699" s="37" t="s">
        <v>151</v>
      </c>
      <c r="CR699" s="30" t="s">
        <v>151</v>
      </c>
      <c r="CS699" s="30" t="s">
        <v>191</v>
      </c>
      <c r="CT699" s="29" t="s">
        <v>151</v>
      </c>
      <c r="CU699" s="30" t="s">
        <v>151</v>
      </c>
      <c r="CV699" s="32" t="s">
        <v>151</v>
      </c>
      <c r="CW699" s="32" t="s">
        <v>151</v>
      </c>
      <c r="CX699" s="30" t="s">
        <v>151</v>
      </c>
      <c r="CY699" s="32" t="s">
        <v>151</v>
      </c>
      <c r="CZ699" s="32" t="s">
        <v>151</v>
      </c>
      <c r="DA699" s="37" t="s">
        <v>151</v>
      </c>
      <c r="DB699" s="35" t="s">
        <v>151</v>
      </c>
      <c r="DC699" s="30" t="s">
        <v>151</v>
      </c>
      <c r="DD699" s="29" t="s">
        <v>151</v>
      </c>
      <c r="DE699" s="32">
        <v>0</v>
      </c>
      <c r="DF699" s="34">
        <v>11</v>
      </c>
      <c r="DG699" s="32">
        <v>0</v>
      </c>
      <c r="DH699" s="32">
        <v>0</v>
      </c>
      <c r="DI699" s="32">
        <v>0</v>
      </c>
      <c r="DJ699" s="34">
        <v>10</v>
      </c>
      <c r="DK699" s="32">
        <v>0</v>
      </c>
      <c r="DL699" s="34">
        <v>11</v>
      </c>
      <c r="DM699" s="32" t="s">
        <v>151</v>
      </c>
      <c r="DN699" s="34" t="s">
        <v>151</v>
      </c>
      <c r="DO699" s="36">
        <v>2.04</v>
      </c>
      <c r="DP699" s="34">
        <v>67</v>
      </c>
      <c r="DQ699" s="36">
        <v>0</v>
      </c>
      <c r="DR699" s="32">
        <v>0</v>
      </c>
      <c r="DS699" s="36">
        <v>3.32</v>
      </c>
      <c r="DT699" s="34">
        <v>76</v>
      </c>
      <c r="DU699" s="36">
        <v>3.32</v>
      </c>
      <c r="DV699" s="34">
        <v>77</v>
      </c>
      <c r="DW699" s="36" t="s">
        <v>151</v>
      </c>
      <c r="DX699" s="34" t="s">
        <v>151</v>
      </c>
      <c r="DY699" s="31" t="s">
        <v>151</v>
      </c>
      <c r="DZ699" s="35" t="s">
        <v>151</v>
      </c>
      <c r="EA699" s="35" t="s">
        <v>151</v>
      </c>
      <c r="EB699" s="34">
        <v>682</v>
      </c>
      <c r="EC699" s="33">
        <v>10</v>
      </c>
      <c r="ED699" s="32">
        <v>1.49</v>
      </c>
      <c r="EE699" s="34" t="s">
        <v>151</v>
      </c>
      <c r="EF699" s="33" t="s">
        <v>151</v>
      </c>
      <c r="EG699" s="32" t="s">
        <v>151</v>
      </c>
      <c r="EH699" s="29" t="s">
        <v>198</v>
      </c>
      <c r="EI699" s="30" t="s">
        <v>151</v>
      </c>
      <c r="EJ699" s="30" t="s">
        <v>151</v>
      </c>
      <c r="EK699" s="31" t="s">
        <v>151</v>
      </c>
      <c r="EL699" s="31" t="s">
        <v>151</v>
      </c>
      <c r="EM699" s="31" t="s">
        <v>151</v>
      </c>
      <c r="EN699" s="31" t="s">
        <v>151</v>
      </c>
      <c r="EO699" s="31" t="s">
        <v>151</v>
      </c>
      <c r="EP699" s="30" t="s">
        <v>151</v>
      </c>
      <c r="EQ699" s="29" t="s">
        <v>151</v>
      </c>
      <c r="ER699" s="29" t="s">
        <v>151</v>
      </c>
      <c r="ES699" s="4">
        <f>HYPERLINK("https://my.pitchbook.com?c=490129-21","View Company Online")</f>
      </c>
    </row>
    <row r="700">
      <c r="A700" s="17" t="s">
        <v>14364</v>
      </c>
      <c r="B700" s="17" t="s">
        <v>14365</v>
      </c>
      <c r="C700" s="18" t="s">
        <v>151</v>
      </c>
      <c r="D700" s="17" t="s">
        <v>14366</v>
      </c>
      <c r="E700" s="17" t="s">
        <v>151</v>
      </c>
      <c r="F700" s="17" t="s">
        <v>14367</v>
      </c>
      <c r="G700" s="17" t="s">
        <v>151</v>
      </c>
      <c r="H700" s="17" t="s">
        <v>151</v>
      </c>
      <c r="I700" s="17" t="s">
        <v>14368</v>
      </c>
      <c r="J700" s="17" t="s">
        <v>14364</v>
      </c>
      <c r="K700" s="17" t="s">
        <v>14369</v>
      </c>
      <c r="L700" s="17" t="s">
        <v>616</v>
      </c>
      <c r="M700" s="17" t="s">
        <v>834</v>
      </c>
      <c r="N700" s="17" t="s">
        <v>835</v>
      </c>
      <c r="O700" s="17" t="s">
        <v>14370</v>
      </c>
      <c r="P700" s="17" t="s">
        <v>304</v>
      </c>
      <c r="Q700" s="17" t="s">
        <v>14371</v>
      </c>
      <c r="R700" s="17" t="s">
        <v>151</v>
      </c>
      <c r="S700" s="17" t="s">
        <v>162</v>
      </c>
      <c r="T700" s="24">
        <v>66.53</v>
      </c>
      <c r="U700" s="17" t="s">
        <v>163</v>
      </c>
      <c r="V700" s="17" t="s">
        <v>164</v>
      </c>
      <c r="W700" s="17" t="s">
        <v>165</v>
      </c>
      <c r="X700" s="15" t="s">
        <v>14372</v>
      </c>
      <c r="Y700" s="15" t="s">
        <v>14373</v>
      </c>
      <c r="Z700" s="27">
        <v>44</v>
      </c>
      <c r="AA700" s="17" t="s">
        <v>14374</v>
      </c>
      <c r="AB700" s="17" t="s">
        <v>151</v>
      </c>
      <c r="AC700" s="17" t="s">
        <v>151</v>
      </c>
      <c r="AD700" s="26">
        <v>2022</v>
      </c>
      <c r="AE700" s="17" t="s">
        <v>151</v>
      </c>
      <c r="AF700" s="22">
        <v>45608</v>
      </c>
      <c r="AG700" s="17" t="s">
        <v>151</v>
      </c>
      <c r="AH700" s="17" t="s">
        <v>151</v>
      </c>
      <c r="AI700" s="25" t="s">
        <v>151</v>
      </c>
      <c r="AJ700" s="19" t="s">
        <v>151</v>
      </c>
      <c r="AK700" s="25" t="s">
        <v>151</v>
      </c>
      <c r="AL700" s="25" t="s">
        <v>151</v>
      </c>
      <c r="AM700" s="25" t="s">
        <v>151</v>
      </c>
      <c r="AN700" s="25" t="s">
        <v>151</v>
      </c>
      <c r="AO700" s="25" t="s">
        <v>151</v>
      </c>
      <c r="AP700" s="25" t="s">
        <v>151</v>
      </c>
      <c r="AQ700" s="25" t="s">
        <v>151</v>
      </c>
      <c r="AR700" s="16" t="s">
        <v>151</v>
      </c>
      <c r="AS700" s="17" t="s">
        <v>14375</v>
      </c>
      <c r="AT700" s="17" t="s">
        <v>14376</v>
      </c>
      <c r="AU700" s="18">
        <v>23</v>
      </c>
      <c r="AV700" s="17" t="s">
        <v>151</v>
      </c>
      <c r="AW700" s="17" t="s">
        <v>151</v>
      </c>
      <c r="AX700" s="17" t="s">
        <v>151</v>
      </c>
      <c r="AY700" s="17" t="s">
        <v>14377</v>
      </c>
      <c r="AZ700" s="17" t="s">
        <v>151</v>
      </c>
      <c r="BA700" s="17" t="s">
        <v>151</v>
      </c>
      <c r="BB700" s="17" t="s">
        <v>151</v>
      </c>
      <c r="BC700" s="17" t="s">
        <v>2424</v>
      </c>
      <c r="BD700" s="17" t="s">
        <v>14378</v>
      </c>
      <c r="BE700" s="17" t="s">
        <v>14379</v>
      </c>
      <c r="BF700" s="17" t="s">
        <v>8383</v>
      </c>
      <c r="BG700" s="17" t="s">
        <v>14380</v>
      </c>
      <c r="BH700" s="17" t="s">
        <v>151</v>
      </c>
      <c r="BI700" s="17" t="s">
        <v>1409</v>
      </c>
      <c r="BJ700" s="17" t="s">
        <v>14381</v>
      </c>
      <c r="BK700" s="17" t="s">
        <v>14382</v>
      </c>
      <c r="BL700" s="17" t="s">
        <v>1412</v>
      </c>
      <c r="BM700" s="17" t="s">
        <v>823</v>
      </c>
      <c r="BN700" s="16" t="s">
        <v>4074</v>
      </c>
      <c r="BO700" s="17" t="s">
        <v>186</v>
      </c>
      <c r="BP700" s="16" t="s">
        <v>151</v>
      </c>
      <c r="BQ700" s="16" t="s">
        <v>151</v>
      </c>
      <c r="BR700" s="17" t="s">
        <v>151</v>
      </c>
      <c r="BS700" s="17" t="s">
        <v>187</v>
      </c>
      <c r="BT700" s="17" t="s">
        <v>188</v>
      </c>
      <c r="BU700" s="22">
        <v>44827</v>
      </c>
      <c r="BV700" s="24">
        <v>8.97</v>
      </c>
      <c r="BW700" s="17" t="s">
        <v>192</v>
      </c>
      <c r="BX700" s="24">
        <v>40</v>
      </c>
      <c r="BY700" s="17" t="s">
        <v>192</v>
      </c>
      <c r="BZ700" s="17" t="s">
        <v>231</v>
      </c>
      <c r="CA700" s="17" t="s">
        <v>232</v>
      </c>
      <c r="CB700" s="17" t="s">
        <v>151</v>
      </c>
      <c r="CC700" s="17" t="s">
        <v>165</v>
      </c>
      <c r="CD700" s="17" t="s">
        <v>151</v>
      </c>
      <c r="CE700" s="17" t="s">
        <v>191</v>
      </c>
      <c r="CF700" s="22">
        <v>45421</v>
      </c>
      <c r="CG700" s="24">
        <v>17.57</v>
      </c>
      <c r="CH700" s="17" t="s">
        <v>192</v>
      </c>
      <c r="CI700" s="24" t="s">
        <v>151</v>
      </c>
      <c r="CJ700" s="17" t="s">
        <v>151</v>
      </c>
      <c r="CK700" s="16" t="s">
        <v>151</v>
      </c>
      <c r="CL700" s="17" t="s">
        <v>231</v>
      </c>
      <c r="CM700" s="17" t="s">
        <v>151</v>
      </c>
      <c r="CN700" s="17" t="s">
        <v>151</v>
      </c>
      <c r="CO700" s="17" t="s">
        <v>165</v>
      </c>
      <c r="CP700" s="22">
        <v>45421</v>
      </c>
      <c r="CQ700" s="24" t="s">
        <v>151</v>
      </c>
      <c r="CR700" s="17" t="s">
        <v>151</v>
      </c>
      <c r="CS700" s="17" t="s">
        <v>191</v>
      </c>
      <c r="CT700" s="16">
        <v>99</v>
      </c>
      <c r="CU700" s="17" t="s">
        <v>196</v>
      </c>
      <c r="CV700" s="19">
        <v>93</v>
      </c>
      <c r="CW700" s="19">
        <v>7</v>
      </c>
      <c r="CX700" s="17" t="s">
        <v>294</v>
      </c>
      <c r="CY700" s="19">
        <v>14</v>
      </c>
      <c r="CZ700" s="19">
        <v>79</v>
      </c>
      <c r="DA700" s="24">
        <v>130</v>
      </c>
      <c r="DB700" s="22">
        <v>45343</v>
      </c>
      <c r="DC700" s="17" t="s">
        <v>231</v>
      </c>
      <c r="DD700" s="16">
        <v>2.25</v>
      </c>
      <c r="DE700" s="19">
        <v>4.29</v>
      </c>
      <c r="DF700" s="21">
        <v>100</v>
      </c>
      <c r="DG700" s="19">
        <v>0</v>
      </c>
      <c r="DH700" s="19">
        <v>0</v>
      </c>
      <c r="DI700" s="19">
        <v>5.3</v>
      </c>
      <c r="DJ700" s="21">
        <v>100</v>
      </c>
      <c r="DK700" s="19" t="s">
        <v>151</v>
      </c>
      <c r="DL700" s="21" t="s">
        <v>151</v>
      </c>
      <c r="DM700" s="19">
        <v>5.3</v>
      </c>
      <c r="DN700" s="21">
        <v>100</v>
      </c>
      <c r="DO700" s="23">
        <v>54.43</v>
      </c>
      <c r="DP700" s="21">
        <v>98</v>
      </c>
      <c r="DQ700" s="23">
        <v>0</v>
      </c>
      <c r="DR700" s="19">
        <v>0</v>
      </c>
      <c r="DS700" s="23">
        <v>105.47</v>
      </c>
      <c r="DT700" s="21">
        <v>99</v>
      </c>
      <c r="DU700" s="23" t="s">
        <v>151</v>
      </c>
      <c r="DV700" s="21" t="s">
        <v>151</v>
      </c>
      <c r="DW700" s="23">
        <v>105.47</v>
      </c>
      <c r="DX700" s="21">
        <v>99</v>
      </c>
      <c r="DY700" s="18" t="s">
        <v>151</v>
      </c>
      <c r="DZ700" s="22" t="s">
        <v>151</v>
      </c>
      <c r="EA700" s="22" t="s">
        <v>151</v>
      </c>
      <c r="EB700" s="21">
        <v>523017</v>
      </c>
      <c r="EC700" s="20">
        <v>5103</v>
      </c>
      <c r="ED700" s="19">
        <v>0.99</v>
      </c>
      <c r="EE700" s="21">
        <v>2004</v>
      </c>
      <c r="EF700" s="20">
        <v>47</v>
      </c>
      <c r="EG700" s="19">
        <v>2.4</v>
      </c>
      <c r="EH700" s="16" t="s">
        <v>198</v>
      </c>
      <c r="EI700" s="17" t="s">
        <v>151</v>
      </c>
      <c r="EJ700" s="17" t="s">
        <v>151</v>
      </c>
      <c r="EK700" s="18" t="s">
        <v>151</v>
      </c>
      <c r="EL700" s="18" t="s">
        <v>151</v>
      </c>
      <c r="EM700" s="18" t="s">
        <v>151</v>
      </c>
      <c r="EN700" s="18" t="s">
        <v>151</v>
      </c>
      <c r="EO700" s="18" t="s">
        <v>151</v>
      </c>
      <c r="EP700" s="17" t="s">
        <v>151</v>
      </c>
      <c r="EQ700" s="16" t="s">
        <v>151</v>
      </c>
      <c r="ER700" s="16" t="s">
        <v>151</v>
      </c>
      <c r="ES700" s="3">
        <f>HYPERLINK("https://my.pitchbook.com?c=509403-70","View Company Online")</f>
      </c>
    </row>
    <row r="701">
      <c r="A701" s="30" t="s">
        <v>14383</v>
      </c>
      <c r="B701" s="30" t="s">
        <v>14384</v>
      </c>
      <c r="C701" s="31" t="s">
        <v>151</v>
      </c>
      <c r="D701" s="30" t="s">
        <v>151</v>
      </c>
      <c r="E701" s="30" t="s">
        <v>151</v>
      </c>
      <c r="F701" s="30" t="s">
        <v>14385</v>
      </c>
      <c r="G701" s="30" t="s">
        <v>151</v>
      </c>
      <c r="H701" s="30" t="s">
        <v>151</v>
      </c>
      <c r="I701" s="30" t="s">
        <v>14386</v>
      </c>
      <c r="J701" s="30" t="s">
        <v>14383</v>
      </c>
      <c r="K701" s="30" t="s">
        <v>14387</v>
      </c>
      <c r="L701" s="30" t="s">
        <v>205</v>
      </c>
      <c r="M701" s="30" t="s">
        <v>206</v>
      </c>
      <c r="N701" s="30" t="s">
        <v>1940</v>
      </c>
      <c r="O701" s="30" t="s">
        <v>14388</v>
      </c>
      <c r="P701" s="30" t="s">
        <v>14389</v>
      </c>
      <c r="Q701" s="30" t="s">
        <v>14390</v>
      </c>
      <c r="R701" s="30" t="s">
        <v>151</v>
      </c>
      <c r="S701" s="30" t="s">
        <v>162</v>
      </c>
      <c r="T701" s="37">
        <v>1.8</v>
      </c>
      <c r="U701" s="30" t="s">
        <v>163</v>
      </c>
      <c r="V701" s="30" t="s">
        <v>164</v>
      </c>
      <c r="W701" s="30" t="s">
        <v>165</v>
      </c>
      <c r="X701" s="28" t="s">
        <v>14391</v>
      </c>
      <c r="Y701" s="28" t="s">
        <v>14392</v>
      </c>
      <c r="Z701" s="40">
        <v>6</v>
      </c>
      <c r="AA701" s="30" t="s">
        <v>14393</v>
      </c>
      <c r="AB701" s="30" t="s">
        <v>151</v>
      </c>
      <c r="AC701" s="30" t="s">
        <v>151</v>
      </c>
      <c r="AD701" s="39">
        <v>2019</v>
      </c>
      <c r="AE701" s="30" t="s">
        <v>151</v>
      </c>
      <c r="AF701" s="35">
        <v>45539</v>
      </c>
      <c r="AG701" s="30" t="s">
        <v>151</v>
      </c>
      <c r="AH701" s="30" t="s">
        <v>151</v>
      </c>
      <c r="AI701" s="38" t="s">
        <v>151</v>
      </c>
      <c r="AJ701" s="32" t="s">
        <v>151</v>
      </c>
      <c r="AK701" s="38" t="s">
        <v>151</v>
      </c>
      <c r="AL701" s="38" t="s">
        <v>151</v>
      </c>
      <c r="AM701" s="38" t="s">
        <v>151</v>
      </c>
      <c r="AN701" s="38" t="s">
        <v>151</v>
      </c>
      <c r="AO701" s="38" t="s">
        <v>151</v>
      </c>
      <c r="AP701" s="38" t="s">
        <v>151</v>
      </c>
      <c r="AQ701" s="38" t="s">
        <v>151</v>
      </c>
      <c r="AR701" s="29" t="s">
        <v>151</v>
      </c>
      <c r="AS701" s="30" t="s">
        <v>14394</v>
      </c>
      <c r="AT701" s="30" t="s">
        <v>14395</v>
      </c>
      <c r="AU701" s="31">
        <v>12</v>
      </c>
      <c r="AV701" s="30" t="s">
        <v>151</v>
      </c>
      <c r="AW701" s="30" t="s">
        <v>151</v>
      </c>
      <c r="AX701" s="30" t="s">
        <v>151</v>
      </c>
      <c r="AY701" s="30" t="s">
        <v>14396</v>
      </c>
      <c r="AZ701" s="30" t="s">
        <v>151</v>
      </c>
      <c r="BA701" s="30" t="s">
        <v>151</v>
      </c>
      <c r="BB701" s="30" t="s">
        <v>151</v>
      </c>
      <c r="BC701" s="30" t="s">
        <v>151</v>
      </c>
      <c r="BD701" s="30" t="s">
        <v>14397</v>
      </c>
      <c r="BE701" s="30" t="s">
        <v>14398</v>
      </c>
      <c r="BF701" s="30" t="s">
        <v>430</v>
      </c>
      <c r="BG701" s="30" t="s">
        <v>14399</v>
      </c>
      <c r="BH701" s="30" t="s">
        <v>14400</v>
      </c>
      <c r="BI701" s="30" t="s">
        <v>14401</v>
      </c>
      <c r="BJ701" s="30" t="s">
        <v>14402</v>
      </c>
      <c r="BK701" s="30" t="s">
        <v>151</v>
      </c>
      <c r="BL701" s="30" t="s">
        <v>14403</v>
      </c>
      <c r="BM701" s="30" t="s">
        <v>184</v>
      </c>
      <c r="BN701" s="29" t="s">
        <v>14404</v>
      </c>
      <c r="BO701" s="30" t="s">
        <v>186</v>
      </c>
      <c r="BP701" s="29" t="s">
        <v>151</v>
      </c>
      <c r="BQ701" s="29" t="s">
        <v>151</v>
      </c>
      <c r="BR701" s="30" t="s">
        <v>14405</v>
      </c>
      <c r="BS701" s="30" t="s">
        <v>187</v>
      </c>
      <c r="BT701" s="30" t="s">
        <v>188</v>
      </c>
      <c r="BU701" s="35">
        <v>44987</v>
      </c>
      <c r="BV701" s="37">
        <v>1.8</v>
      </c>
      <c r="BW701" s="30" t="s">
        <v>192</v>
      </c>
      <c r="BX701" s="37">
        <v>10</v>
      </c>
      <c r="BY701" s="30" t="s">
        <v>192</v>
      </c>
      <c r="BZ701" s="30" t="s">
        <v>293</v>
      </c>
      <c r="CA701" s="30" t="s">
        <v>293</v>
      </c>
      <c r="CB701" s="30" t="s">
        <v>151</v>
      </c>
      <c r="CC701" s="30" t="s">
        <v>165</v>
      </c>
      <c r="CD701" s="30" t="s">
        <v>151</v>
      </c>
      <c r="CE701" s="30" t="s">
        <v>191</v>
      </c>
      <c r="CF701" s="35">
        <v>44987</v>
      </c>
      <c r="CG701" s="37">
        <v>1.8</v>
      </c>
      <c r="CH701" s="30" t="s">
        <v>192</v>
      </c>
      <c r="CI701" s="37">
        <v>10</v>
      </c>
      <c r="CJ701" s="30" t="s">
        <v>192</v>
      </c>
      <c r="CK701" s="29" t="s">
        <v>151</v>
      </c>
      <c r="CL701" s="30" t="s">
        <v>293</v>
      </c>
      <c r="CM701" s="30" t="s">
        <v>293</v>
      </c>
      <c r="CN701" s="30" t="s">
        <v>151</v>
      </c>
      <c r="CO701" s="30" t="s">
        <v>165</v>
      </c>
      <c r="CP701" s="35">
        <v>44987</v>
      </c>
      <c r="CQ701" s="37" t="s">
        <v>151</v>
      </c>
      <c r="CR701" s="30" t="s">
        <v>151</v>
      </c>
      <c r="CS701" s="30" t="s">
        <v>191</v>
      </c>
      <c r="CT701" s="29" t="s">
        <v>151</v>
      </c>
      <c r="CU701" s="30" t="s">
        <v>151</v>
      </c>
      <c r="CV701" s="32" t="s">
        <v>151</v>
      </c>
      <c r="CW701" s="32" t="s">
        <v>151</v>
      </c>
      <c r="CX701" s="30" t="s">
        <v>151</v>
      </c>
      <c r="CY701" s="32" t="s">
        <v>151</v>
      </c>
      <c r="CZ701" s="32" t="s">
        <v>151</v>
      </c>
      <c r="DA701" s="37">
        <v>10</v>
      </c>
      <c r="DB701" s="35">
        <v>44987</v>
      </c>
      <c r="DC701" s="30" t="s">
        <v>293</v>
      </c>
      <c r="DD701" s="29" t="s">
        <v>151</v>
      </c>
      <c r="DE701" s="32">
        <v>-0.9</v>
      </c>
      <c r="DF701" s="34">
        <v>5</v>
      </c>
      <c r="DG701" s="32">
        <v>0</v>
      </c>
      <c r="DH701" s="32">
        <v>0</v>
      </c>
      <c r="DI701" s="32">
        <v>-0.01</v>
      </c>
      <c r="DJ701" s="34">
        <v>10</v>
      </c>
      <c r="DK701" s="32">
        <v>-0.02</v>
      </c>
      <c r="DL701" s="34">
        <v>11</v>
      </c>
      <c r="DM701" s="32">
        <v>0.01</v>
      </c>
      <c r="DN701" s="34">
        <v>92</v>
      </c>
      <c r="DO701" s="36">
        <v>2.37</v>
      </c>
      <c r="DP701" s="34">
        <v>70</v>
      </c>
      <c r="DQ701" s="36">
        <v>0</v>
      </c>
      <c r="DR701" s="32">
        <v>0</v>
      </c>
      <c r="DS701" s="36">
        <v>4.27</v>
      </c>
      <c r="DT701" s="34">
        <v>80</v>
      </c>
      <c r="DU701" s="36">
        <v>1.22</v>
      </c>
      <c r="DV701" s="34">
        <v>60</v>
      </c>
      <c r="DW701" s="36">
        <v>7.32</v>
      </c>
      <c r="DX701" s="34">
        <v>86</v>
      </c>
      <c r="DY701" s="31" t="s">
        <v>151</v>
      </c>
      <c r="DZ701" s="35" t="s">
        <v>151</v>
      </c>
      <c r="EA701" s="35" t="s">
        <v>151</v>
      </c>
      <c r="EB701" s="34">
        <v>252</v>
      </c>
      <c r="EC701" s="33">
        <v>2</v>
      </c>
      <c r="ED701" s="32">
        <v>0.8</v>
      </c>
      <c r="EE701" s="34">
        <v>139</v>
      </c>
      <c r="EF701" s="33">
        <v>0</v>
      </c>
      <c r="EG701" s="32">
        <v>0</v>
      </c>
      <c r="EH701" s="29" t="s">
        <v>198</v>
      </c>
      <c r="EI701" s="30" t="s">
        <v>151</v>
      </c>
      <c r="EJ701" s="30" t="s">
        <v>151</v>
      </c>
      <c r="EK701" s="31" t="s">
        <v>151</v>
      </c>
      <c r="EL701" s="31" t="s">
        <v>151</v>
      </c>
      <c r="EM701" s="31" t="s">
        <v>151</v>
      </c>
      <c r="EN701" s="31" t="s">
        <v>151</v>
      </c>
      <c r="EO701" s="31" t="s">
        <v>151</v>
      </c>
      <c r="EP701" s="30" t="s">
        <v>151</v>
      </c>
      <c r="EQ701" s="29" t="s">
        <v>151</v>
      </c>
      <c r="ER701" s="29" t="s">
        <v>151</v>
      </c>
      <c r="ES701" s="4">
        <f>HYPERLINK("https://my.pitchbook.com?c=466792-84","View Company Online")</f>
      </c>
    </row>
    <row r="702">
      <c r="A702" s="17" t="s">
        <v>14406</v>
      </c>
      <c r="B702" s="17" t="s">
        <v>14407</v>
      </c>
      <c r="C702" s="18" t="s">
        <v>151</v>
      </c>
      <c r="D702" s="17" t="s">
        <v>151</v>
      </c>
      <c r="E702" s="17" t="s">
        <v>14408</v>
      </c>
      <c r="F702" s="17" t="s">
        <v>14409</v>
      </c>
      <c r="G702" s="17" t="s">
        <v>151</v>
      </c>
      <c r="H702" s="17" t="s">
        <v>151</v>
      </c>
      <c r="I702" s="17" t="s">
        <v>14410</v>
      </c>
      <c r="J702" s="17" t="s">
        <v>14406</v>
      </c>
      <c r="K702" s="17" t="s">
        <v>14411</v>
      </c>
      <c r="L702" s="17" t="s">
        <v>205</v>
      </c>
      <c r="M702" s="17" t="s">
        <v>206</v>
      </c>
      <c r="N702" s="17" t="s">
        <v>1268</v>
      </c>
      <c r="O702" s="17" t="s">
        <v>2129</v>
      </c>
      <c r="P702" s="17" t="s">
        <v>14412</v>
      </c>
      <c r="Q702" s="17" t="s">
        <v>14413</v>
      </c>
      <c r="R702" s="17" t="s">
        <v>151</v>
      </c>
      <c r="S702" s="17" t="s">
        <v>162</v>
      </c>
      <c r="T702" s="24">
        <v>2.14</v>
      </c>
      <c r="U702" s="17" t="s">
        <v>4045</v>
      </c>
      <c r="V702" s="17" t="s">
        <v>164</v>
      </c>
      <c r="W702" s="17" t="s">
        <v>165</v>
      </c>
      <c r="X702" s="15" t="s">
        <v>14414</v>
      </c>
      <c r="Y702" s="15" t="s">
        <v>14415</v>
      </c>
      <c r="Z702" s="27">
        <v>10</v>
      </c>
      <c r="AA702" s="17" t="s">
        <v>14416</v>
      </c>
      <c r="AB702" s="17" t="s">
        <v>151</v>
      </c>
      <c r="AC702" s="17" t="s">
        <v>151</v>
      </c>
      <c r="AD702" s="26">
        <v>2020</v>
      </c>
      <c r="AE702" s="17" t="s">
        <v>151</v>
      </c>
      <c r="AF702" s="22">
        <v>45400</v>
      </c>
      <c r="AG702" s="17" t="s">
        <v>151</v>
      </c>
      <c r="AH702" s="17" t="s">
        <v>151</v>
      </c>
      <c r="AI702" s="25" t="s">
        <v>151</v>
      </c>
      <c r="AJ702" s="19" t="s">
        <v>151</v>
      </c>
      <c r="AK702" s="25" t="s">
        <v>151</v>
      </c>
      <c r="AL702" s="25" t="s">
        <v>151</v>
      </c>
      <c r="AM702" s="25" t="s">
        <v>151</v>
      </c>
      <c r="AN702" s="25" t="s">
        <v>151</v>
      </c>
      <c r="AO702" s="25" t="s">
        <v>151</v>
      </c>
      <c r="AP702" s="25" t="s">
        <v>151</v>
      </c>
      <c r="AQ702" s="25" t="s">
        <v>151</v>
      </c>
      <c r="AR702" s="16" t="s">
        <v>151</v>
      </c>
      <c r="AS702" s="17" t="s">
        <v>14417</v>
      </c>
      <c r="AT702" s="17" t="s">
        <v>14418</v>
      </c>
      <c r="AU702" s="18">
        <v>11</v>
      </c>
      <c r="AV702" s="17" t="s">
        <v>151</v>
      </c>
      <c r="AW702" s="17" t="s">
        <v>151</v>
      </c>
      <c r="AX702" s="17" t="s">
        <v>151</v>
      </c>
      <c r="AY702" s="17" t="s">
        <v>14419</v>
      </c>
      <c r="AZ702" s="17" t="s">
        <v>151</v>
      </c>
      <c r="BA702" s="17" t="s">
        <v>151</v>
      </c>
      <c r="BB702" s="17" t="s">
        <v>151</v>
      </c>
      <c r="BC702" s="17" t="s">
        <v>1214</v>
      </c>
      <c r="BD702" s="17" t="s">
        <v>14420</v>
      </c>
      <c r="BE702" s="17" t="s">
        <v>14421</v>
      </c>
      <c r="BF702" s="17" t="s">
        <v>403</v>
      </c>
      <c r="BG702" s="17" t="s">
        <v>14422</v>
      </c>
      <c r="BH702" s="17" t="s">
        <v>14423</v>
      </c>
      <c r="BI702" s="17" t="s">
        <v>10468</v>
      </c>
      <c r="BJ702" s="17" t="s">
        <v>14424</v>
      </c>
      <c r="BK702" s="17" t="s">
        <v>151</v>
      </c>
      <c r="BL702" s="17" t="s">
        <v>10470</v>
      </c>
      <c r="BM702" s="17" t="s">
        <v>9081</v>
      </c>
      <c r="BN702" s="16" t="s">
        <v>14425</v>
      </c>
      <c r="BO702" s="17" t="s">
        <v>186</v>
      </c>
      <c r="BP702" s="16" t="s">
        <v>151</v>
      </c>
      <c r="BQ702" s="16" t="s">
        <v>151</v>
      </c>
      <c r="BR702" s="17" t="s">
        <v>14426</v>
      </c>
      <c r="BS702" s="17" t="s">
        <v>187</v>
      </c>
      <c r="BT702" s="17" t="s">
        <v>188</v>
      </c>
      <c r="BU702" s="22">
        <v>44621</v>
      </c>
      <c r="BV702" s="24">
        <v>2</v>
      </c>
      <c r="BW702" s="17" t="s">
        <v>192</v>
      </c>
      <c r="BX702" s="24" t="s">
        <v>151</v>
      </c>
      <c r="BY702" s="17" t="s">
        <v>151</v>
      </c>
      <c r="BZ702" s="17" t="s">
        <v>293</v>
      </c>
      <c r="CA702" s="17" t="s">
        <v>293</v>
      </c>
      <c r="CB702" s="17" t="s">
        <v>151</v>
      </c>
      <c r="CC702" s="17" t="s">
        <v>165</v>
      </c>
      <c r="CD702" s="17" t="s">
        <v>151</v>
      </c>
      <c r="CE702" s="17" t="s">
        <v>191</v>
      </c>
      <c r="CF702" s="22" t="s">
        <v>151</v>
      </c>
      <c r="CG702" s="24" t="s">
        <v>151</v>
      </c>
      <c r="CH702" s="17" t="s">
        <v>151</v>
      </c>
      <c r="CI702" s="24" t="s">
        <v>151</v>
      </c>
      <c r="CJ702" s="17" t="s">
        <v>151</v>
      </c>
      <c r="CK702" s="16" t="s">
        <v>151</v>
      </c>
      <c r="CL702" s="17" t="s">
        <v>231</v>
      </c>
      <c r="CM702" s="17" t="s">
        <v>151</v>
      </c>
      <c r="CN702" s="17" t="s">
        <v>151</v>
      </c>
      <c r="CO702" s="17" t="s">
        <v>165</v>
      </c>
      <c r="CP702" s="22" t="s">
        <v>151</v>
      </c>
      <c r="CQ702" s="24" t="s">
        <v>151</v>
      </c>
      <c r="CR702" s="17" t="s">
        <v>151</v>
      </c>
      <c r="CS702" s="17" t="s">
        <v>1887</v>
      </c>
      <c r="CT702" s="16" t="s">
        <v>151</v>
      </c>
      <c r="CU702" s="17" t="s">
        <v>151</v>
      </c>
      <c r="CV702" s="19" t="s">
        <v>151</v>
      </c>
      <c r="CW702" s="19" t="s">
        <v>151</v>
      </c>
      <c r="CX702" s="17" t="s">
        <v>151</v>
      </c>
      <c r="CY702" s="19" t="s">
        <v>151</v>
      </c>
      <c r="CZ702" s="19" t="s">
        <v>151</v>
      </c>
      <c r="DA702" s="24">
        <v>18.64</v>
      </c>
      <c r="DB702" s="22">
        <v>44764</v>
      </c>
      <c r="DC702" s="17" t="s">
        <v>1363</v>
      </c>
      <c r="DD702" s="16" t="s">
        <v>151</v>
      </c>
      <c r="DE702" s="19">
        <v>0</v>
      </c>
      <c r="DF702" s="21">
        <v>11</v>
      </c>
      <c r="DG702" s="19">
        <v>0</v>
      </c>
      <c r="DH702" s="19">
        <v>0</v>
      </c>
      <c r="DI702" s="19">
        <v>0</v>
      </c>
      <c r="DJ702" s="21">
        <v>10</v>
      </c>
      <c r="DK702" s="19" t="s">
        <v>151</v>
      </c>
      <c r="DL702" s="21" t="s">
        <v>151</v>
      </c>
      <c r="DM702" s="19">
        <v>0</v>
      </c>
      <c r="DN702" s="21">
        <v>10</v>
      </c>
      <c r="DO702" s="23">
        <v>1.42</v>
      </c>
      <c r="DP702" s="21">
        <v>58</v>
      </c>
      <c r="DQ702" s="23">
        <v>0</v>
      </c>
      <c r="DR702" s="19">
        <v>0</v>
      </c>
      <c r="DS702" s="23">
        <v>1.42</v>
      </c>
      <c r="DT702" s="21">
        <v>58</v>
      </c>
      <c r="DU702" s="23" t="s">
        <v>151</v>
      </c>
      <c r="DV702" s="21" t="s">
        <v>151</v>
      </c>
      <c r="DW702" s="23">
        <v>1.42</v>
      </c>
      <c r="DX702" s="21">
        <v>57</v>
      </c>
      <c r="DY702" s="18" t="s">
        <v>151</v>
      </c>
      <c r="DZ702" s="22" t="s">
        <v>151</v>
      </c>
      <c r="EA702" s="22" t="s">
        <v>151</v>
      </c>
      <c r="EB702" s="21">
        <v>0</v>
      </c>
      <c r="EC702" s="20">
        <v>0</v>
      </c>
      <c r="ED702" s="19">
        <v>0</v>
      </c>
      <c r="EE702" s="21">
        <v>27</v>
      </c>
      <c r="EF702" s="20">
        <v>0</v>
      </c>
      <c r="EG702" s="19">
        <v>0</v>
      </c>
      <c r="EH702" s="16" t="s">
        <v>198</v>
      </c>
      <c r="EI702" s="17" t="s">
        <v>151</v>
      </c>
      <c r="EJ702" s="17" t="s">
        <v>151</v>
      </c>
      <c r="EK702" s="18" t="s">
        <v>151</v>
      </c>
      <c r="EL702" s="18" t="s">
        <v>151</v>
      </c>
      <c r="EM702" s="18" t="s">
        <v>151</v>
      </c>
      <c r="EN702" s="18" t="s">
        <v>151</v>
      </c>
      <c r="EO702" s="18" t="s">
        <v>151</v>
      </c>
      <c r="EP702" s="17" t="s">
        <v>151</v>
      </c>
      <c r="EQ702" s="16" t="s">
        <v>151</v>
      </c>
      <c r="ER702" s="16" t="s">
        <v>151</v>
      </c>
      <c r="ES702" s="3">
        <f>HYPERLINK("https://my.pitchbook.com?c=494433-82","View Company Online")</f>
      </c>
    </row>
    <row r="703">
      <c r="A703" s="30" t="s">
        <v>14427</v>
      </c>
      <c r="B703" s="30" t="s">
        <v>14428</v>
      </c>
      <c r="C703" s="31" t="s">
        <v>151</v>
      </c>
      <c r="D703" s="30" t="s">
        <v>151</v>
      </c>
      <c r="E703" s="30" t="s">
        <v>14429</v>
      </c>
      <c r="F703" s="30" t="s">
        <v>14430</v>
      </c>
      <c r="G703" s="30" t="s">
        <v>151</v>
      </c>
      <c r="H703" s="30" t="s">
        <v>151</v>
      </c>
      <c r="I703" s="30" t="s">
        <v>151</v>
      </c>
      <c r="J703" s="30" t="s">
        <v>14427</v>
      </c>
      <c r="K703" s="30" t="s">
        <v>14431</v>
      </c>
      <c r="L703" s="30" t="s">
        <v>205</v>
      </c>
      <c r="M703" s="30" t="s">
        <v>206</v>
      </c>
      <c r="N703" s="30" t="s">
        <v>269</v>
      </c>
      <c r="O703" s="30" t="s">
        <v>1746</v>
      </c>
      <c r="P703" s="30" t="s">
        <v>1421</v>
      </c>
      <c r="Q703" s="30" t="s">
        <v>14432</v>
      </c>
      <c r="R703" s="30" t="s">
        <v>151</v>
      </c>
      <c r="S703" s="30" t="s">
        <v>162</v>
      </c>
      <c r="T703" s="37">
        <v>0.16</v>
      </c>
      <c r="U703" s="30" t="s">
        <v>163</v>
      </c>
      <c r="V703" s="30" t="s">
        <v>164</v>
      </c>
      <c r="W703" s="30" t="s">
        <v>165</v>
      </c>
      <c r="X703" s="28" t="s">
        <v>14433</v>
      </c>
      <c r="Y703" s="28" t="s">
        <v>14434</v>
      </c>
      <c r="Z703" s="40">
        <v>2</v>
      </c>
      <c r="AA703" s="30" t="s">
        <v>14435</v>
      </c>
      <c r="AB703" s="30" t="s">
        <v>151</v>
      </c>
      <c r="AC703" s="30" t="s">
        <v>151</v>
      </c>
      <c r="AD703" s="39">
        <v>2020</v>
      </c>
      <c r="AE703" s="30" t="s">
        <v>151</v>
      </c>
      <c r="AF703" s="35">
        <v>45469</v>
      </c>
      <c r="AG703" s="30" t="s">
        <v>151</v>
      </c>
      <c r="AH703" s="30" t="s">
        <v>151</v>
      </c>
      <c r="AI703" s="38" t="s">
        <v>151</v>
      </c>
      <c r="AJ703" s="32" t="s">
        <v>151</v>
      </c>
      <c r="AK703" s="38" t="s">
        <v>151</v>
      </c>
      <c r="AL703" s="38">
        <v>-0.02</v>
      </c>
      <c r="AM703" s="38" t="s">
        <v>151</v>
      </c>
      <c r="AN703" s="38" t="s">
        <v>151</v>
      </c>
      <c r="AO703" s="38" t="s">
        <v>151</v>
      </c>
      <c r="AP703" s="38" t="s">
        <v>151</v>
      </c>
      <c r="AQ703" s="38" t="s">
        <v>151</v>
      </c>
      <c r="AR703" s="29" t="s">
        <v>3435</v>
      </c>
      <c r="AS703" s="30" t="s">
        <v>14436</v>
      </c>
      <c r="AT703" s="30" t="s">
        <v>14437</v>
      </c>
      <c r="AU703" s="31">
        <v>7</v>
      </c>
      <c r="AV703" s="30" t="s">
        <v>151</v>
      </c>
      <c r="AW703" s="30" t="s">
        <v>151</v>
      </c>
      <c r="AX703" s="30" t="s">
        <v>151</v>
      </c>
      <c r="AY703" s="30" t="s">
        <v>14438</v>
      </c>
      <c r="AZ703" s="30" t="s">
        <v>151</v>
      </c>
      <c r="BA703" s="30" t="s">
        <v>151</v>
      </c>
      <c r="BB703" s="30" t="s">
        <v>151</v>
      </c>
      <c r="BC703" s="30" t="s">
        <v>2626</v>
      </c>
      <c r="BD703" s="30" t="s">
        <v>14439</v>
      </c>
      <c r="BE703" s="30" t="s">
        <v>14440</v>
      </c>
      <c r="BF703" s="30" t="s">
        <v>221</v>
      </c>
      <c r="BG703" s="30" t="s">
        <v>14441</v>
      </c>
      <c r="BH703" s="30" t="s">
        <v>3442</v>
      </c>
      <c r="BI703" s="30" t="s">
        <v>3024</v>
      </c>
      <c r="BJ703" s="30" t="s">
        <v>14442</v>
      </c>
      <c r="BK703" s="30" t="s">
        <v>14443</v>
      </c>
      <c r="BL703" s="30" t="s">
        <v>3026</v>
      </c>
      <c r="BM703" s="30" t="s">
        <v>3027</v>
      </c>
      <c r="BN703" s="29" t="s">
        <v>14444</v>
      </c>
      <c r="BO703" s="30" t="s">
        <v>186</v>
      </c>
      <c r="BP703" s="29" t="s">
        <v>3442</v>
      </c>
      <c r="BQ703" s="29" t="s">
        <v>151</v>
      </c>
      <c r="BR703" s="30" t="s">
        <v>151</v>
      </c>
      <c r="BS703" s="30" t="s">
        <v>187</v>
      </c>
      <c r="BT703" s="30" t="s">
        <v>188</v>
      </c>
      <c r="BU703" s="35">
        <v>44131</v>
      </c>
      <c r="BV703" s="37">
        <v>0.03</v>
      </c>
      <c r="BW703" s="30" t="s">
        <v>192</v>
      </c>
      <c r="BX703" s="37" t="s">
        <v>151</v>
      </c>
      <c r="BY703" s="30" t="s">
        <v>151</v>
      </c>
      <c r="BZ703" s="30" t="s">
        <v>231</v>
      </c>
      <c r="CA703" s="30" t="s">
        <v>151</v>
      </c>
      <c r="CB703" s="30" t="s">
        <v>151</v>
      </c>
      <c r="CC703" s="30" t="s">
        <v>165</v>
      </c>
      <c r="CD703" s="30" t="s">
        <v>151</v>
      </c>
      <c r="CE703" s="30" t="s">
        <v>191</v>
      </c>
      <c r="CF703" s="35">
        <v>44774</v>
      </c>
      <c r="CG703" s="37">
        <v>0.04</v>
      </c>
      <c r="CH703" s="30" t="s">
        <v>192</v>
      </c>
      <c r="CI703" s="37" t="s">
        <v>151</v>
      </c>
      <c r="CJ703" s="30" t="s">
        <v>151</v>
      </c>
      <c r="CK703" s="29" t="s">
        <v>151</v>
      </c>
      <c r="CL703" s="30" t="s">
        <v>231</v>
      </c>
      <c r="CM703" s="30" t="s">
        <v>151</v>
      </c>
      <c r="CN703" s="30" t="s">
        <v>151</v>
      </c>
      <c r="CO703" s="30" t="s">
        <v>165</v>
      </c>
      <c r="CP703" s="35">
        <v>44774</v>
      </c>
      <c r="CQ703" s="37">
        <v>0.04</v>
      </c>
      <c r="CR703" s="30" t="s">
        <v>14445</v>
      </c>
      <c r="CS703" s="30" t="s">
        <v>191</v>
      </c>
      <c r="CT703" s="29">
        <v>23</v>
      </c>
      <c r="CU703" s="30" t="s">
        <v>263</v>
      </c>
      <c r="CV703" s="32">
        <v>24</v>
      </c>
      <c r="CW703" s="32">
        <v>76</v>
      </c>
      <c r="CX703" s="30" t="s">
        <v>263</v>
      </c>
      <c r="CY703" s="32">
        <v>1</v>
      </c>
      <c r="CZ703" s="32">
        <v>23</v>
      </c>
      <c r="DA703" s="37" t="s">
        <v>151</v>
      </c>
      <c r="DB703" s="35" t="s">
        <v>151</v>
      </c>
      <c r="DC703" s="30" t="s">
        <v>151</v>
      </c>
      <c r="DD703" s="29" t="s">
        <v>151</v>
      </c>
      <c r="DE703" s="32">
        <v>0</v>
      </c>
      <c r="DF703" s="34">
        <v>11</v>
      </c>
      <c r="DG703" s="32">
        <v>0</v>
      </c>
      <c r="DH703" s="32">
        <v>0</v>
      </c>
      <c r="DI703" s="32">
        <v>0</v>
      </c>
      <c r="DJ703" s="34">
        <v>10</v>
      </c>
      <c r="DK703" s="32" t="s">
        <v>151</v>
      </c>
      <c r="DL703" s="34" t="s">
        <v>151</v>
      </c>
      <c r="DM703" s="32">
        <v>0</v>
      </c>
      <c r="DN703" s="34">
        <v>10</v>
      </c>
      <c r="DO703" s="36">
        <v>1.16</v>
      </c>
      <c r="DP703" s="34">
        <v>53</v>
      </c>
      <c r="DQ703" s="36">
        <v>0</v>
      </c>
      <c r="DR703" s="32">
        <v>0</v>
      </c>
      <c r="DS703" s="36">
        <v>2.16</v>
      </c>
      <c r="DT703" s="34">
        <v>68</v>
      </c>
      <c r="DU703" s="36" t="s">
        <v>151</v>
      </c>
      <c r="DV703" s="34" t="s">
        <v>151</v>
      </c>
      <c r="DW703" s="36">
        <v>2.16</v>
      </c>
      <c r="DX703" s="34">
        <v>67</v>
      </c>
      <c r="DY703" s="31" t="s">
        <v>151</v>
      </c>
      <c r="DZ703" s="35" t="s">
        <v>151</v>
      </c>
      <c r="EA703" s="35" t="s">
        <v>151</v>
      </c>
      <c r="EB703" s="34">
        <v>1049</v>
      </c>
      <c r="EC703" s="33">
        <v>-49</v>
      </c>
      <c r="ED703" s="32">
        <v>-4.46</v>
      </c>
      <c r="EE703" s="34">
        <v>41</v>
      </c>
      <c r="EF703" s="33">
        <v>0</v>
      </c>
      <c r="EG703" s="32">
        <v>0</v>
      </c>
      <c r="EH703" s="29" t="s">
        <v>198</v>
      </c>
      <c r="EI703" s="30" t="s">
        <v>151</v>
      </c>
      <c r="EJ703" s="30" t="s">
        <v>151</v>
      </c>
      <c r="EK703" s="31" t="s">
        <v>151</v>
      </c>
      <c r="EL703" s="31" t="s">
        <v>151</v>
      </c>
      <c r="EM703" s="31" t="s">
        <v>151</v>
      </c>
      <c r="EN703" s="31" t="s">
        <v>151</v>
      </c>
      <c r="EO703" s="31" t="s">
        <v>151</v>
      </c>
      <c r="EP703" s="30" t="s">
        <v>151</v>
      </c>
      <c r="EQ703" s="29" t="s">
        <v>151</v>
      </c>
      <c r="ER703" s="29" t="s">
        <v>151</v>
      </c>
      <c r="ES703" s="4">
        <f>HYPERLINK("https://my.pitchbook.com?c=465503-32","View Company Online")</f>
      </c>
    </row>
    <row r="704">
      <c r="A704" s="17" t="s">
        <v>14446</v>
      </c>
      <c r="B704" s="17" t="s">
        <v>14447</v>
      </c>
      <c r="C704" s="18" t="s">
        <v>151</v>
      </c>
      <c r="D704" s="17" t="s">
        <v>151</v>
      </c>
      <c r="E704" s="17" t="s">
        <v>151</v>
      </c>
      <c r="F704" s="17" t="s">
        <v>14448</v>
      </c>
      <c r="G704" s="17" t="s">
        <v>151</v>
      </c>
      <c r="H704" s="17" t="s">
        <v>151</v>
      </c>
      <c r="I704" s="17" t="s">
        <v>151</v>
      </c>
      <c r="J704" s="17" t="s">
        <v>14446</v>
      </c>
      <c r="K704" s="17" t="s">
        <v>14449</v>
      </c>
      <c r="L704" s="17" t="s">
        <v>205</v>
      </c>
      <c r="M704" s="17" t="s">
        <v>206</v>
      </c>
      <c r="N704" s="17" t="s">
        <v>269</v>
      </c>
      <c r="O704" s="17" t="s">
        <v>563</v>
      </c>
      <c r="P704" s="17" t="s">
        <v>14450</v>
      </c>
      <c r="Q704" s="17" t="s">
        <v>14451</v>
      </c>
      <c r="R704" s="17" t="s">
        <v>151</v>
      </c>
      <c r="S704" s="17" t="s">
        <v>162</v>
      </c>
      <c r="T704" s="24">
        <v>0.77</v>
      </c>
      <c r="U704" s="17" t="s">
        <v>163</v>
      </c>
      <c r="V704" s="17" t="s">
        <v>164</v>
      </c>
      <c r="W704" s="17" t="s">
        <v>165</v>
      </c>
      <c r="X704" s="15" t="s">
        <v>14452</v>
      </c>
      <c r="Y704" s="15" t="s">
        <v>14453</v>
      </c>
      <c r="Z704" s="27">
        <v>3</v>
      </c>
      <c r="AA704" s="17" t="s">
        <v>14454</v>
      </c>
      <c r="AB704" s="17" t="s">
        <v>151</v>
      </c>
      <c r="AC704" s="17" t="s">
        <v>151</v>
      </c>
      <c r="AD704" s="26">
        <v>2018</v>
      </c>
      <c r="AE704" s="17" t="s">
        <v>151</v>
      </c>
      <c r="AF704" s="22">
        <v>45469</v>
      </c>
      <c r="AG704" s="17" t="s">
        <v>151</v>
      </c>
      <c r="AH704" s="17" t="s">
        <v>151</v>
      </c>
      <c r="AI704" s="25">
        <v>0.03</v>
      </c>
      <c r="AJ704" s="19">
        <v>-57.15</v>
      </c>
      <c r="AK704" s="25" t="s">
        <v>151</v>
      </c>
      <c r="AL704" s="25">
        <v>-0.03</v>
      </c>
      <c r="AM704" s="25" t="s">
        <v>151</v>
      </c>
      <c r="AN704" s="25" t="s">
        <v>151</v>
      </c>
      <c r="AO704" s="25" t="s">
        <v>151</v>
      </c>
      <c r="AP704" s="25" t="s">
        <v>151</v>
      </c>
      <c r="AQ704" s="25" t="s">
        <v>151</v>
      </c>
      <c r="AR704" s="16" t="s">
        <v>2328</v>
      </c>
      <c r="AS704" s="17" t="s">
        <v>14455</v>
      </c>
      <c r="AT704" s="17" t="s">
        <v>14456</v>
      </c>
      <c r="AU704" s="18">
        <v>5</v>
      </c>
      <c r="AV704" s="17" t="s">
        <v>151</v>
      </c>
      <c r="AW704" s="17" t="s">
        <v>151</v>
      </c>
      <c r="AX704" s="17" t="s">
        <v>151</v>
      </c>
      <c r="AY704" s="17" t="s">
        <v>14457</v>
      </c>
      <c r="AZ704" s="17" t="s">
        <v>151</v>
      </c>
      <c r="BA704" s="17" t="s">
        <v>151</v>
      </c>
      <c r="BB704" s="17" t="s">
        <v>151</v>
      </c>
      <c r="BC704" s="17" t="s">
        <v>2626</v>
      </c>
      <c r="BD704" s="17" t="s">
        <v>14458</v>
      </c>
      <c r="BE704" s="17" t="s">
        <v>14459</v>
      </c>
      <c r="BF704" s="17" t="s">
        <v>1118</v>
      </c>
      <c r="BG704" s="17" t="s">
        <v>14460</v>
      </c>
      <c r="BH704" s="17" t="s">
        <v>14461</v>
      </c>
      <c r="BI704" s="17" t="s">
        <v>13409</v>
      </c>
      <c r="BJ704" s="17" t="s">
        <v>14462</v>
      </c>
      <c r="BK704" s="17" t="s">
        <v>14463</v>
      </c>
      <c r="BL704" s="17" t="s">
        <v>13412</v>
      </c>
      <c r="BM704" s="17" t="s">
        <v>3155</v>
      </c>
      <c r="BN704" s="16" t="s">
        <v>14464</v>
      </c>
      <c r="BO704" s="17" t="s">
        <v>186</v>
      </c>
      <c r="BP704" s="16" t="s">
        <v>14461</v>
      </c>
      <c r="BQ704" s="16" t="s">
        <v>151</v>
      </c>
      <c r="BR704" s="17" t="s">
        <v>14465</v>
      </c>
      <c r="BS704" s="17" t="s">
        <v>187</v>
      </c>
      <c r="BT704" s="17" t="s">
        <v>188</v>
      </c>
      <c r="BU704" s="22">
        <v>43328</v>
      </c>
      <c r="BV704" s="24">
        <v>0.02</v>
      </c>
      <c r="BW704" s="17" t="s">
        <v>192</v>
      </c>
      <c r="BX704" s="24" t="s">
        <v>151</v>
      </c>
      <c r="BY704" s="17" t="s">
        <v>151</v>
      </c>
      <c r="BZ704" s="17" t="s">
        <v>189</v>
      </c>
      <c r="CA704" s="17" t="s">
        <v>151</v>
      </c>
      <c r="CB704" s="17" t="s">
        <v>151</v>
      </c>
      <c r="CC704" s="17" t="s">
        <v>190</v>
      </c>
      <c r="CD704" s="17" t="s">
        <v>151</v>
      </c>
      <c r="CE704" s="17" t="s">
        <v>191</v>
      </c>
      <c r="CF704" s="22">
        <v>44272</v>
      </c>
      <c r="CG704" s="24">
        <v>0.5</v>
      </c>
      <c r="CH704" s="17" t="s">
        <v>192</v>
      </c>
      <c r="CI704" s="24" t="s">
        <v>151</v>
      </c>
      <c r="CJ704" s="17" t="s">
        <v>151</v>
      </c>
      <c r="CK704" s="16" t="s">
        <v>151</v>
      </c>
      <c r="CL704" s="17" t="s">
        <v>293</v>
      </c>
      <c r="CM704" s="17" t="s">
        <v>293</v>
      </c>
      <c r="CN704" s="17" t="s">
        <v>151</v>
      </c>
      <c r="CO704" s="17" t="s">
        <v>165</v>
      </c>
      <c r="CP704" s="22">
        <v>44272</v>
      </c>
      <c r="CQ704" s="24" t="s">
        <v>151</v>
      </c>
      <c r="CR704" s="17" t="s">
        <v>151</v>
      </c>
      <c r="CS704" s="17" t="s">
        <v>191</v>
      </c>
      <c r="CT704" s="16">
        <v>8</v>
      </c>
      <c r="CU704" s="17" t="s">
        <v>263</v>
      </c>
      <c r="CV704" s="19">
        <v>8</v>
      </c>
      <c r="CW704" s="19">
        <v>92</v>
      </c>
      <c r="CX704" s="17" t="s">
        <v>263</v>
      </c>
      <c r="CY704" s="19">
        <v>1</v>
      </c>
      <c r="CZ704" s="19">
        <v>7</v>
      </c>
      <c r="DA704" s="24" t="s">
        <v>151</v>
      </c>
      <c r="DB704" s="22" t="s">
        <v>151</v>
      </c>
      <c r="DC704" s="17" t="s">
        <v>151</v>
      </c>
      <c r="DD704" s="16" t="s">
        <v>151</v>
      </c>
      <c r="DE704" s="19">
        <v>-0.41</v>
      </c>
      <c r="DF704" s="21">
        <v>8</v>
      </c>
      <c r="DG704" s="19">
        <v>0</v>
      </c>
      <c r="DH704" s="19">
        <v>0</v>
      </c>
      <c r="DI704" s="19">
        <v>2.31</v>
      </c>
      <c r="DJ704" s="21">
        <v>99</v>
      </c>
      <c r="DK704" s="19" t="s">
        <v>151</v>
      </c>
      <c r="DL704" s="21" t="s">
        <v>151</v>
      </c>
      <c r="DM704" s="19">
        <v>2.31</v>
      </c>
      <c r="DN704" s="21">
        <v>99</v>
      </c>
      <c r="DO704" s="23">
        <v>6.9</v>
      </c>
      <c r="DP704" s="21">
        <v>86</v>
      </c>
      <c r="DQ704" s="23">
        <v>0</v>
      </c>
      <c r="DR704" s="19">
        <v>0</v>
      </c>
      <c r="DS704" s="23">
        <v>13.58</v>
      </c>
      <c r="DT704" s="21">
        <v>92</v>
      </c>
      <c r="DU704" s="23" t="s">
        <v>151</v>
      </c>
      <c r="DV704" s="21" t="s">
        <v>151</v>
      </c>
      <c r="DW704" s="23">
        <v>13.58</v>
      </c>
      <c r="DX704" s="21">
        <v>92</v>
      </c>
      <c r="DY704" s="18" t="s">
        <v>151</v>
      </c>
      <c r="DZ704" s="22" t="s">
        <v>151</v>
      </c>
      <c r="EA704" s="22" t="s">
        <v>151</v>
      </c>
      <c r="EB704" s="21" t="s">
        <v>151</v>
      </c>
      <c r="EC704" s="20" t="s">
        <v>151</v>
      </c>
      <c r="ED704" s="19" t="s">
        <v>151</v>
      </c>
      <c r="EE704" s="21">
        <v>258</v>
      </c>
      <c r="EF704" s="20">
        <v>2</v>
      </c>
      <c r="EG704" s="19">
        <v>0.78</v>
      </c>
      <c r="EH704" s="16" t="s">
        <v>198</v>
      </c>
      <c r="EI704" s="17" t="s">
        <v>151</v>
      </c>
      <c r="EJ704" s="17" t="s">
        <v>151</v>
      </c>
      <c r="EK704" s="18" t="s">
        <v>151</v>
      </c>
      <c r="EL704" s="18" t="s">
        <v>151</v>
      </c>
      <c r="EM704" s="18" t="s">
        <v>151</v>
      </c>
      <c r="EN704" s="18" t="s">
        <v>151</v>
      </c>
      <c r="EO704" s="18" t="s">
        <v>151</v>
      </c>
      <c r="EP704" s="17" t="s">
        <v>151</v>
      </c>
      <c r="EQ704" s="16" t="s">
        <v>151</v>
      </c>
      <c r="ER704" s="16" t="s">
        <v>151</v>
      </c>
      <c r="ES704" s="3">
        <f>HYPERLINK("https://my.pitchbook.com?c=264345-49","View Company Online")</f>
      </c>
    </row>
    <row r="705">
      <c r="A705" s="30" t="s">
        <v>14466</v>
      </c>
      <c r="B705" s="30" t="s">
        <v>14467</v>
      </c>
      <c r="C705" s="31" t="s">
        <v>151</v>
      </c>
      <c r="D705" s="30" t="s">
        <v>151</v>
      </c>
      <c r="E705" s="30" t="s">
        <v>151</v>
      </c>
      <c r="F705" s="30" t="s">
        <v>14468</v>
      </c>
      <c r="G705" s="30" t="s">
        <v>151</v>
      </c>
      <c r="H705" s="30" t="s">
        <v>151</v>
      </c>
      <c r="I705" s="30" t="s">
        <v>14469</v>
      </c>
      <c r="J705" s="30" t="s">
        <v>14466</v>
      </c>
      <c r="K705" s="30" t="s">
        <v>14470</v>
      </c>
      <c r="L705" s="30" t="s">
        <v>205</v>
      </c>
      <c r="M705" s="30" t="s">
        <v>206</v>
      </c>
      <c r="N705" s="30" t="s">
        <v>1268</v>
      </c>
      <c r="O705" s="30" t="s">
        <v>2129</v>
      </c>
      <c r="P705" s="30" t="s">
        <v>2130</v>
      </c>
      <c r="Q705" s="30" t="s">
        <v>14471</v>
      </c>
      <c r="R705" s="30" t="s">
        <v>151</v>
      </c>
      <c r="S705" s="30" t="s">
        <v>162</v>
      </c>
      <c r="T705" s="37">
        <v>7.02</v>
      </c>
      <c r="U705" s="30" t="s">
        <v>163</v>
      </c>
      <c r="V705" s="30" t="s">
        <v>164</v>
      </c>
      <c r="W705" s="30" t="s">
        <v>165</v>
      </c>
      <c r="X705" s="28" t="s">
        <v>14472</v>
      </c>
      <c r="Y705" s="28" t="s">
        <v>14473</v>
      </c>
      <c r="Z705" s="40">
        <v>6</v>
      </c>
      <c r="AA705" s="30" t="s">
        <v>14474</v>
      </c>
      <c r="AB705" s="30" t="s">
        <v>151</v>
      </c>
      <c r="AC705" s="30" t="s">
        <v>151</v>
      </c>
      <c r="AD705" s="39">
        <v>2022</v>
      </c>
      <c r="AE705" s="30" t="s">
        <v>151</v>
      </c>
      <c r="AF705" s="35">
        <v>45540</v>
      </c>
      <c r="AG705" s="30" t="s">
        <v>151</v>
      </c>
      <c r="AH705" s="30" t="s">
        <v>151</v>
      </c>
      <c r="AI705" s="38">
        <v>2.4</v>
      </c>
      <c r="AJ705" s="32">
        <v>380</v>
      </c>
      <c r="AK705" s="38" t="s">
        <v>151</v>
      </c>
      <c r="AL705" s="38" t="s">
        <v>151</v>
      </c>
      <c r="AM705" s="38" t="s">
        <v>151</v>
      </c>
      <c r="AN705" s="38" t="s">
        <v>151</v>
      </c>
      <c r="AO705" s="38" t="s">
        <v>151</v>
      </c>
      <c r="AP705" s="38" t="s">
        <v>151</v>
      </c>
      <c r="AQ705" s="38" t="s">
        <v>151</v>
      </c>
      <c r="AR705" s="29" t="s">
        <v>170</v>
      </c>
      <c r="AS705" s="30" t="s">
        <v>14475</v>
      </c>
      <c r="AT705" s="30" t="s">
        <v>14476</v>
      </c>
      <c r="AU705" s="31">
        <v>6</v>
      </c>
      <c r="AV705" s="30" t="s">
        <v>151</v>
      </c>
      <c r="AW705" s="30" t="s">
        <v>151</v>
      </c>
      <c r="AX705" s="30" t="s">
        <v>151</v>
      </c>
      <c r="AY705" s="30" t="s">
        <v>14477</v>
      </c>
      <c r="AZ705" s="30" t="s">
        <v>151</v>
      </c>
      <c r="BA705" s="30" t="s">
        <v>151</v>
      </c>
      <c r="BB705" s="30" t="s">
        <v>151</v>
      </c>
      <c r="BC705" s="30" t="s">
        <v>14478</v>
      </c>
      <c r="BD705" s="30" t="s">
        <v>14479</v>
      </c>
      <c r="BE705" s="30" t="s">
        <v>14480</v>
      </c>
      <c r="BF705" s="30" t="s">
        <v>493</v>
      </c>
      <c r="BG705" s="30" t="s">
        <v>14481</v>
      </c>
      <c r="BH705" s="30" t="s">
        <v>14482</v>
      </c>
      <c r="BI705" s="30" t="s">
        <v>14483</v>
      </c>
      <c r="BJ705" s="30" t="s">
        <v>14484</v>
      </c>
      <c r="BK705" s="30" t="s">
        <v>13367</v>
      </c>
      <c r="BL705" s="30" t="s">
        <v>14485</v>
      </c>
      <c r="BM705" s="30" t="s">
        <v>184</v>
      </c>
      <c r="BN705" s="29" t="s">
        <v>14486</v>
      </c>
      <c r="BO705" s="30" t="s">
        <v>186</v>
      </c>
      <c r="BP705" s="29" t="s">
        <v>14482</v>
      </c>
      <c r="BQ705" s="29" t="s">
        <v>151</v>
      </c>
      <c r="BR705" s="30" t="s">
        <v>14487</v>
      </c>
      <c r="BS705" s="30" t="s">
        <v>187</v>
      </c>
      <c r="BT705" s="30" t="s">
        <v>188</v>
      </c>
      <c r="BU705" s="35">
        <v>44740</v>
      </c>
      <c r="BV705" s="37">
        <v>3.03</v>
      </c>
      <c r="BW705" s="30" t="s">
        <v>192</v>
      </c>
      <c r="BX705" s="37">
        <v>21.03</v>
      </c>
      <c r="BY705" s="30" t="s">
        <v>192</v>
      </c>
      <c r="BZ705" s="30" t="s">
        <v>293</v>
      </c>
      <c r="CA705" s="30" t="s">
        <v>293</v>
      </c>
      <c r="CB705" s="30" t="s">
        <v>151</v>
      </c>
      <c r="CC705" s="30" t="s">
        <v>165</v>
      </c>
      <c r="CD705" s="30" t="s">
        <v>151</v>
      </c>
      <c r="CE705" s="30" t="s">
        <v>191</v>
      </c>
      <c r="CF705" s="35">
        <v>45412</v>
      </c>
      <c r="CG705" s="37">
        <v>2</v>
      </c>
      <c r="CH705" s="30" t="s">
        <v>192</v>
      </c>
      <c r="CI705" s="37">
        <v>14</v>
      </c>
      <c r="CJ705" s="30" t="s">
        <v>192</v>
      </c>
      <c r="CK705" s="29">
        <v>0.83</v>
      </c>
      <c r="CL705" s="30" t="s">
        <v>293</v>
      </c>
      <c r="CM705" s="30" t="s">
        <v>293</v>
      </c>
      <c r="CN705" s="30" t="s">
        <v>151</v>
      </c>
      <c r="CO705" s="30" t="s">
        <v>165</v>
      </c>
      <c r="CP705" s="35">
        <v>45412</v>
      </c>
      <c r="CQ705" s="37" t="s">
        <v>151</v>
      </c>
      <c r="CR705" s="30" t="s">
        <v>151</v>
      </c>
      <c r="CS705" s="30" t="s">
        <v>191</v>
      </c>
      <c r="CT705" s="29">
        <v>74</v>
      </c>
      <c r="CU705" s="30" t="s">
        <v>196</v>
      </c>
      <c r="CV705" s="32">
        <v>69</v>
      </c>
      <c r="CW705" s="32">
        <v>31</v>
      </c>
      <c r="CX705" s="30" t="s">
        <v>294</v>
      </c>
      <c r="CY705" s="32">
        <v>1</v>
      </c>
      <c r="CZ705" s="32">
        <v>68</v>
      </c>
      <c r="DA705" s="37">
        <v>14</v>
      </c>
      <c r="DB705" s="35">
        <v>45412</v>
      </c>
      <c r="DC705" s="30" t="s">
        <v>293</v>
      </c>
      <c r="DD705" s="29">
        <v>0.83</v>
      </c>
      <c r="DE705" s="32">
        <v>0</v>
      </c>
      <c r="DF705" s="34">
        <v>11</v>
      </c>
      <c r="DG705" s="32">
        <v>0</v>
      </c>
      <c r="DH705" s="32">
        <v>0</v>
      </c>
      <c r="DI705" s="32">
        <v>0</v>
      </c>
      <c r="DJ705" s="34">
        <v>10</v>
      </c>
      <c r="DK705" s="32" t="s">
        <v>151</v>
      </c>
      <c r="DL705" s="34" t="s">
        <v>151</v>
      </c>
      <c r="DM705" s="32">
        <v>0</v>
      </c>
      <c r="DN705" s="34">
        <v>10</v>
      </c>
      <c r="DO705" s="36">
        <v>0.86</v>
      </c>
      <c r="DP705" s="34">
        <v>47</v>
      </c>
      <c r="DQ705" s="36">
        <v>0</v>
      </c>
      <c r="DR705" s="32">
        <v>0</v>
      </c>
      <c r="DS705" s="36">
        <v>1.26</v>
      </c>
      <c r="DT705" s="34">
        <v>55</v>
      </c>
      <c r="DU705" s="36" t="s">
        <v>151</v>
      </c>
      <c r="DV705" s="34" t="s">
        <v>151</v>
      </c>
      <c r="DW705" s="36">
        <v>1.26</v>
      </c>
      <c r="DX705" s="34">
        <v>55</v>
      </c>
      <c r="DY705" s="31" t="s">
        <v>151</v>
      </c>
      <c r="DZ705" s="35" t="s">
        <v>151</v>
      </c>
      <c r="EA705" s="35" t="s">
        <v>151</v>
      </c>
      <c r="EB705" s="34">
        <v>64</v>
      </c>
      <c r="EC705" s="33">
        <v>-10</v>
      </c>
      <c r="ED705" s="32">
        <v>-13.51</v>
      </c>
      <c r="EE705" s="34">
        <v>24</v>
      </c>
      <c r="EF705" s="33">
        <v>0</v>
      </c>
      <c r="EG705" s="32">
        <v>0</v>
      </c>
      <c r="EH705" s="29" t="s">
        <v>198</v>
      </c>
      <c r="EI705" s="30" t="s">
        <v>151</v>
      </c>
      <c r="EJ705" s="30" t="s">
        <v>151</v>
      </c>
      <c r="EK705" s="31" t="s">
        <v>151</v>
      </c>
      <c r="EL705" s="31" t="s">
        <v>151</v>
      </c>
      <c r="EM705" s="31" t="s">
        <v>151</v>
      </c>
      <c r="EN705" s="31" t="s">
        <v>151</v>
      </c>
      <c r="EO705" s="31" t="s">
        <v>151</v>
      </c>
      <c r="EP705" s="30" t="s">
        <v>151</v>
      </c>
      <c r="EQ705" s="29" t="s">
        <v>151</v>
      </c>
      <c r="ER705" s="29" t="s">
        <v>151</v>
      </c>
      <c r="ES705" s="4">
        <f>HYPERLINK("https://my.pitchbook.com?c=496120-78","View Company Online")</f>
      </c>
    </row>
    <row r="706">
      <c r="A706" s="17" t="s">
        <v>14488</v>
      </c>
      <c r="B706" s="17" t="s">
        <v>14489</v>
      </c>
      <c r="C706" s="18" t="s">
        <v>151</v>
      </c>
      <c r="D706" s="17" t="s">
        <v>151</v>
      </c>
      <c r="E706" s="17" t="s">
        <v>151</v>
      </c>
      <c r="F706" s="17" t="s">
        <v>14490</v>
      </c>
      <c r="G706" s="17" t="s">
        <v>151</v>
      </c>
      <c r="H706" s="17" t="s">
        <v>151</v>
      </c>
      <c r="I706" s="17" t="s">
        <v>151</v>
      </c>
      <c r="J706" s="17" t="s">
        <v>14488</v>
      </c>
      <c r="K706" s="17" t="s">
        <v>14491</v>
      </c>
      <c r="L706" s="17" t="s">
        <v>616</v>
      </c>
      <c r="M706" s="17" t="s">
        <v>834</v>
      </c>
      <c r="N706" s="17" t="s">
        <v>2059</v>
      </c>
      <c r="O706" s="17" t="s">
        <v>2943</v>
      </c>
      <c r="P706" s="17" t="s">
        <v>4707</v>
      </c>
      <c r="Q706" s="17" t="s">
        <v>14492</v>
      </c>
      <c r="R706" s="17" t="s">
        <v>151</v>
      </c>
      <c r="S706" s="17" t="s">
        <v>162</v>
      </c>
      <c r="T706" s="24">
        <v>0.84</v>
      </c>
      <c r="U706" s="17" t="s">
        <v>163</v>
      </c>
      <c r="V706" s="17" t="s">
        <v>164</v>
      </c>
      <c r="W706" s="17" t="s">
        <v>165</v>
      </c>
      <c r="X706" s="15" t="s">
        <v>14493</v>
      </c>
      <c r="Y706" s="15" t="s">
        <v>14494</v>
      </c>
      <c r="Z706" s="27">
        <v>5</v>
      </c>
      <c r="AA706" s="17" t="s">
        <v>14495</v>
      </c>
      <c r="AB706" s="17" t="s">
        <v>151</v>
      </c>
      <c r="AC706" s="17" t="s">
        <v>151</v>
      </c>
      <c r="AD706" s="26">
        <v>2020</v>
      </c>
      <c r="AE706" s="17" t="s">
        <v>151</v>
      </c>
      <c r="AF706" s="22">
        <v>45595</v>
      </c>
      <c r="AG706" s="17" t="s">
        <v>151</v>
      </c>
      <c r="AH706" s="17" t="s">
        <v>151</v>
      </c>
      <c r="AI706" s="25" t="s">
        <v>151</v>
      </c>
      <c r="AJ706" s="19" t="s">
        <v>151</v>
      </c>
      <c r="AK706" s="25" t="s">
        <v>151</v>
      </c>
      <c r="AL706" s="25" t="s">
        <v>151</v>
      </c>
      <c r="AM706" s="25" t="s">
        <v>151</v>
      </c>
      <c r="AN706" s="25" t="s">
        <v>151</v>
      </c>
      <c r="AO706" s="25" t="s">
        <v>151</v>
      </c>
      <c r="AP706" s="25" t="s">
        <v>151</v>
      </c>
      <c r="AQ706" s="25" t="s">
        <v>151</v>
      </c>
      <c r="AR706" s="16" t="s">
        <v>151</v>
      </c>
      <c r="AS706" s="17" t="s">
        <v>14496</v>
      </c>
      <c r="AT706" s="17" t="s">
        <v>14497</v>
      </c>
      <c r="AU706" s="18">
        <v>5</v>
      </c>
      <c r="AV706" s="17" t="s">
        <v>151</v>
      </c>
      <c r="AW706" s="17" t="s">
        <v>151</v>
      </c>
      <c r="AX706" s="17" t="s">
        <v>151</v>
      </c>
      <c r="AY706" s="17" t="s">
        <v>14498</v>
      </c>
      <c r="AZ706" s="17" t="s">
        <v>151</v>
      </c>
      <c r="BA706" s="17" t="s">
        <v>151</v>
      </c>
      <c r="BB706" s="17" t="s">
        <v>151</v>
      </c>
      <c r="BC706" s="17" t="s">
        <v>151</v>
      </c>
      <c r="BD706" s="17" t="s">
        <v>14499</v>
      </c>
      <c r="BE706" s="17" t="s">
        <v>14500</v>
      </c>
      <c r="BF706" s="17" t="s">
        <v>546</v>
      </c>
      <c r="BG706" s="17" t="s">
        <v>14501</v>
      </c>
      <c r="BH706" s="17" t="s">
        <v>14502</v>
      </c>
      <c r="BI706" s="17" t="s">
        <v>14503</v>
      </c>
      <c r="BJ706" s="17" t="s">
        <v>14504</v>
      </c>
      <c r="BK706" s="17" t="s">
        <v>14505</v>
      </c>
      <c r="BL706" s="17" t="s">
        <v>14506</v>
      </c>
      <c r="BM706" s="17" t="s">
        <v>3217</v>
      </c>
      <c r="BN706" s="16" t="s">
        <v>14507</v>
      </c>
      <c r="BO706" s="17" t="s">
        <v>186</v>
      </c>
      <c r="BP706" s="16" t="s">
        <v>14502</v>
      </c>
      <c r="BQ706" s="16" t="s">
        <v>151</v>
      </c>
      <c r="BR706" s="17" t="s">
        <v>14508</v>
      </c>
      <c r="BS706" s="17" t="s">
        <v>187</v>
      </c>
      <c r="BT706" s="17" t="s">
        <v>188</v>
      </c>
      <c r="BU706" s="22">
        <v>44551</v>
      </c>
      <c r="BV706" s="24">
        <v>0.08</v>
      </c>
      <c r="BW706" s="17" t="s">
        <v>192</v>
      </c>
      <c r="BX706" s="24" t="s">
        <v>151</v>
      </c>
      <c r="BY706" s="17" t="s">
        <v>151</v>
      </c>
      <c r="BZ706" s="17" t="s">
        <v>293</v>
      </c>
      <c r="CA706" s="17" t="s">
        <v>293</v>
      </c>
      <c r="CB706" s="17" t="s">
        <v>151</v>
      </c>
      <c r="CC706" s="17" t="s">
        <v>165</v>
      </c>
      <c r="CD706" s="17" t="s">
        <v>151</v>
      </c>
      <c r="CE706" s="17" t="s">
        <v>191</v>
      </c>
      <c r="CF706" s="22">
        <v>44922</v>
      </c>
      <c r="CG706" s="24">
        <v>0.07</v>
      </c>
      <c r="CH706" s="17" t="s">
        <v>192</v>
      </c>
      <c r="CI706" s="24" t="s">
        <v>151</v>
      </c>
      <c r="CJ706" s="17" t="s">
        <v>151</v>
      </c>
      <c r="CK706" s="16" t="s">
        <v>151</v>
      </c>
      <c r="CL706" s="17" t="s">
        <v>231</v>
      </c>
      <c r="CM706" s="17" t="s">
        <v>151</v>
      </c>
      <c r="CN706" s="17" t="s">
        <v>151</v>
      </c>
      <c r="CO706" s="17" t="s">
        <v>165</v>
      </c>
      <c r="CP706" s="22">
        <v>44922</v>
      </c>
      <c r="CQ706" s="24" t="s">
        <v>151</v>
      </c>
      <c r="CR706" s="17" t="s">
        <v>151</v>
      </c>
      <c r="CS706" s="17" t="s">
        <v>191</v>
      </c>
      <c r="CT706" s="16">
        <v>26</v>
      </c>
      <c r="CU706" s="17" t="s">
        <v>263</v>
      </c>
      <c r="CV706" s="19">
        <v>27</v>
      </c>
      <c r="CW706" s="19">
        <v>73</v>
      </c>
      <c r="CX706" s="17" t="s">
        <v>263</v>
      </c>
      <c r="CY706" s="19">
        <v>1</v>
      </c>
      <c r="CZ706" s="19">
        <v>26</v>
      </c>
      <c r="DA706" s="24">
        <v>3</v>
      </c>
      <c r="DB706" s="22">
        <v>44790</v>
      </c>
      <c r="DC706" s="17" t="s">
        <v>189</v>
      </c>
      <c r="DD706" s="16" t="s">
        <v>151</v>
      </c>
      <c r="DE706" s="19">
        <v>0</v>
      </c>
      <c r="DF706" s="21">
        <v>11</v>
      </c>
      <c r="DG706" s="19">
        <v>0</v>
      </c>
      <c r="DH706" s="19">
        <v>0</v>
      </c>
      <c r="DI706" s="19">
        <v>0</v>
      </c>
      <c r="DJ706" s="21">
        <v>10</v>
      </c>
      <c r="DK706" s="19">
        <v>0</v>
      </c>
      <c r="DL706" s="21">
        <v>11</v>
      </c>
      <c r="DM706" s="19">
        <v>0</v>
      </c>
      <c r="DN706" s="21">
        <v>10</v>
      </c>
      <c r="DO706" s="23">
        <v>0.65</v>
      </c>
      <c r="DP706" s="21">
        <v>40</v>
      </c>
      <c r="DQ706" s="23">
        <v>0</v>
      </c>
      <c r="DR706" s="19">
        <v>0</v>
      </c>
      <c r="DS706" s="23">
        <v>0.91</v>
      </c>
      <c r="DT706" s="21">
        <v>48</v>
      </c>
      <c r="DU706" s="23">
        <v>1.45</v>
      </c>
      <c r="DV706" s="21">
        <v>64</v>
      </c>
      <c r="DW706" s="23">
        <v>0.37</v>
      </c>
      <c r="DX706" s="21">
        <v>25</v>
      </c>
      <c r="DY706" s="18" t="s">
        <v>151</v>
      </c>
      <c r="DZ706" s="22" t="s">
        <v>151</v>
      </c>
      <c r="EA706" s="22" t="s">
        <v>151</v>
      </c>
      <c r="EB706" s="21">
        <v>0</v>
      </c>
      <c r="EC706" s="20">
        <v>0</v>
      </c>
      <c r="ED706" s="19">
        <v>0</v>
      </c>
      <c r="EE706" s="21">
        <v>7</v>
      </c>
      <c r="EF706" s="20">
        <v>0</v>
      </c>
      <c r="EG706" s="19">
        <v>0</v>
      </c>
      <c r="EH706" s="16" t="s">
        <v>198</v>
      </c>
      <c r="EI706" s="17" t="s">
        <v>151</v>
      </c>
      <c r="EJ706" s="17" t="s">
        <v>151</v>
      </c>
      <c r="EK706" s="18" t="s">
        <v>151</v>
      </c>
      <c r="EL706" s="18" t="s">
        <v>151</v>
      </c>
      <c r="EM706" s="18" t="s">
        <v>151</v>
      </c>
      <c r="EN706" s="18" t="s">
        <v>151</v>
      </c>
      <c r="EO706" s="18" t="s">
        <v>151</v>
      </c>
      <c r="EP706" s="17" t="s">
        <v>151</v>
      </c>
      <c r="EQ706" s="16" t="s">
        <v>151</v>
      </c>
      <c r="ER706" s="16" t="s">
        <v>151</v>
      </c>
      <c r="ES706" s="3">
        <f>HYPERLINK("https://my.pitchbook.com?c=491440-33","View Company Online")</f>
      </c>
    </row>
    <row r="707">
      <c r="A707" s="30" t="s">
        <v>14509</v>
      </c>
      <c r="B707" s="30" t="s">
        <v>14510</v>
      </c>
      <c r="C707" s="31" t="s">
        <v>151</v>
      </c>
      <c r="D707" s="30" t="s">
        <v>151</v>
      </c>
      <c r="E707" s="30" t="s">
        <v>151</v>
      </c>
      <c r="F707" s="30" t="s">
        <v>14511</v>
      </c>
      <c r="G707" s="30" t="s">
        <v>151</v>
      </c>
      <c r="H707" s="30" t="s">
        <v>151</v>
      </c>
      <c r="I707" s="30" t="s">
        <v>151</v>
      </c>
      <c r="J707" s="30" t="s">
        <v>14509</v>
      </c>
      <c r="K707" s="30" t="s">
        <v>14512</v>
      </c>
      <c r="L707" s="30" t="s">
        <v>616</v>
      </c>
      <c r="M707" s="30" t="s">
        <v>834</v>
      </c>
      <c r="N707" s="30" t="s">
        <v>835</v>
      </c>
      <c r="O707" s="30" t="s">
        <v>14513</v>
      </c>
      <c r="P707" s="30" t="s">
        <v>10302</v>
      </c>
      <c r="Q707" s="30" t="s">
        <v>14514</v>
      </c>
      <c r="R707" s="30" t="s">
        <v>151</v>
      </c>
      <c r="S707" s="30" t="s">
        <v>162</v>
      </c>
      <c r="T707" s="37">
        <v>2.5</v>
      </c>
      <c r="U707" s="30" t="s">
        <v>163</v>
      </c>
      <c r="V707" s="30" t="s">
        <v>164</v>
      </c>
      <c r="W707" s="30" t="s">
        <v>165</v>
      </c>
      <c r="X707" s="28" t="s">
        <v>14515</v>
      </c>
      <c r="Y707" s="28" t="s">
        <v>14516</v>
      </c>
      <c r="Z707" s="40">
        <v>10</v>
      </c>
      <c r="AA707" s="30" t="s">
        <v>14517</v>
      </c>
      <c r="AB707" s="30" t="s">
        <v>151</v>
      </c>
      <c r="AC707" s="30" t="s">
        <v>151</v>
      </c>
      <c r="AD707" s="39">
        <v>2021</v>
      </c>
      <c r="AE707" s="30" t="s">
        <v>151</v>
      </c>
      <c r="AF707" s="35">
        <v>45539</v>
      </c>
      <c r="AG707" s="30" t="s">
        <v>151</v>
      </c>
      <c r="AH707" s="30" t="s">
        <v>151</v>
      </c>
      <c r="AI707" s="38" t="s">
        <v>151</v>
      </c>
      <c r="AJ707" s="32" t="s">
        <v>151</v>
      </c>
      <c r="AK707" s="38" t="s">
        <v>151</v>
      </c>
      <c r="AL707" s="38" t="s">
        <v>151</v>
      </c>
      <c r="AM707" s="38" t="s">
        <v>151</v>
      </c>
      <c r="AN707" s="38" t="s">
        <v>151</v>
      </c>
      <c r="AO707" s="38" t="s">
        <v>151</v>
      </c>
      <c r="AP707" s="38" t="s">
        <v>151</v>
      </c>
      <c r="AQ707" s="38" t="s">
        <v>151</v>
      </c>
      <c r="AR707" s="29" t="s">
        <v>151</v>
      </c>
      <c r="AS707" s="30" t="s">
        <v>14518</v>
      </c>
      <c r="AT707" s="30" t="s">
        <v>14519</v>
      </c>
      <c r="AU707" s="31">
        <v>6</v>
      </c>
      <c r="AV707" s="30" t="s">
        <v>151</v>
      </c>
      <c r="AW707" s="30" t="s">
        <v>151</v>
      </c>
      <c r="AX707" s="30" t="s">
        <v>151</v>
      </c>
      <c r="AY707" s="30" t="s">
        <v>14520</v>
      </c>
      <c r="AZ707" s="30" t="s">
        <v>151</v>
      </c>
      <c r="BA707" s="30" t="s">
        <v>151</v>
      </c>
      <c r="BB707" s="30" t="s">
        <v>151</v>
      </c>
      <c r="BC707" s="30" t="s">
        <v>151</v>
      </c>
      <c r="BD707" s="30" t="s">
        <v>14521</v>
      </c>
      <c r="BE707" s="30" t="s">
        <v>14522</v>
      </c>
      <c r="BF707" s="30" t="s">
        <v>221</v>
      </c>
      <c r="BG707" s="30" t="s">
        <v>14523</v>
      </c>
      <c r="BH707" s="30" t="s">
        <v>14524</v>
      </c>
      <c r="BI707" s="30" t="s">
        <v>5818</v>
      </c>
      <c r="BJ707" s="30" t="s">
        <v>151</v>
      </c>
      <c r="BK707" s="30" t="s">
        <v>151</v>
      </c>
      <c r="BL707" s="30" t="s">
        <v>5820</v>
      </c>
      <c r="BM707" s="30" t="s">
        <v>5821</v>
      </c>
      <c r="BN707" s="29" t="s">
        <v>14525</v>
      </c>
      <c r="BO707" s="30" t="s">
        <v>186</v>
      </c>
      <c r="BP707" s="29" t="s">
        <v>151</v>
      </c>
      <c r="BQ707" s="29" t="s">
        <v>151</v>
      </c>
      <c r="BR707" s="30" t="s">
        <v>14526</v>
      </c>
      <c r="BS707" s="30" t="s">
        <v>187</v>
      </c>
      <c r="BT707" s="30" t="s">
        <v>188</v>
      </c>
      <c r="BU707" s="35">
        <v>45121</v>
      </c>
      <c r="BV707" s="37">
        <v>2.5</v>
      </c>
      <c r="BW707" s="30" t="s">
        <v>192</v>
      </c>
      <c r="BX707" s="37" t="s">
        <v>151</v>
      </c>
      <c r="BY707" s="30" t="s">
        <v>151</v>
      </c>
      <c r="BZ707" s="30" t="s">
        <v>231</v>
      </c>
      <c r="CA707" s="30" t="s">
        <v>151</v>
      </c>
      <c r="CB707" s="30" t="s">
        <v>151</v>
      </c>
      <c r="CC707" s="30" t="s">
        <v>165</v>
      </c>
      <c r="CD707" s="30" t="s">
        <v>151</v>
      </c>
      <c r="CE707" s="30" t="s">
        <v>191</v>
      </c>
      <c r="CF707" s="35">
        <v>45121</v>
      </c>
      <c r="CG707" s="37">
        <v>2.5</v>
      </c>
      <c r="CH707" s="30" t="s">
        <v>192</v>
      </c>
      <c r="CI707" s="37" t="s">
        <v>151</v>
      </c>
      <c r="CJ707" s="30" t="s">
        <v>151</v>
      </c>
      <c r="CK707" s="29" t="s">
        <v>151</v>
      </c>
      <c r="CL707" s="30" t="s">
        <v>231</v>
      </c>
      <c r="CM707" s="30" t="s">
        <v>151</v>
      </c>
      <c r="CN707" s="30" t="s">
        <v>151</v>
      </c>
      <c r="CO707" s="30" t="s">
        <v>165</v>
      </c>
      <c r="CP707" s="35">
        <v>45121</v>
      </c>
      <c r="CQ707" s="37" t="s">
        <v>151</v>
      </c>
      <c r="CR707" s="30" t="s">
        <v>151</v>
      </c>
      <c r="CS707" s="30" t="s">
        <v>191</v>
      </c>
      <c r="CT707" s="29" t="s">
        <v>151</v>
      </c>
      <c r="CU707" s="30" t="s">
        <v>151</v>
      </c>
      <c r="CV707" s="32" t="s">
        <v>151</v>
      </c>
      <c r="CW707" s="32" t="s">
        <v>151</v>
      </c>
      <c r="CX707" s="30" t="s">
        <v>151</v>
      </c>
      <c r="CY707" s="32" t="s">
        <v>151</v>
      </c>
      <c r="CZ707" s="32" t="s">
        <v>151</v>
      </c>
      <c r="DA707" s="37" t="s">
        <v>151</v>
      </c>
      <c r="DB707" s="35" t="s">
        <v>151</v>
      </c>
      <c r="DC707" s="30" t="s">
        <v>151</v>
      </c>
      <c r="DD707" s="29" t="s">
        <v>151</v>
      </c>
      <c r="DE707" s="32">
        <v>1.39</v>
      </c>
      <c r="DF707" s="34">
        <v>97</v>
      </c>
      <c r="DG707" s="32">
        <v>0</v>
      </c>
      <c r="DH707" s="32">
        <v>0</v>
      </c>
      <c r="DI707" s="32" t="s">
        <v>151</v>
      </c>
      <c r="DJ707" s="34" t="s">
        <v>151</v>
      </c>
      <c r="DK707" s="32" t="s">
        <v>151</v>
      </c>
      <c r="DL707" s="34" t="s">
        <v>151</v>
      </c>
      <c r="DM707" s="32" t="s">
        <v>151</v>
      </c>
      <c r="DN707" s="34" t="s">
        <v>151</v>
      </c>
      <c r="DO707" s="36">
        <v>0.77</v>
      </c>
      <c r="DP707" s="34">
        <v>44</v>
      </c>
      <c r="DQ707" s="36">
        <v>0</v>
      </c>
      <c r="DR707" s="32">
        <v>0</v>
      </c>
      <c r="DS707" s="36" t="s">
        <v>151</v>
      </c>
      <c r="DT707" s="34" t="s">
        <v>151</v>
      </c>
      <c r="DU707" s="36" t="s">
        <v>151</v>
      </c>
      <c r="DV707" s="34" t="s">
        <v>151</v>
      </c>
      <c r="DW707" s="36" t="s">
        <v>151</v>
      </c>
      <c r="DX707" s="34" t="s">
        <v>151</v>
      </c>
      <c r="DY707" s="31" t="s">
        <v>151</v>
      </c>
      <c r="DZ707" s="35" t="s">
        <v>151</v>
      </c>
      <c r="EA707" s="35" t="s">
        <v>151</v>
      </c>
      <c r="EB707" s="34">
        <v>0</v>
      </c>
      <c r="EC707" s="33">
        <v>0</v>
      </c>
      <c r="ED707" s="32">
        <v>0</v>
      </c>
      <c r="EE707" s="34" t="s">
        <v>151</v>
      </c>
      <c r="EF707" s="33" t="s">
        <v>151</v>
      </c>
      <c r="EG707" s="32" t="s">
        <v>151</v>
      </c>
      <c r="EH707" s="29" t="s">
        <v>198</v>
      </c>
      <c r="EI707" s="30" t="s">
        <v>151</v>
      </c>
      <c r="EJ707" s="30" t="s">
        <v>151</v>
      </c>
      <c r="EK707" s="31" t="s">
        <v>151</v>
      </c>
      <c r="EL707" s="31" t="s">
        <v>151</v>
      </c>
      <c r="EM707" s="31" t="s">
        <v>151</v>
      </c>
      <c r="EN707" s="31" t="s">
        <v>151</v>
      </c>
      <c r="EO707" s="31" t="s">
        <v>151</v>
      </c>
      <c r="EP707" s="30" t="s">
        <v>151</v>
      </c>
      <c r="EQ707" s="29" t="s">
        <v>151</v>
      </c>
      <c r="ER707" s="29" t="s">
        <v>151</v>
      </c>
      <c r="ES707" s="4">
        <f>HYPERLINK("https://my.pitchbook.com?c=515827-18","View Company Online")</f>
      </c>
    </row>
    <row r="708">
      <c r="A708" s="17" t="s">
        <v>14527</v>
      </c>
      <c r="B708" s="17" t="s">
        <v>14528</v>
      </c>
      <c r="C708" s="18" t="s">
        <v>151</v>
      </c>
      <c r="D708" s="17" t="s">
        <v>151</v>
      </c>
      <c r="E708" s="17" t="s">
        <v>151</v>
      </c>
      <c r="F708" s="17" t="s">
        <v>14529</v>
      </c>
      <c r="G708" s="17" t="s">
        <v>151</v>
      </c>
      <c r="H708" s="17" t="s">
        <v>151</v>
      </c>
      <c r="I708" s="17" t="s">
        <v>14530</v>
      </c>
      <c r="J708" s="17" t="s">
        <v>14527</v>
      </c>
      <c r="K708" s="17" t="s">
        <v>14531</v>
      </c>
      <c r="L708" s="17" t="s">
        <v>205</v>
      </c>
      <c r="M708" s="17" t="s">
        <v>206</v>
      </c>
      <c r="N708" s="17" t="s">
        <v>1268</v>
      </c>
      <c r="O708" s="17" t="s">
        <v>2129</v>
      </c>
      <c r="P708" s="17" t="s">
        <v>892</v>
      </c>
      <c r="Q708" s="17" t="s">
        <v>14532</v>
      </c>
      <c r="R708" s="17" t="s">
        <v>151</v>
      </c>
      <c r="S708" s="17" t="s">
        <v>162</v>
      </c>
      <c r="T708" s="24">
        <v>5</v>
      </c>
      <c r="U708" s="17" t="s">
        <v>163</v>
      </c>
      <c r="V708" s="17" t="s">
        <v>164</v>
      </c>
      <c r="W708" s="17" t="s">
        <v>165</v>
      </c>
      <c r="X708" s="15" t="s">
        <v>14533</v>
      </c>
      <c r="Y708" s="15" t="s">
        <v>14534</v>
      </c>
      <c r="Z708" s="27">
        <v>15</v>
      </c>
      <c r="AA708" s="17" t="s">
        <v>14535</v>
      </c>
      <c r="AB708" s="17" t="s">
        <v>151</v>
      </c>
      <c r="AC708" s="17" t="s">
        <v>151</v>
      </c>
      <c r="AD708" s="26">
        <v>2021</v>
      </c>
      <c r="AE708" s="17" t="s">
        <v>151</v>
      </c>
      <c r="AF708" s="22">
        <v>45499</v>
      </c>
      <c r="AG708" s="17" t="s">
        <v>151</v>
      </c>
      <c r="AH708" s="17" t="s">
        <v>151</v>
      </c>
      <c r="AI708" s="25" t="s">
        <v>151</v>
      </c>
      <c r="AJ708" s="19" t="s">
        <v>151</v>
      </c>
      <c r="AK708" s="25" t="s">
        <v>151</v>
      </c>
      <c r="AL708" s="25" t="s">
        <v>151</v>
      </c>
      <c r="AM708" s="25" t="s">
        <v>151</v>
      </c>
      <c r="AN708" s="25" t="s">
        <v>151</v>
      </c>
      <c r="AO708" s="25" t="s">
        <v>151</v>
      </c>
      <c r="AP708" s="25" t="s">
        <v>151</v>
      </c>
      <c r="AQ708" s="25" t="s">
        <v>151</v>
      </c>
      <c r="AR708" s="16" t="s">
        <v>151</v>
      </c>
      <c r="AS708" s="17" t="s">
        <v>14536</v>
      </c>
      <c r="AT708" s="17" t="s">
        <v>14537</v>
      </c>
      <c r="AU708" s="18">
        <v>7</v>
      </c>
      <c r="AV708" s="17" t="s">
        <v>151</v>
      </c>
      <c r="AW708" s="17" t="s">
        <v>151</v>
      </c>
      <c r="AX708" s="17" t="s">
        <v>151</v>
      </c>
      <c r="AY708" s="17" t="s">
        <v>14538</v>
      </c>
      <c r="AZ708" s="17" t="s">
        <v>151</v>
      </c>
      <c r="BA708" s="17" t="s">
        <v>151</v>
      </c>
      <c r="BB708" s="17" t="s">
        <v>151</v>
      </c>
      <c r="BC708" s="17" t="s">
        <v>1115</v>
      </c>
      <c r="BD708" s="17" t="s">
        <v>14539</v>
      </c>
      <c r="BE708" s="17" t="s">
        <v>14540</v>
      </c>
      <c r="BF708" s="17" t="s">
        <v>282</v>
      </c>
      <c r="BG708" s="17" t="s">
        <v>14541</v>
      </c>
      <c r="BH708" s="17" t="s">
        <v>14542</v>
      </c>
      <c r="BI708" s="17" t="s">
        <v>906</v>
      </c>
      <c r="BJ708" s="17" t="s">
        <v>14543</v>
      </c>
      <c r="BK708" s="17" t="s">
        <v>14544</v>
      </c>
      <c r="BL708" s="17" t="s">
        <v>259</v>
      </c>
      <c r="BM708" s="17" t="s">
        <v>259</v>
      </c>
      <c r="BN708" s="16" t="s">
        <v>5051</v>
      </c>
      <c r="BO708" s="17" t="s">
        <v>186</v>
      </c>
      <c r="BP708" s="16" t="s">
        <v>14542</v>
      </c>
      <c r="BQ708" s="16" t="s">
        <v>151</v>
      </c>
      <c r="BR708" s="17" t="s">
        <v>14545</v>
      </c>
      <c r="BS708" s="17" t="s">
        <v>187</v>
      </c>
      <c r="BT708" s="17" t="s">
        <v>188</v>
      </c>
      <c r="BU708" s="22">
        <v>44741</v>
      </c>
      <c r="BV708" s="24">
        <v>5</v>
      </c>
      <c r="BW708" s="17" t="s">
        <v>192</v>
      </c>
      <c r="BX708" s="24">
        <v>20.1</v>
      </c>
      <c r="BY708" s="17" t="s">
        <v>193</v>
      </c>
      <c r="BZ708" s="17" t="s">
        <v>293</v>
      </c>
      <c r="CA708" s="17" t="s">
        <v>293</v>
      </c>
      <c r="CB708" s="17" t="s">
        <v>151</v>
      </c>
      <c r="CC708" s="17" t="s">
        <v>165</v>
      </c>
      <c r="CD708" s="17" t="s">
        <v>151</v>
      </c>
      <c r="CE708" s="17" t="s">
        <v>191</v>
      </c>
      <c r="CF708" s="22">
        <v>45292</v>
      </c>
      <c r="CG708" s="24" t="s">
        <v>151</v>
      </c>
      <c r="CH708" s="17" t="s">
        <v>151</v>
      </c>
      <c r="CI708" s="24" t="s">
        <v>151</v>
      </c>
      <c r="CJ708" s="17" t="s">
        <v>151</v>
      </c>
      <c r="CK708" s="16" t="s">
        <v>151</v>
      </c>
      <c r="CL708" s="17" t="s">
        <v>231</v>
      </c>
      <c r="CM708" s="17" t="s">
        <v>151</v>
      </c>
      <c r="CN708" s="17" t="s">
        <v>151</v>
      </c>
      <c r="CO708" s="17" t="s">
        <v>165</v>
      </c>
      <c r="CP708" s="22">
        <v>45292</v>
      </c>
      <c r="CQ708" s="24" t="s">
        <v>151</v>
      </c>
      <c r="CR708" s="17" t="s">
        <v>151</v>
      </c>
      <c r="CS708" s="17" t="s">
        <v>191</v>
      </c>
      <c r="CT708" s="16">
        <v>68</v>
      </c>
      <c r="CU708" s="17" t="s">
        <v>196</v>
      </c>
      <c r="CV708" s="19">
        <v>64</v>
      </c>
      <c r="CW708" s="19">
        <v>36</v>
      </c>
      <c r="CX708" s="17" t="s">
        <v>294</v>
      </c>
      <c r="CY708" s="19">
        <v>1</v>
      </c>
      <c r="CZ708" s="19">
        <v>63</v>
      </c>
      <c r="DA708" s="24">
        <v>20.1</v>
      </c>
      <c r="DB708" s="22">
        <v>44741</v>
      </c>
      <c r="DC708" s="17" t="s">
        <v>293</v>
      </c>
      <c r="DD708" s="16" t="s">
        <v>151</v>
      </c>
      <c r="DE708" s="19">
        <v>-0.58</v>
      </c>
      <c r="DF708" s="21">
        <v>6</v>
      </c>
      <c r="DG708" s="19">
        <v>0</v>
      </c>
      <c r="DH708" s="19">
        <v>0</v>
      </c>
      <c r="DI708" s="19">
        <v>-0.58</v>
      </c>
      <c r="DJ708" s="21">
        <v>6</v>
      </c>
      <c r="DK708" s="19" t="s">
        <v>151</v>
      </c>
      <c r="DL708" s="21" t="s">
        <v>151</v>
      </c>
      <c r="DM708" s="19">
        <v>-0.58</v>
      </c>
      <c r="DN708" s="21">
        <v>6</v>
      </c>
      <c r="DO708" s="23">
        <v>8.79</v>
      </c>
      <c r="DP708" s="21">
        <v>89</v>
      </c>
      <c r="DQ708" s="23">
        <v>0</v>
      </c>
      <c r="DR708" s="19">
        <v>0</v>
      </c>
      <c r="DS708" s="23">
        <v>8.79</v>
      </c>
      <c r="DT708" s="21">
        <v>89</v>
      </c>
      <c r="DU708" s="23" t="s">
        <v>151</v>
      </c>
      <c r="DV708" s="21" t="s">
        <v>151</v>
      </c>
      <c r="DW708" s="23">
        <v>8.79</v>
      </c>
      <c r="DX708" s="21">
        <v>88</v>
      </c>
      <c r="DY708" s="18" t="s">
        <v>151</v>
      </c>
      <c r="DZ708" s="22" t="s">
        <v>151</v>
      </c>
      <c r="EA708" s="22" t="s">
        <v>151</v>
      </c>
      <c r="EB708" s="21">
        <v>99</v>
      </c>
      <c r="EC708" s="20">
        <v>-3</v>
      </c>
      <c r="ED708" s="19">
        <v>-2.94</v>
      </c>
      <c r="EE708" s="21">
        <v>167</v>
      </c>
      <c r="EF708" s="20">
        <v>0</v>
      </c>
      <c r="EG708" s="19">
        <v>0</v>
      </c>
      <c r="EH708" s="16" t="s">
        <v>198</v>
      </c>
      <c r="EI708" s="17" t="s">
        <v>151</v>
      </c>
      <c r="EJ708" s="17" t="s">
        <v>151</v>
      </c>
      <c r="EK708" s="18" t="s">
        <v>151</v>
      </c>
      <c r="EL708" s="18" t="s">
        <v>151</v>
      </c>
      <c r="EM708" s="18" t="s">
        <v>151</v>
      </c>
      <c r="EN708" s="18" t="s">
        <v>151</v>
      </c>
      <c r="EO708" s="18" t="s">
        <v>151</v>
      </c>
      <c r="EP708" s="17" t="s">
        <v>151</v>
      </c>
      <c r="EQ708" s="16" t="s">
        <v>151</v>
      </c>
      <c r="ER708" s="16" t="s">
        <v>151</v>
      </c>
      <c r="ES708" s="3">
        <f>HYPERLINK("https://my.pitchbook.com?c=484686-37","View Company Online")</f>
      </c>
    </row>
    <row r="709">
      <c r="A709" s="30" t="s">
        <v>14546</v>
      </c>
      <c r="B709" s="30" t="s">
        <v>14547</v>
      </c>
      <c r="C709" s="31" t="s">
        <v>151</v>
      </c>
      <c r="D709" s="30" t="s">
        <v>151</v>
      </c>
      <c r="E709" s="30" t="s">
        <v>14548</v>
      </c>
      <c r="F709" s="30" t="s">
        <v>14549</v>
      </c>
      <c r="G709" s="30" t="s">
        <v>151</v>
      </c>
      <c r="H709" s="30" t="s">
        <v>151</v>
      </c>
      <c r="I709" s="30" t="s">
        <v>151</v>
      </c>
      <c r="J709" s="30" t="s">
        <v>14546</v>
      </c>
      <c r="K709" s="30" t="s">
        <v>14550</v>
      </c>
      <c r="L709" s="30" t="s">
        <v>155</v>
      </c>
      <c r="M709" s="30" t="s">
        <v>2320</v>
      </c>
      <c r="N709" s="30" t="s">
        <v>2321</v>
      </c>
      <c r="O709" s="30" t="s">
        <v>14551</v>
      </c>
      <c r="P709" s="30" t="s">
        <v>14552</v>
      </c>
      <c r="Q709" s="30" t="s">
        <v>14553</v>
      </c>
      <c r="R709" s="30" t="s">
        <v>151</v>
      </c>
      <c r="S709" s="30" t="s">
        <v>162</v>
      </c>
      <c r="T709" s="37">
        <v>1.6</v>
      </c>
      <c r="U709" s="30" t="s">
        <v>163</v>
      </c>
      <c r="V709" s="30" t="s">
        <v>164</v>
      </c>
      <c r="W709" s="30" t="s">
        <v>165</v>
      </c>
      <c r="X709" s="28" t="s">
        <v>14554</v>
      </c>
      <c r="Y709" s="28" t="s">
        <v>14555</v>
      </c>
      <c r="Z709" s="40">
        <v>8</v>
      </c>
      <c r="AA709" s="30" t="s">
        <v>10562</v>
      </c>
      <c r="AB709" s="30" t="s">
        <v>151</v>
      </c>
      <c r="AC709" s="30" t="s">
        <v>151</v>
      </c>
      <c r="AD709" s="39">
        <v>2020</v>
      </c>
      <c r="AE709" s="30" t="s">
        <v>151</v>
      </c>
      <c r="AF709" s="35">
        <v>45596</v>
      </c>
      <c r="AG709" s="30" t="s">
        <v>151</v>
      </c>
      <c r="AH709" s="30" t="s">
        <v>151</v>
      </c>
      <c r="AI709" s="38" t="s">
        <v>151</v>
      </c>
      <c r="AJ709" s="32" t="s">
        <v>151</v>
      </c>
      <c r="AK709" s="38" t="s">
        <v>151</v>
      </c>
      <c r="AL709" s="38" t="s">
        <v>151</v>
      </c>
      <c r="AM709" s="38" t="s">
        <v>151</v>
      </c>
      <c r="AN709" s="38" t="s">
        <v>151</v>
      </c>
      <c r="AO709" s="38" t="s">
        <v>151</v>
      </c>
      <c r="AP709" s="38" t="s">
        <v>151</v>
      </c>
      <c r="AQ709" s="38" t="s">
        <v>151</v>
      </c>
      <c r="AR709" s="29" t="s">
        <v>151</v>
      </c>
      <c r="AS709" s="30" t="s">
        <v>14556</v>
      </c>
      <c r="AT709" s="30" t="s">
        <v>14557</v>
      </c>
      <c r="AU709" s="31">
        <v>5</v>
      </c>
      <c r="AV709" s="30" t="s">
        <v>151</v>
      </c>
      <c r="AW709" s="30" t="s">
        <v>151</v>
      </c>
      <c r="AX709" s="30" t="s">
        <v>151</v>
      </c>
      <c r="AY709" s="30" t="s">
        <v>14558</v>
      </c>
      <c r="AZ709" s="30" t="s">
        <v>151</v>
      </c>
      <c r="BA709" s="30" t="s">
        <v>151</v>
      </c>
      <c r="BB709" s="30" t="s">
        <v>151</v>
      </c>
      <c r="BC709" s="30" t="s">
        <v>490</v>
      </c>
      <c r="BD709" s="30" t="s">
        <v>14559</v>
      </c>
      <c r="BE709" s="30" t="s">
        <v>14560</v>
      </c>
      <c r="BF709" s="30" t="s">
        <v>282</v>
      </c>
      <c r="BG709" s="30" t="s">
        <v>14561</v>
      </c>
      <c r="BH709" s="30" t="s">
        <v>14562</v>
      </c>
      <c r="BI709" s="30" t="s">
        <v>14563</v>
      </c>
      <c r="BJ709" s="30" t="s">
        <v>14564</v>
      </c>
      <c r="BK709" s="30" t="s">
        <v>151</v>
      </c>
      <c r="BL709" s="30" t="s">
        <v>14565</v>
      </c>
      <c r="BM709" s="30" t="s">
        <v>14566</v>
      </c>
      <c r="BN709" s="29" t="s">
        <v>14567</v>
      </c>
      <c r="BO709" s="30" t="s">
        <v>186</v>
      </c>
      <c r="BP709" s="29" t="s">
        <v>14562</v>
      </c>
      <c r="BQ709" s="29" t="s">
        <v>151</v>
      </c>
      <c r="BR709" s="30" t="s">
        <v>151</v>
      </c>
      <c r="BS709" s="30" t="s">
        <v>187</v>
      </c>
      <c r="BT709" s="30" t="s">
        <v>188</v>
      </c>
      <c r="BU709" s="35" t="s">
        <v>151</v>
      </c>
      <c r="BV709" s="37" t="s">
        <v>151</v>
      </c>
      <c r="BW709" s="30" t="s">
        <v>151</v>
      </c>
      <c r="BX709" s="37" t="s">
        <v>151</v>
      </c>
      <c r="BY709" s="30" t="s">
        <v>151</v>
      </c>
      <c r="BZ709" s="30" t="s">
        <v>189</v>
      </c>
      <c r="CA709" s="30" t="s">
        <v>151</v>
      </c>
      <c r="CB709" s="30" t="s">
        <v>151</v>
      </c>
      <c r="CC709" s="30" t="s">
        <v>190</v>
      </c>
      <c r="CD709" s="30" t="s">
        <v>151</v>
      </c>
      <c r="CE709" s="30" t="s">
        <v>191</v>
      </c>
      <c r="CF709" s="35">
        <v>45566</v>
      </c>
      <c r="CG709" s="37" t="s">
        <v>151</v>
      </c>
      <c r="CH709" s="30" t="s">
        <v>151</v>
      </c>
      <c r="CI709" s="37" t="s">
        <v>151</v>
      </c>
      <c r="CJ709" s="30" t="s">
        <v>151</v>
      </c>
      <c r="CK709" s="29" t="s">
        <v>151</v>
      </c>
      <c r="CL709" s="30" t="s">
        <v>189</v>
      </c>
      <c r="CM709" s="30" t="s">
        <v>151</v>
      </c>
      <c r="CN709" s="30" t="s">
        <v>151</v>
      </c>
      <c r="CO709" s="30" t="s">
        <v>190</v>
      </c>
      <c r="CP709" s="35">
        <v>45566</v>
      </c>
      <c r="CQ709" s="37" t="s">
        <v>151</v>
      </c>
      <c r="CR709" s="30" t="s">
        <v>151</v>
      </c>
      <c r="CS709" s="30" t="s">
        <v>191</v>
      </c>
      <c r="CT709" s="29">
        <v>65</v>
      </c>
      <c r="CU709" s="30" t="s">
        <v>196</v>
      </c>
      <c r="CV709" s="32">
        <v>61</v>
      </c>
      <c r="CW709" s="32">
        <v>39</v>
      </c>
      <c r="CX709" s="30" t="s">
        <v>294</v>
      </c>
      <c r="CY709" s="32">
        <v>1</v>
      </c>
      <c r="CZ709" s="32">
        <v>60</v>
      </c>
      <c r="DA709" s="37">
        <v>5</v>
      </c>
      <c r="DB709" s="35">
        <v>44986</v>
      </c>
      <c r="DC709" s="30" t="s">
        <v>231</v>
      </c>
      <c r="DD709" s="29" t="s">
        <v>151</v>
      </c>
      <c r="DE709" s="32">
        <v>0.65</v>
      </c>
      <c r="DF709" s="34">
        <v>95</v>
      </c>
      <c r="DG709" s="32">
        <v>0.23</v>
      </c>
      <c r="DH709" s="32">
        <v>54.98</v>
      </c>
      <c r="DI709" s="32">
        <v>-0.48</v>
      </c>
      <c r="DJ709" s="34">
        <v>7</v>
      </c>
      <c r="DK709" s="32" t="s">
        <v>151</v>
      </c>
      <c r="DL709" s="34" t="s">
        <v>151</v>
      </c>
      <c r="DM709" s="32">
        <v>-0.48</v>
      </c>
      <c r="DN709" s="34">
        <v>7</v>
      </c>
      <c r="DO709" s="36">
        <v>2.31</v>
      </c>
      <c r="DP709" s="34">
        <v>69</v>
      </c>
      <c r="DQ709" s="36">
        <v>0</v>
      </c>
      <c r="DR709" s="32">
        <v>0</v>
      </c>
      <c r="DS709" s="36">
        <v>4</v>
      </c>
      <c r="DT709" s="34">
        <v>79</v>
      </c>
      <c r="DU709" s="36" t="s">
        <v>151</v>
      </c>
      <c r="DV709" s="34" t="s">
        <v>151</v>
      </c>
      <c r="DW709" s="36">
        <v>4</v>
      </c>
      <c r="DX709" s="34">
        <v>79</v>
      </c>
      <c r="DY709" s="31" t="s">
        <v>151</v>
      </c>
      <c r="DZ709" s="35" t="s">
        <v>151</v>
      </c>
      <c r="EA709" s="35" t="s">
        <v>151</v>
      </c>
      <c r="EB709" s="34">
        <v>306</v>
      </c>
      <c r="EC709" s="33">
        <v>-79</v>
      </c>
      <c r="ED709" s="32">
        <v>-20.52</v>
      </c>
      <c r="EE709" s="34">
        <v>76</v>
      </c>
      <c r="EF709" s="33">
        <v>0</v>
      </c>
      <c r="EG709" s="32">
        <v>0</v>
      </c>
      <c r="EH709" s="29" t="s">
        <v>198</v>
      </c>
      <c r="EI709" s="30" t="s">
        <v>151</v>
      </c>
      <c r="EJ709" s="30" t="s">
        <v>151</v>
      </c>
      <c r="EK709" s="31" t="s">
        <v>151</v>
      </c>
      <c r="EL709" s="31" t="s">
        <v>151</v>
      </c>
      <c r="EM709" s="31" t="s">
        <v>151</v>
      </c>
      <c r="EN709" s="31" t="s">
        <v>151</v>
      </c>
      <c r="EO709" s="31" t="s">
        <v>151</v>
      </c>
      <c r="EP709" s="30" t="s">
        <v>151</v>
      </c>
      <c r="EQ709" s="29" t="s">
        <v>151</v>
      </c>
      <c r="ER709" s="29" t="s">
        <v>151</v>
      </c>
      <c r="ES709" s="4">
        <f>HYPERLINK("https://my.pitchbook.com?c=519754-33","View Company Online")</f>
      </c>
    </row>
    <row r="710">
      <c r="A710" s="17" t="s">
        <v>14568</v>
      </c>
      <c r="B710" s="17" t="s">
        <v>14569</v>
      </c>
      <c r="C710" s="18" t="s">
        <v>151</v>
      </c>
      <c r="D710" s="17" t="s">
        <v>151</v>
      </c>
      <c r="E710" s="17" t="s">
        <v>151</v>
      </c>
      <c r="F710" s="17" t="s">
        <v>14570</v>
      </c>
      <c r="G710" s="17" t="s">
        <v>151</v>
      </c>
      <c r="H710" s="17" t="s">
        <v>151</v>
      </c>
      <c r="I710" s="17" t="s">
        <v>151</v>
      </c>
      <c r="J710" s="17" t="s">
        <v>14568</v>
      </c>
      <c r="K710" s="17" t="s">
        <v>14571</v>
      </c>
      <c r="L710" s="17" t="s">
        <v>205</v>
      </c>
      <c r="M710" s="17" t="s">
        <v>206</v>
      </c>
      <c r="N710" s="17" t="s">
        <v>269</v>
      </c>
      <c r="O710" s="17" t="s">
        <v>563</v>
      </c>
      <c r="P710" s="17" t="s">
        <v>7308</v>
      </c>
      <c r="Q710" s="17" t="s">
        <v>14572</v>
      </c>
      <c r="R710" s="17" t="s">
        <v>151</v>
      </c>
      <c r="S710" s="17" t="s">
        <v>162</v>
      </c>
      <c r="T710" s="24">
        <v>0.6</v>
      </c>
      <c r="U710" s="17" t="s">
        <v>163</v>
      </c>
      <c r="V710" s="17" t="s">
        <v>164</v>
      </c>
      <c r="W710" s="17" t="s">
        <v>165</v>
      </c>
      <c r="X710" s="15" t="s">
        <v>14573</v>
      </c>
      <c r="Y710" s="15" t="s">
        <v>14574</v>
      </c>
      <c r="Z710" s="27">
        <v>6</v>
      </c>
      <c r="AA710" s="17" t="s">
        <v>14575</v>
      </c>
      <c r="AB710" s="17" t="s">
        <v>151</v>
      </c>
      <c r="AC710" s="17" t="s">
        <v>151</v>
      </c>
      <c r="AD710" s="26">
        <v>2022</v>
      </c>
      <c r="AE710" s="17" t="s">
        <v>151</v>
      </c>
      <c r="AF710" s="22">
        <v>45568</v>
      </c>
      <c r="AG710" s="17" t="s">
        <v>151</v>
      </c>
      <c r="AH710" s="17" t="s">
        <v>151</v>
      </c>
      <c r="AI710" s="25" t="s">
        <v>151</v>
      </c>
      <c r="AJ710" s="19" t="s">
        <v>151</v>
      </c>
      <c r="AK710" s="25" t="s">
        <v>151</v>
      </c>
      <c r="AL710" s="25" t="s">
        <v>151</v>
      </c>
      <c r="AM710" s="25" t="s">
        <v>151</v>
      </c>
      <c r="AN710" s="25" t="s">
        <v>151</v>
      </c>
      <c r="AO710" s="25" t="s">
        <v>151</v>
      </c>
      <c r="AP710" s="25" t="s">
        <v>151</v>
      </c>
      <c r="AQ710" s="25" t="s">
        <v>151</v>
      </c>
      <c r="AR710" s="16" t="s">
        <v>151</v>
      </c>
      <c r="AS710" s="17" t="s">
        <v>14576</v>
      </c>
      <c r="AT710" s="17" t="s">
        <v>14577</v>
      </c>
      <c r="AU710" s="18">
        <v>5</v>
      </c>
      <c r="AV710" s="17" t="s">
        <v>151</v>
      </c>
      <c r="AW710" s="17" t="s">
        <v>151</v>
      </c>
      <c r="AX710" s="17" t="s">
        <v>151</v>
      </c>
      <c r="AY710" s="17" t="s">
        <v>14578</v>
      </c>
      <c r="AZ710" s="17" t="s">
        <v>151</v>
      </c>
      <c r="BA710" s="17" t="s">
        <v>151</v>
      </c>
      <c r="BB710" s="17" t="s">
        <v>151</v>
      </c>
      <c r="BC710" s="17" t="s">
        <v>151</v>
      </c>
      <c r="BD710" s="17" t="s">
        <v>14579</v>
      </c>
      <c r="BE710" s="17" t="s">
        <v>14580</v>
      </c>
      <c r="BF710" s="17" t="s">
        <v>7946</v>
      </c>
      <c r="BG710" s="17" t="s">
        <v>14581</v>
      </c>
      <c r="BH710" s="17" t="s">
        <v>151</v>
      </c>
      <c r="BI710" s="17" t="s">
        <v>549</v>
      </c>
      <c r="BJ710" s="17" t="s">
        <v>14582</v>
      </c>
      <c r="BK710" s="17" t="s">
        <v>151</v>
      </c>
      <c r="BL710" s="17" t="s">
        <v>552</v>
      </c>
      <c r="BM710" s="17" t="s">
        <v>322</v>
      </c>
      <c r="BN710" s="16" t="s">
        <v>151</v>
      </c>
      <c r="BO710" s="17" t="s">
        <v>186</v>
      </c>
      <c r="BP710" s="16" t="s">
        <v>151</v>
      </c>
      <c r="BQ710" s="16" t="s">
        <v>151</v>
      </c>
      <c r="BR710" s="17" t="s">
        <v>151</v>
      </c>
      <c r="BS710" s="17" t="s">
        <v>187</v>
      </c>
      <c r="BT710" s="17" t="s">
        <v>188</v>
      </c>
      <c r="BU710" s="22">
        <v>45106</v>
      </c>
      <c r="BV710" s="24">
        <v>0.05</v>
      </c>
      <c r="BW710" s="17" t="s">
        <v>192</v>
      </c>
      <c r="BX710" s="24" t="s">
        <v>151</v>
      </c>
      <c r="BY710" s="17" t="s">
        <v>151</v>
      </c>
      <c r="BZ710" s="17" t="s">
        <v>189</v>
      </c>
      <c r="CA710" s="17" t="s">
        <v>151</v>
      </c>
      <c r="CB710" s="17" t="s">
        <v>151</v>
      </c>
      <c r="CC710" s="17" t="s">
        <v>190</v>
      </c>
      <c r="CD710" s="17" t="s">
        <v>151</v>
      </c>
      <c r="CE710" s="17" t="s">
        <v>191</v>
      </c>
      <c r="CF710" s="22">
        <v>45498</v>
      </c>
      <c r="CG710" s="24">
        <v>0.6</v>
      </c>
      <c r="CH710" s="17" t="s">
        <v>192</v>
      </c>
      <c r="CI710" s="24" t="s">
        <v>151</v>
      </c>
      <c r="CJ710" s="17" t="s">
        <v>151</v>
      </c>
      <c r="CK710" s="16" t="s">
        <v>151</v>
      </c>
      <c r="CL710" s="17" t="s">
        <v>231</v>
      </c>
      <c r="CM710" s="17" t="s">
        <v>151</v>
      </c>
      <c r="CN710" s="17" t="s">
        <v>151</v>
      </c>
      <c r="CO710" s="17" t="s">
        <v>165</v>
      </c>
      <c r="CP710" s="22">
        <v>45498</v>
      </c>
      <c r="CQ710" s="24" t="s">
        <v>151</v>
      </c>
      <c r="CR710" s="17" t="s">
        <v>151</v>
      </c>
      <c r="CS710" s="17" t="s">
        <v>191</v>
      </c>
      <c r="CT710" s="16" t="s">
        <v>151</v>
      </c>
      <c r="CU710" s="17" t="s">
        <v>151</v>
      </c>
      <c r="CV710" s="19" t="s">
        <v>151</v>
      </c>
      <c r="CW710" s="19" t="s">
        <v>151</v>
      </c>
      <c r="CX710" s="17" t="s">
        <v>151</v>
      </c>
      <c r="CY710" s="19" t="s">
        <v>151</v>
      </c>
      <c r="CZ710" s="19" t="s">
        <v>151</v>
      </c>
      <c r="DA710" s="24" t="s">
        <v>151</v>
      </c>
      <c r="DB710" s="22" t="s">
        <v>151</v>
      </c>
      <c r="DC710" s="17" t="s">
        <v>151</v>
      </c>
      <c r="DD710" s="16" t="s">
        <v>151</v>
      </c>
      <c r="DE710" s="19">
        <v>0</v>
      </c>
      <c r="DF710" s="21">
        <v>11</v>
      </c>
      <c r="DG710" s="19">
        <v>0</v>
      </c>
      <c r="DH710" s="19">
        <v>0</v>
      </c>
      <c r="DI710" s="19" t="s">
        <v>151</v>
      </c>
      <c r="DJ710" s="21" t="s">
        <v>151</v>
      </c>
      <c r="DK710" s="19" t="s">
        <v>151</v>
      </c>
      <c r="DL710" s="21" t="s">
        <v>151</v>
      </c>
      <c r="DM710" s="19" t="s">
        <v>151</v>
      </c>
      <c r="DN710" s="21" t="s">
        <v>151</v>
      </c>
      <c r="DO710" s="23">
        <v>0.46</v>
      </c>
      <c r="DP710" s="21">
        <v>31</v>
      </c>
      <c r="DQ710" s="23">
        <v>0</v>
      </c>
      <c r="DR710" s="19">
        <v>0</v>
      </c>
      <c r="DS710" s="23" t="s">
        <v>151</v>
      </c>
      <c r="DT710" s="21" t="s">
        <v>151</v>
      </c>
      <c r="DU710" s="23" t="s">
        <v>151</v>
      </c>
      <c r="DV710" s="21" t="s">
        <v>151</v>
      </c>
      <c r="DW710" s="23" t="s">
        <v>151</v>
      </c>
      <c r="DX710" s="21" t="s">
        <v>151</v>
      </c>
      <c r="DY710" s="18" t="s">
        <v>151</v>
      </c>
      <c r="DZ710" s="22" t="s">
        <v>151</v>
      </c>
      <c r="EA710" s="22" t="s">
        <v>151</v>
      </c>
      <c r="EB710" s="21">
        <v>309</v>
      </c>
      <c r="EC710" s="20">
        <v>-104</v>
      </c>
      <c r="ED710" s="19">
        <v>-25.18</v>
      </c>
      <c r="EE710" s="21" t="s">
        <v>151</v>
      </c>
      <c r="EF710" s="20" t="s">
        <v>151</v>
      </c>
      <c r="EG710" s="19" t="s">
        <v>151</v>
      </c>
      <c r="EH710" s="16" t="s">
        <v>198</v>
      </c>
      <c r="EI710" s="17" t="s">
        <v>151</v>
      </c>
      <c r="EJ710" s="17" t="s">
        <v>151</v>
      </c>
      <c r="EK710" s="18" t="s">
        <v>151</v>
      </c>
      <c r="EL710" s="18" t="s">
        <v>151</v>
      </c>
      <c r="EM710" s="18" t="s">
        <v>151</v>
      </c>
      <c r="EN710" s="18" t="s">
        <v>151</v>
      </c>
      <c r="EO710" s="18" t="s">
        <v>151</v>
      </c>
      <c r="EP710" s="17" t="s">
        <v>151</v>
      </c>
      <c r="EQ710" s="16" t="s">
        <v>151</v>
      </c>
      <c r="ER710" s="16" t="s">
        <v>151</v>
      </c>
      <c r="ES710" s="3">
        <f>HYPERLINK("https://my.pitchbook.com?c=539992-00","View Company Online")</f>
      </c>
    </row>
    <row r="711">
      <c r="A711" s="30" t="s">
        <v>14583</v>
      </c>
      <c r="B711" s="30" t="s">
        <v>14584</v>
      </c>
      <c r="C711" s="31" t="s">
        <v>151</v>
      </c>
      <c r="D711" s="30" t="s">
        <v>151</v>
      </c>
      <c r="E711" s="30" t="s">
        <v>151</v>
      </c>
      <c r="F711" s="30" t="s">
        <v>14585</v>
      </c>
      <c r="G711" s="30" t="s">
        <v>151</v>
      </c>
      <c r="H711" s="30" t="s">
        <v>151</v>
      </c>
      <c r="I711" s="30" t="s">
        <v>14586</v>
      </c>
      <c r="J711" s="30" t="s">
        <v>14583</v>
      </c>
      <c r="K711" s="30" t="s">
        <v>14587</v>
      </c>
      <c r="L711" s="30" t="s">
        <v>205</v>
      </c>
      <c r="M711" s="30" t="s">
        <v>206</v>
      </c>
      <c r="N711" s="30" t="s">
        <v>269</v>
      </c>
      <c r="O711" s="30" t="s">
        <v>14588</v>
      </c>
      <c r="P711" s="30" t="s">
        <v>1652</v>
      </c>
      <c r="Q711" s="30" t="s">
        <v>14589</v>
      </c>
      <c r="R711" s="30" t="s">
        <v>151</v>
      </c>
      <c r="S711" s="30" t="s">
        <v>162</v>
      </c>
      <c r="T711" s="37">
        <v>19</v>
      </c>
      <c r="U711" s="30" t="s">
        <v>163</v>
      </c>
      <c r="V711" s="30" t="s">
        <v>164</v>
      </c>
      <c r="W711" s="30" t="s">
        <v>165</v>
      </c>
      <c r="X711" s="28" t="s">
        <v>14590</v>
      </c>
      <c r="Y711" s="28" t="s">
        <v>14591</v>
      </c>
      <c r="Z711" s="40">
        <v>46</v>
      </c>
      <c r="AA711" s="30" t="s">
        <v>14592</v>
      </c>
      <c r="AB711" s="30" t="s">
        <v>151</v>
      </c>
      <c r="AC711" s="30" t="s">
        <v>151</v>
      </c>
      <c r="AD711" s="39">
        <v>2019</v>
      </c>
      <c r="AE711" s="30" t="s">
        <v>151</v>
      </c>
      <c r="AF711" s="35">
        <v>45555</v>
      </c>
      <c r="AG711" s="30" t="s">
        <v>151</v>
      </c>
      <c r="AH711" s="30" t="s">
        <v>151</v>
      </c>
      <c r="AI711" s="38">
        <v>0.63</v>
      </c>
      <c r="AJ711" s="32" t="s">
        <v>151</v>
      </c>
      <c r="AK711" s="38" t="s">
        <v>151</v>
      </c>
      <c r="AL711" s="38" t="s">
        <v>151</v>
      </c>
      <c r="AM711" s="38" t="s">
        <v>151</v>
      </c>
      <c r="AN711" s="38" t="s">
        <v>151</v>
      </c>
      <c r="AO711" s="38" t="s">
        <v>151</v>
      </c>
      <c r="AP711" s="38" t="s">
        <v>151</v>
      </c>
      <c r="AQ711" s="38" t="s">
        <v>151</v>
      </c>
      <c r="AR711" s="29" t="s">
        <v>3435</v>
      </c>
      <c r="AS711" s="30" t="s">
        <v>14593</v>
      </c>
      <c r="AT711" s="30" t="s">
        <v>14594</v>
      </c>
      <c r="AU711" s="31">
        <v>6</v>
      </c>
      <c r="AV711" s="30" t="s">
        <v>151</v>
      </c>
      <c r="AW711" s="30" t="s">
        <v>151</v>
      </c>
      <c r="AX711" s="30" t="s">
        <v>151</v>
      </c>
      <c r="AY711" s="30" t="s">
        <v>14595</v>
      </c>
      <c r="AZ711" s="30" t="s">
        <v>151</v>
      </c>
      <c r="BA711" s="30" t="s">
        <v>151</v>
      </c>
      <c r="BB711" s="30" t="s">
        <v>14596</v>
      </c>
      <c r="BC711" s="30" t="s">
        <v>1115</v>
      </c>
      <c r="BD711" s="30" t="s">
        <v>14597</v>
      </c>
      <c r="BE711" s="30" t="s">
        <v>14598</v>
      </c>
      <c r="BF711" s="30" t="s">
        <v>493</v>
      </c>
      <c r="BG711" s="30" t="s">
        <v>14599</v>
      </c>
      <c r="BH711" s="30" t="s">
        <v>14600</v>
      </c>
      <c r="BI711" s="30" t="s">
        <v>764</v>
      </c>
      <c r="BJ711" s="30" t="s">
        <v>151</v>
      </c>
      <c r="BK711" s="30" t="s">
        <v>151</v>
      </c>
      <c r="BL711" s="30" t="s">
        <v>767</v>
      </c>
      <c r="BM711" s="30" t="s">
        <v>184</v>
      </c>
      <c r="BN711" s="29" t="s">
        <v>151</v>
      </c>
      <c r="BO711" s="30" t="s">
        <v>186</v>
      </c>
      <c r="BP711" s="29" t="s">
        <v>14600</v>
      </c>
      <c r="BQ711" s="29" t="s">
        <v>151</v>
      </c>
      <c r="BR711" s="30" t="s">
        <v>151</v>
      </c>
      <c r="BS711" s="30" t="s">
        <v>187</v>
      </c>
      <c r="BT711" s="30" t="s">
        <v>188</v>
      </c>
      <c r="BU711" s="35">
        <v>44195</v>
      </c>
      <c r="BV711" s="37">
        <v>3.5</v>
      </c>
      <c r="BW711" s="30" t="s">
        <v>192</v>
      </c>
      <c r="BX711" s="37">
        <v>13.5</v>
      </c>
      <c r="BY711" s="30" t="s">
        <v>192</v>
      </c>
      <c r="BZ711" s="30" t="s">
        <v>293</v>
      </c>
      <c r="CA711" s="30" t="s">
        <v>293</v>
      </c>
      <c r="CB711" s="30" t="s">
        <v>151</v>
      </c>
      <c r="CC711" s="30" t="s">
        <v>165</v>
      </c>
      <c r="CD711" s="30" t="s">
        <v>151</v>
      </c>
      <c r="CE711" s="30" t="s">
        <v>191</v>
      </c>
      <c r="CF711" s="35">
        <v>44370</v>
      </c>
      <c r="CG711" s="37">
        <v>15.5</v>
      </c>
      <c r="CH711" s="30" t="s">
        <v>192</v>
      </c>
      <c r="CI711" s="37">
        <v>60</v>
      </c>
      <c r="CJ711" s="30" t="s">
        <v>192</v>
      </c>
      <c r="CK711" s="29">
        <v>3.3</v>
      </c>
      <c r="CL711" s="30" t="s">
        <v>231</v>
      </c>
      <c r="CM711" s="30" t="s">
        <v>232</v>
      </c>
      <c r="CN711" s="30" t="s">
        <v>151</v>
      </c>
      <c r="CO711" s="30" t="s">
        <v>165</v>
      </c>
      <c r="CP711" s="35">
        <v>44370</v>
      </c>
      <c r="CQ711" s="37" t="s">
        <v>151</v>
      </c>
      <c r="CR711" s="30" t="s">
        <v>151</v>
      </c>
      <c r="CS711" s="30" t="s">
        <v>191</v>
      </c>
      <c r="CT711" s="29">
        <v>70</v>
      </c>
      <c r="CU711" s="30" t="s">
        <v>196</v>
      </c>
      <c r="CV711" s="32">
        <v>66</v>
      </c>
      <c r="CW711" s="32">
        <v>34</v>
      </c>
      <c r="CX711" s="30" t="s">
        <v>294</v>
      </c>
      <c r="CY711" s="32">
        <v>1</v>
      </c>
      <c r="CZ711" s="32">
        <v>65</v>
      </c>
      <c r="DA711" s="37">
        <v>60</v>
      </c>
      <c r="DB711" s="35">
        <v>44370</v>
      </c>
      <c r="DC711" s="30" t="s">
        <v>231</v>
      </c>
      <c r="DD711" s="29">
        <v>3.3</v>
      </c>
      <c r="DE711" s="32" t="s">
        <v>151</v>
      </c>
      <c r="DF711" s="34" t="s">
        <v>151</v>
      </c>
      <c r="DG711" s="32" t="s">
        <v>151</v>
      </c>
      <c r="DH711" s="32" t="s">
        <v>151</v>
      </c>
      <c r="DI711" s="32" t="s">
        <v>151</v>
      </c>
      <c r="DJ711" s="34" t="s">
        <v>151</v>
      </c>
      <c r="DK711" s="32" t="s">
        <v>151</v>
      </c>
      <c r="DL711" s="34" t="s">
        <v>151</v>
      </c>
      <c r="DM711" s="32" t="s">
        <v>151</v>
      </c>
      <c r="DN711" s="34" t="s">
        <v>151</v>
      </c>
      <c r="DO711" s="36" t="s">
        <v>151</v>
      </c>
      <c r="DP711" s="34" t="s">
        <v>151</v>
      </c>
      <c r="DQ711" s="36" t="s">
        <v>151</v>
      </c>
      <c r="DR711" s="32" t="s">
        <v>151</v>
      </c>
      <c r="DS711" s="36" t="s">
        <v>151</v>
      </c>
      <c r="DT711" s="34" t="s">
        <v>151</v>
      </c>
      <c r="DU711" s="36" t="s">
        <v>151</v>
      </c>
      <c r="DV711" s="34" t="s">
        <v>151</v>
      </c>
      <c r="DW711" s="36" t="s">
        <v>151</v>
      </c>
      <c r="DX711" s="34" t="s">
        <v>151</v>
      </c>
      <c r="DY711" s="31" t="s">
        <v>151</v>
      </c>
      <c r="DZ711" s="35" t="s">
        <v>151</v>
      </c>
      <c r="EA711" s="35" t="s">
        <v>151</v>
      </c>
      <c r="EB711" s="34" t="s">
        <v>151</v>
      </c>
      <c r="EC711" s="33" t="s">
        <v>151</v>
      </c>
      <c r="ED711" s="32" t="s">
        <v>151</v>
      </c>
      <c r="EE711" s="34" t="s">
        <v>151</v>
      </c>
      <c r="EF711" s="33" t="s">
        <v>151</v>
      </c>
      <c r="EG711" s="32" t="s">
        <v>151</v>
      </c>
      <c r="EH711" s="29" t="s">
        <v>198</v>
      </c>
      <c r="EI711" s="30" t="s">
        <v>151</v>
      </c>
      <c r="EJ711" s="30" t="s">
        <v>151</v>
      </c>
      <c r="EK711" s="31" t="s">
        <v>151</v>
      </c>
      <c r="EL711" s="31" t="s">
        <v>151</v>
      </c>
      <c r="EM711" s="31" t="s">
        <v>151</v>
      </c>
      <c r="EN711" s="31" t="s">
        <v>151</v>
      </c>
      <c r="EO711" s="31" t="s">
        <v>151</v>
      </c>
      <c r="EP711" s="30" t="s">
        <v>151</v>
      </c>
      <c r="EQ711" s="29" t="s">
        <v>151</v>
      </c>
      <c r="ER711" s="29" t="s">
        <v>151</v>
      </c>
      <c r="ES711" s="4">
        <f>HYPERLINK("https://my.pitchbook.com?c=458261-83","View Company Online")</f>
      </c>
    </row>
    <row r="712">
      <c r="A712" s="17" t="s">
        <v>14601</v>
      </c>
      <c r="B712" s="17" t="s">
        <v>14602</v>
      </c>
      <c r="C712" s="18" t="s">
        <v>151</v>
      </c>
      <c r="D712" s="17" t="s">
        <v>151</v>
      </c>
      <c r="E712" s="17" t="s">
        <v>14603</v>
      </c>
      <c r="F712" s="17" t="s">
        <v>14604</v>
      </c>
      <c r="G712" s="17" t="s">
        <v>151</v>
      </c>
      <c r="H712" s="17" t="s">
        <v>151</v>
      </c>
      <c r="I712" s="17" t="s">
        <v>151</v>
      </c>
      <c r="J712" s="17" t="s">
        <v>14601</v>
      </c>
      <c r="K712" s="17" t="s">
        <v>14605</v>
      </c>
      <c r="L712" s="17" t="s">
        <v>205</v>
      </c>
      <c r="M712" s="17" t="s">
        <v>206</v>
      </c>
      <c r="N712" s="17" t="s">
        <v>269</v>
      </c>
      <c r="O712" s="17" t="s">
        <v>14606</v>
      </c>
      <c r="P712" s="17" t="s">
        <v>1421</v>
      </c>
      <c r="Q712" s="17" t="s">
        <v>14607</v>
      </c>
      <c r="R712" s="17" t="s">
        <v>151</v>
      </c>
      <c r="S712" s="17" t="s">
        <v>162</v>
      </c>
      <c r="T712" s="24">
        <v>5.4</v>
      </c>
      <c r="U712" s="17" t="s">
        <v>163</v>
      </c>
      <c r="V712" s="17" t="s">
        <v>164</v>
      </c>
      <c r="W712" s="17" t="s">
        <v>165</v>
      </c>
      <c r="X712" s="15" t="s">
        <v>14608</v>
      </c>
      <c r="Y712" s="15" t="s">
        <v>14609</v>
      </c>
      <c r="Z712" s="27">
        <v>37</v>
      </c>
      <c r="AA712" s="17" t="s">
        <v>14610</v>
      </c>
      <c r="AB712" s="17" t="s">
        <v>151</v>
      </c>
      <c r="AC712" s="17" t="s">
        <v>151</v>
      </c>
      <c r="AD712" s="26">
        <v>2019</v>
      </c>
      <c r="AE712" s="17" t="s">
        <v>151</v>
      </c>
      <c r="AF712" s="22">
        <v>45447</v>
      </c>
      <c r="AG712" s="17" t="s">
        <v>151</v>
      </c>
      <c r="AH712" s="17" t="s">
        <v>151</v>
      </c>
      <c r="AI712" s="25" t="s">
        <v>151</v>
      </c>
      <c r="AJ712" s="19" t="s">
        <v>151</v>
      </c>
      <c r="AK712" s="25" t="s">
        <v>151</v>
      </c>
      <c r="AL712" s="25" t="s">
        <v>151</v>
      </c>
      <c r="AM712" s="25" t="s">
        <v>151</v>
      </c>
      <c r="AN712" s="25" t="s">
        <v>151</v>
      </c>
      <c r="AO712" s="25" t="s">
        <v>151</v>
      </c>
      <c r="AP712" s="25" t="s">
        <v>151</v>
      </c>
      <c r="AQ712" s="25" t="s">
        <v>151</v>
      </c>
      <c r="AR712" s="16" t="s">
        <v>151</v>
      </c>
      <c r="AS712" s="17" t="s">
        <v>14611</v>
      </c>
      <c r="AT712" s="17" t="s">
        <v>14612</v>
      </c>
      <c r="AU712" s="18">
        <v>8</v>
      </c>
      <c r="AV712" s="17" t="s">
        <v>151</v>
      </c>
      <c r="AW712" s="17" t="s">
        <v>151</v>
      </c>
      <c r="AX712" s="17" t="s">
        <v>151</v>
      </c>
      <c r="AY712" s="17" t="s">
        <v>14613</v>
      </c>
      <c r="AZ712" s="17" t="s">
        <v>151</v>
      </c>
      <c r="BA712" s="17" t="s">
        <v>151</v>
      </c>
      <c r="BB712" s="17" t="s">
        <v>151</v>
      </c>
      <c r="BC712" s="17" t="s">
        <v>151</v>
      </c>
      <c r="BD712" s="17" t="s">
        <v>14614</v>
      </c>
      <c r="BE712" s="17" t="s">
        <v>14615</v>
      </c>
      <c r="BF712" s="17" t="s">
        <v>14616</v>
      </c>
      <c r="BG712" s="17" t="s">
        <v>14617</v>
      </c>
      <c r="BH712" s="17" t="s">
        <v>14618</v>
      </c>
      <c r="BI712" s="17" t="s">
        <v>224</v>
      </c>
      <c r="BJ712" s="17" t="s">
        <v>14619</v>
      </c>
      <c r="BK712" s="17" t="s">
        <v>14620</v>
      </c>
      <c r="BL712" s="17" t="s">
        <v>227</v>
      </c>
      <c r="BM712" s="17" t="s">
        <v>184</v>
      </c>
      <c r="BN712" s="16" t="s">
        <v>14621</v>
      </c>
      <c r="BO712" s="17" t="s">
        <v>186</v>
      </c>
      <c r="BP712" s="16" t="s">
        <v>14618</v>
      </c>
      <c r="BQ712" s="16" t="s">
        <v>151</v>
      </c>
      <c r="BR712" s="17" t="s">
        <v>14622</v>
      </c>
      <c r="BS712" s="17" t="s">
        <v>187</v>
      </c>
      <c r="BT712" s="17" t="s">
        <v>188</v>
      </c>
      <c r="BU712" s="22">
        <v>43854</v>
      </c>
      <c r="BV712" s="24">
        <v>0.04</v>
      </c>
      <c r="BW712" s="17" t="s">
        <v>192</v>
      </c>
      <c r="BX712" s="24">
        <v>0.72</v>
      </c>
      <c r="BY712" s="17" t="s">
        <v>192</v>
      </c>
      <c r="BZ712" s="17" t="s">
        <v>189</v>
      </c>
      <c r="CA712" s="17" t="s">
        <v>151</v>
      </c>
      <c r="CB712" s="17" t="s">
        <v>151</v>
      </c>
      <c r="CC712" s="17" t="s">
        <v>190</v>
      </c>
      <c r="CD712" s="17" t="s">
        <v>151</v>
      </c>
      <c r="CE712" s="17" t="s">
        <v>191</v>
      </c>
      <c r="CF712" s="22">
        <v>45047</v>
      </c>
      <c r="CG712" s="24">
        <v>4.36</v>
      </c>
      <c r="CH712" s="17" t="s">
        <v>192</v>
      </c>
      <c r="CI712" s="24" t="s">
        <v>151</v>
      </c>
      <c r="CJ712" s="17" t="s">
        <v>151</v>
      </c>
      <c r="CK712" s="16" t="s">
        <v>151</v>
      </c>
      <c r="CL712" s="17" t="s">
        <v>1363</v>
      </c>
      <c r="CM712" s="17" t="s">
        <v>151</v>
      </c>
      <c r="CN712" s="17" t="s">
        <v>151</v>
      </c>
      <c r="CO712" s="17" t="s">
        <v>585</v>
      </c>
      <c r="CP712" s="22">
        <v>45047</v>
      </c>
      <c r="CQ712" s="24" t="s">
        <v>151</v>
      </c>
      <c r="CR712" s="17" t="s">
        <v>151</v>
      </c>
      <c r="CS712" s="17" t="s">
        <v>191</v>
      </c>
      <c r="CT712" s="16" t="s">
        <v>151</v>
      </c>
      <c r="CU712" s="17" t="s">
        <v>151</v>
      </c>
      <c r="CV712" s="19" t="s">
        <v>151</v>
      </c>
      <c r="CW712" s="19" t="s">
        <v>151</v>
      </c>
      <c r="CX712" s="17" t="s">
        <v>151</v>
      </c>
      <c r="CY712" s="19" t="s">
        <v>151</v>
      </c>
      <c r="CZ712" s="19" t="s">
        <v>151</v>
      </c>
      <c r="DA712" s="24">
        <v>0.72</v>
      </c>
      <c r="DB712" s="22">
        <v>43854</v>
      </c>
      <c r="DC712" s="17" t="s">
        <v>189</v>
      </c>
      <c r="DD712" s="16" t="s">
        <v>151</v>
      </c>
      <c r="DE712" s="19">
        <v>1.45</v>
      </c>
      <c r="DF712" s="21">
        <v>97</v>
      </c>
      <c r="DG712" s="19">
        <v>0</v>
      </c>
      <c r="DH712" s="19">
        <v>0</v>
      </c>
      <c r="DI712" s="19" t="s">
        <v>151</v>
      </c>
      <c r="DJ712" s="21" t="s">
        <v>151</v>
      </c>
      <c r="DK712" s="19" t="s">
        <v>151</v>
      </c>
      <c r="DL712" s="21" t="s">
        <v>151</v>
      </c>
      <c r="DM712" s="19" t="s">
        <v>151</v>
      </c>
      <c r="DN712" s="21" t="s">
        <v>151</v>
      </c>
      <c r="DO712" s="23">
        <v>2.85</v>
      </c>
      <c r="DP712" s="21">
        <v>74</v>
      </c>
      <c r="DQ712" s="23">
        <v>0</v>
      </c>
      <c r="DR712" s="19">
        <v>0</v>
      </c>
      <c r="DS712" s="23" t="s">
        <v>151</v>
      </c>
      <c r="DT712" s="21" t="s">
        <v>151</v>
      </c>
      <c r="DU712" s="23" t="s">
        <v>151</v>
      </c>
      <c r="DV712" s="21" t="s">
        <v>151</v>
      </c>
      <c r="DW712" s="23" t="s">
        <v>151</v>
      </c>
      <c r="DX712" s="21" t="s">
        <v>151</v>
      </c>
      <c r="DY712" s="18" t="s">
        <v>151</v>
      </c>
      <c r="DZ712" s="22" t="s">
        <v>151</v>
      </c>
      <c r="EA712" s="22" t="s">
        <v>151</v>
      </c>
      <c r="EB712" s="21">
        <v>232</v>
      </c>
      <c r="EC712" s="20">
        <v>-18</v>
      </c>
      <c r="ED712" s="19">
        <v>-7.2</v>
      </c>
      <c r="EE712" s="21" t="s">
        <v>151</v>
      </c>
      <c r="EF712" s="20" t="s">
        <v>151</v>
      </c>
      <c r="EG712" s="19" t="s">
        <v>151</v>
      </c>
      <c r="EH712" s="16" t="s">
        <v>198</v>
      </c>
      <c r="EI712" s="17" t="s">
        <v>151</v>
      </c>
      <c r="EJ712" s="17" t="s">
        <v>151</v>
      </c>
      <c r="EK712" s="18" t="s">
        <v>151</v>
      </c>
      <c r="EL712" s="18" t="s">
        <v>151</v>
      </c>
      <c r="EM712" s="18" t="s">
        <v>151</v>
      </c>
      <c r="EN712" s="18" t="s">
        <v>151</v>
      </c>
      <c r="EO712" s="18" t="s">
        <v>151</v>
      </c>
      <c r="EP712" s="17" t="s">
        <v>151</v>
      </c>
      <c r="EQ712" s="16" t="s">
        <v>151</v>
      </c>
      <c r="ER712" s="16" t="s">
        <v>151</v>
      </c>
      <c r="ES712" s="3">
        <f>HYPERLINK("https://my.pitchbook.com?c=407213-65","View Company Online")</f>
      </c>
    </row>
    <row r="713">
      <c r="A713" s="30" t="s">
        <v>14623</v>
      </c>
      <c r="B713" s="30" t="s">
        <v>14624</v>
      </c>
      <c r="C713" s="31" t="s">
        <v>151</v>
      </c>
      <c r="D713" s="30" t="s">
        <v>151</v>
      </c>
      <c r="E713" s="30" t="s">
        <v>14625</v>
      </c>
      <c r="F713" s="30" t="s">
        <v>14626</v>
      </c>
      <c r="G713" s="30" t="s">
        <v>151</v>
      </c>
      <c r="H713" s="30" t="s">
        <v>151</v>
      </c>
      <c r="I713" s="30" t="s">
        <v>151</v>
      </c>
      <c r="J713" s="30" t="s">
        <v>14623</v>
      </c>
      <c r="K713" s="30" t="s">
        <v>14627</v>
      </c>
      <c r="L713" s="30" t="s">
        <v>205</v>
      </c>
      <c r="M713" s="30" t="s">
        <v>206</v>
      </c>
      <c r="N713" s="30" t="s">
        <v>269</v>
      </c>
      <c r="O713" s="30" t="s">
        <v>891</v>
      </c>
      <c r="P713" s="30" t="s">
        <v>209</v>
      </c>
      <c r="Q713" s="30" t="s">
        <v>14628</v>
      </c>
      <c r="R713" s="30" t="s">
        <v>211</v>
      </c>
      <c r="S713" s="30" t="s">
        <v>162</v>
      </c>
      <c r="T713" s="37">
        <v>3</v>
      </c>
      <c r="U713" s="30" t="s">
        <v>163</v>
      </c>
      <c r="V713" s="30" t="s">
        <v>164</v>
      </c>
      <c r="W713" s="30" t="s">
        <v>165</v>
      </c>
      <c r="X713" s="28" t="s">
        <v>14629</v>
      </c>
      <c r="Y713" s="28" t="s">
        <v>14630</v>
      </c>
      <c r="Z713" s="40">
        <v>10</v>
      </c>
      <c r="AA713" s="30" t="s">
        <v>14631</v>
      </c>
      <c r="AB713" s="30" t="s">
        <v>151</v>
      </c>
      <c r="AC713" s="30" t="s">
        <v>151</v>
      </c>
      <c r="AD713" s="39" t="s">
        <v>151</v>
      </c>
      <c r="AE713" s="30" t="s">
        <v>151</v>
      </c>
      <c r="AF713" s="35">
        <v>45439</v>
      </c>
      <c r="AG713" s="30" t="s">
        <v>151</v>
      </c>
      <c r="AH713" s="30" t="s">
        <v>151</v>
      </c>
      <c r="AI713" s="38" t="s">
        <v>151</v>
      </c>
      <c r="AJ713" s="32" t="s">
        <v>151</v>
      </c>
      <c r="AK713" s="38" t="s">
        <v>151</v>
      </c>
      <c r="AL713" s="38" t="s">
        <v>151</v>
      </c>
      <c r="AM713" s="38" t="s">
        <v>151</v>
      </c>
      <c r="AN713" s="38" t="s">
        <v>151</v>
      </c>
      <c r="AO713" s="38" t="s">
        <v>151</v>
      </c>
      <c r="AP713" s="38" t="s">
        <v>151</v>
      </c>
      <c r="AQ713" s="38" t="s">
        <v>151</v>
      </c>
      <c r="AR713" s="29" t="s">
        <v>151</v>
      </c>
      <c r="AS713" s="30" t="s">
        <v>14632</v>
      </c>
      <c r="AT713" s="30" t="s">
        <v>14633</v>
      </c>
      <c r="AU713" s="31">
        <v>11</v>
      </c>
      <c r="AV713" s="30" t="s">
        <v>151</v>
      </c>
      <c r="AW713" s="30" t="s">
        <v>151</v>
      </c>
      <c r="AX713" s="30" t="s">
        <v>151</v>
      </c>
      <c r="AY713" s="30" t="s">
        <v>14634</v>
      </c>
      <c r="AZ713" s="30" t="s">
        <v>151</v>
      </c>
      <c r="BA713" s="30" t="s">
        <v>151</v>
      </c>
      <c r="BB713" s="30" t="s">
        <v>151</v>
      </c>
      <c r="BC713" s="30" t="s">
        <v>490</v>
      </c>
      <c r="BD713" s="30" t="s">
        <v>14635</v>
      </c>
      <c r="BE713" s="30" t="s">
        <v>14636</v>
      </c>
      <c r="BF713" s="30" t="s">
        <v>221</v>
      </c>
      <c r="BG713" s="30" t="s">
        <v>14637</v>
      </c>
      <c r="BH713" s="30" t="s">
        <v>151</v>
      </c>
      <c r="BI713" s="30" t="s">
        <v>764</v>
      </c>
      <c r="BJ713" s="30" t="s">
        <v>14638</v>
      </c>
      <c r="BK713" s="30" t="s">
        <v>14639</v>
      </c>
      <c r="BL713" s="30" t="s">
        <v>767</v>
      </c>
      <c r="BM713" s="30" t="s">
        <v>184</v>
      </c>
      <c r="BN713" s="29" t="s">
        <v>10913</v>
      </c>
      <c r="BO713" s="30" t="s">
        <v>186</v>
      </c>
      <c r="BP713" s="29" t="s">
        <v>151</v>
      </c>
      <c r="BQ713" s="29" t="s">
        <v>151</v>
      </c>
      <c r="BR713" s="30" t="s">
        <v>14640</v>
      </c>
      <c r="BS713" s="30" t="s">
        <v>187</v>
      </c>
      <c r="BT713" s="30" t="s">
        <v>188</v>
      </c>
      <c r="BU713" s="35">
        <v>44783</v>
      </c>
      <c r="BV713" s="37">
        <v>3</v>
      </c>
      <c r="BW713" s="30" t="s">
        <v>192</v>
      </c>
      <c r="BX713" s="37">
        <v>12</v>
      </c>
      <c r="BY713" s="30" t="s">
        <v>192</v>
      </c>
      <c r="BZ713" s="30" t="s">
        <v>293</v>
      </c>
      <c r="CA713" s="30" t="s">
        <v>293</v>
      </c>
      <c r="CB713" s="30" t="s">
        <v>151</v>
      </c>
      <c r="CC713" s="30" t="s">
        <v>165</v>
      </c>
      <c r="CD713" s="30" t="s">
        <v>151</v>
      </c>
      <c r="CE713" s="30" t="s">
        <v>191</v>
      </c>
      <c r="CF713" s="35">
        <v>44783</v>
      </c>
      <c r="CG713" s="37">
        <v>3</v>
      </c>
      <c r="CH713" s="30" t="s">
        <v>192</v>
      </c>
      <c r="CI713" s="37">
        <v>12</v>
      </c>
      <c r="CJ713" s="30" t="s">
        <v>192</v>
      </c>
      <c r="CK713" s="29" t="s">
        <v>151</v>
      </c>
      <c r="CL713" s="30" t="s">
        <v>293</v>
      </c>
      <c r="CM713" s="30" t="s">
        <v>293</v>
      </c>
      <c r="CN713" s="30" t="s">
        <v>151</v>
      </c>
      <c r="CO713" s="30" t="s">
        <v>165</v>
      </c>
      <c r="CP713" s="35">
        <v>44783</v>
      </c>
      <c r="CQ713" s="37" t="s">
        <v>151</v>
      </c>
      <c r="CR713" s="30" t="s">
        <v>151</v>
      </c>
      <c r="CS713" s="30" t="s">
        <v>191</v>
      </c>
      <c r="CT713" s="29" t="s">
        <v>151</v>
      </c>
      <c r="CU713" s="30" t="s">
        <v>151</v>
      </c>
      <c r="CV713" s="32" t="s">
        <v>151</v>
      </c>
      <c r="CW713" s="32" t="s">
        <v>151</v>
      </c>
      <c r="CX713" s="30" t="s">
        <v>151</v>
      </c>
      <c r="CY713" s="32" t="s">
        <v>151</v>
      </c>
      <c r="CZ713" s="32" t="s">
        <v>151</v>
      </c>
      <c r="DA713" s="37">
        <v>12</v>
      </c>
      <c r="DB713" s="35">
        <v>44783</v>
      </c>
      <c r="DC713" s="30" t="s">
        <v>293</v>
      </c>
      <c r="DD713" s="29" t="s">
        <v>151</v>
      </c>
      <c r="DE713" s="32" t="s">
        <v>151</v>
      </c>
      <c r="DF713" s="34" t="s">
        <v>151</v>
      </c>
      <c r="DG713" s="32" t="s">
        <v>151</v>
      </c>
      <c r="DH713" s="32" t="s">
        <v>151</v>
      </c>
      <c r="DI713" s="32" t="s">
        <v>151</v>
      </c>
      <c r="DJ713" s="34" t="s">
        <v>151</v>
      </c>
      <c r="DK713" s="32" t="s">
        <v>151</v>
      </c>
      <c r="DL713" s="34" t="s">
        <v>151</v>
      </c>
      <c r="DM713" s="32" t="s">
        <v>151</v>
      </c>
      <c r="DN713" s="34" t="s">
        <v>151</v>
      </c>
      <c r="DO713" s="36" t="s">
        <v>151</v>
      </c>
      <c r="DP713" s="34" t="s">
        <v>151</v>
      </c>
      <c r="DQ713" s="36" t="s">
        <v>151</v>
      </c>
      <c r="DR713" s="32" t="s">
        <v>151</v>
      </c>
      <c r="DS713" s="36" t="s">
        <v>151</v>
      </c>
      <c r="DT713" s="34" t="s">
        <v>151</v>
      </c>
      <c r="DU713" s="36" t="s">
        <v>151</v>
      </c>
      <c r="DV713" s="34" t="s">
        <v>151</v>
      </c>
      <c r="DW713" s="36" t="s">
        <v>151</v>
      </c>
      <c r="DX713" s="34" t="s">
        <v>151</v>
      </c>
      <c r="DY713" s="31" t="s">
        <v>151</v>
      </c>
      <c r="DZ713" s="35" t="s">
        <v>151</v>
      </c>
      <c r="EA713" s="35" t="s">
        <v>151</v>
      </c>
      <c r="EB713" s="34" t="s">
        <v>151</v>
      </c>
      <c r="EC713" s="33" t="s">
        <v>151</v>
      </c>
      <c r="ED713" s="32" t="s">
        <v>151</v>
      </c>
      <c r="EE713" s="34" t="s">
        <v>151</v>
      </c>
      <c r="EF713" s="33" t="s">
        <v>151</v>
      </c>
      <c r="EG713" s="32" t="s">
        <v>151</v>
      </c>
      <c r="EH713" s="29" t="s">
        <v>198</v>
      </c>
      <c r="EI713" s="30" t="s">
        <v>151</v>
      </c>
      <c r="EJ713" s="30" t="s">
        <v>151</v>
      </c>
      <c r="EK713" s="31" t="s">
        <v>151</v>
      </c>
      <c r="EL713" s="31" t="s">
        <v>151</v>
      </c>
      <c r="EM713" s="31" t="s">
        <v>151</v>
      </c>
      <c r="EN713" s="31" t="s">
        <v>151</v>
      </c>
      <c r="EO713" s="31" t="s">
        <v>151</v>
      </c>
      <c r="EP713" s="30" t="s">
        <v>151</v>
      </c>
      <c r="EQ713" s="29" t="s">
        <v>151</v>
      </c>
      <c r="ER713" s="29" t="s">
        <v>151</v>
      </c>
      <c r="ES713" s="4">
        <f>HYPERLINK("https://my.pitchbook.com?c=512822-71","View Company Online")</f>
      </c>
    </row>
    <row r="714">
      <c r="A714" s="17" t="s">
        <v>14641</v>
      </c>
      <c r="B714" s="17" t="s">
        <v>14642</v>
      </c>
      <c r="C714" s="18" t="s">
        <v>151</v>
      </c>
      <c r="D714" s="17" t="s">
        <v>151</v>
      </c>
      <c r="E714" s="17" t="s">
        <v>14643</v>
      </c>
      <c r="F714" s="17" t="s">
        <v>14644</v>
      </c>
      <c r="G714" s="17" t="s">
        <v>151</v>
      </c>
      <c r="H714" s="17" t="s">
        <v>151</v>
      </c>
      <c r="I714" s="17" t="s">
        <v>151</v>
      </c>
      <c r="J714" s="17" t="s">
        <v>14641</v>
      </c>
      <c r="K714" s="17" t="s">
        <v>14645</v>
      </c>
      <c r="L714" s="17" t="s">
        <v>205</v>
      </c>
      <c r="M714" s="17" t="s">
        <v>206</v>
      </c>
      <c r="N714" s="17" t="s">
        <v>269</v>
      </c>
      <c r="O714" s="17" t="s">
        <v>14646</v>
      </c>
      <c r="P714" s="17" t="s">
        <v>10302</v>
      </c>
      <c r="Q714" s="17" t="s">
        <v>14647</v>
      </c>
      <c r="R714" s="17" t="s">
        <v>151</v>
      </c>
      <c r="S714" s="17" t="s">
        <v>162</v>
      </c>
      <c r="T714" s="24">
        <v>48</v>
      </c>
      <c r="U714" s="17" t="s">
        <v>163</v>
      </c>
      <c r="V714" s="17" t="s">
        <v>164</v>
      </c>
      <c r="W714" s="17" t="s">
        <v>165</v>
      </c>
      <c r="X714" s="15" t="s">
        <v>14648</v>
      </c>
      <c r="Y714" s="15" t="s">
        <v>14649</v>
      </c>
      <c r="Z714" s="27">
        <v>57</v>
      </c>
      <c r="AA714" s="17" t="s">
        <v>14650</v>
      </c>
      <c r="AB714" s="17" t="s">
        <v>151</v>
      </c>
      <c r="AC714" s="17" t="s">
        <v>151</v>
      </c>
      <c r="AD714" s="26">
        <v>2020</v>
      </c>
      <c r="AE714" s="17" t="s">
        <v>151</v>
      </c>
      <c r="AF714" s="22">
        <v>45558</v>
      </c>
      <c r="AG714" s="17" t="s">
        <v>151</v>
      </c>
      <c r="AH714" s="17" t="s">
        <v>151</v>
      </c>
      <c r="AI714" s="25" t="s">
        <v>151</v>
      </c>
      <c r="AJ714" s="19" t="s">
        <v>151</v>
      </c>
      <c r="AK714" s="25" t="s">
        <v>151</v>
      </c>
      <c r="AL714" s="25" t="s">
        <v>151</v>
      </c>
      <c r="AM714" s="25" t="s">
        <v>151</v>
      </c>
      <c r="AN714" s="25" t="s">
        <v>151</v>
      </c>
      <c r="AO714" s="25" t="s">
        <v>151</v>
      </c>
      <c r="AP714" s="25" t="s">
        <v>151</v>
      </c>
      <c r="AQ714" s="25" t="s">
        <v>151</v>
      </c>
      <c r="AR714" s="16" t="s">
        <v>151</v>
      </c>
      <c r="AS714" s="17" t="s">
        <v>14651</v>
      </c>
      <c r="AT714" s="17" t="s">
        <v>14652</v>
      </c>
      <c r="AU714" s="18">
        <v>15</v>
      </c>
      <c r="AV714" s="17" t="s">
        <v>151</v>
      </c>
      <c r="AW714" s="17" t="s">
        <v>151</v>
      </c>
      <c r="AX714" s="17" t="s">
        <v>151</v>
      </c>
      <c r="AY714" s="17" t="s">
        <v>14653</v>
      </c>
      <c r="AZ714" s="17" t="s">
        <v>151</v>
      </c>
      <c r="BA714" s="17" t="s">
        <v>151</v>
      </c>
      <c r="BB714" s="17" t="s">
        <v>151</v>
      </c>
      <c r="BC714" s="17" t="s">
        <v>343</v>
      </c>
      <c r="BD714" s="17" t="s">
        <v>14654</v>
      </c>
      <c r="BE714" s="17" t="s">
        <v>14655</v>
      </c>
      <c r="BF714" s="17" t="s">
        <v>493</v>
      </c>
      <c r="BG714" s="17" t="s">
        <v>14656</v>
      </c>
      <c r="BH714" s="17" t="s">
        <v>14657</v>
      </c>
      <c r="BI714" s="17" t="s">
        <v>707</v>
      </c>
      <c r="BJ714" s="17" t="s">
        <v>14658</v>
      </c>
      <c r="BK714" s="17" t="s">
        <v>151</v>
      </c>
      <c r="BL714" s="17" t="s">
        <v>709</v>
      </c>
      <c r="BM714" s="17" t="s">
        <v>184</v>
      </c>
      <c r="BN714" s="16" t="s">
        <v>6742</v>
      </c>
      <c r="BO714" s="17" t="s">
        <v>186</v>
      </c>
      <c r="BP714" s="16" t="s">
        <v>14657</v>
      </c>
      <c r="BQ714" s="16" t="s">
        <v>151</v>
      </c>
      <c r="BR714" s="17" t="s">
        <v>14659</v>
      </c>
      <c r="BS714" s="17" t="s">
        <v>187</v>
      </c>
      <c r="BT714" s="17" t="s">
        <v>188</v>
      </c>
      <c r="BU714" s="22">
        <v>44197</v>
      </c>
      <c r="BV714" s="24">
        <v>5</v>
      </c>
      <c r="BW714" s="17" t="s">
        <v>193</v>
      </c>
      <c r="BX714" s="24">
        <v>15</v>
      </c>
      <c r="BY714" s="17" t="s">
        <v>192</v>
      </c>
      <c r="BZ714" s="17" t="s">
        <v>293</v>
      </c>
      <c r="CA714" s="17" t="s">
        <v>293</v>
      </c>
      <c r="CB714" s="17" t="s">
        <v>151</v>
      </c>
      <c r="CC714" s="17" t="s">
        <v>165</v>
      </c>
      <c r="CD714" s="17" t="s">
        <v>151</v>
      </c>
      <c r="CE714" s="17" t="s">
        <v>191</v>
      </c>
      <c r="CF714" s="22">
        <v>44789</v>
      </c>
      <c r="CG714" s="24">
        <v>35</v>
      </c>
      <c r="CH714" s="17" t="s">
        <v>192</v>
      </c>
      <c r="CI714" s="24">
        <v>120</v>
      </c>
      <c r="CJ714" s="17" t="s">
        <v>192</v>
      </c>
      <c r="CK714" s="16">
        <v>3.04</v>
      </c>
      <c r="CL714" s="17" t="s">
        <v>231</v>
      </c>
      <c r="CM714" s="17" t="s">
        <v>232</v>
      </c>
      <c r="CN714" s="17" t="s">
        <v>151</v>
      </c>
      <c r="CO714" s="17" t="s">
        <v>165</v>
      </c>
      <c r="CP714" s="22">
        <v>44789</v>
      </c>
      <c r="CQ714" s="24" t="s">
        <v>151</v>
      </c>
      <c r="CR714" s="17" t="s">
        <v>7125</v>
      </c>
      <c r="CS714" s="17" t="s">
        <v>191</v>
      </c>
      <c r="CT714" s="16">
        <v>93</v>
      </c>
      <c r="CU714" s="17" t="s">
        <v>196</v>
      </c>
      <c r="CV714" s="19">
        <v>84</v>
      </c>
      <c r="CW714" s="19">
        <v>16</v>
      </c>
      <c r="CX714" s="17" t="s">
        <v>294</v>
      </c>
      <c r="CY714" s="19">
        <v>3</v>
      </c>
      <c r="CZ714" s="19">
        <v>81</v>
      </c>
      <c r="DA714" s="24">
        <v>120</v>
      </c>
      <c r="DB714" s="22">
        <v>44789</v>
      </c>
      <c r="DC714" s="17" t="s">
        <v>231</v>
      </c>
      <c r="DD714" s="16">
        <v>3.04</v>
      </c>
      <c r="DE714" s="19">
        <v>0.45</v>
      </c>
      <c r="DF714" s="21">
        <v>94</v>
      </c>
      <c r="DG714" s="19">
        <v>0</v>
      </c>
      <c r="DH714" s="19">
        <v>0</v>
      </c>
      <c r="DI714" s="19">
        <v>0.67</v>
      </c>
      <c r="DJ714" s="21">
        <v>95</v>
      </c>
      <c r="DK714" s="19" t="s">
        <v>151</v>
      </c>
      <c r="DL714" s="21" t="s">
        <v>151</v>
      </c>
      <c r="DM714" s="19">
        <v>0.67</v>
      </c>
      <c r="DN714" s="21">
        <v>96</v>
      </c>
      <c r="DO714" s="23">
        <v>5.09</v>
      </c>
      <c r="DP714" s="21">
        <v>83</v>
      </c>
      <c r="DQ714" s="23">
        <v>0</v>
      </c>
      <c r="DR714" s="19">
        <v>0</v>
      </c>
      <c r="DS714" s="23">
        <v>6.11</v>
      </c>
      <c r="DT714" s="21">
        <v>85</v>
      </c>
      <c r="DU714" s="23" t="s">
        <v>151</v>
      </c>
      <c r="DV714" s="21" t="s">
        <v>151</v>
      </c>
      <c r="DW714" s="23">
        <v>6.11</v>
      </c>
      <c r="DX714" s="21">
        <v>84</v>
      </c>
      <c r="DY714" s="18" t="s">
        <v>151</v>
      </c>
      <c r="DZ714" s="22" t="s">
        <v>151</v>
      </c>
      <c r="EA714" s="22" t="s">
        <v>151</v>
      </c>
      <c r="EB714" s="21">
        <v>708</v>
      </c>
      <c r="EC714" s="20">
        <v>-5</v>
      </c>
      <c r="ED714" s="19">
        <v>-0.7</v>
      </c>
      <c r="EE714" s="21">
        <v>116</v>
      </c>
      <c r="EF714" s="20">
        <v>0</v>
      </c>
      <c r="EG714" s="19">
        <v>0</v>
      </c>
      <c r="EH714" s="16" t="s">
        <v>198</v>
      </c>
      <c r="EI714" s="17" t="s">
        <v>151</v>
      </c>
      <c r="EJ714" s="17" t="s">
        <v>151</v>
      </c>
      <c r="EK714" s="18" t="s">
        <v>151</v>
      </c>
      <c r="EL714" s="18" t="s">
        <v>151</v>
      </c>
      <c r="EM714" s="18" t="s">
        <v>151</v>
      </c>
      <c r="EN714" s="18" t="s">
        <v>151</v>
      </c>
      <c r="EO714" s="18" t="s">
        <v>151</v>
      </c>
      <c r="EP714" s="17" t="s">
        <v>151</v>
      </c>
      <c r="EQ714" s="16" t="s">
        <v>151</v>
      </c>
      <c r="ER714" s="16" t="s">
        <v>151</v>
      </c>
      <c r="ES714" s="3">
        <f>HYPERLINK("https://my.pitchbook.com?c=459004-42","View Company Online")</f>
      </c>
    </row>
    <row r="715">
      <c r="A715" s="30" t="s">
        <v>14660</v>
      </c>
      <c r="B715" s="30" t="s">
        <v>14661</v>
      </c>
      <c r="C715" s="31" t="s">
        <v>151</v>
      </c>
      <c r="D715" s="30" t="s">
        <v>14662</v>
      </c>
      <c r="E715" s="30" t="s">
        <v>14663</v>
      </c>
      <c r="F715" s="30" t="s">
        <v>14664</v>
      </c>
      <c r="G715" s="30" t="s">
        <v>151</v>
      </c>
      <c r="H715" s="30" t="s">
        <v>151</v>
      </c>
      <c r="I715" s="30" t="s">
        <v>14665</v>
      </c>
      <c r="J715" s="30" t="s">
        <v>14660</v>
      </c>
      <c r="K715" s="30" t="s">
        <v>14666</v>
      </c>
      <c r="L715" s="30" t="s">
        <v>1792</v>
      </c>
      <c r="M715" s="30" t="s">
        <v>5329</v>
      </c>
      <c r="N715" s="30" t="s">
        <v>5330</v>
      </c>
      <c r="O715" s="30" t="s">
        <v>14667</v>
      </c>
      <c r="P715" s="30" t="s">
        <v>14668</v>
      </c>
      <c r="Q715" s="30" t="s">
        <v>14669</v>
      </c>
      <c r="R715" s="30" t="s">
        <v>151</v>
      </c>
      <c r="S715" s="30" t="s">
        <v>162</v>
      </c>
      <c r="T715" s="37">
        <v>8.4</v>
      </c>
      <c r="U715" s="30" t="s">
        <v>163</v>
      </c>
      <c r="V715" s="30" t="s">
        <v>164</v>
      </c>
      <c r="W715" s="30" t="s">
        <v>165</v>
      </c>
      <c r="X715" s="28" t="s">
        <v>14670</v>
      </c>
      <c r="Y715" s="28" t="s">
        <v>14671</v>
      </c>
      <c r="Z715" s="40">
        <v>18</v>
      </c>
      <c r="AA715" s="30" t="s">
        <v>14672</v>
      </c>
      <c r="AB715" s="30" t="s">
        <v>151</v>
      </c>
      <c r="AC715" s="30" t="s">
        <v>151</v>
      </c>
      <c r="AD715" s="39">
        <v>2017</v>
      </c>
      <c r="AE715" s="30" t="s">
        <v>151</v>
      </c>
      <c r="AF715" s="35">
        <v>45595</v>
      </c>
      <c r="AG715" s="30" t="s">
        <v>151</v>
      </c>
      <c r="AH715" s="30" t="s">
        <v>151</v>
      </c>
      <c r="AI715" s="38" t="s">
        <v>151</v>
      </c>
      <c r="AJ715" s="32" t="s">
        <v>151</v>
      </c>
      <c r="AK715" s="38" t="s">
        <v>151</v>
      </c>
      <c r="AL715" s="38" t="s">
        <v>151</v>
      </c>
      <c r="AM715" s="38" t="s">
        <v>151</v>
      </c>
      <c r="AN715" s="38" t="s">
        <v>151</v>
      </c>
      <c r="AO715" s="38" t="s">
        <v>151</v>
      </c>
      <c r="AP715" s="38" t="s">
        <v>151</v>
      </c>
      <c r="AQ715" s="38" t="s">
        <v>151</v>
      </c>
      <c r="AR715" s="29" t="s">
        <v>151</v>
      </c>
      <c r="AS715" s="30" t="s">
        <v>14673</v>
      </c>
      <c r="AT715" s="30" t="s">
        <v>14674</v>
      </c>
      <c r="AU715" s="31">
        <v>38</v>
      </c>
      <c r="AV715" s="30" t="s">
        <v>151</v>
      </c>
      <c r="AW715" s="30" t="s">
        <v>151</v>
      </c>
      <c r="AX715" s="30" t="s">
        <v>151</v>
      </c>
      <c r="AY715" s="30" t="s">
        <v>14675</v>
      </c>
      <c r="AZ715" s="30" t="s">
        <v>151</v>
      </c>
      <c r="BA715" s="30" t="s">
        <v>151</v>
      </c>
      <c r="BB715" s="30" t="s">
        <v>151</v>
      </c>
      <c r="BC715" s="30" t="s">
        <v>1115</v>
      </c>
      <c r="BD715" s="30" t="s">
        <v>14676</v>
      </c>
      <c r="BE715" s="30" t="s">
        <v>14677</v>
      </c>
      <c r="BF715" s="30" t="s">
        <v>493</v>
      </c>
      <c r="BG715" s="30" t="s">
        <v>14678</v>
      </c>
      <c r="BH715" s="30" t="s">
        <v>14679</v>
      </c>
      <c r="BI715" s="30" t="s">
        <v>2652</v>
      </c>
      <c r="BJ715" s="30" t="s">
        <v>14680</v>
      </c>
      <c r="BK715" s="30" t="s">
        <v>936</v>
      </c>
      <c r="BL715" s="30" t="s">
        <v>2654</v>
      </c>
      <c r="BM715" s="30" t="s">
        <v>1576</v>
      </c>
      <c r="BN715" s="29" t="s">
        <v>3308</v>
      </c>
      <c r="BO715" s="30" t="s">
        <v>186</v>
      </c>
      <c r="BP715" s="29" t="s">
        <v>14681</v>
      </c>
      <c r="BQ715" s="29" t="s">
        <v>14682</v>
      </c>
      <c r="BR715" s="30" t="s">
        <v>14683</v>
      </c>
      <c r="BS715" s="30" t="s">
        <v>187</v>
      </c>
      <c r="BT715" s="30" t="s">
        <v>188</v>
      </c>
      <c r="BU715" s="35">
        <v>43243</v>
      </c>
      <c r="BV715" s="37" t="s">
        <v>151</v>
      </c>
      <c r="BW715" s="30" t="s">
        <v>151</v>
      </c>
      <c r="BX715" s="37" t="s">
        <v>151</v>
      </c>
      <c r="BY715" s="30" t="s">
        <v>151</v>
      </c>
      <c r="BZ715" s="30" t="s">
        <v>189</v>
      </c>
      <c r="CA715" s="30" t="s">
        <v>151</v>
      </c>
      <c r="CB715" s="30" t="s">
        <v>151</v>
      </c>
      <c r="CC715" s="30" t="s">
        <v>190</v>
      </c>
      <c r="CD715" s="30" t="s">
        <v>151</v>
      </c>
      <c r="CE715" s="30" t="s">
        <v>191</v>
      </c>
      <c r="CF715" s="35">
        <v>45413</v>
      </c>
      <c r="CG715" s="37">
        <v>6</v>
      </c>
      <c r="CH715" s="30" t="s">
        <v>192</v>
      </c>
      <c r="CI715" s="37" t="s">
        <v>151</v>
      </c>
      <c r="CJ715" s="30" t="s">
        <v>151</v>
      </c>
      <c r="CK715" s="29" t="s">
        <v>151</v>
      </c>
      <c r="CL715" s="30" t="s">
        <v>293</v>
      </c>
      <c r="CM715" s="30" t="s">
        <v>472</v>
      </c>
      <c r="CN715" s="30" t="s">
        <v>151</v>
      </c>
      <c r="CO715" s="30" t="s">
        <v>165</v>
      </c>
      <c r="CP715" s="35">
        <v>45413</v>
      </c>
      <c r="CQ715" s="37" t="s">
        <v>151</v>
      </c>
      <c r="CR715" s="30" t="s">
        <v>151</v>
      </c>
      <c r="CS715" s="30" t="s">
        <v>191</v>
      </c>
      <c r="CT715" s="29">
        <v>87</v>
      </c>
      <c r="CU715" s="30" t="s">
        <v>196</v>
      </c>
      <c r="CV715" s="32">
        <v>79</v>
      </c>
      <c r="CW715" s="32">
        <v>21</v>
      </c>
      <c r="CX715" s="30" t="s">
        <v>294</v>
      </c>
      <c r="CY715" s="32">
        <v>1</v>
      </c>
      <c r="CZ715" s="32">
        <v>78</v>
      </c>
      <c r="DA715" s="37">
        <v>5.88</v>
      </c>
      <c r="DB715" s="35">
        <v>44027</v>
      </c>
      <c r="DC715" s="30" t="s">
        <v>293</v>
      </c>
      <c r="DD715" s="29" t="s">
        <v>151</v>
      </c>
      <c r="DE715" s="32">
        <v>0.74</v>
      </c>
      <c r="DF715" s="34">
        <v>95</v>
      </c>
      <c r="DG715" s="32">
        <v>0</v>
      </c>
      <c r="DH715" s="32">
        <v>0</v>
      </c>
      <c r="DI715" s="32" t="s">
        <v>151</v>
      </c>
      <c r="DJ715" s="34" t="s">
        <v>151</v>
      </c>
      <c r="DK715" s="32" t="s">
        <v>151</v>
      </c>
      <c r="DL715" s="34" t="s">
        <v>151</v>
      </c>
      <c r="DM715" s="32" t="s">
        <v>151</v>
      </c>
      <c r="DN715" s="34" t="s">
        <v>151</v>
      </c>
      <c r="DO715" s="36">
        <v>1.38</v>
      </c>
      <c r="DP715" s="34">
        <v>58</v>
      </c>
      <c r="DQ715" s="36">
        <v>0</v>
      </c>
      <c r="DR715" s="32">
        <v>0</v>
      </c>
      <c r="DS715" s="36" t="s">
        <v>151</v>
      </c>
      <c r="DT715" s="34" t="s">
        <v>151</v>
      </c>
      <c r="DU715" s="36" t="s">
        <v>151</v>
      </c>
      <c r="DV715" s="34" t="s">
        <v>151</v>
      </c>
      <c r="DW715" s="36" t="s">
        <v>151</v>
      </c>
      <c r="DX715" s="34" t="s">
        <v>151</v>
      </c>
      <c r="DY715" s="31" t="s">
        <v>151</v>
      </c>
      <c r="DZ715" s="35" t="s">
        <v>151</v>
      </c>
      <c r="EA715" s="35" t="s">
        <v>151</v>
      </c>
      <c r="EB715" s="34">
        <v>4389</v>
      </c>
      <c r="EC715" s="33">
        <v>-17</v>
      </c>
      <c r="ED715" s="32">
        <v>-0.39</v>
      </c>
      <c r="EE715" s="34" t="s">
        <v>151</v>
      </c>
      <c r="EF715" s="33" t="s">
        <v>151</v>
      </c>
      <c r="EG715" s="32" t="s">
        <v>151</v>
      </c>
      <c r="EH715" s="29" t="s">
        <v>198</v>
      </c>
      <c r="EI715" s="30" t="s">
        <v>151</v>
      </c>
      <c r="EJ715" s="30" t="s">
        <v>151</v>
      </c>
      <c r="EK715" s="31" t="s">
        <v>151</v>
      </c>
      <c r="EL715" s="31" t="s">
        <v>151</v>
      </c>
      <c r="EM715" s="31" t="s">
        <v>151</v>
      </c>
      <c r="EN715" s="31" t="s">
        <v>151</v>
      </c>
      <c r="EO715" s="31" t="s">
        <v>151</v>
      </c>
      <c r="EP715" s="30" t="s">
        <v>151</v>
      </c>
      <c r="EQ715" s="29" t="s">
        <v>151</v>
      </c>
      <c r="ER715" s="29" t="s">
        <v>151</v>
      </c>
      <c r="ES715" s="4">
        <f>HYPERLINK("https://my.pitchbook.com?c=232141-78","View Company Online")</f>
      </c>
    </row>
    <row r="716">
      <c r="A716" s="17" t="s">
        <v>14684</v>
      </c>
      <c r="B716" s="17" t="s">
        <v>14685</v>
      </c>
      <c r="C716" s="18" t="s">
        <v>151</v>
      </c>
      <c r="D716" s="17" t="s">
        <v>151</v>
      </c>
      <c r="E716" s="17" t="s">
        <v>14686</v>
      </c>
      <c r="F716" s="17" t="s">
        <v>14687</v>
      </c>
      <c r="G716" s="17" t="s">
        <v>151</v>
      </c>
      <c r="H716" s="17" t="s">
        <v>151</v>
      </c>
      <c r="I716" s="17" t="s">
        <v>151</v>
      </c>
      <c r="J716" s="17" t="s">
        <v>14684</v>
      </c>
      <c r="K716" s="17" t="s">
        <v>14688</v>
      </c>
      <c r="L716" s="17" t="s">
        <v>205</v>
      </c>
      <c r="M716" s="17" t="s">
        <v>206</v>
      </c>
      <c r="N716" s="17" t="s">
        <v>1268</v>
      </c>
      <c r="O716" s="17" t="s">
        <v>1269</v>
      </c>
      <c r="P716" s="17" t="s">
        <v>892</v>
      </c>
      <c r="Q716" s="17" t="s">
        <v>14689</v>
      </c>
      <c r="R716" s="17" t="s">
        <v>151</v>
      </c>
      <c r="S716" s="17" t="s">
        <v>162</v>
      </c>
      <c r="T716" s="24">
        <v>5.3</v>
      </c>
      <c r="U716" s="17" t="s">
        <v>163</v>
      </c>
      <c r="V716" s="17" t="s">
        <v>164</v>
      </c>
      <c r="W716" s="17" t="s">
        <v>165</v>
      </c>
      <c r="X716" s="15" t="s">
        <v>14690</v>
      </c>
      <c r="Y716" s="15" t="s">
        <v>14691</v>
      </c>
      <c r="Z716" s="27">
        <v>8</v>
      </c>
      <c r="AA716" s="17" t="s">
        <v>10247</v>
      </c>
      <c r="AB716" s="17" t="s">
        <v>151</v>
      </c>
      <c r="AC716" s="17" t="s">
        <v>151</v>
      </c>
      <c r="AD716" s="26">
        <v>2022</v>
      </c>
      <c r="AE716" s="17" t="s">
        <v>151</v>
      </c>
      <c r="AF716" s="22">
        <v>45478</v>
      </c>
      <c r="AG716" s="17" t="s">
        <v>151</v>
      </c>
      <c r="AH716" s="17" t="s">
        <v>151</v>
      </c>
      <c r="AI716" s="25" t="s">
        <v>151</v>
      </c>
      <c r="AJ716" s="19" t="s">
        <v>151</v>
      </c>
      <c r="AK716" s="25" t="s">
        <v>151</v>
      </c>
      <c r="AL716" s="25" t="s">
        <v>151</v>
      </c>
      <c r="AM716" s="25" t="s">
        <v>151</v>
      </c>
      <c r="AN716" s="25" t="s">
        <v>151</v>
      </c>
      <c r="AO716" s="25" t="s">
        <v>151</v>
      </c>
      <c r="AP716" s="25" t="s">
        <v>151</v>
      </c>
      <c r="AQ716" s="25" t="s">
        <v>151</v>
      </c>
      <c r="AR716" s="16" t="s">
        <v>151</v>
      </c>
      <c r="AS716" s="17" t="s">
        <v>14692</v>
      </c>
      <c r="AT716" s="17" t="s">
        <v>14693</v>
      </c>
      <c r="AU716" s="18">
        <v>12</v>
      </c>
      <c r="AV716" s="17" t="s">
        <v>151</v>
      </c>
      <c r="AW716" s="17" t="s">
        <v>151</v>
      </c>
      <c r="AX716" s="17" t="s">
        <v>151</v>
      </c>
      <c r="AY716" s="17" t="s">
        <v>14694</v>
      </c>
      <c r="AZ716" s="17" t="s">
        <v>151</v>
      </c>
      <c r="BA716" s="17" t="s">
        <v>151</v>
      </c>
      <c r="BB716" s="17" t="s">
        <v>151</v>
      </c>
      <c r="BC716" s="17" t="s">
        <v>151</v>
      </c>
      <c r="BD716" s="17" t="s">
        <v>14695</v>
      </c>
      <c r="BE716" s="17" t="s">
        <v>14696</v>
      </c>
      <c r="BF716" s="17" t="s">
        <v>221</v>
      </c>
      <c r="BG716" s="17" t="s">
        <v>151</v>
      </c>
      <c r="BH716" s="17" t="s">
        <v>151</v>
      </c>
      <c r="BI716" s="17" t="s">
        <v>764</v>
      </c>
      <c r="BJ716" s="17" t="s">
        <v>11909</v>
      </c>
      <c r="BK716" s="17" t="s">
        <v>14697</v>
      </c>
      <c r="BL716" s="17" t="s">
        <v>767</v>
      </c>
      <c r="BM716" s="17" t="s">
        <v>184</v>
      </c>
      <c r="BN716" s="16" t="s">
        <v>11911</v>
      </c>
      <c r="BO716" s="17" t="s">
        <v>186</v>
      </c>
      <c r="BP716" s="16" t="s">
        <v>151</v>
      </c>
      <c r="BQ716" s="16" t="s">
        <v>151</v>
      </c>
      <c r="BR716" s="17" t="s">
        <v>151</v>
      </c>
      <c r="BS716" s="17" t="s">
        <v>187</v>
      </c>
      <c r="BT716" s="17" t="s">
        <v>188</v>
      </c>
      <c r="BU716" s="22">
        <v>44927</v>
      </c>
      <c r="BV716" s="24">
        <v>0.5</v>
      </c>
      <c r="BW716" s="17" t="s">
        <v>192</v>
      </c>
      <c r="BX716" s="24" t="s">
        <v>151</v>
      </c>
      <c r="BY716" s="17" t="s">
        <v>151</v>
      </c>
      <c r="BZ716" s="17" t="s">
        <v>189</v>
      </c>
      <c r="CA716" s="17" t="s">
        <v>151</v>
      </c>
      <c r="CB716" s="17" t="s">
        <v>151</v>
      </c>
      <c r="CC716" s="17" t="s">
        <v>190</v>
      </c>
      <c r="CD716" s="17" t="s">
        <v>151</v>
      </c>
      <c r="CE716" s="17" t="s">
        <v>191</v>
      </c>
      <c r="CF716" s="22">
        <v>45302</v>
      </c>
      <c r="CG716" s="24">
        <v>2.4</v>
      </c>
      <c r="CH716" s="17" t="s">
        <v>192</v>
      </c>
      <c r="CI716" s="24" t="s">
        <v>151</v>
      </c>
      <c r="CJ716" s="17" t="s">
        <v>151</v>
      </c>
      <c r="CK716" s="16" t="s">
        <v>151</v>
      </c>
      <c r="CL716" s="17" t="s">
        <v>293</v>
      </c>
      <c r="CM716" s="17" t="s">
        <v>293</v>
      </c>
      <c r="CN716" s="17" t="s">
        <v>151</v>
      </c>
      <c r="CO716" s="17" t="s">
        <v>165</v>
      </c>
      <c r="CP716" s="22">
        <v>45302</v>
      </c>
      <c r="CQ716" s="24" t="s">
        <v>151</v>
      </c>
      <c r="CR716" s="17" t="s">
        <v>151</v>
      </c>
      <c r="CS716" s="17" t="s">
        <v>191</v>
      </c>
      <c r="CT716" s="16">
        <v>65</v>
      </c>
      <c r="CU716" s="17" t="s">
        <v>196</v>
      </c>
      <c r="CV716" s="19">
        <v>61</v>
      </c>
      <c r="CW716" s="19">
        <v>39</v>
      </c>
      <c r="CX716" s="17" t="s">
        <v>294</v>
      </c>
      <c r="CY716" s="19">
        <v>1</v>
      </c>
      <c r="CZ716" s="19">
        <v>60</v>
      </c>
      <c r="DA716" s="24" t="s">
        <v>151</v>
      </c>
      <c r="DB716" s="22" t="s">
        <v>151</v>
      </c>
      <c r="DC716" s="17" t="s">
        <v>151</v>
      </c>
      <c r="DD716" s="16" t="s">
        <v>151</v>
      </c>
      <c r="DE716" s="19">
        <v>0</v>
      </c>
      <c r="DF716" s="21">
        <v>11</v>
      </c>
      <c r="DG716" s="19">
        <v>0</v>
      </c>
      <c r="DH716" s="19">
        <v>0</v>
      </c>
      <c r="DI716" s="19">
        <v>0</v>
      </c>
      <c r="DJ716" s="21">
        <v>10</v>
      </c>
      <c r="DK716" s="19" t="s">
        <v>151</v>
      </c>
      <c r="DL716" s="21" t="s">
        <v>151</v>
      </c>
      <c r="DM716" s="19">
        <v>0</v>
      </c>
      <c r="DN716" s="21">
        <v>10</v>
      </c>
      <c r="DO716" s="23">
        <v>1.23</v>
      </c>
      <c r="DP716" s="21">
        <v>55</v>
      </c>
      <c r="DQ716" s="23">
        <v>0</v>
      </c>
      <c r="DR716" s="19">
        <v>0</v>
      </c>
      <c r="DS716" s="23">
        <v>1.84</v>
      </c>
      <c r="DT716" s="21">
        <v>64</v>
      </c>
      <c r="DU716" s="23" t="s">
        <v>151</v>
      </c>
      <c r="DV716" s="21" t="s">
        <v>151</v>
      </c>
      <c r="DW716" s="23">
        <v>1.84</v>
      </c>
      <c r="DX716" s="21">
        <v>64</v>
      </c>
      <c r="DY716" s="18" t="s">
        <v>151</v>
      </c>
      <c r="DZ716" s="22" t="s">
        <v>151</v>
      </c>
      <c r="EA716" s="22" t="s">
        <v>151</v>
      </c>
      <c r="EB716" s="21">
        <v>778</v>
      </c>
      <c r="EC716" s="20">
        <v>-23</v>
      </c>
      <c r="ED716" s="19">
        <v>-2.87</v>
      </c>
      <c r="EE716" s="21">
        <v>35</v>
      </c>
      <c r="EF716" s="20">
        <v>1</v>
      </c>
      <c r="EG716" s="19">
        <v>2.94</v>
      </c>
      <c r="EH716" s="16" t="s">
        <v>198</v>
      </c>
      <c r="EI716" s="17" t="s">
        <v>151</v>
      </c>
      <c r="EJ716" s="17" t="s">
        <v>151</v>
      </c>
      <c r="EK716" s="18" t="s">
        <v>151</v>
      </c>
      <c r="EL716" s="18" t="s">
        <v>151</v>
      </c>
      <c r="EM716" s="18" t="s">
        <v>151</v>
      </c>
      <c r="EN716" s="18" t="s">
        <v>151</v>
      </c>
      <c r="EO716" s="18" t="s">
        <v>151</v>
      </c>
      <c r="EP716" s="17" t="s">
        <v>151</v>
      </c>
      <c r="EQ716" s="16" t="s">
        <v>151</v>
      </c>
      <c r="ER716" s="16" t="s">
        <v>151</v>
      </c>
      <c r="ES716" s="3">
        <f>HYPERLINK("https://my.pitchbook.com?c=522000-37","View Company Online")</f>
      </c>
    </row>
    <row r="717">
      <c r="A717" s="30" t="s">
        <v>14698</v>
      </c>
      <c r="B717" s="30" t="s">
        <v>14699</v>
      </c>
      <c r="C717" s="31" t="s">
        <v>151</v>
      </c>
      <c r="D717" s="30" t="s">
        <v>151</v>
      </c>
      <c r="E717" s="30" t="s">
        <v>14700</v>
      </c>
      <c r="F717" s="30" t="s">
        <v>14701</v>
      </c>
      <c r="G717" s="30" t="s">
        <v>151</v>
      </c>
      <c r="H717" s="30" t="s">
        <v>151</v>
      </c>
      <c r="I717" s="30" t="s">
        <v>14702</v>
      </c>
      <c r="J717" s="30" t="s">
        <v>14698</v>
      </c>
      <c r="K717" s="30" t="s">
        <v>14703</v>
      </c>
      <c r="L717" s="30" t="s">
        <v>205</v>
      </c>
      <c r="M717" s="30" t="s">
        <v>206</v>
      </c>
      <c r="N717" s="30" t="s">
        <v>776</v>
      </c>
      <c r="O717" s="30" t="s">
        <v>14704</v>
      </c>
      <c r="P717" s="30" t="s">
        <v>304</v>
      </c>
      <c r="Q717" s="30" t="s">
        <v>14705</v>
      </c>
      <c r="R717" s="30" t="s">
        <v>151</v>
      </c>
      <c r="S717" s="30" t="s">
        <v>162</v>
      </c>
      <c r="T717" s="37">
        <v>141.25</v>
      </c>
      <c r="U717" s="30" t="s">
        <v>163</v>
      </c>
      <c r="V717" s="30" t="s">
        <v>164</v>
      </c>
      <c r="W717" s="30" t="s">
        <v>165</v>
      </c>
      <c r="X717" s="28" t="s">
        <v>14706</v>
      </c>
      <c r="Y717" s="28" t="s">
        <v>14707</v>
      </c>
      <c r="Z717" s="40">
        <v>13</v>
      </c>
      <c r="AA717" s="30" t="s">
        <v>14708</v>
      </c>
      <c r="AB717" s="30" t="s">
        <v>151</v>
      </c>
      <c r="AC717" s="30" t="s">
        <v>151</v>
      </c>
      <c r="AD717" s="39">
        <v>2023</v>
      </c>
      <c r="AE717" s="30" t="s">
        <v>151</v>
      </c>
      <c r="AF717" s="35">
        <v>45553</v>
      </c>
      <c r="AG717" s="30" t="s">
        <v>151</v>
      </c>
      <c r="AH717" s="30" t="s">
        <v>151</v>
      </c>
      <c r="AI717" s="38" t="s">
        <v>151</v>
      </c>
      <c r="AJ717" s="32" t="s">
        <v>151</v>
      </c>
      <c r="AK717" s="38" t="s">
        <v>151</v>
      </c>
      <c r="AL717" s="38" t="s">
        <v>151</v>
      </c>
      <c r="AM717" s="38" t="s">
        <v>151</v>
      </c>
      <c r="AN717" s="38" t="s">
        <v>151</v>
      </c>
      <c r="AO717" s="38" t="s">
        <v>151</v>
      </c>
      <c r="AP717" s="38" t="s">
        <v>151</v>
      </c>
      <c r="AQ717" s="38" t="s">
        <v>151</v>
      </c>
      <c r="AR717" s="29" t="s">
        <v>151</v>
      </c>
      <c r="AS717" s="30" t="s">
        <v>14709</v>
      </c>
      <c r="AT717" s="30" t="s">
        <v>14710</v>
      </c>
      <c r="AU717" s="31">
        <v>33</v>
      </c>
      <c r="AV717" s="30" t="s">
        <v>151</v>
      </c>
      <c r="AW717" s="30" t="s">
        <v>151</v>
      </c>
      <c r="AX717" s="30" t="s">
        <v>151</v>
      </c>
      <c r="AY717" s="30" t="s">
        <v>14711</v>
      </c>
      <c r="AZ717" s="30" t="s">
        <v>151</v>
      </c>
      <c r="BA717" s="30" t="s">
        <v>151</v>
      </c>
      <c r="BB717" s="30" t="s">
        <v>14712</v>
      </c>
      <c r="BC717" s="30" t="s">
        <v>151</v>
      </c>
      <c r="BD717" s="30" t="s">
        <v>14713</v>
      </c>
      <c r="BE717" s="30" t="s">
        <v>14714</v>
      </c>
      <c r="BF717" s="30" t="s">
        <v>493</v>
      </c>
      <c r="BG717" s="30" t="s">
        <v>14715</v>
      </c>
      <c r="BH717" s="30" t="s">
        <v>151</v>
      </c>
      <c r="BI717" s="30" t="s">
        <v>707</v>
      </c>
      <c r="BJ717" s="30" t="s">
        <v>14716</v>
      </c>
      <c r="BK717" s="30" t="s">
        <v>151</v>
      </c>
      <c r="BL717" s="30" t="s">
        <v>709</v>
      </c>
      <c r="BM717" s="30" t="s">
        <v>184</v>
      </c>
      <c r="BN717" s="29" t="s">
        <v>710</v>
      </c>
      <c r="BO717" s="30" t="s">
        <v>186</v>
      </c>
      <c r="BP717" s="29" t="s">
        <v>151</v>
      </c>
      <c r="BQ717" s="29" t="s">
        <v>151</v>
      </c>
      <c r="BR717" s="30" t="s">
        <v>151</v>
      </c>
      <c r="BS717" s="30" t="s">
        <v>187</v>
      </c>
      <c r="BT717" s="30" t="s">
        <v>188</v>
      </c>
      <c r="BU717" s="35">
        <v>45122</v>
      </c>
      <c r="BV717" s="37">
        <v>20</v>
      </c>
      <c r="BW717" s="30" t="s">
        <v>192</v>
      </c>
      <c r="BX717" s="37">
        <v>125</v>
      </c>
      <c r="BY717" s="30" t="s">
        <v>192</v>
      </c>
      <c r="BZ717" s="30" t="s">
        <v>293</v>
      </c>
      <c r="CA717" s="30" t="s">
        <v>293</v>
      </c>
      <c r="CB717" s="30" t="s">
        <v>151</v>
      </c>
      <c r="CC717" s="30" t="s">
        <v>165</v>
      </c>
      <c r="CD717" s="30" t="s">
        <v>151</v>
      </c>
      <c r="CE717" s="30" t="s">
        <v>191</v>
      </c>
      <c r="CF717" s="35">
        <v>45447</v>
      </c>
      <c r="CG717" s="37">
        <v>80</v>
      </c>
      <c r="CH717" s="30" t="s">
        <v>192</v>
      </c>
      <c r="CI717" s="37">
        <v>470</v>
      </c>
      <c r="CJ717" s="30" t="s">
        <v>192</v>
      </c>
      <c r="CK717" s="29">
        <v>13</v>
      </c>
      <c r="CL717" s="30" t="s">
        <v>231</v>
      </c>
      <c r="CM717" s="30" t="s">
        <v>326</v>
      </c>
      <c r="CN717" s="30" t="s">
        <v>151</v>
      </c>
      <c r="CO717" s="30" t="s">
        <v>165</v>
      </c>
      <c r="CP717" s="35">
        <v>45447</v>
      </c>
      <c r="CQ717" s="37" t="s">
        <v>151</v>
      </c>
      <c r="CR717" s="30" t="s">
        <v>151</v>
      </c>
      <c r="CS717" s="30" t="s">
        <v>191</v>
      </c>
      <c r="CT717" s="29">
        <v>91</v>
      </c>
      <c r="CU717" s="30" t="s">
        <v>196</v>
      </c>
      <c r="CV717" s="32">
        <v>96</v>
      </c>
      <c r="CW717" s="32">
        <v>4</v>
      </c>
      <c r="CX717" s="30" t="s">
        <v>294</v>
      </c>
      <c r="CY717" s="32">
        <v>26</v>
      </c>
      <c r="CZ717" s="32">
        <v>70</v>
      </c>
      <c r="DA717" s="37">
        <v>470</v>
      </c>
      <c r="DB717" s="35">
        <v>45447</v>
      </c>
      <c r="DC717" s="30" t="s">
        <v>231</v>
      </c>
      <c r="DD717" s="29">
        <v>13</v>
      </c>
      <c r="DE717" s="32">
        <v>0.68</v>
      </c>
      <c r="DF717" s="34">
        <v>95</v>
      </c>
      <c r="DG717" s="32">
        <v>0</v>
      </c>
      <c r="DH717" s="32">
        <v>0</v>
      </c>
      <c r="DI717" s="32">
        <v>0.32</v>
      </c>
      <c r="DJ717" s="34">
        <v>94</v>
      </c>
      <c r="DK717" s="32" t="s">
        <v>151</v>
      </c>
      <c r="DL717" s="34" t="s">
        <v>151</v>
      </c>
      <c r="DM717" s="32">
        <v>0.32</v>
      </c>
      <c r="DN717" s="34">
        <v>94</v>
      </c>
      <c r="DO717" s="36">
        <v>62.42</v>
      </c>
      <c r="DP717" s="34">
        <v>99</v>
      </c>
      <c r="DQ717" s="36">
        <v>0</v>
      </c>
      <c r="DR717" s="32">
        <v>0</v>
      </c>
      <c r="DS717" s="36">
        <v>123.84</v>
      </c>
      <c r="DT717" s="34">
        <v>100</v>
      </c>
      <c r="DU717" s="36" t="s">
        <v>151</v>
      </c>
      <c r="DV717" s="34" t="s">
        <v>151</v>
      </c>
      <c r="DW717" s="36">
        <v>123.84</v>
      </c>
      <c r="DX717" s="34">
        <v>100</v>
      </c>
      <c r="DY717" s="31" t="s">
        <v>151</v>
      </c>
      <c r="DZ717" s="35" t="s">
        <v>151</v>
      </c>
      <c r="EA717" s="35" t="s">
        <v>151</v>
      </c>
      <c r="EB717" s="34">
        <v>519223</v>
      </c>
      <c r="EC717" s="33">
        <v>-9784</v>
      </c>
      <c r="ED717" s="32">
        <v>-1.85</v>
      </c>
      <c r="EE717" s="34">
        <v>2353</v>
      </c>
      <c r="EF717" s="33">
        <v>0</v>
      </c>
      <c r="EG717" s="32">
        <v>0</v>
      </c>
      <c r="EH717" s="29" t="s">
        <v>198</v>
      </c>
      <c r="EI717" s="30" t="s">
        <v>151</v>
      </c>
      <c r="EJ717" s="30" t="s">
        <v>151</v>
      </c>
      <c r="EK717" s="31" t="s">
        <v>151</v>
      </c>
      <c r="EL717" s="31" t="s">
        <v>151</v>
      </c>
      <c r="EM717" s="31" t="s">
        <v>151</v>
      </c>
      <c r="EN717" s="31" t="s">
        <v>151</v>
      </c>
      <c r="EO717" s="31" t="s">
        <v>151</v>
      </c>
      <c r="EP717" s="30" t="s">
        <v>151</v>
      </c>
      <c r="EQ717" s="29" t="s">
        <v>151</v>
      </c>
      <c r="ER717" s="29" t="s">
        <v>151</v>
      </c>
      <c r="ES717" s="4">
        <f>HYPERLINK("https://my.pitchbook.com?c=537093-55","View Company Online")</f>
      </c>
    </row>
    <row r="718">
      <c r="A718" s="17" t="s">
        <v>14717</v>
      </c>
      <c r="B718" s="17" t="s">
        <v>14718</v>
      </c>
      <c r="C718" s="18" t="s">
        <v>151</v>
      </c>
      <c r="D718" s="17" t="s">
        <v>151</v>
      </c>
      <c r="E718" s="17" t="s">
        <v>151</v>
      </c>
      <c r="F718" s="17" t="s">
        <v>151</v>
      </c>
      <c r="G718" s="17" t="s">
        <v>151</v>
      </c>
      <c r="H718" s="17" t="s">
        <v>151</v>
      </c>
      <c r="I718" s="17" t="s">
        <v>151</v>
      </c>
      <c r="J718" s="17" t="s">
        <v>14717</v>
      </c>
      <c r="K718" s="17" t="s">
        <v>14719</v>
      </c>
      <c r="L718" s="17" t="s">
        <v>205</v>
      </c>
      <c r="M718" s="17" t="s">
        <v>206</v>
      </c>
      <c r="N718" s="17" t="s">
        <v>1268</v>
      </c>
      <c r="O718" s="17" t="s">
        <v>14720</v>
      </c>
      <c r="P718" s="17" t="s">
        <v>2130</v>
      </c>
      <c r="Q718" s="17" t="s">
        <v>14721</v>
      </c>
      <c r="R718" s="17" t="s">
        <v>151</v>
      </c>
      <c r="S718" s="17" t="s">
        <v>162</v>
      </c>
      <c r="T718" s="24">
        <v>5.6</v>
      </c>
      <c r="U718" s="17" t="s">
        <v>163</v>
      </c>
      <c r="V718" s="17" t="s">
        <v>164</v>
      </c>
      <c r="W718" s="17" t="s">
        <v>165</v>
      </c>
      <c r="X718" s="15" t="s">
        <v>14722</v>
      </c>
      <c r="Y718" s="15" t="s">
        <v>14723</v>
      </c>
      <c r="Z718" s="27">
        <v>8</v>
      </c>
      <c r="AA718" s="17" t="s">
        <v>14724</v>
      </c>
      <c r="AB718" s="17" t="s">
        <v>151</v>
      </c>
      <c r="AC718" s="17" t="s">
        <v>151</v>
      </c>
      <c r="AD718" s="26">
        <v>2022</v>
      </c>
      <c r="AE718" s="17" t="s">
        <v>151</v>
      </c>
      <c r="AF718" s="22">
        <v>45559</v>
      </c>
      <c r="AG718" s="17" t="s">
        <v>151</v>
      </c>
      <c r="AH718" s="17" t="s">
        <v>151</v>
      </c>
      <c r="AI718" s="25" t="s">
        <v>151</v>
      </c>
      <c r="AJ718" s="19" t="s">
        <v>151</v>
      </c>
      <c r="AK718" s="25" t="s">
        <v>151</v>
      </c>
      <c r="AL718" s="25" t="s">
        <v>151</v>
      </c>
      <c r="AM718" s="25" t="s">
        <v>151</v>
      </c>
      <c r="AN718" s="25" t="s">
        <v>151</v>
      </c>
      <c r="AO718" s="25" t="s">
        <v>151</v>
      </c>
      <c r="AP718" s="25" t="s">
        <v>151</v>
      </c>
      <c r="AQ718" s="25" t="s">
        <v>151</v>
      </c>
      <c r="AR718" s="16" t="s">
        <v>151</v>
      </c>
      <c r="AS718" s="17" t="s">
        <v>14725</v>
      </c>
      <c r="AT718" s="17" t="s">
        <v>14726</v>
      </c>
      <c r="AU718" s="18">
        <v>7</v>
      </c>
      <c r="AV718" s="17" t="s">
        <v>151</v>
      </c>
      <c r="AW718" s="17" t="s">
        <v>151</v>
      </c>
      <c r="AX718" s="17" t="s">
        <v>151</v>
      </c>
      <c r="AY718" s="17" t="s">
        <v>14727</v>
      </c>
      <c r="AZ718" s="17" t="s">
        <v>151</v>
      </c>
      <c r="BA718" s="17" t="s">
        <v>151</v>
      </c>
      <c r="BB718" s="17" t="s">
        <v>151</v>
      </c>
      <c r="BC718" s="17" t="s">
        <v>343</v>
      </c>
      <c r="BD718" s="17" t="s">
        <v>14728</v>
      </c>
      <c r="BE718" s="17" t="s">
        <v>14729</v>
      </c>
      <c r="BF718" s="17" t="s">
        <v>403</v>
      </c>
      <c r="BG718" s="17" t="s">
        <v>14730</v>
      </c>
      <c r="BH718" s="17" t="s">
        <v>14731</v>
      </c>
      <c r="BI718" s="17" t="s">
        <v>906</v>
      </c>
      <c r="BJ718" s="17" t="s">
        <v>14732</v>
      </c>
      <c r="BK718" s="17" t="s">
        <v>151</v>
      </c>
      <c r="BL718" s="17" t="s">
        <v>259</v>
      </c>
      <c r="BM718" s="17" t="s">
        <v>259</v>
      </c>
      <c r="BN718" s="16" t="s">
        <v>12050</v>
      </c>
      <c r="BO718" s="17" t="s">
        <v>186</v>
      </c>
      <c r="BP718" s="16" t="s">
        <v>151</v>
      </c>
      <c r="BQ718" s="16" t="s">
        <v>151</v>
      </c>
      <c r="BR718" s="17" t="s">
        <v>14733</v>
      </c>
      <c r="BS718" s="17" t="s">
        <v>187</v>
      </c>
      <c r="BT718" s="17" t="s">
        <v>188</v>
      </c>
      <c r="BU718" s="22">
        <v>44798</v>
      </c>
      <c r="BV718" s="24">
        <v>5.6</v>
      </c>
      <c r="BW718" s="17" t="s">
        <v>192</v>
      </c>
      <c r="BX718" s="24" t="s">
        <v>151</v>
      </c>
      <c r="BY718" s="17" t="s">
        <v>151</v>
      </c>
      <c r="BZ718" s="17" t="s">
        <v>293</v>
      </c>
      <c r="CA718" s="17" t="s">
        <v>293</v>
      </c>
      <c r="CB718" s="17" t="s">
        <v>151</v>
      </c>
      <c r="CC718" s="17" t="s">
        <v>165</v>
      </c>
      <c r="CD718" s="17" t="s">
        <v>151</v>
      </c>
      <c r="CE718" s="17" t="s">
        <v>191</v>
      </c>
      <c r="CF718" s="22">
        <v>44798</v>
      </c>
      <c r="CG718" s="24">
        <v>5.6</v>
      </c>
      <c r="CH718" s="17" t="s">
        <v>192</v>
      </c>
      <c r="CI718" s="24" t="s">
        <v>151</v>
      </c>
      <c r="CJ718" s="17" t="s">
        <v>151</v>
      </c>
      <c r="CK718" s="16" t="s">
        <v>151</v>
      </c>
      <c r="CL718" s="17" t="s">
        <v>293</v>
      </c>
      <c r="CM718" s="17" t="s">
        <v>293</v>
      </c>
      <c r="CN718" s="17" t="s">
        <v>151</v>
      </c>
      <c r="CO718" s="17" t="s">
        <v>165</v>
      </c>
      <c r="CP718" s="22">
        <v>44798</v>
      </c>
      <c r="CQ718" s="24" t="s">
        <v>151</v>
      </c>
      <c r="CR718" s="17" t="s">
        <v>151</v>
      </c>
      <c r="CS718" s="17" t="s">
        <v>191</v>
      </c>
      <c r="CT718" s="16" t="s">
        <v>151</v>
      </c>
      <c r="CU718" s="17" t="s">
        <v>151</v>
      </c>
      <c r="CV718" s="19" t="s">
        <v>151</v>
      </c>
      <c r="CW718" s="19" t="s">
        <v>151</v>
      </c>
      <c r="CX718" s="17" t="s">
        <v>151</v>
      </c>
      <c r="CY718" s="19" t="s">
        <v>151</v>
      </c>
      <c r="CZ718" s="19" t="s">
        <v>151</v>
      </c>
      <c r="DA718" s="24" t="s">
        <v>151</v>
      </c>
      <c r="DB718" s="22" t="s">
        <v>151</v>
      </c>
      <c r="DC718" s="17" t="s">
        <v>151</v>
      </c>
      <c r="DD718" s="16" t="s">
        <v>151</v>
      </c>
      <c r="DE718" s="19">
        <v>1.93</v>
      </c>
      <c r="DF718" s="21">
        <v>98</v>
      </c>
      <c r="DG718" s="19">
        <v>0</v>
      </c>
      <c r="DH718" s="19">
        <v>0</v>
      </c>
      <c r="DI718" s="19">
        <v>3.86</v>
      </c>
      <c r="DJ718" s="21">
        <v>100</v>
      </c>
      <c r="DK718" s="19">
        <v>7.73</v>
      </c>
      <c r="DL718" s="21">
        <v>99</v>
      </c>
      <c r="DM718" s="19">
        <v>0</v>
      </c>
      <c r="DN718" s="21">
        <v>10</v>
      </c>
      <c r="DO718" s="23">
        <v>3.22</v>
      </c>
      <c r="DP718" s="21">
        <v>76</v>
      </c>
      <c r="DQ718" s="23">
        <v>0</v>
      </c>
      <c r="DR718" s="19">
        <v>0</v>
      </c>
      <c r="DS718" s="23">
        <v>5.83</v>
      </c>
      <c r="DT718" s="21">
        <v>84</v>
      </c>
      <c r="DU718" s="23">
        <v>8.93</v>
      </c>
      <c r="DV718" s="21">
        <v>86</v>
      </c>
      <c r="DW718" s="23">
        <v>2.74</v>
      </c>
      <c r="DX718" s="21">
        <v>72</v>
      </c>
      <c r="DY718" s="18" t="s">
        <v>151</v>
      </c>
      <c r="DZ718" s="22" t="s">
        <v>151</v>
      </c>
      <c r="EA718" s="22" t="s">
        <v>151</v>
      </c>
      <c r="EB718" s="21">
        <v>1756</v>
      </c>
      <c r="EC718" s="20">
        <v>247</v>
      </c>
      <c r="ED718" s="19">
        <v>16.37</v>
      </c>
      <c r="EE718" s="21">
        <v>52</v>
      </c>
      <c r="EF718" s="20">
        <v>0</v>
      </c>
      <c r="EG718" s="19">
        <v>0</v>
      </c>
      <c r="EH718" s="16" t="s">
        <v>198</v>
      </c>
      <c r="EI718" s="17" t="s">
        <v>151</v>
      </c>
      <c r="EJ718" s="17" t="s">
        <v>151</v>
      </c>
      <c r="EK718" s="18" t="s">
        <v>151</v>
      </c>
      <c r="EL718" s="18" t="s">
        <v>151</v>
      </c>
      <c r="EM718" s="18" t="s">
        <v>151</v>
      </c>
      <c r="EN718" s="18" t="s">
        <v>151</v>
      </c>
      <c r="EO718" s="18" t="s">
        <v>151</v>
      </c>
      <c r="EP718" s="17" t="s">
        <v>151</v>
      </c>
      <c r="EQ718" s="16" t="s">
        <v>151</v>
      </c>
      <c r="ER718" s="16" t="s">
        <v>151</v>
      </c>
      <c r="ES718" s="3">
        <f>HYPERLINK("https://my.pitchbook.com?c=504146-35","View Company Online")</f>
      </c>
    </row>
    <row r="719">
      <c r="A719" s="30" t="s">
        <v>14734</v>
      </c>
      <c r="B719" s="30" t="s">
        <v>14735</v>
      </c>
      <c r="C719" s="31" t="s">
        <v>151</v>
      </c>
      <c r="D719" s="30" t="s">
        <v>14736</v>
      </c>
      <c r="E719" s="30" t="s">
        <v>14737</v>
      </c>
      <c r="F719" s="30" t="s">
        <v>14738</v>
      </c>
      <c r="G719" s="30" t="s">
        <v>151</v>
      </c>
      <c r="H719" s="30" t="s">
        <v>151</v>
      </c>
      <c r="I719" s="30" t="s">
        <v>151</v>
      </c>
      <c r="J719" s="30" t="s">
        <v>14734</v>
      </c>
      <c r="K719" s="30" t="s">
        <v>14739</v>
      </c>
      <c r="L719" s="30" t="s">
        <v>1792</v>
      </c>
      <c r="M719" s="30" t="s">
        <v>2199</v>
      </c>
      <c r="N719" s="30" t="s">
        <v>2200</v>
      </c>
      <c r="O719" s="30" t="s">
        <v>2201</v>
      </c>
      <c r="P719" s="30" t="s">
        <v>9926</v>
      </c>
      <c r="Q719" s="30" t="s">
        <v>14740</v>
      </c>
      <c r="R719" s="30" t="s">
        <v>151</v>
      </c>
      <c r="S719" s="30" t="s">
        <v>162</v>
      </c>
      <c r="T719" s="37">
        <v>13.11</v>
      </c>
      <c r="U719" s="30" t="s">
        <v>163</v>
      </c>
      <c r="V719" s="30" t="s">
        <v>164</v>
      </c>
      <c r="W719" s="30" t="s">
        <v>165</v>
      </c>
      <c r="X719" s="28" t="s">
        <v>14741</v>
      </c>
      <c r="Y719" s="28" t="s">
        <v>14742</v>
      </c>
      <c r="Z719" s="40">
        <v>14</v>
      </c>
      <c r="AA719" s="30" t="s">
        <v>14743</v>
      </c>
      <c r="AB719" s="30" t="s">
        <v>151</v>
      </c>
      <c r="AC719" s="30" t="s">
        <v>151</v>
      </c>
      <c r="AD719" s="39">
        <v>2021</v>
      </c>
      <c r="AE719" s="30" t="s">
        <v>151</v>
      </c>
      <c r="AF719" s="35">
        <v>45588</v>
      </c>
      <c r="AG719" s="30" t="s">
        <v>151</v>
      </c>
      <c r="AH719" s="30" t="s">
        <v>151</v>
      </c>
      <c r="AI719" s="38" t="s">
        <v>151</v>
      </c>
      <c r="AJ719" s="32" t="s">
        <v>151</v>
      </c>
      <c r="AK719" s="38" t="s">
        <v>151</v>
      </c>
      <c r="AL719" s="38" t="s">
        <v>151</v>
      </c>
      <c r="AM719" s="38" t="s">
        <v>151</v>
      </c>
      <c r="AN719" s="38" t="s">
        <v>151</v>
      </c>
      <c r="AO719" s="38" t="s">
        <v>151</v>
      </c>
      <c r="AP719" s="38" t="s">
        <v>151</v>
      </c>
      <c r="AQ719" s="38" t="s">
        <v>151</v>
      </c>
      <c r="AR719" s="29" t="s">
        <v>151</v>
      </c>
      <c r="AS719" s="30" t="s">
        <v>14744</v>
      </c>
      <c r="AT719" s="30" t="s">
        <v>14745</v>
      </c>
      <c r="AU719" s="31">
        <v>4</v>
      </c>
      <c r="AV719" s="30" t="s">
        <v>151</v>
      </c>
      <c r="AW719" s="30" t="s">
        <v>151</v>
      </c>
      <c r="AX719" s="30" t="s">
        <v>151</v>
      </c>
      <c r="AY719" s="30" t="s">
        <v>14746</v>
      </c>
      <c r="AZ719" s="30" t="s">
        <v>151</v>
      </c>
      <c r="BA719" s="30" t="s">
        <v>151</v>
      </c>
      <c r="BB719" s="30" t="s">
        <v>151</v>
      </c>
      <c r="BC719" s="30" t="s">
        <v>151</v>
      </c>
      <c r="BD719" s="30" t="s">
        <v>14747</v>
      </c>
      <c r="BE719" s="30" t="s">
        <v>14748</v>
      </c>
      <c r="BF719" s="30" t="s">
        <v>493</v>
      </c>
      <c r="BG719" s="30" t="s">
        <v>14749</v>
      </c>
      <c r="BH719" s="30" t="s">
        <v>151</v>
      </c>
      <c r="BI719" s="30" t="s">
        <v>906</v>
      </c>
      <c r="BJ719" s="30" t="s">
        <v>151</v>
      </c>
      <c r="BK719" s="30" t="s">
        <v>151</v>
      </c>
      <c r="BL719" s="30" t="s">
        <v>259</v>
      </c>
      <c r="BM719" s="30" t="s">
        <v>259</v>
      </c>
      <c r="BN719" s="29" t="s">
        <v>151</v>
      </c>
      <c r="BO719" s="30" t="s">
        <v>186</v>
      </c>
      <c r="BP719" s="29" t="s">
        <v>151</v>
      </c>
      <c r="BQ719" s="29" t="s">
        <v>151</v>
      </c>
      <c r="BR719" s="30" t="s">
        <v>14750</v>
      </c>
      <c r="BS719" s="30" t="s">
        <v>187</v>
      </c>
      <c r="BT719" s="30" t="s">
        <v>188</v>
      </c>
      <c r="BU719" s="35">
        <v>45582</v>
      </c>
      <c r="BV719" s="37">
        <v>2.2</v>
      </c>
      <c r="BW719" s="30" t="s">
        <v>192</v>
      </c>
      <c r="BX719" s="37" t="s">
        <v>151</v>
      </c>
      <c r="BY719" s="30" t="s">
        <v>151</v>
      </c>
      <c r="BZ719" s="30" t="s">
        <v>501</v>
      </c>
      <c r="CA719" s="30" t="s">
        <v>151</v>
      </c>
      <c r="CB719" s="30" t="s">
        <v>151</v>
      </c>
      <c r="CC719" s="30" t="s">
        <v>190</v>
      </c>
      <c r="CD719" s="30" t="s">
        <v>151</v>
      </c>
      <c r="CE719" s="30" t="s">
        <v>191</v>
      </c>
      <c r="CF719" s="35">
        <v>45586</v>
      </c>
      <c r="CG719" s="37">
        <v>13.11</v>
      </c>
      <c r="CH719" s="30" t="s">
        <v>192</v>
      </c>
      <c r="CI719" s="37">
        <v>18.11</v>
      </c>
      <c r="CJ719" s="30" t="s">
        <v>192</v>
      </c>
      <c r="CK719" s="29" t="s">
        <v>151</v>
      </c>
      <c r="CL719" s="30" t="s">
        <v>231</v>
      </c>
      <c r="CM719" s="30" t="s">
        <v>232</v>
      </c>
      <c r="CN719" s="30" t="s">
        <v>151</v>
      </c>
      <c r="CO719" s="30" t="s">
        <v>165</v>
      </c>
      <c r="CP719" s="35">
        <v>45586</v>
      </c>
      <c r="CQ719" s="37" t="s">
        <v>151</v>
      </c>
      <c r="CR719" s="30" t="s">
        <v>151</v>
      </c>
      <c r="CS719" s="30" t="s">
        <v>191</v>
      </c>
      <c r="CT719" s="29" t="s">
        <v>151</v>
      </c>
      <c r="CU719" s="30" t="s">
        <v>151</v>
      </c>
      <c r="CV719" s="32" t="s">
        <v>151</v>
      </c>
      <c r="CW719" s="32" t="s">
        <v>151</v>
      </c>
      <c r="CX719" s="30" t="s">
        <v>151</v>
      </c>
      <c r="CY719" s="32" t="s">
        <v>151</v>
      </c>
      <c r="CZ719" s="32" t="s">
        <v>151</v>
      </c>
      <c r="DA719" s="37">
        <v>18.11</v>
      </c>
      <c r="DB719" s="35">
        <v>45586</v>
      </c>
      <c r="DC719" s="30" t="s">
        <v>231</v>
      </c>
      <c r="DD719" s="29" t="s">
        <v>151</v>
      </c>
      <c r="DE719" s="32">
        <v>0</v>
      </c>
      <c r="DF719" s="34">
        <v>11</v>
      </c>
      <c r="DG719" s="32">
        <v>0</v>
      </c>
      <c r="DH719" s="32">
        <v>0</v>
      </c>
      <c r="DI719" s="32">
        <v>0</v>
      </c>
      <c r="DJ719" s="34">
        <v>10</v>
      </c>
      <c r="DK719" s="32" t="s">
        <v>151</v>
      </c>
      <c r="DL719" s="34" t="s">
        <v>151</v>
      </c>
      <c r="DM719" s="32">
        <v>0</v>
      </c>
      <c r="DN719" s="34">
        <v>10</v>
      </c>
      <c r="DO719" s="36">
        <v>1.01</v>
      </c>
      <c r="DP719" s="34">
        <v>51</v>
      </c>
      <c r="DQ719" s="36">
        <v>0</v>
      </c>
      <c r="DR719" s="32">
        <v>0</v>
      </c>
      <c r="DS719" s="36">
        <v>0.95</v>
      </c>
      <c r="DT719" s="34">
        <v>49</v>
      </c>
      <c r="DU719" s="36" t="s">
        <v>151</v>
      </c>
      <c r="DV719" s="34" t="s">
        <v>151</v>
      </c>
      <c r="DW719" s="36">
        <v>0.95</v>
      </c>
      <c r="DX719" s="34">
        <v>48</v>
      </c>
      <c r="DY719" s="31" t="s">
        <v>151</v>
      </c>
      <c r="DZ719" s="35" t="s">
        <v>151</v>
      </c>
      <c r="EA719" s="35" t="s">
        <v>151</v>
      </c>
      <c r="EB719" s="34">
        <v>200</v>
      </c>
      <c r="EC719" s="33">
        <v>35</v>
      </c>
      <c r="ED719" s="32">
        <v>21.21</v>
      </c>
      <c r="EE719" s="34">
        <v>18</v>
      </c>
      <c r="EF719" s="33">
        <v>0</v>
      </c>
      <c r="EG719" s="32">
        <v>0</v>
      </c>
      <c r="EH719" s="29" t="s">
        <v>198</v>
      </c>
      <c r="EI719" s="30" t="s">
        <v>151</v>
      </c>
      <c r="EJ719" s="30" t="s">
        <v>151</v>
      </c>
      <c r="EK719" s="31" t="s">
        <v>151</v>
      </c>
      <c r="EL719" s="31" t="s">
        <v>151</v>
      </c>
      <c r="EM719" s="31" t="s">
        <v>151</v>
      </c>
      <c r="EN719" s="31" t="s">
        <v>151</v>
      </c>
      <c r="EO719" s="31" t="s">
        <v>151</v>
      </c>
      <c r="EP719" s="30" t="s">
        <v>151</v>
      </c>
      <c r="EQ719" s="29" t="s">
        <v>151</v>
      </c>
      <c r="ER719" s="29" t="s">
        <v>151</v>
      </c>
      <c r="ES719" s="4">
        <f>HYPERLINK("https://my.pitchbook.com?c=520596-73","View Company Online")</f>
      </c>
    </row>
    <row r="720">
      <c r="A720" s="17" t="s">
        <v>14751</v>
      </c>
      <c r="B720" s="17" t="s">
        <v>14752</v>
      </c>
      <c r="C720" s="18" t="s">
        <v>151</v>
      </c>
      <c r="D720" s="17" t="s">
        <v>151</v>
      </c>
      <c r="E720" s="17" t="s">
        <v>151</v>
      </c>
      <c r="F720" s="17" t="s">
        <v>14753</v>
      </c>
      <c r="G720" s="17" t="s">
        <v>151</v>
      </c>
      <c r="H720" s="17" t="s">
        <v>151</v>
      </c>
      <c r="I720" s="17" t="s">
        <v>14754</v>
      </c>
      <c r="J720" s="17" t="s">
        <v>14751</v>
      </c>
      <c r="K720" s="17" t="s">
        <v>14755</v>
      </c>
      <c r="L720" s="17" t="s">
        <v>616</v>
      </c>
      <c r="M720" s="17" t="s">
        <v>834</v>
      </c>
      <c r="N720" s="17" t="s">
        <v>7969</v>
      </c>
      <c r="O720" s="17" t="s">
        <v>14756</v>
      </c>
      <c r="P720" s="17" t="s">
        <v>11499</v>
      </c>
      <c r="Q720" s="17" t="s">
        <v>14757</v>
      </c>
      <c r="R720" s="17" t="s">
        <v>151</v>
      </c>
      <c r="S720" s="17" t="s">
        <v>162</v>
      </c>
      <c r="T720" s="24">
        <v>16.61</v>
      </c>
      <c r="U720" s="17" t="s">
        <v>163</v>
      </c>
      <c r="V720" s="17" t="s">
        <v>164</v>
      </c>
      <c r="W720" s="17" t="s">
        <v>165</v>
      </c>
      <c r="X720" s="15" t="s">
        <v>14758</v>
      </c>
      <c r="Y720" s="15" t="s">
        <v>14759</v>
      </c>
      <c r="Z720" s="27">
        <v>40</v>
      </c>
      <c r="AA720" s="17" t="s">
        <v>14760</v>
      </c>
      <c r="AB720" s="17" t="s">
        <v>151</v>
      </c>
      <c r="AC720" s="17" t="s">
        <v>151</v>
      </c>
      <c r="AD720" s="26">
        <v>2019</v>
      </c>
      <c r="AE720" s="17" t="s">
        <v>151</v>
      </c>
      <c r="AF720" s="22">
        <v>45583</v>
      </c>
      <c r="AG720" s="17" t="s">
        <v>151</v>
      </c>
      <c r="AH720" s="17" t="s">
        <v>151</v>
      </c>
      <c r="AI720" s="25" t="s">
        <v>151</v>
      </c>
      <c r="AJ720" s="19" t="s">
        <v>151</v>
      </c>
      <c r="AK720" s="25" t="s">
        <v>151</v>
      </c>
      <c r="AL720" s="25" t="s">
        <v>151</v>
      </c>
      <c r="AM720" s="25" t="s">
        <v>151</v>
      </c>
      <c r="AN720" s="25" t="s">
        <v>151</v>
      </c>
      <c r="AO720" s="25" t="s">
        <v>151</v>
      </c>
      <c r="AP720" s="25" t="s">
        <v>151</v>
      </c>
      <c r="AQ720" s="25" t="s">
        <v>151</v>
      </c>
      <c r="AR720" s="16" t="s">
        <v>151</v>
      </c>
      <c r="AS720" s="17" t="s">
        <v>14761</v>
      </c>
      <c r="AT720" s="17" t="s">
        <v>14762</v>
      </c>
      <c r="AU720" s="18">
        <v>27</v>
      </c>
      <c r="AV720" s="17" t="s">
        <v>151</v>
      </c>
      <c r="AW720" s="17" t="s">
        <v>151</v>
      </c>
      <c r="AX720" s="17" t="s">
        <v>151</v>
      </c>
      <c r="AY720" s="17" t="s">
        <v>14763</v>
      </c>
      <c r="AZ720" s="17" t="s">
        <v>151</v>
      </c>
      <c r="BA720" s="17" t="s">
        <v>151</v>
      </c>
      <c r="BB720" s="17" t="s">
        <v>151</v>
      </c>
      <c r="BC720" s="17" t="s">
        <v>151</v>
      </c>
      <c r="BD720" s="17" t="s">
        <v>14764</v>
      </c>
      <c r="BE720" s="17" t="s">
        <v>14765</v>
      </c>
      <c r="BF720" s="17" t="s">
        <v>3909</v>
      </c>
      <c r="BG720" s="17" t="s">
        <v>14766</v>
      </c>
      <c r="BH720" s="17" t="s">
        <v>14767</v>
      </c>
      <c r="BI720" s="17" t="s">
        <v>764</v>
      </c>
      <c r="BJ720" s="17" t="s">
        <v>14768</v>
      </c>
      <c r="BK720" s="17" t="s">
        <v>14769</v>
      </c>
      <c r="BL720" s="17" t="s">
        <v>767</v>
      </c>
      <c r="BM720" s="17" t="s">
        <v>184</v>
      </c>
      <c r="BN720" s="16" t="s">
        <v>3049</v>
      </c>
      <c r="BO720" s="17" t="s">
        <v>186</v>
      </c>
      <c r="BP720" s="16" t="s">
        <v>14767</v>
      </c>
      <c r="BQ720" s="16" t="s">
        <v>151</v>
      </c>
      <c r="BR720" s="17" t="s">
        <v>14770</v>
      </c>
      <c r="BS720" s="17" t="s">
        <v>187</v>
      </c>
      <c r="BT720" s="17" t="s">
        <v>188</v>
      </c>
      <c r="BU720" s="22">
        <v>43902</v>
      </c>
      <c r="BV720" s="24">
        <v>2.7</v>
      </c>
      <c r="BW720" s="17" t="s">
        <v>192</v>
      </c>
      <c r="BX720" s="24">
        <v>6.5</v>
      </c>
      <c r="BY720" s="17" t="s">
        <v>192</v>
      </c>
      <c r="BZ720" s="17" t="s">
        <v>293</v>
      </c>
      <c r="CA720" s="17" t="s">
        <v>293</v>
      </c>
      <c r="CB720" s="17" t="s">
        <v>151</v>
      </c>
      <c r="CC720" s="17" t="s">
        <v>165</v>
      </c>
      <c r="CD720" s="17" t="s">
        <v>151</v>
      </c>
      <c r="CE720" s="17" t="s">
        <v>191</v>
      </c>
      <c r="CF720" s="22">
        <v>45506</v>
      </c>
      <c r="CG720" s="24">
        <v>1.25</v>
      </c>
      <c r="CH720" s="17" t="s">
        <v>192</v>
      </c>
      <c r="CI720" s="24" t="s">
        <v>151</v>
      </c>
      <c r="CJ720" s="17" t="s">
        <v>151</v>
      </c>
      <c r="CK720" s="16" t="s">
        <v>151</v>
      </c>
      <c r="CL720" s="17" t="s">
        <v>194</v>
      </c>
      <c r="CM720" s="17" t="s">
        <v>232</v>
      </c>
      <c r="CN720" s="17" t="s">
        <v>151</v>
      </c>
      <c r="CO720" s="17" t="s">
        <v>165</v>
      </c>
      <c r="CP720" s="22">
        <v>45506</v>
      </c>
      <c r="CQ720" s="24" t="s">
        <v>151</v>
      </c>
      <c r="CR720" s="17" t="s">
        <v>151</v>
      </c>
      <c r="CS720" s="17" t="s">
        <v>191</v>
      </c>
      <c r="CT720" s="16">
        <v>95</v>
      </c>
      <c r="CU720" s="17" t="s">
        <v>196</v>
      </c>
      <c r="CV720" s="19">
        <v>89</v>
      </c>
      <c r="CW720" s="19">
        <v>11</v>
      </c>
      <c r="CX720" s="17" t="s">
        <v>294</v>
      </c>
      <c r="CY720" s="19">
        <v>1</v>
      </c>
      <c r="CZ720" s="19">
        <v>88</v>
      </c>
      <c r="DA720" s="24">
        <v>39.96</v>
      </c>
      <c r="DB720" s="22">
        <v>44691</v>
      </c>
      <c r="DC720" s="17" t="s">
        <v>231</v>
      </c>
      <c r="DD720" s="16">
        <v>3.16</v>
      </c>
      <c r="DE720" s="19">
        <v>-0.11</v>
      </c>
      <c r="DF720" s="21">
        <v>10</v>
      </c>
      <c r="DG720" s="19">
        <v>0.04</v>
      </c>
      <c r="DH720" s="19">
        <v>28.31</v>
      </c>
      <c r="DI720" s="19">
        <v>-0.22</v>
      </c>
      <c r="DJ720" s="21">
        <v>9</v>
      </c>
      <c r="DK720" s="19" t="s">
        <v>151</v>
      </c>
      <c r="DL720" s="21" t="s">
        <v>151</v>
      </c>
      <c r="DM720" s="19">
        <v>-0.22</v>
      </c>
      <c r="DN720" s="21">
        <v>9</v>
      </c>
      <c r="DO720" s="23">
        <v>8.91</v>
      </c>
      <c r="DP720" s="21">
        <v>89</v>
      </c>
      <c r="DQ720" s="23">
        <v>0</v>
      </c>
      <c r="DR720" s="19">
        <v>0</v>
      </c>
      <c r="DS720" s="23">
        <v>14.74</v>
      </c>
      <c r="DT720" s="21">
        <v>93</v>
      </c>
      <c r="DU720" s="23" t="s">
        <v>151</v>
      </c>
      <c r="DV720" s="21" t="s">
        <v>151</v>
      </c>
      <c r="DW720" s="23">
        <v>14.74</v>
      </c>
      <c r="DX720" s="21">
        <v>93</v>
      </c>
      <c r="DY720" s="18" t="s">
        <v>151</v>
      </c>
      <c r="DZ720" s="22" t="s">
        <v>151</v>
      </c>
      <c r="EA720" s="22" t="s">
        <v>151</v>
      </c>
      <c r="EB720" s="21" t="s">
        <v>151</v>
      </c>
      <c r="EC720" s="20" t="s">
        <v>151</v>
      </c>
      <c r="ED720" s="19" t="s">
        <v>151</v>
      </c>
      <c r="EE720" s="21">
        <v>280</v>
      </c>
      <c r="EF720" s="20">
        <v>0</v>
      </c>
      <c r="EG720" s="19">
        <v>0</v>
      </c>
      <c r="EH720" s="16" t="s">
        <v>198</v>
      </c>
      <c r="EI720" s="17" t="s">
        <v>151</v>
      </c>
      <c r="EJ720" s="17" t="s">
        <v>151</v>
      </c>
      <c r="EK720" s="18" t="s">
        <v>151</v>
      </c>
      <c r="EL720" s="18" t="s">
        <v>151</v>
      </c>
      <c r="EM720" s="18" t="s">
        <v>151</v>
      </c>
      <c r="EN720" s="18" t="s">
        <v>151</v>
      </c>
      <c r="EO720" s="18" t="s">
        <v>151</v>
      </c>
      <c r="EP720" s="17" t="s">
        <v>151</v>
      </c>
      <c r="EQ720" s="16" t="s">
        <v>151</v>
      </c>
      <c r="ER720" s="16" t="s">
        <v>151</v>
      </c>
      <c r="ES720" s="3">
        <f>HYPERLINK("https://my.pitchbook.com?c=433127-80","View Company Online")</f>
      </c>
    </row>
    <row r="721">
      <c r="A721" s="30" t="s">
        <v>14771</v>
      </c>
      <c r="B721" s="30" t="s">
        <v>14772</v>
      </c>
      <c r="C721" s="31" t="s">
        <v>151</v>
      </c>
      <c r="D721" s="30" t="s">
        <v>151</v>
      </c>
      <c r="E721" s="30" t="s">
        <v>14773</v>
      </c>
      <c r="F721" s="30" t="s">
        <v>14774</v>
      </c>
      <c r="G721" s="30" t="s">
        <v>151</v>
      </c>
      <c r="H721" s="30" t="s">
        <v>151</v>
      </c>
      <c r="I721" s="30" t="s">
        <v>14775</v>
      </c>
      <c r="J721" s="30" t="s">
        <v>14771</v>
      </c>
      <c r="K721" s="30" t="s">
        <v>14776</v>
      </c>
      <c r="L721" s="30" t="s">
        <v>205</v>
      </c>
      <c r="M721" s="30" t="s">
        <v>206</v>
      </c>
      <c r="N721" s="30" t="s">
        <v>269</v>
      </c>
      <c r="O721" s="30" t="s">
        <v>14777</v>
      </c>
      <c r="P721" s="30" t="s">
        <v>6478</v>
      </c>
      <c r="Q721" s="30" t="s">
        <v>14778</v>
      </c>
      <c r="R721" s="30" t="s">
        <v>14779</v>
      </c>
      <c r="S721" s="30" t="s">
        <v>162</v>
      </c>
      <c r="T721" s="37">
        <v>2.52</v>
      </c>
      <c r="U721" s="30" t="s">
        <v>163</v>
      </c>
      <c r="V721" s="30" t="s">
        <v>164</v>
      </c>
      <c r="W721" s="30" t="s">
        <v>165</v>
      </c>
      <c r="X721" s="28" t="s">
        <v>14780</v>
      </c>
      <c r="Y721" s="28" t="s">
        <v>14781</v>
      </c>
      <c r="Z721" s="40">
        <v>10</v>
      </c>
      <c r="AA721" s="30" t="s">
        <v>5557</v>
      </c>
      <c r="AB721" s="30" t="s">
        <v>151</v>
      </c>
      <c r="AC721" s="30" t="s">
        <v>151</v>
      </c>
      <c r="AD721" s="39">
        <v>2022</v>
      </c>
      <c r="AE721" s="30" t="s">
        <v>151</v>
      </c>
      <c r="AF721" s="35">
        <v>45595</v>
      </c>
      <c r="AG721" s="30" t="s">
        <v>151</v>
      </c>
      <c r="AH721" s="30" t="s">
        <v>151</v>
      </c>
      <c r="AI721" s="38" t="s">
        <v>151</v>
      </c>
      <c r="AJ721" s="32" t="s">
        <v>151</v>
      </c>
      <c r="AK721" s="38" t="s">
        <v>151</v>
      </c>
      <c r="AL721" s="38" t="s">
        <v>151</v>
      </c>
      <c r="AM721" s="38" t="s">
        <v>151</v>
      </c>
      <c r="AN721" s="38" t="s">
        <v>151</v>
      </c>
      <c r="AO721" s="38" t="s">
        <v>151</v>
      </c>
      <c r="AP721" s="38" t="s">
        <v>151</v>
      </c>
      <c r="AQ721" s="38" t="s">
        <v>151</v>
      </c>
      <c r="AR721" s="29" t="s">
        <v>151</v>
      </c>
      <c r="AS721" s="30" t="s">
        <v>14782</v>
      </c>
      <c r="AT721" s="30" t="s">
        <v>14783</v>
      </c>
      <c r="AU721" s="31">
        <v>8</v>
      </c>
      <c r="AV721" s="30" t="s">
        <v>151</v>
      </c>
      <c r="AW721" s="30" t="s">
        <v>151</v>
      </c>
      <c r="AX721" s="30" t="s">
        <v>151</v>
      </c>
      <c r="AY721" s="30" t="s">
        <v>14784</v>
      </c>
      <c r="AZ721" s="30" t="s">
        <v>151</v>
      </c>
      <c r="BA721" s="30" t="s">
        <v>151</v>
      </c>
      <c r="BB721" s="30" t="s">
        <v>151</v>
      </c>
      <c r="BC721" s="30" t="s">
        <v>374</v>
      </c>
      <c r="BD721" s="30" t="s">
        <v>14785</v>
      </c>
      <c r="BE721" s="30" t="s">
        <v>14786</v>
      </c>
      <c r="BF721" s="30" t="s">
        <v>221</v>
      </c>
      <c r="BG721" s="30" t="s">
        <v>14787</v>
      </c>
      <c r="BH721" s="30" t="s">
        <v>151</v>
      </c>
      <c r="BI721" s="30" t="s">
        <v>764</v>
      </c>
      <c r="BJ721" s="30" t="s">
        <v>14788</v>
      </c>
      <c r="BK721" s="30" t="s">
        <v>14789</v>
      </c>
      <c r="BL721" s="30" t="s">
        <v>767</v>
      </c>
      <c r="BM721" s="30" t="s">
        <v>184</v>
      </c>
      <c r="BN721" s="29" t="s">
        <v>1170</v>
      </c>
      <c r="BO721" s="30" t="s">
        <v>186</v>
      </c>
      <c r="BP721" s="29" t="s">
        <v>14790</v>
      </c>
      <c r="BQ721" s="29" t="s">
        <v>151</v>
      </c>
      <c r="BR721" s="30" t="s">
        <v>14791</v>
      </c>
      <c r="BS721" s="30" t="s">
        <v>187</v>
      </c>
      <c r="BT721" s="30" t="s">
        <v>188</v>
      </c>
      <c r="BU721" s="35">
        <v>44903</v>
      </c>
      <c r="BV721" s="37">
        <v>0.01</v>
      </c>
      <c r="BW721" s="30" t="s">
        <v>192</v>
      </c>
      <c r="BX721" s="37" t="s">
        <v>151</v>
      </c>
      <c r="BY721" s="30" t="s">
        <v>151</v>
      </c>
      <c r="BZ721" s="30" t="s">
        <v>189</v>
      </c>
      <c r="CA721" s="30" t="s">
        <v>151</v>
      </c>
      <c r="CB721" s="30" t="s">
        <v>151</v>
      </c>
      <c r="CC721" s="30" t="s">
        <v>190</v>
      </c>
      <c r="CD721" s="30" t="s">
        <v>151</v>
      </c>
      <c r="CE721" s="30" t="s">
        <v>191</v>
      </c>
      <c r="CF721" s="35">
        <v>45344</v>
      </c>
      <c r="CG721" s="37">
        <v>2.4</v>
      </c>
      <c r="CH721" s="30" t="s">
        <v>192</v>
      </c>
      <c r="CI721" s="37" t="s">
        <v>151</v>
      </c>
      <c r="CJ721" s="30" t="s">
        <v>151</v>
      </c>
      <c r="CK721" s="29" t="s">
        <v>151</v>
      </c>
      <c r="CL721" s="30" t="s">
        <v>231</v>
      </c>
      <c r="CM721" s="30" t="s">
        <v>151</v>
      </c>
      <c r="CN721" s="30" t="s">
        <v>151</v>
      </c>
      <c r="CO721" s="30" t="s">
        <v>165</v>
      </c>
      <c r="CP721" s="35">
        <v>45344</v>
      </c>
      <c r="CQ721" s="37" t="s">
        <v>151</v>
      </c>
      <c r="CR721" s="30" t="s">
        <v>151</v>
      </c>
      <c r="CS721" s="30" t="s">
        <v>191</v>
      </c>
      <c r="CT721" s="29" t="s">
        <v>151</v>
      </c>
      <c r="CU721" s="30" t="s">
        <v>151</v>
      </c>
      <c r="CV721" s="32" t="s">
        <v>151</v>
      </c>
      <c r="CW721" s="32" t="s">
        <v>151</v>
      </c>
      <c r="CX721" s="30" t="s">
        <v>151</v>
      </c>
      <c r="CY721" s="32" t="s">
        <v>151</v>
      </c>
      <c r="CZ721" s="32" t="s">
        <v>151</v>
      </c>
      <c r="DA721" s="37">
        <v>0.33</v>
      </c>
      <c r="DB721" s="35">
        <v>45194</v>
      </c>
      <c r="DC721" s="30" t="s">
        <v>189</v>
      </c>
      <c r="DD721" s="29" t="s">
        <v>151</v>
      </c>
      <c r="DE721" s="32">
        <v>1.56</v>
      </c>
      <c r="DF721" s="34">
        <v>97</v>
      </c>
      <c r="DG721" s="32">
        <v>0</v>
      </c>
      <c r="DH721" s="32">
        <v>0</v>
      </c>
      <c r="DI721" s="32" t="s">
        <v>151</v>
      </c>
      <c r="DJ721" s="34" t="s">
        <v>151</v>
      </c>
      <c r="DK721" s="32" t="s">
        <v>151</v>
      </c>
      <c r="DL721" s="34" t="s">
        <v>151</v>
      </c>
      <c r="DM721" s="32" t="s">
        <v>151</v>
      </c>
      <c r="DN721" s="34" t="s">
        <v>151</v>
      </c>
      <c r="DO721" s="36">
        <v>0.69</v>
      </c>
      <c r="DP721" s="34">
        <v>42</v>
      </c>
      <c r="DQ721" s="36">
        <v>0</v>
      </c>
      <c r="DR721" s="32">
        <v>0</v>
      </c>
      <c r="DS721" s="36" t="s">
        <v>151</v>
      </c>
      <c r="DT721" s="34" t="s">
        <v>151</v>
      </c>
      <c r="DU721" s="36" t="s">
        <v>151</v>
      </c>
      <c r="DV721" s="34" t="s">
        <v>151</v>
      </c>
      <c r="DW721" s="36" t="s">
        <v>151</v>
      </c>
      <c r="DX721" s="34" t="s">
        <v>151</v>
      </c>
      <c r="DY721" s="31" t="s">
        <v>151</v>
      </c>
      <c r="DZ721" s="35" t="s">
        <v>151</v>
      </c>
      <c r="EA721" s="35" t="s">
        <v>151</v>
      </c>
      <c r="EB721" s="34">
        <v>308</v>
      </c>
      <c r="EC721" s="33">
        <v>-234</v>
      </c>
      <c r="ED721" s="32">
        <v>-43.17</v>
      </c>
      <c r="EE721" s="34" t="s">
        <v>151</v>
      </c>
      <c r="EF721" s="33" t="s">
        <v>151</v>
      </c>
      <c r="EG721" s="32" t="s">
        <v>151</v>
      </c>
      <c r="EH721" s="29" t="s">
        <v>198</v>
      </c>
      <c r="EI721" s="30" t="s">
        <v>151</v>
      </c>
      <c r="EJ721" s="30" t="s">
        <v>151</v>
      </c>
      <c r="EK721" s="31" t="s">
        <v>151</v>
      </c>
      <c r="EL721" s="31" t="s">
        <v>151</v>
      </c>
      <c r="EM721" s="31" t="s">
        <v>151</v>
      </c>
      <c r="EN721" s="31" t="s">
        <v>151</v>
      </c>
      <c r="EO721" s="31" t="s">
        <v>151</v>
      </c>
      <c r="EP721" s="30" t="s">
        <v>151</v>
      </c>
      <c r="EQ721" s="29" t="s">
        <v>151</v>
      </c>
      <c r="ER721" s="29" t="s">
        <v>151</v>
      </c>
      <c r="ES721" s="4">
        <f>HYPERLINK("https://my.pitchbook.com?c=529799-86","View Company Online")</f>
      </c>
    </row>
    <row r="722">
      <c r="A722" s="17" t="s">
        <v>14792</v>
      </c>
      <c r="B722" s="17" t="s">
        <v>14793</v>
      </c>
      <c r="C722" s="18" t="s">
        <v>151</v>
      </c>
      <c r="D722" s="17" t="s">
        <v>151</v>
      </c>
      <c r="E722" s="17" t="s">
        <v>14794</v>
      </c>
      <c r="F722" s="17" t="s">
        <v>14795</v>
      </c>
      <c r="G722" s="17" t="s">
        <v>151</v>
      </c>
      <c r="H722" s="17" t="s">
        <v>151</v>
      </c>
      <c r="I722" s="17" t="s">
        <v>14796</v>
      </c>
      <c r="J722" s="17" t="s">
        <v>14792</v>
      </c>
      <c r="K722" s="17" t="s">
        <v>14797</v>
      </c>
      <c r="L722" s="17" t="s">
        <v>205</v>
      </c>
      <c r="M722" s="17" t="s">
        <v>206</v>
      </c>
      <c r="N722" s="17" t="s">
        <v>269</v>
      </c>
      <c r="O722" s="17" t="s">
        <v>3703</v>
      </c>
      <c r="P722" s="17" t="s">
        <v>304</v>
      </c>
      <c r="Q722" s="17" t="s">
        <v>14798</v>
      </c>
      <c r="R722" s="17" t="s">
        <v>151</v>
      </c>
      <c r="S722" s="17" t="s">
        <v>162</v>
      </c>
      <c r="T722" s="24">
        <v>22</v>
      </c>
      <c r="U722" s="17" t="s">
        <v>163</v>
      </c>
      <c r="V722" s="17" t="s">
        <v>164</v>
      </c>
      <c r="W722" s="17" t="s">
        <v>165</v>
      </c>
      <c r="X722" s="15" t="s">
        <v>14799</v>
      </c>
      <c r="Y722" s="15" t="s">
        <v>14800</v>
      </c>
      <c r="Z722" s="27">
        <v>10</v>
      </c>
      <c r="AA722" s="17" t="s">
        <v>14801</v>
      </c>
      <c r="AB722" s="17" t="s">
        <v>151</v>
      </c>
      <c r="AC722" s="17" t="s">
        <v>151</v>
      </c>
      <c r="AD722" s="26">
        <v>2019</v>
      </c>
      <c r="AE722" s="17" t="s">
        <v>151</v>
      </c>
      <c r="AF722" s="22">
        <v>45530</v>
      </c>
      <c r="AG722" s="17" t="s">
        <v>151</v>
      </c>
      <c r="AH722" s="17" t="s">
        <v>151</v>
      </c>
      <c r="AI722" s="25" t="s">
        <v>151</v>
      </c>
      <c r="AJ722" s="19" t="s">
        <v>151</v>
      </c>
      <c r="AK722" s="25" t="s">
        <v>151</v>
      </c>
      <c r="AL722" s="25" t="s">
        <v>151</v>
      </c>
      <c r="AM722" s="25" t="s">
        <v>151</v>
      </c>
      <c r="AN722" s="25" t="s">
        <v>151</v>
      </c>
      <c r="AO722" s="25" t="s">
        <v>151</v>
      </c>
      <c r="AP722" s="25" t="s">
        <v>151</v>
      </c>
      <c r="AQ722" s="25" t="s">
        <v>151</v>
      </c>
      <c r="AR722" s="16" t="s">
        <v>151</v>
      </c>
      <c r="AS722" s="17" t="s">
        <v>14802</v>
      </c>
      <c r="AT722" s="17" t="s">
        <v>14803</v>
      </c>
      <c r="AU722" s="18">
        <v>15</v>
      </c>
      <c r="AV722" s="17" t="s">
        <v>151</v>
      </c>
      <c r="AW722" s="17" t="s">
        <v>151</v>
      </c>
      <c r="AX722" s="17" t="s">
        <v>151</v>
      </c>
      <c r="AY722" s="17" t="s">
        <v>14804</v>
      </c>
      <c r="AZ722" s="17" t="s">
        <v>151</v>
      </c>
      <c r="BA722" s="17" t="s">
        <v>151</v>
      </c>
      <c r="BB722" s="17" t="s">
        <v>151</v>
      </c>
      <c r="BC722" s="17" t="s">
        <v>374</v>
      </c>
      <c r="BD722" s="17" t="s">
        <v>14805</v>
      </c>
      <c r="BE722" s="17" t="s">
        <v>14806</v>
      </c>
      <c r="BF722" s="17" t="s">
        <v>14807</v>
      </c>
      <c r="BG722" s="17" t="s">
        <v>14808</v>
      </c>
      <c r="BH722" s="17" t="s">
        <v>151</v>
      </c>
      <c r="BI722" s="17" t="s">
        <v>764</v>
      </c>
      <c r="BJ722" s="17" t="s">
        <v>14809</v>
      </c>
      <c r="BK722" s="17" t="s">
        <v>151</v>
      </c>
      <c r="BL722" s="17" t="s">
        <v>767</v>
      </c>
      <c r="BM722" s="17" t="s">
        <v>184</v>
      </c>
      <c r="BN722" s="16" t="s">
        <v>768</v>
      </c>
      <c r="BO722" s="17" t="s">
        <v>186</v>
      </c>
      <c r="BP722" s="16" t="s">
        <v>151</v>
      </c>
      <c r="BQ722" s="16" t="s">
        <v>151</v>
      </c>
      <c r="BR722" s="17" t="s">
        <v>14810</v>
      </c>
      <c r="BS722" s="17" t="s">
        <v>187</v>
      </c>
      <c r="BT722" s="17" t="s">
        <v>188</v>
      </c>
      <c r="BU722" s="22">
        <v>43902</v>
      </c>
      <c r="BV722" s="24">
        <v>4</v>
      </c>
      <c r="BW722" s="17" t="s">
        <v>192</v>
      </c>
      <c r="BX722" s="24">
        <v>20</v>
      </c>
      <c r="BY722" s="17" t="s">
        <v>192</v>
      </c>
      <c r="BZ722" s="17" t="s">
        <v>293</v>
      </c>
      <c r="CA722" s="17" t="s">
        <v>293</v>
      </c>
      <c r="CB722" s="17" t="s">
        <v>151</v>
      </c>
      <c r="CC722" s="17" t="s">
        <v>165</v>
      </c>
      <c r="CD722" s="17" t="s">
        <v>151</v>
      </c>
      <c r="CE722" s="17" t="s">
        <v>191</v>
      </c>
      <c r="CF722" s="22">
        <v>44670</v>
      </c>
      <c r="CG722" s="24">
        <v>18</v>
      </c>
      <c r="CH722" s="17" t="s">
        <v>192</v>
      </c>
      <c r="CI722" s="24">
        <v>90</v>
      </c>
      <c r="CJ722" s="17" t="s">
        <v>192</v>
      </c>
      <c r="CK722" s="16">
        <v>3.6</v>
      </c>
      <c r="CL722" s="17" t="s">
        <v>231</v>
      </c>
      <c r="CM722" s="17" t="s">
        <v>232</v>
      </c>
      <c r="CN722" s="17" t="s">
        <v>151</v>
      </c>
      <c r="CO722" s="17" t="s">
        <v>165</v>
      </c>
      <c r="CP722" s="22">
        <v>44670</v>
      </c>
      <c r="CQ722" s="24" t="s">
        <v>151</v>
      </c>
      <c r="CR722" s="17" t="s">
        <v>151</v>
      </c>
      <c r="CS722" s="17" t="s">
        <v>191</v>
      </c>
      <c r="CT722" s="16">
        <v>95</v>
      </c>
      <c r="CU722" s="17" t="s">
        <v>196</v>
      </c>
      <c r="CV722" s="19">
        <v>88</v>
      </c>
      <c r="CW722" s="19">
        <v>12</v>
      </c>
      <c r="CX722" s="17" t="s">
        <v>294</v>
      </c>
      <c r="CY722" s="19">
        <v>1</v>
      </c>
      <c r="CZ722" s="19">
        <v>87</v>
      </c>
      <c r="DA722" s="24">
        <v>90</v>
      </c>
      <c r="DB722" s="22">
        <v>44670</v>
      </c>
      <c r="DC722" s="17" t="s">
        <v>231</v>
      </c>
      <c r="DD722" s="16">
        <v>3.6</v>
      </c>
      <c r="DE722" s="19">
        <v>0.77</v>
      </c>
      <c r="DF722" s="21">
        <v>95</v>
      </c>
      <c r="DG722" s="19">
        <v>0</v>
      </c>
      <c r="DH722" s="19">
        <v>0</v>
      </c>
      <c r="DI722" s="19">
        <v>1.55</v>
      </c>
      <c r="DJ722" s="21">
        <v>98</v>
      </c>
      <c r="DK722" s="19" t="s">
        <v>151</v>
      </c>
      <c r="DL722" s="21" t="s">
        <v>151</v>
      </c>
      <c r="DM722" s="19">
        <v>1.55</v>
      </c>
      <c r="DN722" s="21">
        <v>98</v>
      </c>
      <c r="DO722" s="23">
        <v>29.54</v>
      </c>
      <c r="DP722" s="21">
        <v>97</v>
      </c>
      <c r="DQ722" s="23">
        <v>0</v>
      </c>
      <c r="DR722" s="19">
        <v>0</v>
      </c>
      <c r="DS722" s="23">
        <v>58.32</v>
      </c>
      <c r="DT722" s="21">
        <v>98</v>
      </c>
      <c r="DU722" s="23" t="s">
        <v>151</v>
      </c>
      <c r="DV722" s="21" t="s">
        <v>151</v>
      </c>
      <c r="DW722" s="23">
        <v>58.32</v>
      </c>
      <c r="DX722" s="21">
        <v>99</v>
      </c>
      <c r="DY722" s="18" t="s">
        <v>151</v>
      </c>
      <c r="DZ722" s="22" t="s">
        <v>151</v>
      </c>
      <c r="EA722" s="22" t="s">
        <v>151</v>
      </c>
      <c r="EB722" s="21">
        <v>116404</v>
      </c>
      <c r="EC722" s="20">
        <v>-1582</v>
      </c>
      <c r="ED722" s="19">
        <v>-1.34</v>
      </c>
      <c r="EE722" s="21">
        <v>1108</v>
      </c>
      <c r="EF722" s="20">
        <v>10</v>
      </c>
      <c r="EG722" s="19">
        <v>0.91</v>
      </c>
      <c r="EH722" s="16" t="s">
        <v>198</v>
      </c>
      <c r="EI722" s="17" t="s">
        <v>151</v>
      </c>
      <c r="EJ722" s="17" t="s">
        <v>151</v>
      </c>
      <c r="EK722" s="18" t="s">
        <v>151</v>
      </c>
      <c r="EL722" s="18" t="s">
        <v>151</v>
      </c>
      <c r="EM722" s="18" t="s">
        <v>151</v>
      </c>
      <c r="EN722" s="18" t="s">
        <v>151</v>
      </c>
      <c r="EO722" s="18" t="s">
        <v>151</v>
      </c>
      <c r="EP722" s="17" t="s">
        <v>151</v>
      </c>
      <c r="EQ722" s="16" t="s">
        <v>151</v>
      </c>
      <c r="ER722" s="16" t="s">
        <v>151</v>
      </c>
      <c r="ES722" s="3">
        <f>HYPERLINK("https://my.pitchbook.com?c=453553-75","View Company Online")</f>
      </c>
    </row>
    <row r="723">
      <c r="A723" s="30" t="s">
        <v>14811</v>
      </c>
      <c r="B723" s="30" t="s">
        <v>14812</v>
      </c>
      <c r="C723" s="31" t="s">
        <v>151</v>
      </c>
      <c r="D723" s="30" t="s">
        <v>151</v>
      </c>
      <c r="E723" s="30" t="s">
        <v>14813</v>
      </c>
      <c r="F723" s="30" t="s">
        <v>14814</v>
      </c>
      <c r="G723" s="30" t="s">
        <v>151</v>
      </c>
      <c r="H723" s="30" t="s">
        <v>151</v>
      </c>
      <c r="I723" s="30" t="s">
        <v>14815</v>
      </c>
      <c r="J723" s="30" t="s">
        <v>14811</v>
      </c>
      <c r="K723" s="30" t="s">
        <v>14816</v>
      </c>
      <c r="L723" s="30" t="s">
        <v>205</v>
      </c>
      <c r="M723" s="30" t="s">
        <v>206</v>
      </c>
      <c r="N723" s="30" t="s">
        <v>1268</v>
      </c>
      <c r="O723" s="30" t="s">
        <v>2129</v>
      </c>
      <c r="P723" s="30" t="s">
        <v>892</v>
      </c>
      <c r="Q723" s="30" t="s">
        <v>14817</v>
      </c>
      <c r="R723" s="30" t="s">
        <v>151</v>
      </c>
      <c r="S723" s="30" t="s">
        <v>162</v>
      </c>
      <c r="T723" s="37">
        <v>10.35</v>
      </c>
      <c r="U723" s="30" t="s">
        <v>163</v>
      </c>
      <c r="V723" s="30" t="s">
        <v>164</v>
      </c>
      <c r="W723" s="30" t="s">
        <v>165</v>
      </c>
      <c r="X723" s="28" t="s">
        <v>14818</v>
      </c>
      <c r="Y723" s="28" t="s">
        <v>14819</v>
      </c>
      <c r="Z723" s="40">
        <v>9</v>
      </c>
      <c r="AA723" s="30" t="s">
        <v>10058</v>
      </c>
      <c r="AB723" s="30" t="s">
        <v>151</v>
      </c>
      <c r="AC723" s="30" t="s">
        <v>151</v>
      </c>
      <c r="AD723" s="39">
        <v>2022</v>
      </c>
      <c r="AE723" s="30" t="s">
        <v>151</v>
      </c>
      <c r="AF723" s="35">
        <v>45609</v>
      </c>
      <c r="AG723" s="30" t="s">
        <v>151</v>
      </c>
      <c r="AH723" s="30" t="s">
        <v>151</v>
      </c>
      <c r="AI723" s="38" t="s">
        <v>151</v>
      </c>
      <c r="AJ723" s="32" t="s">
        <v>151</v>
      </c>
      <c r="AK723" s="38" t="s">
        <v>151</v>
      </c>
      <c r="AL723" s="38" t="s">
        <v>151</v>
      </c>
      <c r="AM723" s="38" t="s">
        <v>151</v>
      </c>
      <c r="AN723" s="38" t="s">
        <v>151</v>
      </c>
      <c r="AO723" s="38" t="s">
        <v>151</v>
      </c>
      <c r="AP723" s="38" t="s">
        <v>151</v>
      </c>
      <c r="AQ723" s="38" t="s">
        <v>151</v>
      </c>
      <c r="AR723" s="29" t="s">
        <v>151</v>
      </c>
      <c r="AS723" s="30" t="s">
        <v>14820</v>
      </c>
      <c r="AT723" s="30" t="s">
        <v>14821</v>
      </c>
      <c r="AU723" s="31">
        <v>20</v>
      </c>
      <c r="AV723" s="30" t="s">
        <v>151</v>
      </c>
      <c r="AW723" s="30" t="s">
        <v>151</v>
      </c>
      <c r="AX723" s="30" t="s">
        <v>151</v>
      </c>
      <c r="AY723" s="30" t="s">
        <v>14822</v>
      </c>
      <c r="AZ723" s="30" t="s">
        <v>151</v>
      </c>
      <c r="BA723" s="30" t="s">
        <v>151</v>
      </c>
      <c r="BB723" s="30" t="s">
        <v>151</v>
      </c>
      <c r="BC723" s="30" t="s">
        <v>490</v>
      </c>
      <c r="BD723" s="30" t="s">
        <v>14823</v>
      </c>
      <c r="BE723" s="30" t="s">
        <v>14824</v>
      </c>
      <c r="BF723" s="30" t="s">
        <v>221</v>
      </c>
      <c r="BG723" s="30" t="s">
        <v>14825</v>
      </c>
      <c r="BH723" s="30" t="s">
        <v>14826</v>
      </c>
      <c r="BI723" s="30" t="s">
        <v>764</v>
      </c>
      <c r="BJ723" s="30" t="s">
        <v>14827</v>
      </c>
      <c r="BK723" s="30" t="s">
        <v>14828</v>
      </c>
      <c r="BL723" s="30" t="s">
        <v>767</v>
      </c>
      <c r="BM723" s="30" t="s">
        <v>184</v>
      </c>
      <c r="BN723" s="29" t="s">
        <v>10913</v>
      </c>
      <c r="BO723" s="30" t="s">
        <v>186</v>
      </c>
      <c r="BP723" s="29" t="s">
        <v>151</v>
      </c>
      <c r="BQ723" s="29" t="s">
        <v>151</v>
      </c>
      <c r="BR723" s="30" t="s">
        <v>14829</v>
      </c>
      <c r="BS723" s="30" t="s">
        <v>187</v>
      </c>
      <c r="BT723" s="30" t="s">
        <v>188</v>
      </c>
      <c r="BU723" s="35">
        <v>44593</v>
      </c>
      <c r="BV723" s="37">
        <v>2.6</v>
      </c>
      <c r="BW723" s="30" t="s">
        <v>192</v>
      </c>
      <c r="BX723" s="37">
        <v>7.25</v>
      </c>
      <c r="BY723" s="30" t="s">
        <v>192</v>
      </c>
      <c r="BZ723" s="30" t="s">
        <v>293</v>
      </c>
      <c r="CA723" s="30" t="s">
        <v>293</v>
      </c>
      <c r="CB723" s="30" t="s">
        <v>151</v>
      </c>
      <c r="CC723" s="30" t="s">
        <v>165</v>
      </c>
      <c r="CD723" s="30" t="s">
        <v>151</v>
      </c>
      <c r="CE723" s="30" t="s">
        <v>191</v>
      </c>
      <c r="CF723" s="35">
        <v>45421</v>
      </c>
      <c r="CG723" s="37">
        <v>5</v>
      </c>
      <c r="CH723" s="30" t="s">
        <v>192</v>
      </c>
      <c r="CI723" s="37" t="s">
        <v>151</v>
      </c>
      <c r="CJ723" s="30" t="s">
        <v>151</v>
      </c>
      <c r="CK723" s="29" t="s">
        <v>151</v>
      </c>
      <c r="CL723" s="30" t="s">
        <v>293</v>
      </c>
      <c r="CM723" s="30" t="s">
        <v>293</v>
      </c>
      <c r="CN723" s="30" t="s">
        <v>151</v>
      </c>
      <c r="CO723" s="30" t="s">
        <v>165</v>
      </c>
      <c r="CP723" s="35">
        <v>45421</v>
      </c>
      <c r="CQ723" s="37" t="s">
        <v>151</v>
      </c>
      <c r="CR723" s="30" t="s">
        <v>151</v>
      </c>
      <c r="CS723" s="30" t="s">
        <v>191</v>
      </c>
      <c r="CT723" s="29">
        <v>75</v>
      </c>
      <c r="CU723" s="30" t="s">
        <v>196</v>
      </c>
      <c r="CV723" s="32">
        <v>69</v>
      </c>
      <c r="CW723" s="32">
        <v>31</v>
      </c>
      <c r="CX723" s="30" t="s">
        <v>294</v>
      </c>
      <c r="CY723" s="32">
        <v>1</v>
      </c>
      <c r="CZ723" s="32">
        <v>68</v>
      </c>
      <c r="DA723" s="37">
        <v>12.75</v>
      </c>
      <c r="DB723" s="35">
        <v>45069</v>
      </c>
      <c r="DC723" s="30" t="s">
        <v>293</v>
      </c>
      <c r="DD723" s="29">
        <v>1.38</v>
      </c>
      <c r="DE723" s="32">
        <v>0.97</v>
      </c>
      <c r="DF723" s="34">
        <v>96</v>
      </c>
      <c r="DG723" s="32">
        <v>0</v>
      </c>
      <c r="DH723" s="32">
        <v>0</v>
      </c>
      <c r="DI723" s="32">
        <v>3.19</v>
      </c>
      <c r="DJ723" s="34">
        <v>99</v>
      </c>
      <c r="DK723" s="32" t="s">
        <v>151</v>
      </c>
      <c r="DL723" s="34" t="s">
        <v>151</v>
      </c>
      <c r="DM723" s="32">
        <v>3.19</v>
      </c>
      <c r="DN723" s="34">
        <v>99</v>
      </c>
      <c r="DO723" s="36">
        <v>3.82</v>
      </c>
      <c r="DP723" s="34">
        <v>78</v>
      </c>
      <c r="DQ723" s="36">
        <v>0</v>
      </c>
      <c r="DR723" s="32">
        <v>0</v>
      </c>
      <c r="DS723" s="36">
        <v>6.95</v>
      </c>
      <c r="DT723" s="34">
        <v>86</v>
      </c>
      <c r="DU723" s="36" t="s">
        <v>151</v>
      </c>
      <c r="DV723" s="34" t="s">
        <v>151</v>
      </c>
      <c r="DW723" s="36">
        <v>6.95</v>
      </c>
      <c r="DX723" s="34">
        <v>86</v>
      </c>
      <c r="DY723" s="31" t="s">
        <v>151</v>
      </c>
      <c r="DZ723" s="35" t="s">
        <v>151</v>
      </c>
      <c r="EA723" s="35" t="s">
        <v>151</v>
      </c>
      <c r="EB723" s="34">
        <v>1208</v>
      </c>
      <c r="EC723" s="33">
        <v>32</v>
      </c>
      <c r="ED723" s="32">
        <v>2.72</v>
      </c>
      <c r="EE723" s="34">
        <v>132</v>
      </c>
      <c r="EF723" s="33">
        <v>1</v>
      </c>
      <c r="EG723" s="32">
        <v>0.76</v>
      </c>
      <c r="EH723" s="29" t="s">
        <v>198</v>
      </c>
      <c r="EI723" s="30" t="s">
        <v>151</v>
      </c>
      <c r="EJ723" s="30" t="s">
        <v>151</v>
      </c>
      <c r="EK723" s="31" t="s">
        <v>151</v>
      </c>
      <c r="EL723" s="31" t="s">
        <v>151</v>
      </c>
      <c r="EM723" s="31" t="s">
        <v>151</v>
      </c>
      <c r="EN723" s="31" t="s">
        <v>151</v>
      </c>
      <c r="EO723" s="31" t="s">
        <v>151</v>
      </c>
      <c r="EP723" s="30" t="s">
        <v>151</v>
      </c>
      <c r="EQ723" s="29" t="s">
        <v>151</v>
      </c>
      <c r="ER723" s="29" t="s">
        <v>151</v>
      </c>
      <c r="ES723" s="4">
        <f>HYPERLINK("https://my.pitchbook.com?c=503059-60","View Company Online")</f>
      </c>
    </row>
    <row r="724">
      <c r="A724" s="17" t="s">
        <v>14830</v>
      </c>
      <c r="B724" s="17" t="s">
        <v>14831</v>
      </c>
      <c r="C724" s="18" t="s">
        <v>151</v>
      </c>
      <c r="D724" s="17" t="s">
        <v>151</v>
      </c>
      <c r="E724" s="17" t="s">
        <v>14832</v>
      </c>
      <c r="F724" s="17" t="s">
        <v>14833</v>
      </c>
      <c r="G724" s="17" t="s">
        <v>151</v>
      </c>
      <c r="H724" s="17" t="s">
        <v>151</v>
      </c>
      <c r="I724" s="17" t="s">
        <v>14834</v>
      </c>
      <c r="J724" s="17" t="s">
        <v>14830</v>
      </c>
      <c r="K724" s="17" t="s">
        <v>14835</v>
      </c>
      <c r="L724" s="17" t="s">
        <v>205</v>
      </c>
      <c r="M724" s="17" t="s">
        <v>206</v>
      </c>
      <c r="N724" s="17" t="s">
        <v>269</v>
      </c>
      <c r="O724" s="17" t="s">
        <v>563</v>
      </c>
      <c r="P724" s="17" t="s">
        <v>919</v>
      </c>
      <c r="Q724" s="17" t="s">
        <v>14836</v>
      </c>
      <c r="R724" s="17" t="s">
        <v>151</v>
      </c>
      <c r="S724" s="17" t="s">
        <v>162</v>
      </c>
      <c r="T724" s="24">
        <v>3</v>
      </c>
      <c r="U724" s="17" t="s">
        <v>4045</v>
      </c>
      <c r="V724" s="17" t="s">
        <v>164</v>
      </c>
      <c r="W724" s="17" t="s">
        <v>165</v>
      </c>
      <c r="X724" s="15" t="s">
        <v>14837</v>
      </c>
      <c r="Y724" s="15" t="s">
        <v>14838</v>
      </c>
      <c r="Z724" s="27">
        <v>7</v>
      </c>
      <c r="AA724" s="17" t="s">
        <v>14839</v>
      </c>
      <c r="AB724" s="17" t="s">
        <v>151</v>
      </c>
      <c r="AC724" s="17" t="s">
        <v>151</v>
      </c>
      <c r="AD724" s="26">
        <v>2021</v>
      </c>
      <c r="AE724" s="17" t="s">
        <v>151</v>
      </c>
      <c r="AF724" s="22">
        <v>45518</v>
      </c>
      <c r="AG724" s="17" t="s">
        <v>151</v>
      </c>
      <c r="AH724" s="17" t="s">
        <v>151</v>
      </c>
      <c r="AI724" s="25" t="s">
        <v>151</v>
      </c>
      <c r="AJ724" s="19" t="s">
        <v>151</v>
      </c>
      <c r="AK724" s="25" t="s">
        <v>151</v>
      </c>
      <c r="AL724" s="25" t="s">
        <v>151</v>
      </c>
      <c r="AM724" s="25" t="s">
        <v>151</v>
      </c>
      <c r="AN724" s="25" t="s">
        <v>151</v>
      </c>
      <c r="AO724" s="25" t="s">
        <v>151</v>
      </c>
      <c r="AP724" s="25" t="s">
        <v>151</v>
      </c>
      <c r="AQ724" s="25" t="s">
        <v>151</v>
      </c>
      <c r="AR724" s="16" t="s">
        <v>151</v>
      </c>
      <c r="AS724" s="17" t="s">
        <v>14840</v>
      </c>
      <c r="AT724" s="17" t="s">
        <v>14841</v>
      </c>
      <c r="AU724" s="18">
        <v>5</v>
      </c>
      <c r="AV724" s="17" t="s">
        <v>151</v>
      </c>
      <c r="AW724" s="17" t="s">
        <v>151</v>
      </c>
      <c r="AX724" s="17" t="s">
        <v>151</v>
      </c>
      <c r="AY724" s="17" t="s">
        <v>14842</v>
      </c>
      <c r="AZ724" s="17" t="s">
        <v>151</v>
      </c>
      <c r="BA724" s="17" t="s">
        <v>151</v>
      </c>
      <c r="BB724" s="17" t="s">
        <v>151</v>
      </c>
      <c r="BC724" s="17" t="s">
        <v>4088</v>
      </c>
      <c r="BD724" s="17" t="s">
        <v>14843</v>
      </c>
      <c r="BE724" s="17" t="s">
        <v>14844</v>
      </c>
      <c r="BF724" s="17" t="s">
        <v>221</v>
      </c>
      <c r="BG724" s="17" t="s">
        <v>14845</v>
      </c>
      <c r="BH724" s="17" t="s">
        <v>151</v>
      </c>
      <c r="BI724" s="17" t="s">
        <v>906</v>
      </c>
      <c r="BJ724" s="17" t="s">
        <v>14846</v>
      </c>
      <c r="BK724" s="17" t="s">
        <v>523</v>
      </c>
      <c r="BL724" s="17" t="s">
        <v>259</v>
      </c>
      <c r="BM724" s="17" t="s">
        <v>259</v>
      </c>
      <c r="BN724" s="16" t="s">
        <v>1123</v>
      </c>
      <c r="BO724" s="17" t="s">
        <v>186</v>
      </c>
      <c r="BP724" s="16" t="s">
        <v>151</v>
      </c>
      <c r="BQ724" s="16" t="s">
        <v>151</v>
      </c>
      <c r="BR724" s="17" t="s">
        <v>14847</v>
      </c>
      <c r="BS724" s="17" t="s">
        <v>187</v>
      </c>
      <c r="BT724" s="17" t="s">
        <v>188</v>
      </c>
      <c r="BU724" s="22">
        <v>44981</v>
      </c>
      <c r="BV724" s="24">
        <v>3</v>
      </c>
      <c r="BW724" s="17" t="s">
        <v>192</v>
      </c>
      <c r="BX724" s="24" t="s">
        <v>151</v>
      </c>
      <c r="BY724" s="17" t="s">
        <v>151</v>
      </c>
      <c r="BZ724" s="17" t="s">
        <v>293</v>
      </c>
      <c r="CA724" s="17" t="s">
        <v>293</v>
      </c>
      <c r="CB724" s="17" t="s">
        <v>151</v>
      </c>
      <c r="CC724" s="17" t="s">
        <v>165</v>
      </c>
      <c r="CD724" s="17" t="s">
        <v>151</v>
      </c>
      <c r="CE724" s="17" t="s">
        <v>191</v>
      </c>
      <c r="CF724" s="22">
        <v>44981</v>
      </c>
      <c r="CG724" s="24">
        <v>3</v>
      </c>
      <c r="CH724" s="17" t="s">
        <v>192</v>
      </c>
      <c r="CI724" s="24" t="s">
        <v>151</v>
      </c>
      <c r="CJ724" s="17" t="s">
        <v>151</v>
      </c>
      <c r="CK724" s="16" t="s">
        <v>151</v>
      </c>
      <c r="CL724" s="17" t="s">
        <v>293</v>
      </c>
      <c r="CM724" s="17" t="s">
        <v>293</v>
      </c>
      <c r="CN724" s="17" t="s">
        <v>151</v>
      </c>
      <c r="CO724" s="17" t="s">
        <v>165</v>
      </c>
      <c r="CP724" s="22">
        <v>44981</v>
      </c>
      <c r="CQ724" s="24" t="s">
        <v>151</v>
      </c>
      <c r="CR724" s="17" t="s">
        <v>151</v>
      </c>
      <c r="CS724" s="17" t="s">
        <v>191</v>
      </c>
      <c r="CT724" s="16" t="s">
        <v>151</v>
      </c>
      <c r="CU724" s="17" t="s">
        <v>151</v>
      </c>
      <c r="CV724" s="19" t="s">
        <v>151</v>
      </c>
      <c r="CW724" s="19" t="s">
        <v>151</v>
      </c>
      <c r="CX724" s="17" t="s">
        <v>151</v>
      </c>
      <c r="CY724" s="19" t="s">
        <v>151</v>
      </c>
      <c r="CZ724" s="19" t="s">
        <v>151</v>
      </c>
      <c r="DA724" s="24" t="s">
        <v>151</v>
      </c>
      <c r="DB724" s="22" t="s">
        <v>151</v>
      </c>
      <c r="DC724" s="17" t="s">
        <v>151</v>
      </c>
      <c r="DD724" s="16" t="s">
        <v>151</v>
      </c>
      <c r="DE724" s="19">
        <v>0</v>
      </c>
      <c r="DF724" s="21">
        <v>11</v>
      </c>
      <c r="DG724" s="19">
        <v>0</v>
      </c>
      <c r="DH724" s="19">
        <v>0</v>
      </c>
      <c r="DI724" s="19">
        <v>0</v>
      </c>
      <c r="DJ724" s="21">
        <v>10</v>
      </c>
      <c r="DK724" s="19" t="s">
        <v>151</v>
      </c>
      <c r="DL724" s="21" t="s">
        <v>151</v>
      </c>
      <c r="DM724" s="19">
        <v>0</v>
      </c>
      <c r="DN724" s="21">
        <v>10</v>
      </c>
      <c r="DO724" s="23">
        <v>1.79</v>
      </c>
      <c r="DP724" s="21">
        <v>64</v>
      </c>
      <c r="DQ724" s="23">
        <v>0</v>
      </c>
      <c r="DR724" s="19">
        <v>0</v>
      </c>
      <c r="DS724" s="23">
        <v>1.79</v>
      </c>
      <c r="DT724" s="21">
        <v>63</v>
      </c>
      <c r="DU724" s="23" t="s">
        <v>151</v>
      </c>
      <c r="DV724" s="21" t="s">
        <v>151</v>
      </c>
      <c r="DW724" s="23">
        <v>1.79</v>
      </c>
      <c r="DX724" s="21">
        <v>63</v>
      </c>
      <c r="DY724" s="18" t="s">
        <v>151</v>
      </c>
      <c r="DZ724" s="22" t="s">
        <v>151</v>
      </c>
      <c r="EA724" s="22" t="s">
        <v>151</v>
      </c>
      <c r="EB724" s="21">
        <v>1560</v>
      </c>
      <c r="EC724" s="20">
        <v>109</v>
      </c>
      <c r="ED724" s="19">
        <v>7.51</v>
      </c>
      <c r="EE724" s="21">
        <v>34</v>
      </c>
      <c r="EF724" s="20">
        <v>0</v>
      </c>
      <c r="EG724" s="19">
        <v>0</v>
      </c>
      <c r="EH724" s="16" t="s">
        <v>198</v>
      </c>
      <c r="EI724" s="17" t="s">
        <v>151</v>
      </c>
      <c r="EJ724" s="17" t="s">
        <v>151</v>
      </c>
      <c r="EK724" s="18" t="s">
        <v>151</v>
      </c>
      <c r="EL724" s="18" t="s">
        <v>151</v>
      </c>
      <c r="EM724" s="18" t="s">
        <v>151</v>
      </c>
      <c r="EN724" s="18" t="s">
        <v>151</v>
      </c>
      <c r="EO724" s="18" t="s">
        <v>151</v>
      </c>
      <c r="EP724" s="17" t="s">
        <v>151</v>
      </c>
      <c r="EQ724" s="16" t="s">
        <v>151</v>
      </c>
      <c r="ER724" s="16" t="s">
        <v>151</v>
      </c>
      <c r="ES724" s="3">
        <f>HYPERLINK("https://my.pitchbook.com?c=521627-86","View Company Online")</f>
      </c>
    </row>
    <row r="725">
      <c r="A725" s="30" t="s">
        <v>14848</v>
      </c>
      <c r="B725" s="30" t="s">
        <v>14849</v>
      </c>
      <c r="C725" s="31" t="s">
        <v>151</v>
      </c>
      <c r="D725" s="30" t="s">
        <v>151</v>
      </c>
      <c r="E725" s="30" t="s">
        <v>14850</v>
      </c>
      <c r="F725" s="30" t="s">
        <v>14851</v>
      </c>
      <c r="G725" s="30" t="s">
        <v>151</v>
      </c>
      <c r="H725" s="30" t="s">
        <v>151</v>
      </c>
      <c r="I725" s="30" t="s">
        <v>151</v>
      </c>
      <c r="J725" s="30" t="s">
        <v>14848</v>
      </c>
      <c r="K725" s="30" t="s">
        <v>14852</v>
      </c>
      <c r="L725" s="30" t="s">
        <v>616</v>
      </c>
      <c r="M725" s="30" t="s">
        <v>834</v>
      </c>
      <c r="N725" s="30" t="s">
        <v>3076</v>
      </c>
      <c r="O725" s="30" t="s">
        <v>5779</v>
      </c>
      <c r="P725" s="30" t="s">
        <v>5780</v>
      </c>
      <c r="Q725" s="30" t="s">
        <v>14853</v>
      </c>
      <c r="R725" s="30" t="s">
        <v>151</v>
      </c>
      <c r="S725" s="30" t="s">
        <v>162</v>
      </c>
      <c r="T725" s="37">
        <v>1.5</v>
      </c>
      <c r="U725" s="30" t="s">
        <v>163</v>
      </c>
      <c r="V725" s="30" t="s">
        <v>164</v>
      </c>
      <c r="W725" s="30" t="s">
        <v>165</v>
      </c>
      <c r="X725" s="28" t="s">
        <v>14854</v>
      </c>
      <c r="Y725" s="28" t="s">
        <v>151</v>
      </c>
      <c r="Z725" s="40" t="s">
        <v>151</v>
      </c>
      <c r="AA725" s="30" t="s">
        <v>151</v>
      </c>
      <c r="AB725" s="30" t="s">
        <v>151</v>
      </c>
      <c r="AC725" s="30" t="s">
        <v>151</v>
      </c>
      <c r="AD725" s="39">
        <v>2000</v>
      </c>
      <c r="AE725" s="30" t="s">
        <v>151</v>
      </c>
      <c r="AF725" s="35">
        <v>45533</v>
      </c>
      <c r="AG725" s="30" t="s">
        <v>151</v>
      </c>
      <c r="AH725" s="30" t="s">
        <v>151</v>
      </c>
      <c r="AI725" s="38" t="s">
        <v>151</v>
      </c>
      <c r="AJ725" s="32" t="s">
        <v>151</v>
      </c>
      <c r="AK725" s="38" t="s">
        <v>151</v>
      </c>
      <c r="AL725" s="38" t="s">
        <v>151</v>
      </c>
      <c r="AM725" s="38" t="s">
        <v>151</v>
      </c>
      <c r="AN725" s="38" t="s">
        <v>151</v>
      </c>
      <c r="AO725" s="38" t="s">
        <v>151</v>
      </c>
      <c r="AP725" s="38" t="s">
        <v>151</v>
      </c>
      <c r="AQ725" s="38" t="s">
        <v>151</v>
      </c>
      <c r="AR725" s="29" t="s">
        <v>151</v>
      </c>
      <c r="AS725" s="30" t="s">
        <v>14855</v>
      </c>
      <c r="AT725" s="30" t="s">
        <v>14856</v>
      </c>
      <c r="AU725" s="31">
        <v>4</v>
      </c>
      <c r="AV725" s="30" t="s">
        <v>151</v>
      </c>
      <c r="AW725" s="30" t="s">
        <v>151</v>
      </c>
      <c r="AX725" s="30" t="s">
        <v>151</v>
      </c>
      <c r="AY725" s="30" t="s">
        <v>14857</v>
      </c>
      <c r="AZ725" s="30" t="s">
        <v>151</v>
      </c>
      <c r="BA725" s="30" t="s">
        <v>151</v>
      </c>
      <c r="BB725" s="30" t="s">
        <v>151</v>
      </c>
      <c r="BC725" s="30" t="s">
        <v>151</v>
      </c>
      <c r="BD725" s="30" t="s">
        <v>14858</v>
      </c>
      <c r="BE725" s="30" t="s">
        <v>14859</v>
      </c>
      <c r="BF725" s="30" t="s">
        <v>14860</v>
      </c>
      <c r="BG725" s="30" t="s">
        <v>14861</v>
      </c>
      <c r="BH725" s="30" t="s">
        <v>14862</v>
      </c>
      <c r="BI725" s="30" t="s">
        <v>3152</v>
      </c>
      <c r="BJ725" s="30" t="s">
        <v>14863</v>
      </c>
      <c r="BK725" s="30" t="s">
        <v>151</v>
      </c>
      <c r="BL725" s="30" t="s">
        <v>3154</v>
      </c>
      <c r="BM725" s="30" t="s">
        <v>3155</v>
      </c>
      <c r="BN725" s="29" t="s">
        <v>14864</v>
      </c>
      <c r="BO725" s="30" t="s">
        <v>186</v>
      </c>
      <c r="BP725" s="29" t="s">
        <v>14862</v>
      </c>
      <c r="BQ725" s="29" t="s">
        <v>151</v>
      </c>
      <c r="BR725" s="30" t="s">
        <v>14865</v>
      </c>
      <c r="BS725" s="30" t="s">
        <v>187</v>
      </c>
      <c r="BT725" s="30" t="s">
        <v>188</v>
      </c>
      <c r="BU725" s="35">
        <v>44197</v>
      </c>
      <c r="BV725" s="37" t="s">
        <v>151</v>
      </c>
      <c r="BW725" s="30" t="s">
        <v>151</v>
      </c>
      <c r="BX725" s="37" t="s">
        <v>151</v>
      </c>
      <c r="BY725" s="30" t="s">
        <v>151</v>
      </c>
      <c r="BZ725" s="30" t="s">
        <v>189</v>
      </c>
      <c r="CA725" s="30" t="s">
        <v>151</v>
      </c>
      <c r="CB725" s="30" t="s">
        <v>151</v>
      </c>
      <c r="CC725" s="30" t="s">
        <v>190</v>
      </c>
      <c r="CD725" s="30" t="s">
        <v>151</v>
      </c>
      <c r="CE725" s="30" t="s">
        <v>191</v>
      </c>
      <c r="CF725" s="35">
        <v>44987</v>
      </c>
      <c r="CG725" s="37">
        <v>0.5</v>
      </c>
      <c r="CH725" s="30" t="s">
        <v>192</v>
      </c>
      <c r="CI725" s="37" t="s">
        <v>151</v>
      </c>
      <c r="CJ725" s="30" t="s">
        <v>151</v>
      </c>
      <c r="CK725" s="29" t="s">
        <v>151</v>
      </c>
      <c r="CL725" s="30" t="s">
        <v>293</v>
      </c>
      <c r="CM725" s="30" t="s">
        <v>293</v>
      </c>
      <c r="CN725" s="30" t="s">
        <v>151</v>
      </c>
      <c r="CO725" s="30" t="s">
        <v>165</v>
      </c>
      <c r="CP725" s="35">
        <v>44987</v>
      </c>
      <c r="CQ725" s="37" t="s">
        <v>151</v>
      </c>
      <c r="CR725" s="30" t="s">
        <v>151</v>
      </c>
      <c r="CS725" s="30" t="s">
        <v>191</v>
      </c>
      <c r="CT725" s="29">
        <v>30</v>
      </c>
      <c r="CU725" s="30" t="s">
        <v>263</v>
      </c>
      <c r="CV725" s="32">
        <v>31</v>
      </c>
      <c r="CW725" s="32">
        <v>69</v>
      </c>
      <c r="CX725" s="30" t="s">
        <v>263</v>
      </c>
      <c r="CY725" s="32">
        <v>1</v>
      </c>
      <c r="CZ725" s="32">
        <v>30</v>
      </c>
      <c r="DA725" s="37">
        <v>4</v>
      </c>
      <c r="DB725" s="35">
        <v>44719</v>
      </c>
      <c r="DC725" s="30" t="s">
        <v>293</v>
      </c>
      <c r="DD725" s="29" t="s">
        <v>151</v>
      </c>
      <c r="DE725" s="32">
        <v>0</v>
      </c>
      <c r="DF725" s="34">
        <v>11</v>
      </c>
      <c r="DG725" s="32">
        <v>0</v>
      </c>
      <c r="DH725" s="32">
        <v>0</v>
      </c>
      <c r="DI725" s="32">
        <v>0</v>
      </c>
      <c r="DJ725" s="34">
        <v>10</v>
      </c>
      <c r="DK725" s="32" t="s">
        <v>151</v>
      </c>
      <c r="DL725" s="34" t="s">
        <v>151</v>
      </c>
      <c r="DM725" s="32">
        <v>0</v>
      </c>
      <c r="DN725" s="34">
        <v>10</v>
      </c>
      <c r="DO725" s="36">
        <v>0.47</v>
      </c>
      <c r="DP725" s="34">
        <v>31</v>
      </c>
      <c r="DQ725" s="36">
        <v>0</v>
      </c>
      <c r="DR725" s="32">
        <v>0</v>
      </c>
      <c r="DS725" s="36">
        <v>0.47</v>
      </c>
      <c r="DT725" s="34">
        <v>31</v>
      </c>
      <c r="DU725" s="36" t="s">
        <v>151</v>
      </c>
      <c r="DV725" s="34" t="s">
        <v>151</v>
      </c>
      <c r="DW725" s="36">
        <v>0.47</v>
      </c>
      <c r="DX725" s="34">
        <v>31</v>
      </c>
      <c r="DY725" s="31" t="s">
        <v>151</v>
      </c>
      <c r="DZ725" s="35" t="s">
        <v>151</v>
      </c>
      <c r="EA725" s="35" t="s">
        <v>151</v>
      </c>
      <c r="EB725" s="34">
        <v>0</v>
      </c>
      <c r="EC725" s="33">
        <v>0</v>
      </c>
      <c r="ED725" s="32">
        <v>0</v>
      </c>
      <c r="EE725" s="34">
        <v>9</v>
      </c>
      <c r="EF725" s="33">
        <v>0</v>
      </c>
      <c r="EG725" s="32">
        <v>0</v>
      </c>
      <c r="EH725" s="29" t="s">
        <v>198</v>
      </c>
      <c r="EI725" s="30" t="s">
        <v>151</v>
      </c>
      <c r="EJ725" s="30" t="s">
        <v>151</v>
      </c>
      <c r="EK725" s="31" t="s">
        <v>151</v>
      </c>
      <c r="EL725" s="31" t="s">
        <v>151</v>
      </c>
      <c r="EM725" s="31" t="s">
        <v>151</v>
      </c>
      <c r="EN725" s="31" t="s">
        <v>151</v>
      </c>
      <c r="EO725" s="31" t="s">
        <v>151</v>
      </c>
      <c r="EP725" s="30" t="s">
        <v>151</v>
      </c>
      <c r="EQ725" s="29" t="s">
        <v>151</v>
      </c>
      <c r="ER725" s="29" t="s">
        <v>151</v>
      </c>
      <c r="ES725" s="4">
        <f>HYPERLINK("https://my.pitchbook.com?c=501912-28","View Company Online")</f>
      </c>
    </row>
    <row r="726">
      <c r="A726" s="17" t="s">
        <v>14866</v>
      </c>
      <c r="B726" s="17" t="s">
        <v>14867</v>
      </c>
      <c r="C726" s="18" t="s">
        <v>151</v>
      </c>
      <c r="D726" s="17" t="s">
        <v>14868</v>
      </c>
      <c r="E726" s="17" t="s">
        <v>14869</v>
      </c>
      <c r="F726" s="17" t="s">
        <v>14870</v>
      </c>
      <c r="G726" s="17" t="s">
        <v>151</v>
      </c>
      <c r="H726" s="17" t="s">
        <v>151</v>
      </c>
      <c r="I726" s="17" t="s">
        <v>151</v>
      </c>
      <c r="J726" s="17" t="s">
        <v>14866</v>
      </c>
      <c r="K726" s="17" t="s">
        <v>14871</v>
      </c>
      <c r="L726" s="17" t="s">
        <v>205</v>
      </c>
      <c r="M726" s="17" t="s">
        <v>206</v>
      </c>
      <c r="N726" s="17" t="s">
        <v>917</v>
      </c>
      <c r="O726" s="17" t="s">
        <v>7534</v>
      </c>
      <c r="P726" s="17" t="s">
        <v>2640</v>
      </c>
      <c r="Q726" s="17" t="s">
        <v>14872</v>
      </c>
      <c r="R726" s="17" t="s">
        <v>151</v>
      </c>
      <c r="S726" s="17" t="s">
        <v>162</v>
      </c>
      <c r="T726" s="24">
        <v>2.65</v>
      </c>
      <c r="U726" s="17" t="s">
        <v>163</v>
      </c>
      <c r="V726" s="17" t="s">
        <v>164</v>
      </c>
      <c r="W726" s="17" t="s">
        <v>165</v>
      </c>
      <c r="X726" s="15" t="s">
        <v>14873</v>
      </c>
      <c r="Y726" s="15" t="s">
        <v>14874</v>
      </c>
      <c r="Z726" s="27">
        <v>5</v>
      </c>
      <c r="AA726" s="17" t="s">
        <v>14875</v>
      </c>
      <c r="AB726" s="17" t="s">
        <v>151</v>
      </c>
      <c r="AC726" s="17" t="s">
        <v>151</v>
      </c>
      <c r="AD726" s="26">
        <v>2019</v>
      </c>
      <c r="AE726" s="17" t="s">
        <v>151</v>
      </c>
      <c r="AF726" s="22">
        <v>45464</v>
      </c>
      <c r="AG726" s="17" t="s">
        <v>151</v>
      </c>
      <c r="AH726" s="17" t="s">
        <v>151</v>
      </c>
      <c r="AI726" s="25" t="s">
        <v>151</v>
      </c>
      <c r="AJ726" s="19" t="s">
        <v>151</v>
      </c>
      <c r="AK726" s="25" t="s">
        <v>151</v>
      </c>
      <c r="AL726" s="25" t="s">
        <v>151</v>
      </c>
      <c r="AM726" s="25" t="s">
        <v>151</v>
      </c>
      <c r="AN726" s="25" t="s">
        <v>151</v>
      </c>
      <c r="AO726" s="25" t="s">
        <v>151</v>
      </c>
      <c r="AP726" s="25" t="s">
        <v>151</v>
      </c>
      <c r="AQ726" s="25" t="s">
        <v>151</v>
      </c>
      <c r="AR726" s="16" t="s">
        <v>151</v>
      </c>
      <c r="AS726" s="17" t="s">
        <v>14876</v>
      </c>
      <c r="AT726" s="17" t="s">
        <v>14877</v>
      </c>
      <c r="AU726" s="18">
        <v>8</v>
      </c>
      <c r="AV726" s="17" t="s">
        <v>151</v>
      </c>
      <c r="AW726" s="17" t="s">
        <v>151</v>
      </c>
      <c r="AX726" s="17" t="s">
        <v>151</v>
      </c>
      <c r="AY726" s="17" t="s">
        <v>14878</v>
      </c>
      <c r="AZ726" s="17" t="s">
        <v>151</v>
      </c>
      <c r="BA726" s="17" t="s">
        <v>151</v>
      </c>
      <c r="BB726" s="17" t="s">
        <v>151</v>
      </c>
      <c r="BC726" s="17" t="s">
        <v>151</v>
      </c>
      <c r="BD726" s="17" t="s">
        <v>14879</v>
      </c>
      <c r="BE726" s="17" t="s">
        <v>14880</v>
      </c>
      <c r="BF726" s="17" t="s">
        <v>10603</v>
      </c>
      <c r="BG726" s="17" t="s">
        <v>14881</v>
      </c>
      <c r="BH726" s="17" t="s">
        <v>14882</v>
      </c>
      <c r="BI726" s="17" t="s">
        <v>6102</v>
      </c>
      <c r="BJ726" s="17" t="s">
        <v>14883</v>
      </c>
      <c r="BK726" s="17" t="s">
        <v>1832</v>
      </c>
      <c r="BL726" s="17" t="s">
        <v>6104</v>
      </c>
      <c r="BM726" s="17" t="s">
        <v>184</v>
      </c>
      <c r="BN726" s="16" t="s">
        <v>12997</v>
      </c>
      <c r="BO726" s="17" t="s">
        <v>186</v>
      </c>
      <c r="BP726" s="16" t="s">
        <v>14882</v>
      </c>
      <c r="BQ726" s="16" t="s">
        <v>151</v>
      </c>
      <c r="BR726" s="17" t="s">
        <v>151</v>
      </c>
      <c r="BS726" s="17" t="s">
        <v>187</v>
      </c>
      <c r="BT726" s="17" t="s">
        <v>188</v>
      </c>
      <c r="BU726" s="22">
        <v>43908</v>
      </c>
      <c r="BV726" s="24">
        <v>0.15</v>
      </c>
      <c r="BW726" s="17" t="s">
        <v>192</v>
      </c>
      <c r="BX726" s="24" t="s">
        <v>151</v>
      </c>
      <c r="BY726" s="17" t="s">
        <v>151</v>
      </c>
      <c r="BZ726" s="17" t="s">
        <v>189</v>
      </c>
      <c r="CA726" s="17" t="s">
        <v>151</v>
      </c>
      <c r="CB726" s="17" t="s">
        <v>151</v>
      </c>
      <c r="CC726" s="17" t="s">
        <v>190</v>
      </c>
      <c r="CD726" s="17" t="s">
        <v>151</v>
      </c>
      <c r="CE726" s="17" t="s">
        <v>191</v>
      </c>
      <c r="CF726" s="22">
        <v>44818</v>
      </c>
      <c r="CG726" s="24">
        <v>2.5</v>
      </c>
      <c r="CH726" s="17" t="s">
        <v>192</v>
      </c>
      <c r="CI726" s="24" t="s">
        <v>151</v>
      </c>
      <c r="CJ726" s="17" t="s">
        <v>151</v>
      </c>
      <c r="CK726" s="16" t="s">
        <v>151</v>
      </c>
      <c r="CL726" s="17" t="s">
        <v>293</v>
      </c>
      <c r="CM726" s="17" t="s">
        <v>293</v>
      </c>
      <c r="CN726" s="17" t="s">
        <v>151</v>
      </c>
      <c r="CO726" s="17" t="s">
        <v>165</v>
      </c>
      <c r="CP726" s="22">
        <v>44818</v>
      </c>
      <c r="CQ726" s="24" t="s">
        <v>151</v>
      </c>
      <c r="CR726" s="17" t="s">
        <v>151</v>
      </c>
      <c r="CS726" s="17" t="s">
        <v>191</v>
      </c>
      <c r="CT726" s="16" t="s">
        <v>151</v>
      </c>
      <c r="CU726" s="17" t="s">
        <v>151</v>
      </c>
      <c r="CV726" s="19" t="s">
        <v>151</v>
      </c>
      <c r="CW726" s="19" t="s">
        <v>151</v>
      </c>
      <c r="CX726" s="17" t="s">
        <v>151</v>
      </c>
      <c r="CY726" s="19" t="s">
        <v>151</v>
      </c>
      <c r="CZ726" s="19" t="s">
        <v>151</v>
      </c>
      <c r="DA726" s="24" t="s">
        <v>151</v>
      </c>
      <c r="DB726" s="22" t="s">
        <v>151</v>
      </c>
      <c r="DC726" s="17" t="s">
        <v>151</v>
      </c>
      <c r="DD726" s="16" t="s">
        <v>151</v>
      </c>
      <c r="DE726" s="19">
        <v>4.01</v>
      </c>
      <c r="DF726" s="21">
        <v>100</v>
      </c>
      <c r="DG726" s="19">
        <v>-0.01</v>
      </c>
      <c r="DH726" s="19">
        <v>-0.18</v>
      </c>
      <c r="DI726" s="19">
        <v>7.4</v>
      </c>
      <c r="DJ726" s="21">
        <v>100</v>
      </c>
      <c r="DK726" s="19" t="s">
        <v>151</v>
      </c>
      <c r="DL726" s="21" t="s">
        <v>151</v>
      </c>
      <c r="DM726" s="19">
        <v>7.4</v>
      </c>
      <c r="DN726" s="21">
        <v>100</v>
      </c>
      <c r="DO726" s="23">
        <v>27.96</v>
      </c>
      <c r="DP726" s="21">
        <v>96</v>
      </c>
      <c r="DQ726" s="23">
        <v>0.19</v>
      </c>
      <c r="DR726" s="19">
        <v>0.68</v>
      </c>
      <c r="DS726" s="23">
        <v>9.89</v>
      </c>
      <c r="DT726" s="21">
        <v>90</v>
      </c>
      <c r="DU726" s="23" t="s">
        <v>151</v>
      </c>
      <c r="DV726" s="21" t="s">
        <v>151</v>
      </c>
      <c r="DW726" s="23">
        <v>9.89</v>
      </c>
      <c r="DX726" s="21">
        <v>90</v>
      </c>
      <c r="DY726" s="18" t="s">
        <v>151</v>
      </c>
      <c r="DZ726" s="22" t="s">
        <v>151</v>
      </c>
      <c r="EA726" s="22" t="s">
        <v>151</v>
      </c>
      <c r="EB726" s="21">
        <v>1440</v>
      </c>
      <c r="EC726" s="20">
        <v>-152</v>
      </c>
      <c r="ED726" s="19">
        <v>-9.55</v>
      </c>
      <c r="EE726" s="21">
        <v>188</v>
      </c>
      <c r="EF726" s="20">
        <v>9</v>
      </c>
      <c r="EG726" s="19">
        <v>5.03</v>
      </c>
      <c r="EH726" s="16" t="s">
        <v>198</v>
      </c>
      <c r="EI726" s="17" t="s">
        <v>151</v>
      </c>
      <c r="EJ726" s="17" t="s">
        <v>151</v>
      </c>
      <c r="EK726" s="18" t="s">
        <v>151</v>
      </c>
      <c r="EL726" s="18" t="s">
        <v>151</v>
      </c>
      <c r="EM726" s="18" t="s">
        <v>151</v>
      </c>
      <c r="EN726" s="18" t="s">
        <v>151</v>
      </c>
      <c r="EO726" s="18" t="s">
        <v>151</v>
      </c>
      <c r="EP726" s="17" t="s">
        <v>151</v>
      </c>
      <c r="EQ726" s="16" t="s">
        <v>151</v>
      </c>
      <c r="ER726" s="16" t="s">
        <v>151</v>
      </c>
      <c r="ES726" s="3">
        <f>HYPERLINK("https://my.pitchbook.com?c=433415-71","View Company Online")</f>
      </c>
    </row>
    <row r="727">
      <c r="A727" s="30" t="s">
        <v>14884</v>
      </c>
      <c r="B727" s="30" t="s">
        <v>14885</v>
      </c>
      <c r="C727" s="31" t="s">
        <v>151</v>
      </c>
      <c r="D727" s="30" t="s">
        <v>151</v>
      </c>
      <c r="E727" s="30" t="s">
        <v>14886</v>
      </c>
      <c r="F727" s="30" t="s">
        <v>14887</v>
      </c>
      <c r="G727" s="30" t="s">
        <v>151</v>
      </c>
      <c r="H727" s="30" t="s">
        <v>151</v>
      </c>
      <c r="I727" s="30" t="s">
        <v>151</v>
      </c>
      <c r="J727" s="30" t="s">
        <v>14884</v>
      </c>
      <c r="K727" s="30" t="s">
        <v>14888</v>
      </c>
      <c r="L727" s="30" t="s">
        <v>1178</v>
      </c>
      <c r="M727" s="30" t="s">
        <v>4825</v>
      </c>
      <c r="N727" s="30" t="s">
        <v>14889</v>
      </c>
      <c r="O727" s="30" t="s">
        <v>14890</v>
      </c>
      <c r="P727" s="30" t="s">
        <v>14891</v>
      </c>
      <c r="Q727" s="30" t="s">
        <v>14892</v>
      </c>
      <c r="R727" s="30" t="s">
        <v>151</v>
      </c>
      <c r="S727" s="30" t="s">
        <v>162</v>
      </c>
      <c r="T727" s="37">
        <v>1.37</v>
      </c>
      <c r="U727" s="30" t="s">
        <v>163</v>
      </c>
      <c r="V727" s="30" t="s">
        <v>164</v>
      </c>
      <c r="W727" s="30" t="s">
        <v>165</v>
      </c>
      <c r="X727" s="28" t="s">
        <v>14893</v>
      </c>
      <c r="Y727" s="28" t="s">
        <v>14894</v>
      </c>
      <c r="Z727" s="40">
        <v>8</v>
      </c>
      <c r="AA727" s="30" t="s">
        <v>14895</v>
      </c>
      <c r="AB727" s="30" t="s">
        <v>151</v>
      </c>
      <c r="AC727" s="30" t="s">
        <v>151</v>
      </c>
      <c r="AD727" s="39">
        <v>2019</v>
      </c>
      <c r="AE727" s="30" t="s">
        <v>151</v>
      </c>
      <c r="AF727" s="35">
        <v>45541</v>
      </c>
      <c r="AG727" s="30" t="s">
        <v>151</v>
      </c>
      <c r="AH727" s="30" t="s">
        <v>151</v>
      </c>
      <c r="AI727" s="38" t="s">
        <v>151</v>
      </c>
      <c r="AJ727" s="32" t="s">
        <v>151</v>
      </c>
      <c r="AK727" s="38" t="s">
        <v>151</v>
      </c>
      <c r="AL727" s="38" t="s">
        <v>151</v>
      </c>
      <c r="AM727" s="38" t="s">
        <v>151</v>
      </c>
      <c r="AN727" s="38" t="s">
        <v>151</v>
      </c>
      <c r="AO727" s="38" t="s">
        <v>151</v>
      </c>
      <c r="AP727" s="38" t="s">
        <v>151</v>
      </c>
      <c r="AQ727" s="38" t="s">
        <v>151</v>
      </c>
      <c r="AR727" s="29" t="s">
        <v>151</v>
      </c>
      <c r="AS727" s="30" t="s">
        <v>14896</v>
      </c>
      <c r="AT727" s="30" t="s">
        <v>14897</v>
      </c>
      <c r="AU727" s="31">
        <v>7</v>
      </c>
      <c r="AV727" s="30" t="s">
        <v>151</v>
      </c>
      <c r="AW727" s="30" t="s">
        <v>151</v>
      </c>
      <c r="AX727" s="30" t="s">
        <v>151</v>
      </c>
      <c r="AY727" s="30" t="s">
        <v>14898</v>
      </c>
      <c r="AZ727" s="30" t="s">
        <v>151</v>
      </c>
      <c r="BA727" s="30" t="s">
        <v>151</v>
      </c>
      <c r="BB727" s="30" t="s">
        <v>151</v>
      </c>
      <c r="BC727" s="30" t="s">
        <v>151</v>
      </c>
      <c r="BD727" s="30" t="s">
        <v>14899</v>
      </c>
      <c r="BE727" s="30" t="s">
        <v>14900</v>
      </c>
      <c r="BF727" s="30" t="s">
        <v>221</v>
      </c>
      <c r="BG727" s="30" t="s">
        <v>14901</v>
      </c>
      <c r="BH727" s="30" t="s">
        <v>14902</v>
      </c>
      <c r="BI727" s="30" t="s">
        <v>14903</v>
      </c>
      <c r="BJ727" s="30" t="s">
        <v>14904</v>
      </c>
      <c r="BK727" s="30" t="s">
        <v>1712</v>
      </c>
      <c r="BL727" s="30" t="s">
        <v>14905</v>
      </c>
      <c r="BM727" s="30" t="s">
        <v>14906</v>
      </c>
      <c r="BN727" s="29" t="s">
        <v>14907</v>
      </c>
      <c r="BO727" s="30" t="s">
        <v>186</v>
      </c>
      <c r="BP727" s="29" t="s">
        <v>14902</v>
      </c>
      <c r="BQ727" s="29" t="s">
        <v>151</v>
      </c>
      <c r="BR727" s="30" t="s">
        <v>14908</v>
      </c>
      <c r="BS727" s="30" t="s">
        <v>187</v>
      </c>
      <c r="BT727" s="30" t="s">
        <v>188</v>
      </c>
      <c r="BU727" s="35">
        <v>44044</v>
      </c>
      <c r="BV727" s="37">
        <v>0.7</v>
      </c>
      <c r="BW727" s="30" t="s">
        <v>192</v>
      </c>
      <c r="BX727" s="37" t="s">
        <v>151</v>
      </c>
      <c r="BY727" s="30" t="s">
        <v>151</v>
      </c>
      <c r="BZ727" s="30" t="s">
        <v>293</v>
      </c>
      <c r="CA727" s="30" t="s">
        <v>293</v>
      </c>
      <c r="CB727" s="30" t="s">
        <v>151</v>
      </c>
      <c r="CC727" s="30" t="s">
        <v>165</v>
      </c>
      <c r="CD727" s="30" t="s">
        <v>151</v>
      </c>
      <c r="CE727" s="30" t="s">
        <v>191</v>
      </c>
      <c r="CF727" s="35">
        <v>45119</v>
      </c>
      <c r="CG727" s="37">
        <v>0.63</v>
      </c>
      <c r="CH727" s="30" t="s">
        <v>192</v>
      </c>
      <c r="CI727" s="37" t="s">
        <v>151</v>
      </c>
      <c r="CJ727" s="30" t="s">
        <v>151</v>
      </c>
      <c r="CK727" s="29" t="s">
        <v>151</v>
      </c>
      <c r="CL727" s="30" t="s">
        <v>293</v>
      </c>
      <c r="CM727" s="30" t="s">
        <v>293</v>
      </c>
      <c r="CN727" s="30" t="s">
        <v>151</v>
      </c>
      <c r="CO727" s="30" t="s">
        <v>165</v>
      </c>
      <c r="CP727" s="35">
        <v>45119</v>
      </c>
      <c r="CQ727" s="37" t="s">
        <v>151</v>
      </c>
      <c r="CR727" s="30" t="s">
        <v>151</v>
      </c>
      <c r="CS727" s="30" t="s">
        <v>191</v>
      </c>
      <c r="CT727" s="29">
        <v>31</v>
      </c>
      <c r="CU727" s="30" t="s">
        <v>263</v>
      </c>
      <c r="CV727" s="32">
        <v>32</v>
      </c>
      <c r="CW727" s="32">
        <v>68</v>
      </c>
      <c r="CX727" s="30" t="s">
        <v>263</v>
      </c>
      <c r="CY727" s="32">
        <v>1</v>
      </c>
      <c r="CZ727" s="32">
        <v>31</v>
      </c>
      <c r="DA727" s="37">
        <v>0.33</v>
      </c>
      <c r="DB727" s="35">
        <v>44354</v>
      </c>
      <c r="DC727" s="30" t="s">
        <v>189</v>
      </c>
      <c r="DD727" s="29" t="s">
        <v>151</v>
      </c>
      <c r="DE727" s="32">
        <v>1.68</v>
      </c>
      <c r="DF727" s="34">
        <v>98</v>
      </c>
      <c r="DG727" s="32">
        <v>0</v>
      </c>
      <c r="DH727" s="32">
        <v>0</v>
      </c>
      <c r="DI727" s="32">
        <v>3.36</v>
      </c>
      <c r="DJ727" s="34">
        <v>99</v>
      </c>
      <c r="DK727" s="32" t="s">
        <v>151</v>
      </c>
      <c r="DL727" s="34" t="s">
        <v>151</v>
      </c>
      <c r="DM727" s="32">
        <v>3.36</v>
      </c>
      <c r="DN727" s="34">
        <v>100</v>
      </c>
      <c r="DO727" s="36">
        <v>4.28</v>
      </c>
      <c r="DP727" s="34">
        <v>80</v>
      </c>
      <c r="DQ727" s="36">
        <v>0</v>
      </c>
      <c r="DR727" s="32">
        <v>0</v>
      </c>
      <c r="DS727" s="36">
        <v>7.95</v>
      </c>
      <c r="DT727" s="34">
        <v>88</v>
      </c>
      <c r="DU727" s="36" t="s">
        <v>151</v>
      </c>
      <c r="DV727" s="34" t="s">
        <v>151</v>
      </c>
      <c r="DW727" s="36">
        <v>7.95</v>
      </c>
      <c r="DX727" s="34">
        <v>87</v>
      </c>
      <c r="DY727" s="31" t="s">
        <v>151</v>
      </c>
      <c r="DZ727" s="35" t="s">
        <v>151</v>
      </c>
      <c r="EA727" s="35" t="s">
        <v>151</v>
      </c>
      <c r="EB727" s="34">
        <v>148</v>
      </c>
      <c r="EC727" s="33">
        <v>26</v>
      </c>
      <c r="ED727" s="32">
        <v>21.31</v>
      </c>
      <c r="EE727" s="34">
        <v>151</v>
      </c>
      <c r="EF727" s="33">
        <v>2</v>
      </c>
      <c r="EG727" s="32">
        <v>1.34</v>
      </c>
      <c r="EH727" s="29" t="s">
        <v>198</v>
      </c>
      <c r="EI727" s="30" t="s">
        <v>151</v>
      </c>
      <c r="EJ727" s="30" t="s">
        <v>151</v>
      </c>
      <c r="EK727" s="31" t="s">
        <v>151</v>
      </c>
      <c r="EL727" s="31" t="s">
        <v>151</v>
      </c>
      <c r="EM727" s="31" t="s">
        <v>151</v>
      </c>
      <c r="EN727" s="31" t="s">
        <v>151</v>
      </c>
      <c r="EO727" s="31" t="s">
        <v>151</v>
      </c>
      <c r="EP727" s="30" t="s">
        <v>151</v>
      </c>
      <c r="EQ727" s="29" t="s">
        <v>151</v>
      </c>
      <c r="ER727" s="29" t="s">
        <v>151</v>
      </c>
      <c r="ES727" s="4">
        <f>HYPERLINK("https://my.pitchbook.com?c=437092-30","View Company Online")</f>
      </c>
    </row>
    <row r="728">
      <c r="A728" s="17" t="s">
        <v>14909</v>
      </c>
      <c r="B728" s="17" t="s">
        <v>14910</v>
      </c>
      <c r="C728" s="18" t="s">
        <v>151</v>
      </c>
      <c r="D728" s="17" t="s">
        <v>151</v>
      </c>
      <c r="E728" s="17" t="s">
        <v>151</v>
      </c>
      <c r="F728" s="17" t="s">
        <v>14911</v>
      </c>
      <c r="G728" s="17" t="s">
        <v>151</v>
      </c>
      <c r="H728" s="17" t="s">
        <v>151</v>
      </c>
      <c r="I728" s="17" t="s">
        <v>14912</v>
      </c>
      <c r="J728" s="17" t="s">
        <v>14909</v>
      </c>
      <c r="K728" s="17" t="s">
        <v>14913</v>
      </c>
      <c r="L728" s="17" t="s">
        <v>205</v>
      </c>
      <c r="M728" s="17" t="s">
        <v>206</v>
      </c>
      <c r="N728" s="17" t="s">
        <v>269</v>
      </c>
      <c r="O728" s="17" t="s">
        <v>14914</v>
      </c>
      <c r="P728" s="17" t="s">
        <v>2898</v>
      </c>
      <c r="Q728" s="17" t="s">
        <v>14915</v>
      </c>
      <c r="R728" s="17" t="s">
        <v>151</v>
      </c>
      <c r="S728" s="17" t="s">
        <v>162</v>
      </c>
      <c r="T728" s="24">
        <v>26.5</v>
      </c>
      <c r="U728" s="17" t="s">
        <v>163</v>
      </c>
      <c r="V728" s="17" t="s">
        <v>164</v>
      </c>
      <c r="W728" s="17" t="s">
        <v>165</v>
      </c>
      <c r="X728" s="15" t="s">
        <v>14916</v>
      </c>
      <c r="Y728" s="15" t="s">
        <v>14917</v>
      </c>
      <c r="Z728" s="27">
        <v>41</v>
      </c>
      <c r="AA728" s="17" t="s">
        <v>14918</v>
      </c>
      <c r="AB728" s="17" t="s">
        <v>151</v>
      </c>
      <c r="AC728" s="17" t="s">
        <v>151</v>
      </c>
      <c r="AD728" s="26">
        <v>2021</v>
      </c>
      <c r="AE728" s="17" t="s">
        <v>151</v>
      </c>
      <c r="AF728" s="22">
        <v>45555</v>
      </c>
      <c r="AG728" s="17" t="s">
        <v>151</v>
      </c>
      <c r="AH728" s="17" t="s">
        <v>151</v>
      </c>
      <c r="AI728" s="25" t="s">
        <v>151</v>
      </c>
      <c r="AJ728" s="19" t="s">
        <v>151</v>
      </c>
      <c r="AK728" s="25" t="s">
        <v>151</v>
      </c>
      <c r="AL728" s="25" t="s">
        <v>151</v>
      </c>
      <c r="AM728" s="25" t="s">
        <v>151</v>
      </c>
      <c r="AN728" s="25" t="s">
        <v>151</v>
      </c>
      <c r="AO728" s="25" t="s">
        <v>151</v>
      </c>
      <c r="AP728" s="25" t="s">
        <v>151</v>
      </c>
      <c r="AQ728" s="25" t="s">
        <v>151</v>
      </c>
      <c r="AR728" s="16" t="s">
        <v>151</v>
      </c>
      <c r="AS728" s="17" t="s">
        <v>14919</v>
      </c>
      <c r="AT728" s="17" t="s">
        <v>14920</v>
      </c>
      <c r="AU728" s="18">
        <v>38</v>
      </c>
      <c r="AV728" s="17" t="s">
        <v>151</v>
      </c>
      <c r="AW728" s="17" t="s">
        <v>151</v>
      </c>
      <c r="AX728" s="17" t="s">
        <v>151</v>
      </c>
      <c r="AY728" s="17" t="s">
        <v>14921</v>
      </c>
      <c r="AZ728" s="17" t="s">
        <v>151</v>
      </c>
      <c r="BA728" s="17" t="s">
        <v>151</v>
      </c>
      <c r="BB728" s="17" t="s">
        <v>151</v>
      </c>
      <c r="BC728" s="17" t="s">
        <v>1115</v>
      </c>
      <c r="BD728" s="17" t="s">
        <v>14922</v>
      </c>
      <c r="BE728" s="17" t="s">
        <v>14923</v>
      </c>
      <c r="BF728" s="17" t="s">
        <v>221</v>
      </c>
      <c r="BG728" s="17" t="s">
        <v>14924</v>
      </c>
      <c r="BH728" s="17" t="s">
        <v>14925</v>
      </c>
      <c r="BI728" s="17" t="s">
        <v>764</v>
      </c>
      <c r="BJ728" s="17" t="s">
        <v>3969</v>
      </c>
      <c r="BK728" s="17" t="s">
        <v>14926</v>
      </c>
      <c r="BL728" s="17" t="s">
        <v>767</v>
      </c>
      <c r="BM728" s="17" t="s">
        <v>184</v>
      </c>
      <c r="BN728" s="16" t="s">
        <v>794</v>
      </c>
      <c r="BO728" s="17" t="s">
        <v>186</v>
      </c>
      <c r="BP728" s="16" t="s">
        <v>14925</v>
      </c>
      <c r="BQ728" s="16" t="s">
        <v>151</v>
      </c>
      <c r="BR728" s="17" t="s">
        <v>14927</v>
      </c>
      <c r="BS728" s="17" t="s">
        <v>187</v>
      </c>
      <c r="BT728" s="17" t="s">
        <v>188</v>
      </c>
      <c r="BU728" s="22">
        <v>44361</v>
      </c>
      <c r="BV728" s="24">
        <v>3.5</v>
      </c>
      <c r="BW728" s="17" t="s">
        <v>192</v>
      </c>
      <c r="BX728" s="24">
        <v>20</v>
      </c>
      <c r="BY728" s="17" t="s">
        <v>192</v>
      </c>
      <c r="BZ728" s="17" t="s">
        <v>293</v>
      </c>
      <c r="CA728" s="17" t="s">
        <v>293</v>
      </c>
      <c r="CB728" s="17" t="s">
        <v>151</v>
      </c>
      <c r="CC728" s="17" t="s">
        <v>165</v>
      </c>
      <c r="CD728" s="17" t="s">
        <v>151</v>
      </c>
      <c r="CE728" s="17" t="s">
        <v>191</v>
      </c>
      <c r="CF728" s="22">
        <v>44726</v>
      </c>
      <c r="CG728" s="24">
        <v>23</v>
      </c>
      <c r="CH728" s="17" t="s">
        <v>192</v>
      </c>
      <c r="CI728" s="24">
        <v>115</v>
      </c>
      <c r="CJ728" s="17" t="s">
        <v>192</v>
      </c>
      <c r="CK728" s="16">
        <v>4.73</v>
      </c>
      <c r="CL728" s="17" t="s">
        <v>231</v>
      </c>
      <c r="CM728" s="17" t="s">
        <v>232</v>
      </c>
      <c r="CN728" s="17" t="s">
        <v>151</v>
      </c>
      <c r="CO728" s="17" t="s">
        <v>165</v>
      </c>
      <c r="CP728" s="22">
        <v>44726</v>
      </c>
      <c r="CQ728" s="24">
        <v>2.5</v>
      </c>
      <c r="CR728" s="17" t="s">
        <v>14928</v>
      </c>
      <c r="CS728" s="17" t="s">
        <v>191</v>
      </c>
      <c r="CT728" s="16">
        <v>97</v>
      </c>
      <c r="CU728" s="17" t="s">
        <v>196</v>
      </c>
      <c r="CV728" s="19">
        <v>91</v>
      </c>
      <c r="CW728" s="19">
        <v>9</v>
      </c>
      <c r="CX728" s="17" t="s">
        <v>294</v>
      </c>
      <c r="CY728" s="19">
        <v>1</v>
      </c>
      <c r="CZ728" s="19">
        <v>90</v>
      </c>
      <c r="DA728" s="24">
        <v>115</v>
      </c>
      <c r="DB728" s="22">
        <v>44726</v>
      </c>
      <c r="DC728" s="17" t="s">
        <v>231</v>
      </c>
      <c r="DD728" s="16">
        <v>4.73</v>
      </c>
      <c r="DE728" s="19">
        <v>0.63</v>
      </c>
      <c r="DF728" s="21">
        <v>95</v>
      </c>
      <c r="DG728" s="19">
        <v>-0.01</v>
      </c>
      <c r="DH728" s="19">
        <v>-1.43</v>
      </c>
      <c r="DI728" s="19">
        <v>1.56</v>
      </c>
      <c r="DJ728" s="21">
        <v>98</v>
      </c>
      <c r="DK728" s="19" t="s">
        <v>151</v>
      </c>
      <c r="DL728" s="21" t="s">
        <v>151</v>
      </c>
      <c r="DM728" s="19">
        <v>1.56</v>
      </c>
      <c r="DN728" s="21">
        <v>98</v>
      </c>
      <c r="DO728" s="23">
        <v>11.29</v>
      </c>
      <c r="DP728" s="21">
        <v>91</v>
      </c>
      <c r="DQ728" s="23">
        <v>0.03</v>
      </c>
      <c r="DR728" s="19">
        <v>0.23</v>
      </c>
      <c r="DS728" s="23">
        <v>19.42</v>
      </c>
      <c r="DT728" s="21">
        <v>95</v>
      </c>
      <c r="DU728" s="23" t="s">
        <v>151</v>
      </c>
      <c r="DV728" s="21" t="s">
        <v>151</v>
      </c>
      <c r="DW728" s="23">
        <v>19.42</v>
      </c>
      <c r="DX728" s="21">
        <v>95</v>
      </c>
      <c r="DY728" s="18" t="s">
        <v>151</v>
      </c>
      <c r="DZ728" s="22" t="s">
        <v>151</v>
      </c>
      <c r="EA728" s="22" t="s">
        <v>151</v>
      </c>
      <c r="EB728" s="21">
        <v>8704</v>
      </c>
      <c r="EC728" s="20">
        <v>143</v>
      </c>
      <c r="ED728" s="19">
        <v>1.67</v>
      </c>
      <c r="EE728" s="21">
        <v>369</v>
      </c>
      <c r="EF728" s="20">
        <v>4</v>
      </c>
      <c r="EG728" s="19">
        <v>1.1</v>
      </c>
      <c r="EH728" s="16" t="s">
        <v>198</v>
      </c>
      <c r="EI728" s="17" t="s">
        <v>151</v>
      </c>
      <c r="EJ728" s="17" t="s">
        <v>151</v>
      </c>
      <c r="EK728" s="18" t="s">
        <v>151</v>
      </c>
      <c r="EL728" s="18" t="s">
        <v>151</v>
      </c>
      <c r="EM728" s="18" t="s">
        <v>151</v>
      </c>
      <c r="EN728" s="18" t="s">
        <v>151</v>
      </c>
      <c r="EO728" s="18" t="s">
        <v>151</v>
      </c>
      <c r="EP728" s="17" t="s">
        <v>151</v>
      </c>
      <c r="EQ728" s="16" t="s">
        <v>151</v>
      </c>
      <c r="ER728" s="16" t="s">
        <v>151</v>
      </c>
      <c r="ES728" s="3">
        <f>HYPERLINK("https://my.pitchbook.com?c=470961-10","View Company Online")</f>
      </c>
    </row>
    <row r="729">
      <c r="A729" s="30" t="s">
        <v>14929</v>
      </c>
      <c r="B729" s="30" t="s">
        <v>14930</v>
      </c>
      <c r="C729" s="31" t="s">
        <v>151</v>
      </c>
      <c r="D729" s="30" t="s">
        <v>151</v>
      </c>
      <c r="E729" s="30" t="s">
        <v>151</v>
      </c>
      <c r="F729" s="30" t="s">
        <v>14931</v>
      </c>
      <c r="G729" s="30" t="s">
        <v>151</v>
      </c>
      <c r="H729" s="30" t="s">
        <v>151</v>
      </c>
      <c r="I729" s="30" t="s">
        <v>14932</v>
      </c>
      <c r="J729" s="30" t="s">
        <v>14929</v>
      </c>
      <c r="K729" s="30" t="s">
        <v>14933</v>
      </c>
      <c r="L729" s="30" t="s">
        <v>155</v>
      </c>
      <c r="M729" s="30" t="s">
        <v>2320</v>
      </c>
      <c r="N729" s="30" t="s">
        <v>2321</v>
      </c>
      <c r="O729" s="30" t="s">
        <v>14934</v>
      </c>
      <c r="P729" s="30" t="s">
        <v>14935</v>
      </c>
      <c r="Q729" s="30" t="s">
        <v>14936</v>
      </c>
      <c r="R729" s="30" t="s">
        <v>151</v>
      </c>
      <c r="S729" s="30" t="s">
        <v>162</v>
      </c>
      <c r="T729" s="37">
        <v>0.27</v>
      </c>
      <c r="U729" s="30" t="s">
        <v>163</v>
      </c>
      <c r="V729" s="30" t="s">
        <v>164</v>
      </c>
      <c r="W729" s="30" t="s">
        <v>165</v>
      </c>
      <c r="X729" s="28" t="s">
        <v>14937</v>
      </c>
      <c r="Y729" s="28" t="s">
        <v>14938</v>
      </c>
      <c r="Z729" s="40">
        <v>10</v>
      </c>
      <c r="AA729" s="30" t="s">
        <v>14939</v>
      </c>
      <c r="AB729" s="30" t="s">
        <v>151</v>
      </c>
      <c r="AC729" s="30" t="s">
        <v>151</v>
      </c>
      <c r="AD729" s="39">
        <v>2020</v>
      </c>
      <c r="AE729" s="30" t="s">
        <v>151</v>
      </c>
      <c r="AF729" s="35">
        <v>45596</v>
      </c>
      <c r="AG729" s="30" t="s">
        <v>151</v>
      </c>
      <c r="AH729" s="30" t="s">
        <v>151</v>
      </c>
      <c r="AI729" s="38" t="s">
        <v>151</v>
      </c>
      <c r="AJ729" s="32" t="s">
        <v>151</v>
      </c>
      <c r="AK729" s="38" t="s">
        <v>151</v>
      </c>
      <c r="AL729" s="38" t="s">
        <v>151</v>
      </c>
      <c r="AM729" s="38" t="s">
        <v>151</v>
      </c>
      <c r="AN729" s="38" t="s">
        <v>151</v>
      </c>
      <c r="AO729" s="38" t="s">
        <v>151</v>
      </c>
      <c r="AP729" s="38" t="s">
        <v>151</v>
      </c>
      <c r="AQ729" s="38" t="s">
        <v>151</v>
      </c>
      <c r="AR729" s="29" t="s">
        <v>151</v>
      </c>
      <c r="AS729" s="30" t="s">
        <v>14940</v>
      </c>
      <c r="AT729" s="30" t="s">
        <v>14941</v>
      </c>
      <c r="AU729" s="31">
        <v>5</v>
      </c>
      <c r="AV729" s="30" t="s">
        <v>151</v>
      </c>
      <c r="AW729" s="30" t="s">
        <v>151</v>
      </c>
      <c r="AX729" s="30" t="s">
        <v>151</v>
      </c>
      <c r="AY729" s="30" t="s">
        <v>14942</v>
      </c>
      <c r="AZ729" s="30" t="s">
        <v>151</v>
      </c>
      <c r="BA729" s="30" t="s">
        <v>151</v>
      </c>
      <c r="BB729" s="30" t="s">
        <v>151</v>
      </c>
      <c r="BC729" s="30" t="s">
        <v>151</v>
      </c>
      <c r="BD729" s="30" t="s">
        <v>14943</v>
      </c>
      <c r="BE729" s="30" t="s">
        <v>14944</v>
      </c>
      <c r="BF729" s="30" t="s">
        <v>493</v>
      </c>
      <c r="BG729" s="30" t="s">
        <v>14945</v>
      </c>
      <c r="BH729" s="30" t="s">
        <v>14946</v>
      </c>
      <c r="BI729" s="30" t="s">
        <v>14947</v>
      </c>
      <c r="BJ729" s="30" t="s">
        <v>14948</v>
      </c>
      <c r="BK729" s="30" t="s">
        <v>151</v>
      </c>
      <c r="BL729" s="30" t="s">
        <v>14949</v>
      </c>
      <c r="BM729" s="30" t="s">
        <v>14566</v>
      </c>
      <c r="BN729" s="29" t="s">
        <v>14950</v>
      </c>
      <c r="BO729" s="30" t="s">
        <v>186</v>
      </c>
      <c r="BP729" s="29" t="s">
        <v>151</v>
      </c>
      <c r="BQ729" s="29" t="s">
        <v>151</v>
      </c>
      <c r="BR729" s="30" t="s">
        <v>14951</v>
      </c>
      <c r="BS729" s="30" t="s">
        <v>187</v>
      </c>
      <c r="BT729" s="30" t="s">
        <v>188</v>
      </c>
      <c r="BU729" s="35">
        <v>43994</v>
      </c>
      <c r="BV729" s="37">
        <v>0.01</v>
      </c>
      <c r="BW729" s="30" t="s">
        <v>192</v>
      </c>
      <c r="BX729" s="37" t="s">
        <v>151</v>
      </c>
      <c r="BY729" s="30" t="s">
        <v>151</v>
      </c>
      <c r="BZ729" s="30" t="s">
        <v>189</v>
      </c>
      <c r="CA729" s="30" t="s">
        <v>151</v>
      </c>
      <c r="CB729" s="30" t="s">
        <v>151</v>
      </c>
      <c r="CC729" s="30" t="s">
        <v>190</v>
      </c>
      <c r="CD729" s="30" t="s">
        <v>151</v>
      </c>
      <c r="CE729" s="30" t="s">
        <v>191</v>
      </c>
      <c r="CF729" s="35">
        <v>44823</v>
      </c>
      <c r="CG729" s="37">
        <v>0.12</v>
      </c>
      <c r="CH729" s="30" t="s">
        <v>192</v>
      </c>
      <c r="CI729" s="37" t="s">
        <v>151</v>
      </c>
      <c r="CJ729" s="30" t="s">
        <v>151</v>
      </c>
      <c r="CK729" s="29" t="s">
        <v>151</v>
      </c>
      <c r="CL729" s="30" t="s">
        <v>189</v>
      </c>
      <c r="CM729" s="30" t="s">
        <v>151</v>
      </c>
      <c r="CN729" s="30" t="s">
        <v>151</v>
      </c>
      <c r="CO729" s="30" t="s">
        <v>190</v>
      </c>
      <c r="CP729" s="35">
        <v>44823</v>
      </c>
      <c r="CQ729" s="37" t="s">
        <v>151</v>
      </c>
      <c r="CR729" s="30" t="s">
        <v>151</v>
      </c>
      <c r="CS729" s="30" t="s">
        <v>191</v>
      </c>
      <c r="CT729" s="29" t="s">
        <v>151</v>
      </c>
      <c r="CU729" s="30" t="s">
        <v>151</v>
      </c>
      <c r="CV729" s="32" t="s">
        <v>151</v>
      </c>
      <c r="CW729" s="32" t="s">
        <v>151</v>
      </c>
      <c r="CX729" s="30" t="s">
        <v>151</v>
      </c>
      <c r="CY729" s="32" t="s">
        <v>151</v>
      </c>
      <c r="CZ729" s="32" t="s">
        <v>151</v>
      </c>
      <c r="DA729" s="37">
        <v>0.55</v>
      </c>
      <c r="DB729" s="35">
        <v>44451</v>
      </c>
      <c r="DC729" s="30" t="s">
        <v>293</v>
      </c>
      <c r="DD729" s="29" t="s">
        <v>151</v>
      </c>
      <c r="DE729" s="32">
        <v>0</v>
      </c>
      <c r="DF729" s="34">
        <v>11</v>
      </c>
      <c r="DG729" s="32">
        <v>0</v>
      </c>
      <c r="DH729" s="32">
        <v>0</v>
      </c>
      <c r="DI729" s="32">
        <v>0</v>
      </c>
      <c r="DJ729" s="34">
        <v>10</v>
      </c>
      <c r="DK729" s="32" t="s">
        <v>151</v>
      </c>
      <c r="DL729" s="34" t="s">
        <v>151</v>
      </c>
      <c r="DM729" s="32">
        <v>0</v>
      </c>
      <c r="DN729" s="34">
        <v>10</v>
      </c>
      <c r="DO729" s="36">
        <v>1.44</v>
      </c>
      <c r="DP729" s="34">
        <v>59</v>
      </c>
      <c r="DQ729" s="36">
        <v>0</v>
      </c>
      <c r="DR729" s="32">
        <v>0</v>
      </c>
      <c r="DS729" s="36">
        <v>2.11</v>
      </c>
      <c r="DT729" s="34">
        <v>67</v>
      </c>
      <c r="DU729" s="36" t="s">
        <v>151</v>
      </c>
      <c r="DV729" s="34" t="s">
        <v>151</v>
      </c>
      <c r="DW729" s="36">
        <v>2.11</v>
      </c>
      <c r="DX729" s="34">
        <v>67</v>
      </c>
      <c r="DY729" s="31" t="s">
        <v>151</v>
      </c>
      <c r="DZ729" s="35" t="s">
        <v>151</v>
      </c>
      <c r="EA729" s="35" t="s">
        <v>151</v>
      </c>
      <c r="EB729" s="34">
        <v>487</v>
      </c>
      <c r="EC729" s="33">
        <v>58</v>
      </c>
      <c r="ED729" s="32">
        <v>13.52</v>
      </c>
      <c r="EE729" s="34">
        <v>40</v>
      </c>
      <c r="EF729" s="33">
        <v>1</v>
      </c>
      <c r="EG729" s="32">
        <v>2.56</v>
      </c>
      <c r="EH729" s="29" t="s">
        <v>198</v>
      </c>
      <c r="EI729" s="30" t="s">
        <v>151</v>
      </c>
      <c r="EJ729" s="30" t="s">
        <v>151</v>
      </c>
      <c r="EK729" s="31" t="s">
        <v>151</v>
      </c>
      <c r="EL729" s="31" t="s">
        <v>151</v>
      </c>
      <c r="EM729" s="31" t="s">
        <v>151</v>
      </c>
      <c r="EN729" s="31" t="s">
        <v>151</v>
      </c>
      <c r="EO729" s="31" t="s">
        <v>151</v>
      </c>
      <c r="EP729" s="30" t="s">
        <v>151</v>
      </c>
      <c r="EQ729" s="29" t="s">
        <v>151</v>
      </c>
      <c r="ER729" s="29" t="s">
        <v>151</v>
      </c>
      <c r="ES729" s="4">
        <f>HYPERLINK("https://my.pitchbook.com?c=462128-14","View Company Online")</f>
      </c>
    </row>
    <row r="730">
      <c r="A730" s="17" t="s">
        <v>14952</v>
      </c>
      <c r="B730" s="17" t="s">
        <v>14953</v>
      </c>
      <c r="C730" s="18" t="s">
        <v>151</v>
      </c>
      <c r="D730" s="17" t="s">
        <v>151</v>
      </c>
      <c r="E730" s="17" t="s">
        <v>14954</v>
      </c>
      <c r="F730" s="17" t="s">
        <v>14955</v>
      </c>
      <c r="G730" s="17" t="s">
        <v>151</v>
      </c>
      <c r="H730" s="17" t="s">
        <v>151</v>
      </c>
      <c r="I730" s="17" t="s">
        <v>151</v>
      </c>
      <c r="J730" s="17" t="s">
        <v>14952</v>
      </c>
      <c r="K730" s="17" t="s">
        <v>14956</v>
      </c>
      <c r="L730" s="17" t="s">
        <v>205</v>
      </c>
      <c r="M730" s="17" t="s">
        <v>206</v>
      </c>
      <c r="N730" s="17" t="s">
        <v>1940</v>
      </c>
      <c r="O730" s="17" t="s">
        <v>14957</v>
      </c>
      <c r="P730" s="17" t="s">
        <v>151</v>
      </c>
      <c r="Q730" s="17" t="s">
        <v>14958</v>
      </c>
      <c r="R730" s="17" t="s">
        <v>151</v>
      </c>
      <c r="S730" s="17" t="s">
        <v>162</v>
      </c>
      <c r="T730" s="24">
        <v>5.2</v>
      </c>
      <c r="U730" s="17" t="s">
        <v>163</v>
      </c>
      <c r="V730" s="17" t="s">
        <v>164</v>
      </c>
      <c r="W730" s="17" t="s">
        <v>165</v>
      </c>
      <c r="X730" s="15" t="s">
        <v>14959</v>
      </c>
      <c r="Y730" s="15" t="s">
        <v>14960</v>
      </c>
      <c r="Z730" s="27">
        <v>5</v>
      </c>
      <c r="AA730" s="17" t="s">
        <v>14961</v>
      </c>
      <c r="AB730" s="17" t="s">
        <v>151</v>
      </c>
      <c r="AC730" s="17" t="s">
        <v>151</v>
      </c>
      <c r="AD730" s="26">
        <v>2022</v>
      </c>
      <c r="AE730" s="17" t="s">
        <v>151</v>
      </c>
      <c r="AF730" s="22">
        <v>45520</v>
      </c>
      <c r="AG730" s="17" t="s">
        <v>151</v>
      </c>
      <c r="AH730" s="17" t="s">
        <v>151</v>
      </c>
      <c r="AI730" s="25" t="s">
        <v>151</v>
      </c>
      <c r="AJ730" s="19" t="s">
        <v>151</v>
      </c>
      <c r="AK730" s="25" t="s">
        <v>151</v>
      </c>
      <c r="AL730" s="25" t="s">
        <v>151</v>
      </c>
      <c r="AM730" s="25" t="s">
        <v>151</v>
      </c>
      <c r="AN730" s="25" t="s">
        <v>151</v>
      </c>
      <c r="AO730" s="25" t="s">
        <v>151</v>
      </c>
      <c r="AP730" s="25" t="s">
        <v>151</v>
      </c>
      <c r="AQ730" s="25" t="s">
        <v>151</v>
      </c>
      <c r="AR730" s="16" t="s">
        <v>151</v>
      </c>
      <c r="AS730" s="17" t="s">
        <v>14962</v>
      </c>
      <c r="AT730" s="17" t="s">
        <v>14963</v>
      </c>
      <c r="AU730" s="18">
        <v>7</v>
      </c>
      <c r="AV730" s="17" t="s">
        <v>151</v>
      </c>
      <c r="AW730" s="17" t="s">
        <v>151</v>
      </c>
      <c r="AX730" s="17" t="s">
        <v>151</v>
      </c>
      <c r="AY730" s="17" t="s">
        <v>14964</v>
      </c>
      <c r="AZ730" s="17" t="s">
        <v>151</v>
      </c>
      <c r="BA730" s="17" t="s">
        <v>151</v>
      </c>
      <c r="BB730" s="17" t="s">
        <v>151</v>
      </c>
      <c r="BC730" s="17" t="s">
        <v>490</v>
      </c>
      <c r="BD730" s="17" t="s">
        <v>14965</v>
      </c>
      <c r="BE730" s="17" t="s">
        <v>14966</v>
      </c>
      <c r="BF730" s="17" t="s">
        <v>1280</v>
      </c>
      <c r="BG730" s="17" t="s">
        <v>14967</v>
      </c>
      <c r="BH730" s="17" t="s">
        <v>14968</v>
      </c>
      <c r="BI730" s="17" t="s">
        <v>906</v>
      </c>
      <c r="BJ730" s="17" t="s">
        <v>3869</v>
      </c>
      <c r="BK730" s="17" t="s">
        <v>14969</v>
      </c>
      <c r="BL730" s="17" t="s">
        <v>259</v>
      </c>
      <c r="BM730" s="17" t="s">
        <v>259</v>
      </c>
      <c r="BN730" s="16" t="s">
        <v>5984</v>
      </c>
      <c r="BO730" s="17" t="s">
        <v>186</v>
      </c>
      <c r="BP730" s="16" t="s">
        <v>14968</v>
      </c>
      <c r="BQ730" s="16" t="s">
        <v>151</v>
      </c>
      <c r="BR730" s="17" t="s">
        <v>14970</v>
      </c>
      <c r="BS730" s="17" t="s">
        <v>187</v>
      </c>
      <c r="BT730" s="17" t="s">
        <v>188</v>
      </c>
      <c r="BU730" s="22">
        <v>44652</v>
      </c>
      <c r="BV730" s="24">
        <v>1.2</v>
      </c>
      <c r="BW730" s="17" t="s">
        <v>192</v>
      </c>
      <c r="BX730" s="24" t="s">
        <v>151</v>
      </c>
      <c r="BY730" s="17" t="s">
        <v>151</v>
      </c>
      <c r="BZ730" s="17" t="s">
        <v>231</v>
      </c>
      <c r="CA730" s="17" t="s">
        <v>151</v>
      </c>
      <c r="CB730" s="17" t="s">
        <v>151</v>
      </c>
      <c r="CC730" s="17" t="s">
        <v>165</v>
      </c>
      <c r="CD730" s="17" t="s">
        <v>151</v>
      </c>
      <c r="CE730" s="17" t="s">
        <v>191</v>
      </c>
      <c r="CF730" s="22">
        <v>45090</v>
      </c>
      <c r="CG730" s="24">
        <v>4</v>
      </c>
      <c r="CH730" s="17" t="s">
        <v>192</v>
      </c>
      <c r="CI730" s="24" t="s">
        <v>151</v>
      </c>
      <c r="CJ730" s="17" t="s">
        <v>151</v>
      </c>
      <c r="CK730" s="16" t="s">
        <v>151</v>
      </c>
      <c r="CL730" s="17" t="s">
        <v>231</v>
      </c>
      <c r="CM730" s="17" t="s">
        <v>151</v>
      </c>
      <c r="CN730" s="17" t="s">
        <v>151</v>
      </c>
      <c r="CO730" s="17" t="s">
        <v>165</v>
      </c>
      <c r="CP730" s="22">
        <v>45090</v>
      </c>
      <c r="CQ730" s="24" t="s">
        <v>151</v>
      </c>
      <c r="CR730" s="17" t="s">
        <v>151</v>
      </c>
      <c r="CS730" s="17" t="s">
        <v>191</v>
      </c>
      <c r="CT730" s="16">
        <v>50</v>
      </c>
      <c r="CU730" s="17" t="s">
        <v>263</v>
      </c>
      <c r="CV730" s="19">
        <v>49</v>
      </c>
      <c r="CW730" s="19">
        <v>51</v>
      </c>
      <c r="CX730" s="17" t="s">
        <v>263</v>
      </c>
      <c r="CY730" s="19">
        <v>1</v>
      </c>
      <c r="CZ730" s="19">
        <v>48</v>
      </c>
      <c r="DA730" s="24" t="s">
        <v>151</v>
      </c>
      <c r="DB730" s="22" t="s">
        <v>151</v>
      </c>
      <c r="DC730" s="17" t="s">
        <v>151</v>
      </c>
      <c r="DD730" s="16" t="s">
        <v>151</v>
      </c>
      <c r="DE730" s="19">
        <v>2.04</v>
      </c>
      <c r="DF730" s="21">
        <v>98</v>
      </c>
      <c r="DG730" s="19">
        <v>0</v>
      </c>
      <c r="DH730" s="19">
        <v>0</v>
      </c>
      <c r="DI730" s="19">
        <v>2.04</v>
      </c>
      <c r="DJ730" s="21">
        <v>98</v>
      </c>
      <c r="DK730" s="19">
        <v>4.69</v>
      </c>
      <c r="DL730" s="21">
        <v>97</v>
      </c>
      <c r="DM730" s="19">
        <v>-0.61</v>
      </c>
      <c r="DN730" s="21">
        <v>6</v>
      </c>
      <c r="DO730" s="23">
        <v>16.31</v>
      </c>
      <c r="DP730" s="21">
        <v>94</v>
      </c>
      <c r="DQ730" s="23">
        <v>0</v>
      </c>
      <c r="DR730" s="19">
        <v>0</v>
      </c>
      <c r="DS730" s="23">
        <v>16.31</v>
      </c>
      <c r="DT730" s="21">
        <v>94</v>
      </c>
      <c r="DU730" s="23">
        <v>26.3</v>
      </c>
      <c r="DV730" s="21">
        <v>92</v>
      </c>
      <c r="DW730" s="23">
        <v>6.32</v>
      </c>
      <c r="DX730" s="21">
        <v>85</v>
      </c>
      <c r="DY730" s="18" t="s">
        <v>151</v>
      </c>
      <c r="DZ730" s="22" t="s">
        <v>151</v>
      </c>
      <c r="EA730" s="22" t="s">
        <v>151</v>
      </c>
      <c r="EB730" s="21">
        <v>5374</v>
      </c>
      <c r="EC730" s="20">
        <v>391</v>
      </c>
      <c r="ED730" s="19">
        <v>7.85</v>
      </c>
      <c r="EE730" s="21">
        <v>120</v>
      </c>
      <c r="EF730" s="20">
        <v>0</v>
      </c>
      <c r="EG730" s="19">
        <v>0</v>
      </c>
      <c r="EH730" s="16" t="s">
        <v>198</v>
      </c>
      <c r="EI730" s="17" t="s">
        <v>151</v>
      </c>
      <c r="EJ730" s="17" t="s">
        <v>151</v>
      </c>
      <c r="EK730" s="18" t="s">
        <v>151</v>
      </c>
      <c r="EL730" s="18" t="s">
        <v>151</v>
      </c>
      <c r="EM730" s="18" t="s">
        <v>151</v>
      </c>
      <c r="EN730" s="18" t="s">
        <v>151</v>
      </c>
      <c r="EO730" s="18" t="s">
        <v>151</v>
      </c>
      <c r="EP730" s="17" t="s">
        <v>151</v>
      </c>
      <c r="EQ730" s="16" t="s">
        <v>151</v>
      </c>
      <c r="ER730" s="16" t="s">
        <v>151</v>
      </c>
      <c r="ES730" s="3">
        <f>HYPERLINK("https://my.pitchbook.com?c=507248-20","View Company Online")</f>
      </c>
    </row>
    <row r="731">
      <c r="A731" s="30" t="s">
        <v>14971</v>
      </c>
      <c r="B731" s="30" t="s">
        <v>14972</v>
      </c>
      <c r="C731" s="31" t="s">
        <v>151</v>
      </c>
      <c r="D731" s="30" t="s">
        <v>14973</v>
      </c>
      <c r="E731" s="30" t="s">
        <v>14974</v>
      </c>
      <c r="F731" s="30" t="s">
        <v>14975</v>
      </c>
      <c r="G731" s="30" t="s">
        <v>151</v>
      </c>
      <c r="H731" s="30" t="s">
        <v>151</v>
      </c>
      <c r="I731" s="30" t="s">
        <v>151</v>
      </c>
      <c r="J731" s="30" t="s">
        <v>14971</v>
      </c>
      <c r="K731" s="30" t="s">
        <v>14976</v>
      </c>
      <c r="L731" s="30" t="s">
        <v>205</v>
      </c>
      <c r="M731" s="30" t="s">
        <v>206</v>
      </c>
      <c r="N731" s="30" t="s">
        <v>207</v>
      </c>
      <c r="O731" s="30" t="s">
        <v>2707</v>
      </c>
      <c r="P731" s="30" t="s">
        <v>151</v>
      </c>
      <c r="Q731" s="30" t="s">
        <v>14977</v>
      </c>
      <c r="R731" s="30" t="s">
        <v>151</v>
      </c>
      <c r="S731" s="30" t="s">
        <v>162</v>
      </c>
      <c r="T731" s="37">
        <v>0.5</v>
      </c>
      <c r="U731" s="30" t="s">
        <v>4045</v>
      </c>
      <c r="V731" s="30" t="s">
        <v>164</v>
      </c>
      <c r="W731" s="30" t="s">
        <v>165</v>
      </c>
      <c r="X731" s="28" t="s">
        <v>14978</v>
      </c>
      <c r="Y731" s="28" t="s">
        <v>14979</v>
      </c>
      <c r="Z731" s="40">
        <v>2</v>
      </c>
      <c r="AA731" s="30" t="s">
        <v>6077</v>
      </c>
      <c r="AB731" s="30" t="s">
        <v>151</v>
      </c>
      <c r="AC731" s="30" t="s">
        <v>151</v>
      </c>
      <c r="AD731" s="39">
        <v>2022</v>
      </c>
      <c r="AE731" s="30" t="s">
        <v>151</v>
      </c>
      <c r="AF731" s="35">
        <v>45442</v>
      </c>
      <c r="AG731" s="30" t="s">
        <v>151</v>
      </c>
      <c r="AH731" s="30" t="s">
        <v>151</v>
      </c>
      <c r="AI731" s="38" t="s">
        <v>151</v>
      </c>
      <c r="AJ731" s="32" t="s">
        <v>151</v>
      </c>
      <c r="AK731" s="38" t="s">
        <v>151</v>
      </c>
      <c r="AL731" s="38" t="s">
        <v>151</v>
      </c>
      <c r="AM731" s="38" t="s">
        <v>151</v>
      </c>
      <c r="AN731" s="38" t="s">
        <v>151</v>
      </c>
      <c r="AO731" s="38" t="s">
        <v>151</v>
      </c>
      <c r="AP731" s="38" t="s">
        <v>151</v>
      </c>
      <c r="AQ731" s="38" t="s">
        <v>151</v>
      </c>
      <c r="AR731" s="29" t="s">
        <v>151</v>
      </c>
      <c r="AS731" s="30" t="s">
        <v>14980</v>
      </c>
      <c r="AT731" s="30" t="s">
        <v>14981</v>
      </c>
      <c r="AU731" s="31">
        <v>6</v>
      </c>
      <c r="AV731" s="30" t="s">
        <v>151</v>
      </c>
      <c r="AW731" s="30" t="s">
        <v>151</v>
      </c>
      <c r="AX731" s="30" t="s">
        <v>151</v>
      </c>
      <c r="AY731" s="30" t="s">
        <v>14982</v>
      </c>
      <c r="AZ731" s="30" t="s">
        <v>151</v>
      </c>
      <c r="BA731" s="30" t="s">
        <v>151</v>
      </c>
      <c r="BB731" s="30" t="s">
        <v>151</v>
      </c>
      <c r="BC731" s="30" t="s">
        <v>151</v>
      </c>
      <c r="BD731" s="30" t="s">
        <v>14983</v>
      </c>
      <c r="BE731" s="30" t="s">
        <v>14984</v>
      </c>
      <c r="BF731" s="30" t="s">
        <v>282</v>
      </c>
      <c r="BG731" s="30" t="s">
        <v>14985</v>
      </c>
      <c r="BH731" s="30" t="s">
        <v>14986</v>
      </c>
      <c r="BI731" s="30" t="s">
        <v>764</v>
      </c>
      <c r="BJ731" s="30" t="s">
        <v>4115</v>
      </c>
      <c r="BK731" s="30" t="s">
        <v>1122</v>
      </c>
      <c r="BL731" s="30" t="s">
        <v>767</v>
      </c>
      <c r="BM731" s="30" t="s">
        <v>184</v>
      </c>
      <c r="BN731" s="29" t="s">
        <v>3001</v>
      </c>
      <c r="BO731" s="30" t="s">
        <v>186</v>
      </c>
      <c r="BP731" s="29" t="s">
        <v>14986</v>
      </c>
      <c r="BQ731" s="29" t="s">
        <v>151</v>
      </c>
      <c r="BR731" s="30" t="s">
        <v>151</v>
      </c>
      <c r="BS731" s="30" t="s">
        <v>187</v>
      </c>
      <c r="BT731" s="30" t="s">
        <v>188</v>
      </c>
      <c r="BU731" s="35">
        <v>44896</v>
      </c>
      <c r="BV731" s="37">
        <v>0.5</v>
      </c>
      <c r="BW731" s="30" t="s">
        <v>192</v>
      </c>
      <c r="BX731" s="37" t="s">
        <v>151</v>
      </c>
      <c r="BY731" s="30" t="s">
        <v>151</v>
      </c>
      <c r="BZ731" s="30" t="s">
        <v>293</v>
      </c>
      <c r="CA731" s="30" t="s">
        <v>293</v>
      </c>
      <c r="CB731" s="30" t="s">
        <v>151</v>
      </c>
      <c r="CC731" s="30" t="s">
        <v>165</v>
      </c>
      <c r="CD731" s="30" t="s">
        <v>151</v>
      </c>
      <c r="CE731" s="30" t="s">
        <v>191</v>
      </c>
      <c r="CF731" s="35">
        <v>44896</v>
      </c>
      <c r="CG731" s="37">
        <v>0.5</v>
      </c>
      <c r="CH731" s="30" t="s">
        <v>192</v>
      </c>
      <c r="CI731" s="37" t="s">
        <v>151</v>
      </c>
      <c r="CJ731" s="30" t="s">
        <v>151</v>
      </c>
      <c r="CK731" s="29" t="s">
        <v>151</v>
      </c>
      <c r="CL731" s="30" t="s">
        <v>293</v>
      </c>
      <c r="CM731" s="30" t="s">
        <v>293</v>
      </c>
      <c r="CN731" s="30" t="s">
        <v>151</v>
      </c>
      <c r="CO731" s="30" t="s">
        <v>165</v>
      </c>
      <c r="CP731" s="35">
        <v>44896</v>
      </c>
      <c r="CQ731" s="37" t="s">
        <v>151</v>
      </c>
      <c r="CR731" s="30" t="s">
        <v>151</v>
      </c>
      <c r="CS731" s="30" t="s">
        <v>191</v>
      </c>
      <c r="CT731" s="29" t="s">
        <v>151</v>
      </c>
      <c r="CU731" s="30" t="s">
        <v>151</v>
      </c>
      <c r="CV731" s="32" t="s">
        <v>151</v>
      </c>
      <c r="CW731" s="32" t="s">
        <v>151</v>
      </c>
      <c r="CX731" s="30" t="s">
        <v>151</v>
      </c>
      <c r="CY731" s="32" t="s">
        <v>151</v>
      </c>
      <c r="CZ731" s="32" t="s">
        <v>151</v>
      </c>
      <c r="DA731" s="37" t="s">
        <v>151</v>
      </c>
      <c r="DB731" s="35" t="s">
        <v>151</v>
      </c>
      <c r="DC731" s="30" t="s">
        <v>151</v>
      </c>
      <c r="DD731" s="29" t="s">
        <v>151</v>
      </c>
      <c r="DE731" s="32">
        <v>0</v>
      </c>
      <c r="DF731" s="34">
        <v>11</v>
      </c>
      <c r="DG731" s="32">
        <v>0</v>
      </c>
      <c r="DH731" s="32">
        <v>0</v>
      </c>
      <c r="DI731" s="32">
        <v>0</v>
      </c>
      <c r="DJ731" s="34">
        <v>10</v>
      </c>
      <c r="DK731" s="32" t="s">
        <v>151</v>
      </c>
      <c r="DL731" s="34" t="s">
        <v>151</v>
      </c>
      <c r="DM731" s="32">
        <v>0</v>
      </c>
      <c r="DN731" s="34">
        <v>10</v>
      </c>
      <c r="DO731" s="36">
        <v>1.13</v>
      </c>
      <c r="DP731" s="34">
        <v>53</v>
      </c>
      <c r="DQ731" s="36">
        <v>0</v>
      </c>
      <c r="DR731" s="32">
        <v>0</v>
      </c>
      <c r="DS731" s="36">
        <v>2.11</v>
      </c>
      <c r="DT731" s="34">
        <v>67</v>
      </c>
      <c r="DU731" s="36" t="s">
        <v>151</v>
      </c>
      <c r="DV731" s="34" t="s">
        <v>151</v>
      </c>
      <c r="DW731" s="36">
        <v>2.11</v>
      </c>
      <c r="DX731" s="34">
        <v>67</v>
      </c>
      <c r="DY731" s="31" t="s">
        <v>151</v>
      </c>
      <c r="DZ731" s="35" t="s">
        <v>151</v>
      </c>
      <c r="EA731" s="35" t="s">
        <v>151</v>
      </c>
      <c r="EB731" s="34">
        <v>50</v>
      </c>
      <c r="EC731" s="33">
        <v>9</v>
      </c>
      <c r="ED731" s="32">
        <v>21.95</v>
      </c>
      <c r="EE731" s="34">
        <v>40</v>
      </c>
      <c r="EF731" s="33">
        <v>0</v>
      </c>
      <c r="EG731" s="32">
        <v>0</v>
      </c>
      <c r="EH731" s="29" t="s">
        <v>198</v>
      </c>
      <c r="EI731" s="30" t="s">
        <v>151</v>
      </c>
      <c r="EJ731" s="30" t="s">
        <v>151</v>
      </c>
      <c r="EK731" s="31" t="s">
        <v>151</v>
      </c>
      <c r="EL731" s="31" t="s">
        <v>151</v>
      </c>
      <c r="EM731" s="31" t="s">
        <v>151</v>
      </c>
      <c r="EN731" s="31" t="s">
        <v>151</v>
      </c>
      <c r="EO731" s="31" t="s">
        <v>151</v>
      </c>
      <c r="EP731" s="30" t="s">
        <v>151</v>
      </c>
      <c r="EQ731" s="29" t="s">
        <v>151</v>
      </c>
      <c r="ER731" s="29" t="s">
        <v>151</v>
      </c>
      <c r="ES731" s="4">
        <f>HYPERLINK("https://my.pitchbook.com?c=515536-30","View Company Online")</f>
      </c>
    </row>
    <row r="732">
      <c r="A732" s="17" t="s">
        <v>14987</v>
      </c>
      <c r="B732" s="17" t="s">
        <v>14988</v>
      </c>
      <c r="C732" s="18" t="s">
        <v>151</v>
      </c>
      <c r="D732" s="17" t="s">
        <v>151</v>
      </c>
      <c r="E732" s="17" t="s">
        <v>151</v>
      </c>
      <c r="F732" s="17" t="s">
        <v>14989</v>
      </c>
      <c r="G732" s="17" t="s">
        <v>151</v>
      </c>
      <c r="H732" s="17" t="s">
        <v>151</v>
      </c>
      <c r="I732" s="17" t="s">
        <v>151</v>
      </c>
      <c r="J732" s="17" t="s">
        <v>14987</v>
      </c>
      <c r="K732" s="17" t="s">
        <v>14990</v>
      </c>
      <c r="L732" s="17" t="s">
        <v>205</v>
      </c>
      <c r="M732" s="17" t="s">
        <v>206</v>
      </c>
      <c r="N732" s="17" t="s">
        <v>269</v>
      </c>
      <c r="O732" s="17" t="s">
        <v>1819</v>
      </c>
      <c r="P732" s="17" t="s">
        <v>151</v>
      </c>
      <c r="Q732" s="17" t="s">
        <v>14991</v>
      </c>
      <c r="R732" s="17" t="s">
        <v>151</v>
      </c>
      <c r="S732" s="17" t="s">
        <v>162</v>
      </c>
      <c r="T732" s="24">
        <v>3.5</v>
      </c>
      <c r="U732" s="17" t="s">
        <v>163</v>
      </c>
      <c r="V732" s="17" t="s">
        <v>164</v>
      </c>
      <c r="W732" s="17" t="s">
        <v>165</v>
      </c>
      <c r="X732" s="15" t="s">
        <v>14992</v>
      </c>
      <c r="Y732" s="15" t="s">
        <v>14993</v>
      </c>
      <c r="Z732" s="27">
        <v>5</v>
      </c>
      <c r="AA732" s="17" t="s">
        <v>11822</v>
      </c>
      <c r="AB732" s="17" t="s">
        <v>151</v>
      </c>
      <c r="AC732" s="17" t="s">
        <v>151</v>
      </c>
      <c r="AD732" s="26">
        <v>2022</v>
      </c>
      <c r="AE732" s="17" t="s">
        <v>151</v>
      </c>
      <c r="AF732" s="22">
        <v>45547</v>
      </c>
      <c r="AG732" s="17" t="s">
        <v>151</v>
      </c>
      <c r="AH732" s="17" t="s">
        <v>151</v>
      </c>
      <c r="AI732" s="25" t="s">
        <v>151</v>
      </c>
      <c r="AJ732" s="19" t="s">
        <v>151</v>
      </c>
      <c r="AK732" s="25" t="s">
        <v>151</v>
      </c>
      <c r="AL732" s="25" t="s">
        <v>151</v>
      </c>
      <c r="AM732" s="25" t="s">
        <v>151</v>
      </c>
      <c r="AN732" s="25" t="s">
        <v>151</v>
      </c>
      <c r="AO732" s="25" t="s">
        <v>151</v>
      </c>
      <c r="AP732" s="25" t="s">
        <v>151</v>
      </c>
      <c r="AQ732" s="25" t="s">
        <v>151</v>
      </c>
      <c r="AR732" s="16" t="s">
        <v>151</v>
      </c>
      <c r="AS732" s="17" t="s">
        <v>14994</v>
      </c>
      <c r="AT732" s="17" t="s">
        <v>14995</v>
      </c>
      <c r="AU732" s="18">
        <v>2</v>
      </c>
      <c r="AV732" s="17" t="s">
        <v>151</v>
      </c>
      <c r="AW732" s="17" t="s">
        <v>151</v>
      </c>
      <c r="AX732" s="17" t="s">
        <v>151</v>
      </c>
      <c r="AY732" s="17" t="s">
        <v>14996</v>
      </c>
      <c r="AZ732" s="17" t="s">
        <v>151</v>
      </c>
      <c r="BA732" s="17" t="s">
        <v>151</v>
      </c>
      <c r="BB732" s="17" t="s">
        <v>151</v>
      </c>
      <c r="BC732" s="17" t="s">
        <v>151</v>
      </c>
      <c r="BD732" s="17" t="s">
        <v>14997</v>
      </c>
      <c r="BE732" s="17" t="s">
        <v>14998</v>
      </c>
      <c r="BF732" s="17" t="s">
        <v>493</v>
      </c>
      <c r="BG732" s="17" t="s">
        <v>14999</v>
      </c>
      <c r="BH732" s="17" t="s">
        <v>15000</v>
      </c>
      <c r="BI732" s="17" t="s">
        <v>906</v>
      </c>
      <c r="BJ732" s="17" t="s">
        <v>15001</v>
      </c>
      <c r="BK732" s="17" t="s">
        <v>15002</v>
      </c>
      <c r="BL732" s="17" t="s">
        <v>259</v>
      </c>
      <c r="BM732" s="17" t="s">
        <v>259</v>
      </c>
      <c r="BN732" s="16" t="s">
        <v>6302</v>
      </c>
      <c r="BO732" s="17" t="s">
        <v>186</v>
      </c>
      <c r="BP732" s="16" t="s">
        <v>15000</v>
      </c>
      <c r="BQ732" s="16" t="s">
        <v>151</v>
      </c>
      <c r="BR732" s="17" t="s">
        <v>151</v>
      </c>
      <c r="BS732" s="17" t="s">
        <v>187</v>
      </c>
      <c r="BT732" s="17" t="s">
        <v>188</v>
      </c>
      <c r="BU732" s="22">
        <v>45212</v>
      </c>
      <c r="BV732" s="24">
        <v>3.5</v>
      </c>
      <c r="BW732" s="17" t="s">
        <v>192</v>
      </c>
      <c r="BX732" s="24">
        <v>10.5</v>
      </c>
      <c r="BY732" s="17" t="s">
        <v>192</v>
      </c>
      <c r="BZ732" s="17" t="s">
        <v>293</v>
      </c>
      <c r="CA732" s="17" t="s">
        <v>293</v>
      </c>
      <c r="CB732" s="17" t="s">
        <v>151</v>
      </c>
      <c r="CC732" s="17" t="s">
        <v>165</v>
      </c>
      <c r="CD732" s="17" t="s">
        <v>151</v>
      </c>
      <c r="CE732" s="17" t="s">
        <v>191</v>
      </c>
      <c r="CF732" s="22">
        <v>45212</v>
      </c>
      <c r="CG732" s="24">
        <v>3.5</v>
      </c>
      <c r="CH732" s="17" t="s">
        <v>192</v>
      </c>
      <c r="CI732" s="24">
        <v>10.5</v>
      </c>
      <c r="CJ732" s="17" t="s">
        <v>192</v>
      </c>
      <c r="CK732" s="16" t="s">
        <v>151</v>
      </c>
      <c r="CL732" s="17" t="s">
        <v>293</v>
      </c>
      <c r="CM732" s="17" t="s">
        <v>293</v>
      </c>
      <c r="CN732" s="17" t="s">
        <v>151</v>
      </c>
      <c r="CO732" s="17" t="s">
        <v>165</v>
      </c>
      <c r="CP732" s="22">
        <v>45212</v>
      </c>
      <c r="CQ732" s="24" t="s">
        <v>151</v>
      </c>
      <c r="CR732" s="17" t="s">
        <v>151</v>
      </c>
      <c r="CS732" s="17" t="s">
        <v>191</v>
      </c>
      <c r="CT732" s="16" t="s">
        <v>151</v>
      </c>
      <c r="CU732" s="17" t="s">
        <v>151</v>
      </c>
      <c r="CV732" s="19" t="s">
        <v>151</v>
      </c>
      <c r="CW732" s="19" t="s">
        <v>151</v>
      </c>
      <c r="CX732" s="17" t="s">
        <v>151</v>
      </c>
      <c r="CY732" s="19" t="s">
        <v>151</v>
      </c>
      <c r="CZ732" s="19" t="s">
        <v>151</v>
      </c>
      <c r="DA732" s="24">
        <v>10.5</v>
      </c>
      <c r="DB732" s="22">
        <v>45212</v>
      </c>
      <c r="DC732" s="17" t="s">
        <v>293</v>
      </c>
      <c r="DD732" s="16" t="s">
        <v>151</v>
      </c>
      <c r="DE732" s="19">
        <v>3.13</v>
      </c>
      <c r="DF732" s="21">
        <v>99</v>
      </c>
      <c r="DG732" s="19">
        <v>0</v>
      </c>
      <c r="DH732" s="19">
        <v>0</v>
      </c>
      <c r="DI732" s="19">
        <v>0</v>
      </c>
      <c r="DJ732" s="21">
        <v>10</v>
      </c>
      <c r="DK732" s="19" t="s">
        <v>151</v>
      </c>
      <c r="DL732" s="21" t="s">
        <v>151</v>
      </c>
      <c r="DM732" s="19">
        <v>0</v>
      </c>
      <c r="DN732" s="21">
        <v>10</v>
      </c>
      <c r="DO732" s="23">
        <v>0.25</v>
      </c>
      <c r="DP732" s="21">
        <v>17</v>
      </c>
      <c r="DQ732" s="23">
        <v>0</v>
      </c>
      <c r="DR732" s="19">
        <v>0</v>
      </c>
      <c r="DS732" s="23">
        <v>0.26</v>
      </c>
      <c r="DT732" s="21">
        <v>18</v>
      </c>
      <c r="DU732" s="23" t="s">
        <v>151</v>
      </c>
      <c r="DV732" s="21" t="s">
        <v>151</v>
      </c>
      <c r="DW732" s="23">
        <v>0.26</v>
      </c>
      <c r="DX732" s="21">
        <v>18</v>
      </c>
      <c r="DY732" s="18" t="s">
        <v>151</v>
      </c>
      <c r="DZ732" s="22" t="s">
        <v>151</v>
      </c>
      <c r="EA732" s="22" t="s">
        <v>151</v>
      </c>
      <c r="EB732" s="21">
        <v>135</v>
      </c>
      <c r="EC732" s="20">
        <v>-4</v>
      </c>
      <c r="ED732" s="19">
        <v>-2.88</v>
      </c>
      <c r="EE732" s="21">
        <v>5</v>
      </c>
      <c r="EF732" s="20">
        <v>0</v>
      </c>
      <c r="EG732" s="19">
        <v>0</v>
      </c>
      <c r="EH732" s="16" t="s">
        <v>198</v>
      </c>
      <c r="EI732" s="17" t="s">
        <v>151</v>
      </c>
      <c r="EJ732" s="17" t="s">
        <v>151</v>
      </c>
      <c r="EK732" s="18" t="s">
        <v>151</v>
      </c>
      <c r="EL732" s="18" t="s">
        <v>151</v>
      </c>
      <c r="EM732" s="18" t="s">
        <v>151</v>
      </c>
      <c r="EN732" s="18" t="s">
        <v>151</v>
      </c>
      <c r="EO732" s="18" t="s">
        <v>151</v>
      </c>
      <c r="EP732" s="17" t="s">
        <v>151</v>
      </c>
      <c r="EQ732" s="16" t="s">
        <v>151</v>
      </c>
      <c r="ER732" s="16" t="s">
        <v>151</v>
      </c>
      <c r="ES732" s="3">
        <f>HYPERLINK("https://my.pitchbook.com?c=535087-36","View Company Online")</f>
      </c>
    </row>
    <row r="733">
      <c r="A733" s="30" t="s">
        <v>15003</v>
      </c>
      <c r="B733" s="30" t="s">
        <v>15004</v>
      </c>
      <c r="C733" s="31" t="s">
        <v>151</v>
      </c>
      <c r="D733" s="30" t="s">
        <v>151</v>
      </c>
      <c r="E733" s="30" t="s">
        <v>15005</v>
      </c>
      <c r="F733" s="30" t="s">
        <v>15006</v>
      </c>
      <c r="G733" s="30" t="s">
        <v>151</v>
      </c>
      <c r="H733" s="30" t="s">
        <v>151</v>
      </c>
      <c r="I733" s="30" t="s">
        <v>15007</v>
      </c>
      <c r="J733" s="30" t="s">
        <v>15003</v>
      </c>
      <c r="K733" s="30" t="s">
        <v>15008</v>
      </c>
      <c r="L733" s="30" t="s">
        <v>205</v>
      </c>
      <c r="M733" s="30" t="s">
        <v>206</v>
      </c>
      <c r="N733" s="30" t="s">
        <v>1268</v>
      </c>
      <c r="O733" s="30" t="s">
        <v>15009</v>
      </c>
      <c r="P733" s="30" t="s">
        <v>892</v>
      </c>
      <c r="Q733" s="30" t="s">
        <v>15010</v>
      </c>
      <c r="R733" s="30" t="s">
        <v>211</v>
      </c>
      <c r="S733" s="30" t="s">
        <v>162</v>
      </c>
      <c r="T733" s="37">
        <v>9</v>
      </c>
      <c r="U733" s="30" t="s">
        <v>163</v>
      </c>
      <c r="V733" s="30" t="s">
        <v>164</v>
      </c>
      <c r="W733" s="30" t="s">
        <v>165</v>
      </c>
      <c r="X733" s="28" t="s">
        <v>15011</v>
      </c>
      <c r="Y733" s="28" t="s">
        <v>15012</v>
      </c>
      <c r="Z733" s="40">
        <v>25</v>
      </c>
      <c r="AA733" s="30" t="s">
        <v>4788</v>
      </c>
      <c r="AB733" s="30" t="s">
        <v>151</v>
      </c>
      <c r="AC733" s="30" t="s">
        <v>151</v>
      </c>
      <c r="AD733" s="39">
        <v>2021</v>
      </c>
      <c r="AE733" s="30" t="s">
        <v>151</v>
      </c>
      <c r="AF733" s="35">
        <v>45595</v>
      </c>
      <c r="AG733" s="30" t="s">
        <v>151</v>
      </c>
      <c r="AH733" s="30" t="s">
        <v>151</v>
      </c>
      <c r="AI733" s="38" t="s">
        <v>151</v>
      </c>
      <c r="AJ733" s="32" t="s">
        <v>151</v>
      </c>
      <c r="AK733" s="38" t="s">
        <v>151</v>
      </c>
      <c r="AL733" s="38" t="s">
        <v>151</v>
      </c>
      <c r="AM733" s="38" t="s">
        <v>151</v>
      </c>
      <c r="AN733" s="38" t="s">
        <v>151</v>
      </c>
      <c r="AO733" s="38" t="s">
        <v>151</v>
      </c>
      <c r="AP733" s="38" t="s">
        <v>151</v>
      </c>
      <c r="AQ733" s="38" t="s">
        <v>151</v>
      </c>
      <c r="AR733" s="29" t="s">
        <v>151</v>
      </c>
      <c r="AS733" s="30" t="s">
        <v>15013</v>
      </c>
      <c r="AT733" s="30" t="s">
        <v>15014</v>
      </c>
      <c r="AU733" s="31">
        <v>19</v>
      </c>
      <c r="AV733" s="30" t="s">
        <v>151</v>
      </c>
      <c r="AW733" s="30" t="s">
        <v>151</v>
      </c>
      <c r="AX733" s="30" t="s">
        <v>151</v>
      </c>
      <c r="AY733" s="30" t="s">
        <v>15015</v>
      </c>
      <c r="AZ733" s="30" t="s">
        <v>151</v>
      </c>
      <c r="BA733" s="30" t="s">
        <v>151</v>
      </c>
      <c r="BB733" s="30" t="s">
        <v>151</v>
      </c>
      <c r="BC733" s="30" t="s">
        <v>374</v>
      </c>
      <c r="BD733" s="30" t="s">
        <v>15016</v>
      </c>
      <c r="BE733" s="30" t="s">
        <v>15017</v>
      </c>
      <c r="BF733" s="30" t="s">
        <v>221</v>
      </c>
      <c r="BG733" s="30" t="s">
        <v>15018</v>
      </c>
      <c r="BH733" s="30" t="s">
        <v>151</v>
      </c>
      <c r="BI733" s="30" t="s">
        <v>764</v>
      </c>
      <c r="BJ733" s="30" t="s">
        <v>1434</v>
      </c>
      <c r="BK733" s="30" t="s">
        <v>15019</v>
      </c>
      <c r="BL733" s="30" t="s">
        <v>767</v>
      </c>
      <c r="BM733" s="30" t="s">
        <v>184</v>
      </c>
      <c r="BN733" s="29" t="s">
        <v>7281</v>
      </c>
      <c r="BO733" s="30" t="s">
        <v>186</v>
      </c>
      <c r="BP733" s="29" t="s">
        <v>151</v>
      </c>
      <c r="BQ733" s="29" t="s">
        <v>151</v>
      </c>
      <c r="BR733" s="30" t="s">
        <v>151</v>
      </c>
      <c r="BS733" s="30" t="s">
        <v>187</v>
      </c>
      <c r="BT733" s="30" t="s">
        <v>188</v>
      </c>
      <c r="BU733" s="35">
        <v>44621</v>
      </c>
      <c r="BV733" s="37">
        <v>5.3</v>
      </c>
      <c r="BW733" s="30" t="s">
        <v>192</v>
      </c>
      <c r="BX733" s="37">
        <v>25</v>
      </c>
      <c r="BY733" s="30" t="s">
        <v>192</v>
      </c>
      <c r="BZ733" s="30" t="s">
        <v>293</v>
      </c>
      <c r="CA733" s="30" t="s">
        <v>293</v>
      </c>
      <c r="CB733" s="30" t="s">
        <v>151</v>
      </c>
      <c r="CC733" s="30" t="s">
        <v>165</v>
      </c>
      <c r="CD733" s="30" t="s">
        <v>151</v>
      </c>
      <c r="CE733" s="30" t="s">
        <v>191</v>
      </c>
      <c r="CF733" s="35">
        <v>45385</v>
      </c>
      <c r="CG733" s="37">
        <v>3.7</v>
      </c>
      <c r="CH733" s="30" t="s">
        <v>193</v>
      </c>
      <c r="CI733" s="37">
        <v>28.7</v>
      </c>
      <c r="CJ733" s="30" t="s">
        <v>193</v>
      </c>
      <c r="CK733" s="29">
        <v>1</v>
      </c>
      <c r="CL733" s="30" t="s">
        <v>293</v>
      </c>
      <c r="CM733" s="30" t="s">
        <v>293</v>
      </c>
      <c r="CN733" s="30" t="s">
        <v>151</v>
      </c>
      <c r="CO733" s="30" t="s">
        <v>165</v>
      </c>
      <c r="CP733" s="35">
        <v>45385</v>
      </c>
      <c r="CQ733" s="37" t="s">
        <v>151</v>
      </c>
      <c r="CR733" s="30" t="s">
        <v>151</v>
      </c>
      <c r="CS733" s="30" t="s">
        <v>191</v>
      </c>
      <c r="CT733" s="29">
        <v>79</v>
      </c>
      <c r="CU733" s="30" t="s">
        <v>196</v>
      </c>
      <c r="CV733" s="32">
        <v>70</v>
      </c>
      <c r="CW733" s="32">
        <v>30</v>
      </c>
      <c r="CX733" s="30" t="s">
        <v>294</v>
      </c>
      <c r="CY733" s="32">
        <v>4</v>
      </c>
      <c r="CZ733" s="32">
        <v>66</v>
      </c>
      <c r="DA733" s="37">
        <v>28.7</v>
      </c>
      <c r="DB733" s="35">
        <v>45385</v>
      </c>
      <c r="DC733" s="30" t="s">
        <v>293</v>
      </c>
      <c r="DD733" s="29">
        <v>1</v>
      </c>
      <c r="DE733" s="32">
        <v>1.77</v>
      </c>
      <c r="DF733" s="34">
        <v>98</v>
      </c>
      <c r="DG733" s="32">
        <v>0</v>
      </c>
      <c r="DH733" s="32">
        <v>0</v>
      </c>
      <c r="DI733" s="32">
        <v>1.65</v>
      </c>
      <c r="DJ733" s="34">
        <v>98</v>
      </c>
      <c r="DK733" s="32" t="s">
        <v>151</v>
      </c>
      <c r="DL733" s="34" t="s">
        <v>151</v>
      </c>
      <c r="DM733" s="32">
        <v>1.65</v>
      </c>
      <c r="DN733" s="34">
        <v>98</v>
      </c>
      <c r="DO733" s="36">
        <v>3.85</v>
      </c>
      <c r="DP733" s="34">
        <v>79</v>
      </c>
      <c r="DQ733" s="36">
        <v>0</v>
      </c>
      <c r="DR733" s="32">
        <v>0</v>
      </c>
      <c r="DS733" s="36">
        <v>6</v>
      </c>
      <c r="DT733" s="34">
        <v>84</v>
      </c>
      <c r="DU733" s="36" t="s">
        <v>151</v>
      </c>
      <c r="DV733" s="34" t="s">
        <v>151</v>
      </c>
      <c r="DW733" s="36">
        <v>6</v>
      </c>
      <c r="DX733" s="34">
        <v>84</v>
      </c>
      <c r="DY733" s="31" t="s">
        <v>151</v>
      </c>
      <c r="DZ733" s="35" t="s">
        <v>151</v>
      </c>
      <c r="EA733" s="35" t="s">
        <v>151</v>
      </c>
      <c r="EB733" s="34">
        <v>1579</v>
      </c>
      <c r="EC733" s="33">
        <v>-136</v>
      </c>
      <c r="ED733" s="32">
        <v>-7.93</v>
      </c>
      <c r="EE733" s="34">
        <v>114</v>
      </c>
      <c r="EF733" s="33">
        <v>2</v>
      </c>
      <c r="EG733" s="32">
        <v>1.79</v>
      </c>
      <c r="EH733" s="29" t="s">
        <v>198</v>
      </c>
      <c r="EI733" s="30" t="s">
        <v>151</v>
      </c>
      <c r="EJ733" s="30" t="s">
        <v>151</v>
      </c>
      <c r="EK733" s="31" t="s">
        <v>151</v>
      </c>
      <c r="EL733" s="31" t="s">
        <v>151</v>
      </c>
      <c r="EM733" s="31" t="s">
        <v>151</v>
      </c>
      <c r="EN733" s="31" t="s">
        <v>151</v>
      </c>
      <c r="EO733" s="31" t="s">
        <v>151</v>
      </c>
      <c r="EP733" s="30" t="s">
        <v>151</v>
      </c>
      <c r="EQ733" s="29" t="s">
        <v>151</v>
      </c>
      <c r="ER733" s="29" t="s">
        <v>151</v>
      </c>
      <c r="ES733" s="4">
        <f>HYPERLINK("https://my.pitchbook.com?c=496010-44","View Company Online")</f>
      </c>
    </row>
    <row r="734">
      <c r="A734" s="17" t="s">
        <v>15020</v>
      </c>
      <c r="B734" s="17" t="s">
        <v>15021</v>
      </c>
      <c r="C734" s="18" t="s">
        <v>151</v>
      </c>
      <c r="D734" s="17" t="s">
        <v>151</v>
      </c>
      <c r="E734" s="17" t="s">
        <v>151</v>
      </c>
      <c r="F734" s="17" t="s">
        <v>15022</v>
      </c>
      <c r="G734" s="17" t="s">
        <v>151</v>
      </c>
      <c r="H734" s="17" t="s">
        <v>151</v>
      </c>
      <c r="I734" s="17" t="s">
        <v>151</v>
      </c>
      <c r="J734" s="17" t="s">
        <v>15020</v>
      </c>
      <c r="K734" s="17" t="s">
        <v>15023</v>
      </c>
      <c r="L734" s="17" t="s">
        <v>205</v>
      </c>
      <c r="M734" s="17" t="s">
        <v>206</v>
      </c>
      <c r="N734" s="17" t="s">
        <v>269</v>
      </c>
      <c r="O734" s="17" t="s">
        <v>15024</v>
      </c>
      <c r="P734" s="17" t="s">
        <v>15025</v>
      </c>
      <c r="Q734" s="17" t="s">
        <v>15026</v>
      </c>
      <c r="R734" s="17" t="s">
        <v>151</v>
      </c>
      <c r="S734" s="17" t="s">
        <v>162</v>
      </c>
      <c r="T734" s="24">
        <v>7.55</v>
      </c>
      <c r="U734" s="17" t="s">
        <v>163</v>
      </c>
      <c r="V734" s="17" t="s">
        <v>164</v>
      </c>
      <c r="W734" s="17" t="s">
        <v>165</v>
      </c>
      <c r="X734" s="15" t="s">
        <v>15027</v>
      </c>
      <c r="Y734" s="15" t="s">
        <v>15028</v>
      </c>
      <c r="Z734" s="27">
        <v>7</v>
      </c>
      <c r="AA734" s="17" t="s">
        <v>7079</v>
      </c>
      <c r="AB734" s="17" t="s">
        <v>151</v>
      </c>
      <c r="AC734" s="17" t="s">
        <v>151</v>
      </c>
      <c r="AD734" s="26">
        <v>2020</v>
      </c>
      <c r="AE734" s="17" t="s">
        <v>151</v>
      </c>
      <c r="AF734" s="22">
        <v>45608</v>
      </c>
      <c r="AG734" s="17" t="s">
        <v>151</v>
      </c>
      <c r="AH734" s="17" t="s">
        <v>151</v>
      </c>
      <c r="AI734" s="25" t="s">
        <v>151</v>
      </c>
      <c r="AJ734" s="19" t="s">
        <v>151</v>
      </c>
      <c r="AK734" s="25" t="s">
        <v>151</v>
      </c>
      <c r="AL734" s="25" t="s">
        <v>151</v>
      </c>
      <c r="AM734" s="25" t="s">
        <v>151</v>
      </c>
      <c r="AN734" s="25" t="s">
        <v>151</v>
      </c>
      <c r="AO734" s="25" t="s">
        <v>151</v>
      </c>
      <c r="AP734" s="25" t="s">
        <v>151</v>
      </c>
      <c r="AQ734" s="25" t="s">
        <v>151</v>
      </c>
      <c r="AR734" s="16" t="s">
        <v>151</v>
      </c>
      <c r="AS734" s="17" t="s">
        <v>15029</v>
      </c>
      <c r="AT734" s="17" t="s">
        <v>15030</v>
      </c>
      <c r="AU734" s="18">
        <v>9</v>
      </c>
      <c r="AV734" s="17" t="s">
        <v>151</v>
      </c>
      <c r="AW734" s="17" t="s">
        <v>151</v>
      </c>
      <c r="AX734" s="17" t="s">
        <v>151</v>
      </c>
      <c r="AY734" s="17" t="s">
        <v>15031</v>
      </c>
      <c r="AZ734" s="17" t="s">
        <v>151</v>
      </c>
      <c r="BA734" s="17" t="s">
        <v>151</v>
      </c>
      <c r="BB734" s="17" t="s">
        <v>490</v>
      </c>
      <c r="BC734" s="17" t="s">
        <v>490</v>
      </c>
      <c r="BD734" s="17" t="s">
        <v>15032</v>
      </c>
      <c r="BE734" s="17" t="s">
        <v>15033</v>
      </c>
      <c r="BF734" s="17" t="s">
        <v>403</v>
      </c>
      <c r="BG734" s="17" t="s">
        <v>15034</v>
      </c>
      <c r="BH734" s="17" t="s">
        <v>151</v>
      </c>
      <c r="BI734" s="17" t="s">
        <v>764</v>
      </c>
      <c r="BJ734" s="17" t="s">
        <v>3969</v>
      </c>
      <c r="BK734" s="17" t="s">
        <v>15035</v>
      </c>
      <c r="BL734" s="17" t="s">
        <v>767</v>
      </c>
      <c r="BM734" s="17" t="s">
        <v>184</v>
      </c>
      <c r="BN734" s="16" t="s">
        <v>15036</v>
      </c>
      <c r="BO734" s="17" t="s">
        <v>186</v>
      </c>
      <c r="BP734" s="16" t="s">
        <v>151</v>
      </c>
      <c r="BQ734" s="16" t="s">
        <v>151</v>
      </c>
      <c r="BR734" s="17" t="s">
        <v>15037</v>
      </c>
      <c r="BS734" s="17" t="s">
        <v>187</v>
      </c>
      <c r="BT734" s="17" t="s">
        <v>188</v>
      </c>
      <c r="BU734" s="22">
        <v>43831</v>
      </c>
      <c r="BV734" s="24">
        <v>1.3</v>
      </c>
      <c r="BW734" s="17" t="s">
        <v>193</v>
      </c>
      <c r="BX734" s="24">
        <v>9.2</v>
      </c>
      <c r="BY734" s="17" t="s">
        <v>193</v>
      </c>
      <c r="BZ734" s="17" t="s">
        <v>293</v>
      </c>
      <c r="CA734" s="17" t="s">
        <v>293</v>
      </c>
      <c r="CB734" s="17" t="s">
        <v>151</v>
      </c>
      <c r="CC734" s="17" t="s">
        <v>165</v>
      </c>
      <c r="CD734" s="17" t="s">
        <v>151</v>
      </c>
      <c r="CE734" s="17" t="s">
        <v>191</v>
      </c>
      <c r="CF734" s="22">
        <v>45540</v>
      </c>
      <c r="CG734" s="24">
        <v>6.25</v>
      </c>
      <c r="CH734" s="17" t="s">
        <v>192</v>
      </c>
      <c r="CI734" s="24">
        <v>32</v>
      </c>
      <c r="CJ734" s="17" t="s">
        <v>192</v>
      </c>
      <c r="CK734" s="16">
        <v>2.8</v>
      </c>
      <c r="CL734" s="17" t="s">
        <v>293</v>
      </c>
      <c r="CM734" s="17" t="s">
        <v>293</v>
      </c>
      <c r="CN734" s="17" t="s">
        <v>151</v>
      </c>
      <c r="CO734" s="17" t="s">
        <v>165</v>
      </c>
      <c r="CP734" s="22">
        <v>45540</v>
      </c>
      <c r="CQ734" s="24" t="s">
        <v>151</v>
      </c>
      <c r="CR734" s="17" t="s">
        <v>151</v>
      </c>
      <c r="CS734" s="17" t="s">
        <v>191</v>
      </c>
      <c r="CT734" s="16">
        <v>92</v>
      </c>
      <c r="CU734" s="17" t="s">
        <v>196</v>
      </c>
      <c r="CV734" s="19">
        <v>84</v>
      </c>
      <c r="CW734" s="19">
        <v>16</v>
      </c>
      <c r="CX734" s="17" t="s">
        <v>294</v>
      </c>
      <c r="CY734" s="19">
        <v>1</v>
      </c>
      <c r="CZ734" s="19">
        <v>83</v>
      </c>
      <c r="DA734" s="24">
        <v>32</v>
      </c>
      <c r="DB734" s="22">
        <v>45540</v>
      </c>
      <c r="DC734" s="17" t="s">
        <v>293</v>
      </c>
      <c r="DD734" s="16">
        <v>2.8</v>
      </c>
      <c r="DE734" s="19">
        <v>0</v>
      </c>
      <c r="DF734" s="21">
        <v>11</v>
      </c>
      <c r="DG734" s="19">
        <v>0</v>
      </c>
      <c r="DH734" s="19">
        <v>0</v>
      </c>
      <c r="DI734" s="19">
        <v>0</v>
      </c>
      <c r="DJ734" s="21">
        <v>10</v>
      </c>
      <c r="DK734" s="19" t="s">
        <v>151</v>
      </c>
      <c r="DL734" s="21" t="s">
        <v>151</v>
      </c>
      <c r="DM734" s="19">
        <v>0</v>
      </c>
      <c r="DN734" s="21">
        <v>10</v>
      </c>
      <c r="DO734" s="23">
        <v>2.79</v>
      </c>
      <c r="DP734" s="21">
        <v>73</v>
      </c>
      <c r="DQ734" s="23">
        <v>0</v>
      </c>
      <c r="DR734" s="19">
        <v>0</v>
      </c>
      <c r="DS734" s="23">
        <v>2.79</v>
      </c>
      <c r="DT734" s="21">
        <v>73</v>
      </c>
      <c r="DU734" s="23" t="s">
        <v>151</v>
      </c>
      <c r="DV734" s="21" t="s">
        <v>151</v>
      </c>
      <c r="DW734" s="23">
        <v>2.79</v>
      </c>
      <c r="DX734" s="21">
        <v>72</v>
      </c>
      <c r="DY734" s="18" t="s">
        <v>151</v>
      </c>
      <c r="DZ734" s="22" t="s">
        <v>151</v>
      </c>
      <c r="EA734" s="22" t="s">
        <v>151</v>
      </c>
      <c r="EB734" s="21">
        <v>477</v>
      </c>
      <c r="EC734" s="20">
        <v>1</v>
      </c>
      <c r="ED734" s="19">
        <v>0.21</v>
      </c>
      <c r="EE734" s="21">
        <v>53</v>
      </c>
      <c r="EF734" s="20">
        <v>2</v>
      </c>
      <c r="EG734" s="19">
        <v>3.92</v>
      </c>
      <c r="EH734" s="16" t="s">
        <v>198</v>
      </c>
      <c r="EI734" s="17" t="s">
        <v>151</v>
      </c>
      <c r="EJ734" s="17" t="s">
        <v>151</v>
      </c>
      <c r="EK734" s="18" t="s">
        <v>151</v>
      </c>
      <c r="EL734" s="18" t="s">
        <v>151</v>
      </c>
      <c r="EM734" s="18" t="s">
        <v>151</v>
      </c>
      <c r="EN734" s="18" t="s">
        <v>151</v>
      </c>
      <c r="EO734" s="18" t="s">
        <v>151</v>
      </c>
      <c r="EP734" s="17" t="s">
        <v>151</v>
      </c>
      <c r="EQ734" s="16" t="s">
        <v>151</v>
      </c>
      <c r="ER734" s="16" t="s">
        <v>151</v>
      </c>
      <c r="ES734" s="3">
        <f>HYPERLINK("https://my.pitchbook.com?c=469664-92","View Company Online")</f>
      </c>
    </row>
    <row r="735">
      <c r="A735" s="30" t="s">
        <v>15038</v>
      </c>
      <c r="B735" s="30" t="s">
        <v>15039</v>
      </c>
      <c r="C735" s="31" t="s">
        <v>151</v>
      </c>
      <c r="D735" s="30" t="s">
        <v>151</v>
      </c>
      <c r="E735" s="30" t="s">
        <v>15040</v>
      </c>
      <c r="F735" s="30" t="s">
        <v>15041</v>
      </c>
      <c r="G735" s="30" t="s">
        <v>151</v>
      </c>
      <c r="H735" s="30" t="s">
        <v>151</v>
      </c>
      <c r="I735" s="30" t="s">
        <v>15042</v>
      </c>
      <c r="J735" s="30" t="s">
        <v>15038</v>
      </c>
      <c r="K735" s="30" t="s">
        <v>15043</v>
      </c>
      <c r="L735" s="30" t="s">
        <v>616</v>
      </c>
      <c r="M735" s="30" t="s">
        <v>834</v>
      </c>
      <c r="N735" s="30" t="s">
        <v>2059</v>
      </c>
      <c r="O735" s="30" t="s">
        <v>2943</v>
      </c>
      <c r="P735" s="30" t="s">
        <v>15044</v>
      </c>
      <c r="Q735" s="30" t="s">
        <v>15045</v>
      </c>
      <c r="R735" s="30" t="s">
        <v>151</v>
      </c>
      <c r="S735" s="30" t="s">
        <v>162</v>
      </c>
      <c r="T735" s="37">
        <v>18.71</v>
      </c>
      <c r="U735" s="30" t="s">
        <v>163</v>
      </c>
      <c r="V735" s="30" t="s">
        <v>164</v>
      </c>
      <c r="W735" s="30" t="s">
        <v>165</v>
      </c>
      <c r="X735" s="28" t="s">
        <v>15046</v>
      </c>
      <c r="Y735" s="28" t="s">
        <v>15047</v>
      </c>
      <c r="Z735" s="40">
        <v>51</v>
      </c>
      <c r="AA735" s="30" t="s">
        <v>15048</v>
      </c>
      <c r="AB735" s="30" t="s">
        <v>151</v>
      </c>
      <c r="AC735" s="30" t="s">
        <v>151</v>
      </c>
      <c r="AD735" s="39">
        <v>2019</v>
      </c>
      <c r="AE735" s="30" t="s">
        <v>151</v>
      </c>
      <c r="AF735" s="35">
        <v>45596</v>
      </c>
      <c r="AG735" s="30" t="s">
        <v>151</v>
      </c>
      <c r="AH735" s="30" t="s">
        <v>151</v>
      </c>
      <c r="AI735" s="38" t="s">
        <v>151</v>
      </c>
      <c r="AJ735" s="32" t="s">
        <v>151</v>
      </c>
      <c r="AK735" s="38" t="s">
        <v>151</v>
      </c>
      <c r="AL735" s="38" t="s">
        <v>151</v>
      </c>
      <c r="AM735" s="38" t="s">
        <v>151</v>
      </c>
      <c r="AN735" s="38" t="s">
        <v>151</v>
      </c>
      <c r="AO735" s="38" t="s">
        <v>151</v>
      </c>
      <c r="AP735" s="38" t="s">
        <v>151</v>
      </c>
      <c r="AQ735" s="38" t="s">
        <v>151</v>
      </c>
      <c r="AR735" s="29" t="s">
        <v>151</v>
      </c>
      <c r="AS735" s="30" t="s">
        <v>15049</v>
      </c>
      <c r="AT735" s="30" t="s">
        <v>15050</v>
      </c>
      <c r="AU735" s="31">
        <v>16</v>
      </c>
      <c r="AV735" s="30" t="s">
        <v>151</v>
      </c>
      <c r="AW735" s="30" t="s">
        <v>151</v>
      </c>
      <c r="AX735" s="30" t="s">
        <v>151</v>
      </c>
      <c r="AY735" s="30" t="s">
        <v>15051</v>
      </c>
      <c r="AZ735" s="30" t="s">
        <v>151</v>
      </c>
      <c r="BA735" s="30" t="s">
        <v>151</v>
      </c>
      <c r="BB735" s="30" t="s">
        <v>15052</v>
      </c>
      <c r="BC735" s="30" t="s">
        <v>4237</v>
      </c>
      <c r="BD735" s="30" t="s">
        <v>15053</v>
      </c>
      <c r="BE735" s="30" t="s">
        <v>15054</v>
      </c>
      <c r="BF735" s="30" t="s">
        <v>493</v>
      </c>
      <c r="BG735" s="30" t="s">
        <v>15055</v>
      </c>
      <c r="BH735" s="30" t="s">
        <v>15056</v>
      </c>
      <c r="BI735" s="30" t="s">
        <v>906</v>
      </c>
      <c r="BJ735" s="30" t="s">
        <v>15057</v>
      </c>
      <c r="BK735" s="30" t="s">
        <v>15058</v>
      </c>
      <c r="BL735" s="30" t="s">
        <v>259</v>
      </c>
      <c r="BM735" s="30" t="s">
        <v>259</v>
      </c>
      <c r="BN735" s="29" t="s">
        <v>4983</v>
      </c>
      <c r="BO735" s="30" t="s">
        <v>186</v>
      </c>
      <c r="BP735" s="29" t="s">
        <v>15056</v>
      </c>
      <c r="BQ735" s="29" t="s">
        <v>151</v>
      </c>
      <c r="BR735" s="30" t="s">
        <v>15059</v>
      </c>
      <c r="BS735" s="30" t="s">
        <v>187</v>
      </c>
      <c r="BT735" s="30" t="s">
        <v>188</v>
      </c>
      <c r="BU735" s="35">
        <v>43943</v>
      </c>
      <c r="BV735" s="37" t="s">
        <v>151</v>
      </c>
      <c r="BW735" s="30" t="s">
        <v>151</v>
      </c>
      <c r="BX735" s="37" t="s">
        <v>151</v>
      </c>
      <c r="BY735" s="30" t="s">
        <v>151</v>
      </c>
      <c r="BZ735" s="30" t="s">
        <v>189</v>
      </c>
      <c r="CA735" s="30" t="s">
        <v>151</v>
      </c>
      <c r="CB735" s="30" t="s">
        <v>151</v>
      </c>
      <c r="CC735" s="30" t="s">
        <v>190</v>
      </c>
      <c r="CD735" s="30" t="s">
        <v>151</v>
      </c>
      <c r="CE735" s="30" t="s">
        <v>191</v>
      </c>
      <c r="CF735" s="35" t="s">
        <v>151</v>
      </c>
      <c r="CG735" s="37" t="s">
        <v>151</v>
      </c>
      <c r="CH735" s="30" t="s">
        <v>151</v>
      </c>
      <c r="CI735" s="37" t="s">
        <v>151</v>
      </c>
      <c r="CJ735" s="30" t="s">
        <v>151</v>
      </c>
      <c r="CK735" s="29" t="s">
        <v>151</v>
      </c>
      <c r="CL735" s="30" t="s">
        <v>189</v>
      </c>
      <c r="CM735" s="30" t="s">
        <v>151</v>
      </c>
      <c r="CN735" s="30" t="s">
        <v>151</v>
      </c>
      <c r="CO735" s="30" t="s">
        <v>190</v>
      </c>
      <c r="CP735" s="35" t="s">
        <v>151</v>
      </c>
      <c r="CQ735" s="37" t="s">
        <v>151</v>
      </c>
      <c r="CR735" s="30" t="s">
        <v>151</v>
      </c>
      <c r="CS735" s="30" t="s">
        <v>191</v>
      </c>
      <c r="CT735" s="29">
        <v>92</v>
      </c>
      <c r="CU735" s="30" t="s">
        <v>196</v>
      </c>
      <c r="CV735" s="32">
        <v>85</v>
      </c>
      <c r="CW735" s="32">
        <v>15</v>
      </c>
      <c r="CX735" s="30" t="s">
        <v>294</v>
      </c>
      <c r="CY735" s="32">
        <v>1</v>
      </c>
      <c r="CZ735" s="32">
        <v>84</v>
      </c>
      <c r="DA735" s="37">
        <v>48.71</v>
      </c>
      <c r="DB735" s="35">
        <v>44488</v>
      </c>
      <c r="DC735" s="30" t="s">
        <v>231</v>
      </c>
      <c r="DD735" s="29" t="s">
        <v>151</v>
      </c>
      <c r="DE735" s="32">
        <v>0</v>
      </c>
      <c r="DF735" s="34">
        <v>11</v>
      </c>
      <c r="DG735" s="32">
        <v>0</v>
      </c>
      <c r="DH735" s="32">
        <v>0</v>
      </c>
      <c r="DI735" s="32">
        <v>0</v>
      </c>
      <c r="DJ735" s="34">
        <v>10</v>
      </c>
      <c r="DK735" s="32" t="s">
        <v>151</v>
      </c>
      <c r="DL735" s="34" t="s">
        <v>151</v>
      </c>
      <c r="DM735" s="32">
        <v>0</v>
      </c>
      <c r="DN735" s="34">
        <v>10</v>
      </c>
      <c r="DO735" s="36">
        <v>8.53</v>
      </c>
      <c r="DP735" s="34">
        <v>89</v>
      </c>
      <c r="DQ735" s="36">
        <v>0</v>
      </c>
      <c r="DR735" s="32">
        <v>0</v>
      </c>
      <c r="DS735" s="36">
        <v>8.53</v>
      </c>
      <c r="DT735" s="34">
        <v>88</v>
      </c>
      <c r="DU735" s="36" t="s">
        <v>151</v>
      </c>
      <c r="DV735" s="34" t="s">
        <v>151</v>
      </c>
      <c r="DW735" s="36">
        <v>8.53</v>
      </c>
      <c r="DX735" s="34">
        <v>88</v>
      </c>
      <c r="DY735" s="31" t="s">
        <v>151</v>
      </c>
      <c r="DZ735" s="35" t="s">
        <v>151</v>
      </c>
      <c r="EA735" s="35" t="s">
        <v>151</v>
      </c>
      <c r="EB735" s="34">
        <v>1478</v>
      </c>
      <c r="EC735" s="33">
        <v>45</v>
      </c>
      <c r="ED735" s="32">
        <v>3.14</v>
      </c>
      <c r="EE735" s="34">
        <v>162</v>
      </c>
      <c r="EF735" s="33">
        <v>0</v>
      </c>
      <c r="EG735" s="32">
        <v>0</v>
      </c>
      <c r="EH735" s="29" t="s">
        <v>198</v>
      </c>
      <c r="EI735" s="30" t="s">
        <v>151</v>
      </c>
      <c r="EJ735" s="30" t="s">
        <v>151</v>
      </c>
      <c r="EK735" s="31" t="s">
        <v>151</v>
      </c>
      <c r="EL735" s="31" t="s">
        <v>151</v>
      </c>
      <c r="EM735" s="31" t="s">
        <v>151</v>
      </c>
      <c r="EN735" s="31" t="s">
        <v>151</v>
      </c>
      <c r="EO735" s="31" t="s">
        <v>151</v>
      </c>
      <c r="EP735" s="30" t="s">
        <v>151</v>
      </c>
      <c r="EQ735" s="29" t="s">
        <v>151</v>
      </c>
      <c r="ER735" s="29" t="s">
        <v>151</v>
      </c>
      <c r="ES735" s="4">
        <f>HYPERLINK("https://my.pitchbook.com?c=267882-58","View Company Online")</f>
      </c>
    </row>
    <row r="736">
      <c r="A736" s="17" t="s">
        <v>15060</v>
      </c>
      <c r="B736" s="17" t="s">
        <v>15061</v>
      </c>
      <c r="C736" s="18" t="s">
        <v>151</v>
      </c>
      <c r="D736" s="17" t="s">
        <v>151</v>
      </c>
      <c r="E736" s="17" t="s">
        <v>151</v>
      </c>
      <c r="F736" s="17" t="s">
        <v>15062</v>
      </c>
      <c r="G736" s="17" t="s">
        <v>151</v>
      </c>
      <c r="H736" s="17" t="s">
        <v>151</v>
      </c>
      <c r="I736" s="17" t="s">
        <v>15063</v>
      </c>
      <c r="J736" s="17" t="s">
        <v>15060</v>
      </c>
      <c r="K736" s="17" t="s">
        <v>15064</v>
      </c>
      <c r="L736" s="17" t="s">
        <v>205</v>
      </c>
      <c r="M736" s="17" t="s">
        <v>206</v>
      </c>
      <c r="N736" s="17" t="s">
        <v>269</v>
      </c>
      <c r="O736" s="17" t="s">
        <v>3056</v>
      </c>
      <c r="P736" s="17" t="s">
        <v>1153</v>
      </c>
      <c r="Q736" s="17" t="s">
        <v>15065</v>
      </c>
      <c r="R736" s="17" t="s">
        <v>151</v>
      </c>
      <c r="S736" s="17" t="s">
        <v>162</v>
      </c>
      <c r="T736" s="24">
        <v>11</v>
      </c>
      <c r="U736" s="17" t="s">
        <v>163</v>
      </c>
      <c r="V736" s="17" t="s">
        <v>164</v>
      </c>
      <c r="W736" s="17" t="s">
        <v>165</v>
      </c>
      <c r="X736" s="15" t="s">
        <v>15066</v>
      </c>
      <c r="Y736" s="15" t="s">
        <v>15067</v>
      </c>
      <c r="Z736" s="27">
        <v>8</v>
      </c>
      <c r="AA736" s="17" t="s">
        <v>4505</v>
      </c>
      <c r="AB736" s="17" t="s">
        <v>151</v>
      </c>
      <c r="AC736" s="17" t="s">
        <v>151</v>
      </c>
      <c r="AD736" s="26">
        <v>2021</v>
      </c>
      <c r="AE736" s="17" t="s">
        <v>151</v>
      </c>
      <c r="AF736" s="22">
        <v>45499</v>
      </c>
      <c r="AG736" s="17" t="s">
        <v>151</v>
      </c>
      <c r="AH736" s="17" t="s">
        <v>151</v>
      </c>
      <c r="AI736" s="25" t="s">
        <v>151</v>
      </c>
      <c r="AJ736" s="19" t="s">
        <v>151</v>
      </c>
      <c r="AK736" s="25" t="s">
        <v>151</v>
      </c>
      <c r="AL736" s="25" t="s">
        <v>151</v>
      </c>
      <c r="AM736" s="25" t="s">
        <v>151</v>
      </c>
      <c r="AN736" s="25" t="s">
        <v>151</v>
      </c>
      <c r="AO736" s="25" t="s">
        <v>151</v>
      </c>
      <c r="AP736" s="25" t="s">
        <v>151</v>
      </c>
      <c r="AQ736" s="25" t="s">
        <v>151</v>
      </c>
      <c r="AR736" s="16" t="s">
        <v>151</v>
      </c>
      <c r="AS736" s="17" t="s">
        <v>15068</v>
      </c>
      <c r="AT736" s="17" t="s">
        <v>15069</v>
      </c>
      <c r="AU736" s="18">
        <v>14</v>
      </c>
      <c r="AV736" s="17" t="s">
        <v>151</v>
      </c>
      <c r="AW736" s="17" t="s">
        <v>151</v>
      </c>
      <c r="AX736" s="17" t="s">
        <v>151</v>
      </c>
      <c r="AY736" s="17" t="s">
        <v>15070</v>
      </c>
      <c r="AZ736" s="17" t="s">
        <v>151</v>
      </c>
      <c r="BA736" s="17" t="s">
        <v>151</v>
      </c>
      <c r="BB736" s="17" t="s">
        <v>151</v>
      </c>
      <c r="BC736" s="17" t="s">
        <v>490</v>
      </c>
      <c r="BD736" s="17" t="s">
        <v>15071</v>
      </c>
      <c r="BE736" s="17" t="s">
        <v>15072</v>
      </c>
      <c r="BF736" s="17" t="s">
        <v>4135</v>
      </c>
      <c r="BG736" s="17" t="s">
        <v>15073</v>
      </c>
      <c r="BH736" s="17" t="s">
        <v>15074</v>
      </c>
      <c r="BI736" s="17" t="s">
        <v>906</v>
      </c>
      <c r="BJ736" s="17" t="s">
        <v>15075</v>
      </c>
      <c r="BK736" s="17" t="s">
        <v>15076</v>
      </c>
      <c r="BL736" s="17" t="s">
        <v>259</v>
      </c>
      <c r="BM736" s="17" t="s">
        <v>259</v>
      </c>
      <c r="BN736" s="16" t="s">
        <v>15077</v>
      </c>
      <c r="BO736" s="17" t="s">
        <v>186</v>
      </c>
      <c r="BP736" s="16" t="s">
        <v>15074</v>
      </c>
      <c r="BQ736" s="16" t="s">
        <v>151</v>
      </c>
      <c r="BR736" s="17" t="s">
        <v>15078</v>
      </c>
      <c r="BS736" s="17" t="s">
        <v>187</v>
      </c>
      <c r="BT736" s="17" t="s">
        <v>188</v>
      </c>
      <c r="BU736" s="22">
        <v>44706</v>
      </c>
      <c r="BV736" s="24">
        <v>7</v>
      </c>
      <c r="BW736" s="17" t="s">
        <v>192</v>
      </c>
      <c r="BX736" s="24">
        <v>17</v>
      </c>
      <c r="BY736" s="17" t="s">
        <v>192</v>
      </c>
      <c r="BZ736" s="17" t="s">
        <v>293</v>
      </c>
      <c r="CA736" s="17" t="s">
        <v>293</v>
      </c>
      <c r="CB736" s="17" t="s">
        <v>151</v>
      </c>
      <c r="CC736" s="17" t="s">
        <v>165</v>
      </c>
      <c r="CD736" s="17" t="s">
        <v>151</v>
      </c>
      <c r="CE736" s="17" t="s">
        <v>191</v>
      </c>
      <c r="CF736" s="22">
        <v>45401</v>
      </c>
      <c r="CG736" s="24">
        <v>4</v>
      </c>
      <c r="CH736" s="17" t="s">
        <v>193</v>
      </c>
      <c r="CI736" s="24">
        <v>21</v>
      </c>
      <c r="CJ736" s="17" t="s">
        <v>193</v>
      </c>
      <c r="CK736" s="16">
        <v>1</v>
      </c>
      <c r="CL736" s="17" t="s">
        <v>293</v>
      </c>
      <c r="CM736" s="17" t="s">
        <v>293</v>
      </c>
      <c r="CN736" s="17" t="s">
        <v>151</v>
      </c>
      <c r="CO736" s="17" t="s">
        <v>165</v>
      </c>
      <c r="CP736" s="22">
        <v>45401</v>
      </c>
      <c r="CQ736" s="24" t="s">
        <v>151</v>
      </c>
      <c r="CR736" s="17" t="s">
        <v>151</v>
      </c>
      <c r="CS736" s="17" t="s">
        <v>191</v>
      </c>
      <c r="CT736" s="16">
        <v>91</v>
      </c>
      <c r="CU736" s="17" t="s">
        <v>196</v>
      </c>
      <c r="CV736" s="19">
        <v>83</v>
      </c>
      <c r="CW736" s="19">
        <v>17</v>
      </c>
      <c r="CX736" s="17" t="s">
        <v>294</v>
      </c>
      <c r="CY736" s="19">
        <v>1</v>
      </c>
      <c r="CZ736" s="19">
        <v>82</v>
      </c>
      <c r="DA736" s="24">
        <v>21</v>
      </c>
      <c r="DB736" s="22">
        <v>45401</v>
      </c>
      <c r="DC736" s="17" t="s">
        <v>293</v>
      </c>
      <c r="DD736" s="16">
        <v>1</v>
      </c>
      <c r="DE736" s="19">
        <v>2.4</v>
      </c>
      <c r="DF736" s="21">
        <v>99</v>
      </c>
      <c r="DG736" s="19">
        <v>0</v>
      </c>
      <c r="DH736" s="19">
        <v>0</v>
      </c>
      <c r="DI736" s="19">
        <v>2.4</v>
      </c>
      <c r="DJ736" s="21">
        <v>99</v>
      </c>
      <c r="DK736" s="19">
        <v>0</v>
      </c>
      <c r="DL736" s="21">
        <v>11</v>
      </c>
      <c r="DM736" s="19">
        <v>4.81</v>
      </c>
      <c r="DN736" s="21">
        <v>100</v>
      </c>
      <c r="DO736" s="23">
        <v>4.28</v>
      </c>
      <c r="DP736" s="21">
        <v>80</v>
      </c>
      <c r="DQ736" s="23">
        <v>0</v>
      </c>
      <c r="DR736" s="19">
        <v>0</v>
      </c>
      <c r="DS736" s="23">
        <v>4.28</v>
      </c>
      <c r="DT736" s="21">
        <v>80</v>
      </c>
      <c r="DU736" s="23">
        <v>0.92</v>
      </c>
      <c r="DV736" s="21">
        <v>49</v>
      </c>
      <c r="DW736" s="23">
        <v>7.63</v>
      </c>
      <c r="DX736" s="21">
        <v>87</v>
      </c>
      <c r="DY736" s="18" t="s">
        <v>151</v>
      </c>
      <c r="DZ736" s="22" t="s">
        <v>151</v>
      </c>
      <c r="EA736" s="22" t="s">
        <v>151</v>
      </c>
      <c r="EB736" s="21">
        <v>194</v>
      </c>
      <c r="EC736" s="20">
        <v>-35</v>
      </c>
      <c r="ED736" s="19">
        <v>-15.28</v>
      </c>
      <c r="EE736" s="21">
        <v>145</v>
      </c>
      <c r="EF736" s="20">
        <v>3</v>
      </c>
      <c r="EG736" s="19">
        <v>2.11</v>
      </c>
      <c r="EH736" s="16" t="s">
        <v>198</v>
      </c>
      <c r="EI736" s="17" t="s">
        <v>151</v>
      </c>
      <c r="EJ736" s="17" t="s">
        <v>151</v>
      </c>
      <c r="EK736" s="18" t="s">
        <v>151</v>
      </c>
      <c r="EL736" s="18" t="s">
        <v>151</v>
      </c>
      <c r="EM736" s="18" t="s">
        <v>151</v>
      </c>
      <c r="EN736" s="18" t="s">
        <v>151</v>
      </c>
      <c r="EO736" s="18" t="s">
        <v>151</v>
      </c>
      <c r="EP736" s="17" t="s">
        <v>151</v>
      </c>
      <c r="EQ736" s="16" t="s">
        <v>151</v>
      </c>
      <c r="ER736" s="16" t="s">
        <v>151</v>
      </c>
      <c r="ES736" s="3">
        <f>HYPERLINK("https://my.pitchbook.com?c=492819-40","View Company Online")</f>
      </c>
    </row>
    <row r="737">
      <c r="A737" s="30" t="s">
        <v>15079</v>
      </c>
      <c r="B737" s="30" t="s">
        <v>15080</v>
      </c>
      <c r="C737" s="31" t="s">
        <v>151</v>
      </c>
      <c r="D737" s="30" t="s">
        <v>151</v>
      </c>
      <c r="E737" s="30" t="s">
        <v>151</v>
      </c>
      <c r="F737" s="30" t="s">
        <v>15081</v>
      </c>
      <c r="G737" s="30" t="s">
        <v>151</v>
      </c>
      <c r="H737" s="30" t="s">
        <v>151</v>
      </c>
      <c r="I737" s="30" t="s">
        <v>151</v>
      </c>
      <c r="J737" s="30" t="s">
        <v>15079</v>
      </c>
      <c r="K737" s="30" t="s">
        <v>15082</v>
      </c>
      <c r="L737" s="30" t="s">
        <v>616</v>
      </c>
      <c r="M737" s="30" t="s">
        <v>834</v>
      </c>
      <c r="N737" s="30" t="s">
        <v>835</v>
      </c>
      <c r="O737" s="30" t="s">
        <v>1992</v>
      </c>
      <c r="P737" s="30" t="s">
        <v>919</v>
      </c>
      <c r="Q737" s="30" t="s">
        <v>15083</v>
      </c>
      <c r="R737" s="30" t="s">
        <v>151</v>
      </c>
      <c r="S737" s="30" t="s">
        <v>162</v>
      </c>
      <c r="T737" s="37">
        <v>1.5</v>
      </c>
      <c r="U737" s="30" t="s">
        <v>163</v>
      </c>
      <c r="V737" s="30" t="s">
        <v>164</v>
      </c>
      <c r="W737" s="30" t="s">
        <v>165</v>
      </c>
      <c r="X737" s="28" t="s">
        <v>15084</v>
      </c>
      <c r="Y737" s="28" t="s">
        <v>15085</v>
      </c>
      <c r="Z737" s="40">
        <v>23</v>
      </c>
      <c r="AA737" s="30" t="s">
        <v>15086</v>
      </c>
      <c r="AB737" s="30" t="s">
        <v>151</v>
      </c>
      <c r="AC737" s="30" t="s">
        <v>151</v>
      </c>
      <c r="AD737" s="39">
        <v>2020</v>
      </c>
      <c r="AE737" s="30" t="s">
        <v>151</v>
      </c>
      <c r="AF737" s="35">
        <v>45541</v>
      </c>
      <c r="AG737" s="30" t="s">
        <v>151</v>
      </c>
      <c r="AH737" s="30" t="s">
        <v>151</v>
      </c>
      <c r="AI737" s="38" t="s">
        <v>151</v>
      </c>
      <c r="AJ737" s="32" t="s">
        <v>151</v>
      </c>
      <c r="AK737" s="38" t="s">
        <v>151</v>
      </c>
      <c r="AL737" s="38" t="s">
        <v>151</v>
      </c>
      <c r="AM737" s="38" t="s">
        <v>151</v>
      </c>
      <c r="AN737" s="38" t="s">
        <v>151</v>
      </c>
      <c r="AO737" s="38" t="s">
        <v>151</v>
      </c>
      <c r="AP737" s="38" t="s">
        <v>151</v>
      </c>
      <c r="AQ737" s="38" t="s">
        <v>151</v>
      </c>
      <c r="AR737" s="29" t="s">
        <v>151</v>
      </c>
      <c r="AS737" s="30" t="s">
        <v>15087</v>
      </c>
      <c r="AT737" s="30" t="s">
        <v>15088</v>
      </c>
      <c r="AU737" s="31">
        <v>4</v>
      </c>
      <c r="AV737" s="30" t="s">
        <v>151</v>
      </c>
      <c r="AW737" s="30" t="s">
        <v>151</v>
      </c>
      <c r="AX737" s="30" t="s">
        <v>151</v>
      </c>
      <c r="AY737" s="30" t="s">
        <v>15089</v>
      </c>
      <c r="AZ737" s="30" t="s">
        <v>151</v>
      </c>
      <c r="BA737" s="30" t="s">
        <v>151</v>
      </c>
      <c r="BB737" s="30" t="s">
        <v>151</v>
      </c>
      <c r="BC737" s="30" t="s">
        <v>151</v>
      </c>
      <c r="BD737" s="30" t="s">
        <v>15090</v>
      </c>
      <c r="BE737" s="30" t="s">
        <v>15091</v>
      </c>
      <c r="BF737" s="30" t="s">
        <v>403</v>
      </c>
      <c r="BG737" s="30" t="s">
        <v>15092</v>
      </c>
      <c r="BH737" s="30" t="s">
        <v>15093</v>
      </c>
      <c r="BI737" s="30" t="s">
        <v>906</v>
      </c>
      <c r="BJ737" s="30" t="s">
        <v>15094</v>
      </c>
      <c r="BK737" s="30" t="s">
        <v>15095</v>
      </c>
      <c r="BL737" s="30" t="s">
        <v>259</v>
      </c>
      <c r="BM737" s="30" t="s">
        <v>259</v>
      </c>
      <c r="BN737" s="29" t="s">
        <v>4983</v>
      </c>
      <c r="BO737" s="30" t="s">
        <v>186</v>
      </c>
      <c r="BP737" s="29" t="s">
        <v>15093</v>
      </c>
      <c r="BQ737" s="29" t="s">
        <v>151</v>
      </c>
      <c r="BR737" s="30" t="s">
        <v>15096</v>
      </c>
      <c r="BS737" s="30" t="s">
        <v>187</v>
      </c>
      <c r="BT737" s="30" t="s">
        <v>188</v>
      </c>
      <c r="BU737" s="35">
        <v>44265</v>
      </c>
      <c r="BV737" s="37">
        <v>1.5</v>
      </c>
      <c r="BW737" s="30" t="s">
        <v>192</v>
      </c>
      <c r="BX737" s="37" t="s">
        <v>151</v>
      </c>
      <c r="BY737" s="30" t="s">
        <v>151</v>
      </c>
      <c r="BZ737" s="30" t="s">
        <v>293</v>
      </c>
      <c r="CA737" s="30" t="s">
        <v>293</v>
      </c>
      <c r="CB737" s="30" t="s">
        <v>151</v>
      </c>
      <c r="CC737" s="30" t="s">
        <v>165</v>
      </c>
      <c r="CD737" s="30" t="s">
        <v>151</v>
      </c>
      <c r="CE737" s="30" t="s">
        <v>191</v>
      </c>
      <c r="CF737" s="35">
        <v>44265</v>
      </c>
      <c r="CG737" s="37">
        <v>1.5</v>
      </c>
      <c r="CH737" s="30" t="s">
        <v>192</v>
      </c>
      <c r="CI737" s="37" t="s">
        <v>151</v>
      </c>
      <c r="CJ737" s="30" t="s">
        <v>151</v>
      </c>
      <c r="CK737" s="29" t="s">
        <v>151</v>
      </c>
      <c r="CL737" s="30" t="s">
        <v>293</v>
      </c>
      <c r="CM737" s="30" t="s">
        <v>293</v>
      </c>
      <c r="CN737" s="30" t="s">
        <v>151</v>
      </c>
      <c r="CO737" s="30" t="s">
        <v>165</v>
      </c>
      <c r="CP737" s="35">
        <v>44265</v>
      </c>
      <c r="CQ737" s="37" t="s">
        <v>151</v>
      </c>
      <c r="CR737" s="30" t="s">
        <v>151</v>
      </c>
      <c r="CS737" s="30" t="s">
        <v>191</v>
      </c>
      <c r="CT737" s="29" t="s">
        <v>151</v>
      </c>
      <c r="CU737" s="30" t="s">
        <v>151</v>
      </c>
      <c r="CV737" s="32" t="s">
        <v>151</v>
      </c>
      <c r="CW737" s="32" t="s">
        <v>151</v>
      </c>
      <c r="CX737" s="30" t="s">
        <v>151</v>
      </c>
      <c r="CY737" s="32" t="s">
        <v>151</v>
      </c>
      <c r="CZ737" s="32" t="s">
        <v>151</v>
      </c>
      <c r="DA737" s="37" t="s">
        <v>151</v>
      </c>
      <c r="DB737" s="35" t="s">
        <v>151</v>
      </c>
      <c r="DC737" s="30" t="s">
        <v>151</v>
      </c>
      <c r="DD737" s="29" t="s">
        <v>151</v>
      </c>
      <c r="DE737" s="32">
        <v>1.68</v>
      </c>
      <c r="DF737" s="34">
        <v>98</v>
      </c>
      <c r="DG737" s="32">
        <v>0</v>
      </c>
      <c r="DH737" s="32">
        <v>0</v>
      </c>
      <c r="DI737" s="32">
        <v>2.8</v>
      </c>
      <c r="DJ737" s="34">
        <v>99</v>
      </c>
      <c r="DK737" s="32" t="s">
        <v>151</v>
      </c>
      <c r="DL737" s="34" t="s">
        <v>151</v>
      </c>
      <c r="DM737" s="32">
        <v>2.8</v>
      </c>
      <c r="DN737" s="34">
        <v>99</v>
      </c>
      <c r="DO737" s="36">
        <v>12.6</v>
      </c>
      <c r="DP737" s="34">
        <v>92</v>
      </c>
      <c r="DQ737" s="36">
        <v>0</v>
      </c>
      <c r="DR737" s="32">
        <v>0</v>
      </c>
      <c r="DS737" s="36">
        <v>23.42</v>
      </c>
      <c r="DT737" s="34">
        <v>96</v>
      </c>
      <c r="DU737" s="36" t="s">
        <v>151</v>
      </c>
      <c r="DV737" s="34" t="s">
        <v>151</v>
      </c>
      <c r="DW737" s="36">
        <v>23.42</v>
      </c>
      <c r="DX737" s="34">
        <v>96</v>
      </c>
      <c r="DY737" s="31" t="s">
        <v>151</v>
      </c>
      <c r="DZ737" s="35" t="s">
        <v>151</v>
      </c>
      <c r="EA737" s="35" t="s">
        <v>151</v>
      </c>
      <c r="EB737" s="34">
        <v>3224</v>
      </c>
      <c r="EC737" s="33">
        <v>19</v>
      </c>
      <c r="ED737" s="32">
        <v>0.59</v>
      </c>
      <c r="EE737" s="34">
        <v>445</v>
      </c>
      <c r="EF737" s="33">
        <v>5</v>
      </c>
      <c r="EG737" s="32">
        <v>1.14</v>
      </c>
      <c r="EH737" s="29" t="s">
        <v>198</v>
      </c>
      <c r="EI737" s="30" t="s">
        <v>151</v>
      </c>
      <c r="EJ737" s="30" t="s">
        <v>151</v>
      </c>
      <c r="EK737" s="31" t="s">
        <v>151</v>
      </c>
      <c r="EL737" s="31" t="s">
        <v>151</v>
      </c>
      <c r="EM737" s="31" t="s">
        <v>151</v>
      </c>
      <c r="EN737" s="31" t="s">
        <v>151</v>
      </c>
      <c r="EO737" s="31" t="s">
        <v>151</v>
      </c>
      <c r="EP737" s="30" t="s">
        <v>151</v>
      </c>
      <c r="EQ737" s="29" t="s">
        <v>151</v>
      </c>
      <c r="ER737" s="29" t="s">
        <v>151</v>
      </c>
      <c r="ES737" s="4">
        <f>HYPERLINK("https://my.pitchbook.com?c=464400-73","View Company Online")</f>
      </c>
    </row>
    <row r="738">
      <c r="A738" s="17" t="s">
        <v>15097</v>
      </c>
      <c r="B738" s="17" t="s">
        <v>15098</v>
      </c>
      <c r="C738" s="18" t="s">
        <v>151</v>
      </c>
      <c r="D738" s="17" t="s">
        <v>151</v>
      </c>
      <c r="E738" s="17" t="s">
        <v>151</v>
      </c>
      <c r="F738" s="17" t="s">
        <v>15099</v>
      </c>
      <c r="G738" s="17" t="s">
        <v>151</v>
      </c>
      <c r="H738" s="17" t="s">
        <v>151</v>
      </c>
      <c r="I738" s="17" t="s">
        <v>151</v>
      </c>
      <c r="J738" s="17" t="s">
        <v>15097</v>
      </c>
      <c r="K738" s="17" t="s">
        <v>15100</v>
      </c>
      <c r="L738" s="17" t="s">
        <v>205</v>
      </c>
      <c r="M738" s="17" t="s">
        <v>206</v>
      </c>
      <c r="N738" s="17" t="s">
        <v>694</v>
      </c>
      <c r="O738" s="17" t="s">
        <v>15101</v>
      </c>
      <c r="P738" s="17" t="s">
        <v>2640</v>
      </c>
      <c r="Q738" s="17" t="s">
        <v>15102</v>
      </c>
      <c r="R738" s="17" t="s">
        <v>151</v>
      </c>
      <c r="S738" s="17" t="s">
        <v>162</v>
      </c>
      <c r="T738" s="24">
        <v>1</v>
      </c>
      <c r="U738" s="17" t="s">
        <v>163</v>
      </c>
      <c r="V738" s="17" t="s">
        <v>164</v>
      </c>
      <c r="W738" s="17" t="s">
        <v>165</v>
      </c>
      <c r="X738" s="15" t="s">
        <v>15103</v>
      </c>
      <c r="Y738" s="15" t="s">
        <v>15104</v>
      </c>
      <c r="Z738" s="27">
        <v>10</v>
      </c>
      <c r="AA738" s="17" t="s">
        <v>5417</v>
      </c>
      <c r="AB738" s="17" t="s">
        <v>151</v>
      </c>
      <c r="AC738" s="17" t="s">
        <v>151</v>
      </c>
      <c r="AD738" s="26">
        <v>2020</v>
      </c>
      <c r="AE738" s="17" t="s">
        <v>151</v>
      </c>
      <c r="AF738" s="22">
        <v>45565</v>
      </c>
      <c r="AG738" s="17" t="s">
        <v>151</v>
      </c>
      <c r="AH738" s="17" t="s">
        <v>151</v>
      </c>
      <c r="AI738" s="25" t="s">
        <v>151</v>
      </c>
      <c r="AJ738" s="19" t="s">
        <v>151</v>
      </c>
      <c r="AK738" s="25" t="s">
        <v>151</v>
      </c>
      <c r="AL738" s="25" t="s">
        <v>151</v>
      </c>
      <c r="AM738" s="25" t="s">
        <v>151</v>
      </c>
      <c r="AN738" s="25" t="s">
        <v>151</v>
      </c>
      <c r="AO738" s="25" t="s">
        <v>151</v>
      </c>
      <c r="AP738" s="25" t="s">
        <v>151</v>
      </c>
      <c r="AQ738" s="25" t="s">
        <v>151</v>
      </c>
      <c r="AR738" s="16" t="s">
        <v>151</v>
      </c>
      <c r="AS738" s="17" t="s">
        <v>15105</v>
      </c>
      <c r="AT738" s="17" t="s">
        <v>15106</v>
      </c>
      <c r="AU738" s="18">
        <v>6</v>
      </c>
      <c r="AV738" s="17" t="s">
        <v>151</v>
      </c>
      <c r="AW738" s="17" t="s">
        <v>151</v>
      </c>
      <c r="AX738" s="17" t="s">
        <v>151</v>
      </c>
      <c r="AY738" s="17" t="s">
        <v>15107</v>
      </c>
      <c r="AZ738" s="17" t="s">
        <v>151</v>
      </c>
      <c r="BA738" s="17" t="s">
        <v>151</v>
      </c>
      <c r="BB738" s="17" t="s">
        <v>151</v>
      </c>
      <c r="BC738" s="17" t="s">
        <v>151</v>
      </c>
      <c r="BD738" s="17" t="s">
        <v>15108</v>
      </c>
      <c r="BE738" s="17" t="s">
        <v>15109</v>
      </c>
      <c r="BF738" s="17" t="s">
        <v>5979</v>
      </c>
      <c r="BG738" s="17" t="s">
        <v>15110</v>
      </c>
      <c r="BH738" s="17" t="s">
        <v>15111</v>
      </c>
      <c r="BI738" s="17" t="s">
        <v>10873</v>
      </c>
      <c r="BJ738" s="17" t="s">
        <v>15112</v>
      </c>
      <c r="BK738" s="17" t="s">
        <v>151</v>
      </c>
      <c r="BL738" s="17" t="s">
        <v>10876</v>
      </c>
      <c r="BM738" s="17" t="s">
        <v>3217</v>
      </c>
      <c r="BN738" s="16" t="s">
        <v>10877</v>
      </c>
      <c r="BO738" s="17" t="s">
        <v>186</v>
      </c>
      <c r="BP738" s="16" t="s">
        <v>15111</v>
      </c>
      <c r="BQ738" s="16" t="s">
        <v>151</v>
      </c>
      <c r="BR738" s="17" t="s">
        <v>15113</v>
      </c>
      <c r="BS738" s="17" t="s">
        <v>187</v>
      </c>
      <c r="BT738" s="17" t="s">
        <v>188</v>
      </c>
      <c r="BU738" s="22">
        <v>45267</v>
      </c>
      <c r="BV738" s="24">
        <v>1</v>
      </c>
      <c r="BW738" s="17" t="s">
        <v>192</v>
      </c>
      <c r="BX738" s="24">
        <v>4.5</v>
      </c>
      <c r="BY738" s="17" t="s">
        <v>192</v>
      </c>
      <c r="BZ738" s="17" t="s">
        <v>293</v>
      </c>
      <c r="CA738" s="17" t="s">
        <v>293</v>
      </c>
      <c r="CB738" s="17" t="s">
        <v>151</v>
      </c>
      <c r="CC738" s="17" t="s">
        <v>165</v>
      </c>
      <c r="CD738" s="17" t="s">
        <v>1076</v>
      </c>
      <c r="CE738" s="17" t="s">
        <v>191</v>
      </c>
      <c r="CF738" s="22">
        <v>45267</v>
      </c>
      <c r="CG738" s="24">
        <v>1</v>
      </c>
      <c r="CH738" s="17" t="s">
        <v>192</v>
      </c>
      <c r="CI738" s="24">
        <v>4.5</v>
      </c>
      <c r="CJ738" s="17" t="s">
        <v>192</v>
      </c>
      <c r="CK738" s="16" t="s">
        <v>151</v>
      </c>
      <c r="CL738" s="17" t="s">
        <v>293</v>
      </c>
      <c r="CM738" s="17" t="s">
        <v>293</v>
      </c>
      <c r="CN738" s="17" t="s">
        <v>151</v>
      </c>
      <c r="CO738" s="17" t="s">
        <v>165</v>
      </c>
      <c r="CP738" s="22">
        <v>45267</v>
      </c>
      <c r="CQ738" s="24">
        <v>1</v>
      </c>
      <c r="CR738" s="17" t="s">
        <v>1076</v>
      </c>
      <c r="CS738" s="17" t="s">
        <v>191</v>
      </c>
      <c r="CT738" s="16" t="s">
        <v>151</v>
      </c>
      <c r="CU738" s="17" t="s">
        <v>151</v>
      </c>
      <c r="CV738" s="19" t="s">
        <v>151</v>
      </c>
      <c r="CW738" s="19" t="s">
        <v>151</v>
      </c>
      <c r="CX738" s="17" t="s">
        <v>151</v>
      </c>
      <c r="CY738" s="19" t="s">
        <v>151</v>
      </c>
      <c r="CZ738" s="19" t="s">
        <v>151</v>
      </c>
      <c r="DA738" s="24">
        <v>4.5</v>
      </c>
      <c r="DB738" s="22">
        <v>45267</v>
      </c>
      <c r="DC738" s="17" t="s">
        <v>293</v>
      </c>
      <c r="DD738" s="16" t="s">
        <v>151</v>
      </c>
      <c r="DE738" s="19">
        <v>0</v>
      </c>
      <c r="DF738" s="21">
        <v>11</v>
      </c>
      <c r="DG738" s="19">
        <v>0</v>
      </c>
      <c r="DH738" s="19">
        <v>0</v>
      </c>
      <c r="DI738" s="19">
        <v>0</v>
      </c>
      <c r="DJ738" s="21">
        <v>10</v>
      </c>
      <c r="DK738" s="19" t="s">
        <v>151</v>
      </c>
      <c r="DL738" s="21" t="s">
        <v>151</v>
      </c>
      <c r="DM738" s="19">
        <v>0</v>
      </c>
      <c r="DN738" s="21">
        <v>10</v>
      </c>
      <c r="DO738" s="23">
        <v>1.84</v>
      </c>
      <c r="DP738" s="21">
        <v>64</v>
      </c>
      <c r="DQ738" s="23">
        <v>0</v>
      </c>
      <c r="DR738" s="19">
        <v>0</v>
      </c>
      <c r="DS738" s="23">
        <v>1.84</v>
      </c>
      <c r="DT738" s="21">
        <v>64</v>
      </c>
      <c r="DU738" s="23" t="s">
        <v>151</v>
      </c>
      <c r="DV738" s="21" t="s">
        <v>151</v>
      </c>
      <c r="DW738" s="23">
        <v>1.84</v>
      </c>
      <c r="DX738" s="21">
        <v>64</v>
      </c>
      <c r="DY738" s="18" t="s">
        <v>151</v>
      </c>
      <c r="DZ738" s="22" t="s">
        <v>151</v>
      </c>
      <c r="EA738" s="22" t="s">
        <v>151</v>
      </c>
      <c r="EB738" s="21">
        <v>0</v>
      </c>
      <c r="EC738" s="20">
        <v>0</v>
      </c>
      <c r="ED738" s="19">
        <v>0</v>
      </c>
      <c r="EE738" s="21">
        <v>35</v>
      </c>
      <c r="EF738" s="20">
        <v>0</v>
      </c>
      <c r="EG738" s="19">
        <v>0</v>
      </c>
      <c r="EH738" s="16" t="s">
        <v>198</v>
      </c>
      <c r="EI738" s="17" t="s">
        <v>151</v>
      </c>
      <c r="EJ738" s="17" t="s">
        <v>151</v>
      </c>
      <c r="EK738" s="18" t="s">
        <v>151</v>
      </c>
      <c r="EL738" s="18" t="s">
        <v>151</v>
      </c>
      <c r="EM738" s="18" t="s">
        <v>151</v>
      </c>
      <c r="EN738" s="18" t="s">
        <v>151</v>
      </c>
      <c r="EO738" s="18" t="s">
        <v>151</v>
      </c>
      <c r="EP738" s="17" t="s">
        <v>151</v>
      </c>
      <c r="EQ738" s="16" t="s">
        <v>151</v>
      </c>
      <c r="ER738" s="16" t="s">
        <v>151</v>
      </c>
      <c r="ES738" s="3">
        <f>HYPERLINK("https://my.pitchbook.com?c=527099-77","View Company Online")</f>
      </c>
    </row>
    <row r="739">
      <c r="A739" s="30" t="s">
        <v>15114</v>
      </c>
      <c r="B739" s="30" t="s">
        <v>15115</v>
      </c>
      <c r="C739" s="31" t="s">
        <v>151</v>
      </c>
      <c r="D739" s="30" t="s">
        <v>151</v>
      </c>
      <c r="E739" s="30" t="s">
        <v>15116</v>
      </c>
      <c r="F739" s="30" t="s">
        <v>15117</v>
      </c>
      <c r="G739" s="30" t="s">
        <v>151</v>
      </c>
      <c r="H739" s="30" t="s">
        <v>151</v>
      </c>
      <c r="I739" s="30" t="s">
        <v>15118</v>
      </c>
      <c r="J739" s="30" t="s">
        <v>15114</v>
      </c>
      <c r="K739" s="30" t="s">
        <v>15119</v>
      </c>
      <c r="L739" s="30" t="s">
        <v>205</v>
      </c>
      <c r="M739" s="30" t="s">
        <v>206</v>
      </c>
      <c r="N739" s="30" t="s">
        <v>269</v>
      </c>
      <c r="O739" s="30" t="s">
        <v>563</v>
      </c>
      <c r="P739" s="30" t="s">
        <v>4307</v>
      </c>
      <c r="Q739" s="30" t="s">
        <v>15120</v>
      </c>
      <c r="R739" s="30" t="s">
        <v>151</v>
      </c>
      <c r="S739" s="30" t="s">
        <v>162</v>
      </c>
      <c r="T739" s="37">
        <v>23.31</v>
      </c>
      <c r="U739" s="30" t="s">
        <v>163</v>
      </c>
      <c r="V739" s="30" t="s">
        <v>164</v>
      </c>
      <c r="W739" s="30" t="s">
        <v>165</v>
      </c>
      <c r="X739" s="28" t="s">
        <v>15121</v>
      </c>
      <c r="Y739" s="28" t="s">
        <v>15122</v>
      </c>
      <c r="Z739" s="40">
        <v>50</v>
      </c>
      <c r="AA739" s="30" t="s">
        <v>15123</v>
      </c>
      <c r="AB739" s="30" t="s">
        <v>151</v>
      </c>
      <c r="AC739" s="30" t="s">
        <v>151</v>
      </c>
      <c r="AD739" s="39">
        <v>2013</v>
      </c>
      <c r="AE739" s="30" t="s">
        <v>151</v>
      </c>
      <c r="AF739" s="35">
        <v>45540</v>
      </c>
      <c r="AG739" s="30" t="s">
        <v>151</v>
      </c>
      <c r="AH739" s="30" t="s">
        <v>151</v>
      </c>
      <c r="AI739" s="38" t="s">
        <v>151</v>
      </c>
      <c r="AJ739" s="32" t="s">
        <v>151</v>
      </c>
      <c r="AK739" s="38" t="s">
        <v>151</v>
      </c>
      <c r="AL739" s="38" t="s">
        <v>151</v>
      </c>
      <c r="AM739" s="38" t="s">
        <v>151</v>
      </c>
      <c r="AN739" s="38" t="s">
        <v>151</v>
      </c>
      <c r="AO739" s="38" t="s">
        <v>151</v>
      </c>
      <c r="AP739" s="38" t="s">
        <v>151</v>
      </c>
      <c r="AQ739" s="38" t="s">
        <v>151</v>
      </c>
      <c r="AR739" s="29" t="s">
        <v>151</v>
      </c>
      <c r="AS739" s="30" t="s">
        <v>15124</v>
      </c>
      <c r="AT739" s="30" t="s">
        <v>15125</v>
      </c>
      <c r="AU739" s="31">
        <v>16</v>
      </c>
      <c r="AV739" s="30" t="s">
        <v>151</v>
      </c>
      <c r="AW739" s="30" t="s">
        <v>151</v>
      </c>
      <c r="AX739" s="30" t="s">
        <v>151</v>
      </c>
      <c r="AY739" s="30" t="s">
        <v>15126</v>
      </c>
      <c r="AZ739" s="30" t="s">
        <v>151</v>
      </c>
      <c r="BA739" s="30" t="s">
        <v>151</v>
      </c>
      <c r="BB739" s="30" t="s">
        <v>151</v>
      </c>
      <c r="BC739" s="30" t="s">
        <v>2424</v>
      </c>
      <c r="BD739" s="30" t="s">
        <v>15127</v>
      </c>
      <c r="BE739" s="30" t="s">
        <v>15128</v>
      </c>
      <c r="BF739" s="30" t="s">
        <v>493</v>
      </c>
      <c r="BG739" s="30" t="s">
        <v>15129</v>
      </c>
      <c r="BH739" s="30" t="s">
        <v>15130</v>
      </c>
      <c r="BI739" s="30" t="s">
        <v>906</v>
      </c>
      <c r="BJ739" s="30" t="s">
        <v>10406</v>
      </c>
      <c r="BK739" s="30" t="s">
        <v>15131</v>
      </c>
      <c r="BL739" s="30" t="s">
        <v>259</v>
      </c>
      <c r="BM739" s="30" t="s">
        <v>259</v>
      </c>
      <c r="BN739" s="29" t="s">
        <v>1643</v>
      </c>
      <c r="BO739" s="30" t="s">
        <v>186</v>
      </c>
      <c r="BP739" s="29" t="s">
        <v>15130</v>
      </c>
      <c r="BQ739" s="29" t="s">
        <v>151</v>
      </c>
      <c r="BR739" s="30" t="s">
        <v>15132</v>
      </c>
      <c r="BS739" s="30" t="s">
        <v>187</v>
      </c>
      <c r="BT739" s="30" t="s">
        <v>188</v>
      </c>
      <c r="BU739" s="35" t="s">
        <v>151</v>
      </c>
      <c r="BV739" s="37">
        <v>2</v>
      </c>
      <c r="BW739" s="30" t="s">
        <v>193</v>
      </c>
      <c r="BX739" s="37" t="s">
        <v>151</v>
      </c>
      <c r="BY739" s="30" t="s">
        <v>151</v>
      </c>
      <c r="BZ739" s="30" t="s">
        <v>1391</v>
      </c>
      <c r="CA739" s="30" t="s">
        <v>151</v>
      </c>
      <c r="CB739" s="30" t="s">
        <v>151</v>
      </c>
      <c r="CC739" s="30" t="s">
        <v>585</v>
      </c>
      <c r="CD739" s="30" t="s">
        <v>151</v>
      </c>
      <c r="CE739" s="30" t="s">
        <v>191</v>
      </c>
      <c r="CF739" s="35">
        <v>44762</v>
      </c>
      <c r="CG739" s="37">
        <v>15</v>
      </c>
      <c r="CH739" s="30" t="s">
        <v>192</v>
      </c>
      <c r="CI739" s="37">
        <v>77</v>
      </c>
      <c r="CJ739" s="30" t="s">
        <v>192</v>
      </c>
      <c r="CK739" s="29">
        <v>3.8</v>
      </c>
      <c r="CL739" s="30" t="s">
        <v>194</v>
      </c>
      <c r="CM739" s="30" t="s">
        <v>11790</v>
      </c>
      <c r="CN739" s="30" t="s">
        <v>151</v>
      </c>
      <c r="CO739" s="30" t="s">
        <v>165</v>
      </c>
      <c r="CP739" s="35">
        <v>44762</v>
      </c>
      <c r="CQ739" s="37" t="s">
        <v>151</v>
      </c>
      <c r="CR739" s="30" t="s">
        <v>151</v>
      </c>
      <c r="CS739" s="30" t="s">
        <v>191</v>
      </c>
      <c r="CT739" s="29">
        <v>96</v>
      </c>
      <c r="CU739" s="30" t="s">
        <v>196</v>
      </c>
      <c r="CV739" s="32">
        <v>91</v>
      </c>
      <c r="CW739" s="32">
        <v>9</v>
      </c>
      <c r="CX739" s="30" t="s">
        <v>294</v>
      </c>
      <c r="CY739" s="32">
        <v>1</v>
      </c>
      <c r="CZ739" s="32">
        <v>90</v>
      </c>
      <c r="DA739" s="37">
        <v>77</v>
      </c>
      <c r="DB739" s="35">
        <v>44762</v>
      </c>
      <c r="DC739" s="30" t="s">
        <v>194</v>
      </c>
      <c r="DD739" s="29">
        <v>3.8</v>
      </c>
      <c r="DE739" s="32">
        <v>0.08</v>
      </c>
      <c r="DF739" s="34">
        <v>90</v>
      </c>
      <c r="DG739" s="32">
        <v>0</v>
      </c>
      <c r="DH739" s="32">
        <v>0</v>
      </c>
      <c r="DI739" s="32">
        <v>-0.09</v>
      </c>
      <c r="DJ739" s="34">
        <v>10</v>
      </c>
      <c r="DK739" s="32" t="s">
        <v>151</v>
      </c>
      <c r="DL739" s="34" t="s">
        <v>151</v>
      </c>
      <c r="DM739" s="32">
        <v>-0.09</v>
      </c>
      <c r="DN739" s="34">
        <v>10</v>
      </c>
      <c r="DO739" s="36">
        <v>19.45</v>
      </c>
      <c r="DP739" s="34">
        <v>95</v>
      </c>
      <c r="DQ739" s="36">
        <v>0</v>
      </c>
      <c r="DR739" s="32">
        <v>0</v>
      </c>
      <c r="DS739" s="36">
        <v>35.05</v>
      </c>
      <c r="DT739" s="34">
        <v>97</v>
      </c>
      <c r="DU739" s="36" t="s">
        <v>151</v>
      </c>
      <c r="DV739" s="34" t="s">
        <v>151</v>
      </c>
      <c r="DW739" s="36">
        <v>35.05</v>
      </c>
      <c r="DX739" s="34">
        <v>97</v>
      </c>
      <c r="DY739" s="31" t="s">
        <v>151</v>
      </c>
      <c r="DZ739" s="35" t="s">
        <v>151</v>
      </c>
      <c r="EA739" s="35" t="s">
        <v>151</v>
      </c>
      <c r="EB739" s="34">
        <v>9359</v>
      </c>
      <c r="EC739" s="33">
        <v>-29</v>
      </c>
      <c r="ED739" s="32">
        <v>-0.31</v>
      </c>
      <c r="EE739" s="34">
        <v>666</v>
      </c>
      <c r="EF739" s="33">
        <v>0</v>
      </c>
      <c r="EG739" s="32">
        <v>0</v>
      </c>
      <c r="EH739" s="29" t="s">
        <v>198</v>
      </c>
      <c r="EI739" s="30" t="s">
        <v>151</v>
      </c>
      <c r="EJ739" s="30" t="s">
        <v>151</v>
      </c>
      <c r="EK739" s="31" t="s">
        <v>151</v>
      </c>
      <c r="EL739" s="31" t="s">
        <v>151</v>
      </c>
      <c r="EM739" s="31" t="s">
        <v>151</v>
      </c>
      <c r="EN739" s="31" t="s">
        <v>151</v>
      </c>
      <c r="EO739" s="31" t="s">
        <v>151</v>
      </c>
      <c r="EP739" s="30" t="s">
        <v>151</v>
      </c>
      <c r="EQ739" s="29" t="s">
        <v>151</v>
      </c>
      <c r="ER739" s="29" t="s">
        <v>151</v>
      </c>
      <c r="ES739" s="4">
        <f>HYPERLINK("https://my.pitchbook.com?c=228820-96","View Company Online")</f>
      </c>
    </row>
    <row r="740">
      <c r="A740" s="17" t="s">
        <v>15133</v>
      </c>
      <c r="B740" s="17" t="s">
        <v>15134</v>
      </c>
      <c r="C740" s="18" t="s">
        <v>151</v>
      </c>
      <c r="D740" s="17" t="s">
        <v>151</v>
      </c>
      <c r="E740" s="17" t="s">
        <v>15135</v>
      </c>
      <c r="F740" s="17" t="s">
        <v>15136</v>
      </c>
      <c r="G740" s="17" t="s">
        <v>151</v>
      </c>
      <c r="H740" s="17" t="s">
        <v>151</v>
      </c>
      <c r="I740" s="17" t="s">
        <v>15137</v>
      </c>
      <c r="J740" s="17" t="s">
        <v>15133</v>
      </c>
      <c r="K740" s="17" t="s">
        <v>15138</v>
      </c>
      <c r="L740" s="17" t="s">
        <v>205</v>
      </c>
      <c r="M740" s="17" t="s">
        <v>206</v>
      </c>
      <c r="N740" s="17" t="s">
        <v>1940</v>
      </c>
      <c r="O740" s="17" t="s">
        <v>15139</v>
      </c>
      <c r="P740" s="17" t="s">
        <v>15044</v>
      </c>
      <c r="Q740" s="17" t="s">
        <v>15140</v>
      </c>
      <c r="R740" s="17" t="s">
        <v>151</v>
      </c>
      <c r="S740" s="17" t="s">
        <v>162</v>
      </c>
      <c r="T740" s="24">
        <v>18.07</v>
      </c>
      <c r="U740" s="17" t="s">
        <v>163</v>
      </c>
      <c r="V740" s="17" t="s">
        <v>164</v>
      </c>
      <c r="W740" s="17" t="s">
        <v>165</v>
      </c>
      <c r="X740" s="15" t="s">
        <v>15141</v>
      </c>
      <c r="Y740" s="15" t="s">
        <v>15142</v>
      </c>
      <c r="Z740" s="27">
        <v>15</v>
      </c>
      <c r="AA740" s="17" t="s">
        <v>15143</v>
      </c>
      <c r="AB740" s="17" t="s">
        <v>151</v>
      </c>
      <c r="AC740" s="17" t="s">
        <v>151</v>
      </c>
      <c r="AD740" s="26">
        <v>2020</v>
      </c>
      <c r="AE740" s="17" t="s">
        <v>151</v>
      </c>
      <c r="AF740" s="22">
        <v>45450</v>
      </c>
      <c r="AG740" s="17" t="s">
        <v>151</v>
      </c>
      <c r="AH740" s="17" t="s">
        <v>151</v>
      </c>
      <c r="AI740" s="25" t="s">
        <v>151</v>
      </c>
      <c r="AJ740" s="19" t="s">
        <v>151</v>
      </c>
      <c r="AK740" s="25" t="s">
        <v>151</v>
      </c>
      <c r="AL740" s="25" t="s">
        <v>151</v>
      </c>
      <c r="AM740" s="25" t="s">
        <v>151</v>
      </c>
      <c r="AN740" s="25" t="s">
        <v>151</v>
      </c>
      <c r="AO740" s="25" t="s">
        <v>151</v>
      </c>
      <c r="AP740" s="25" t="s">
        <v>151</v>
      </c>
      <c r="AQ740" s="25" t="s">
        <v>151</v>
      </c>
      <c r="AR740" s="16" t="s">
        <v>151</v>
      </c>
      <c r="AS740" s="17" t="s">
        <v>15144</v>
      </c>
      <c r="AT740" s="17" t="s">
        <v>15145</v>
      </c>
      <c r="AU740" s="18">
        <v>17</v>
      </c>
      <c r="AV740" s="17" t="s">
        <v>151</v>
      </c>
      <c r="AW740" s="17" t="s">
        <v>151</v>
      </c>
      <c r="AX740" s="17" t="s">
        <v>151</v>
      </c>
      <c r="AY740" s="17" t="s">
        <v>15146</v>
      </c>
      <c r="AZ740" s="17" t="s">
        <v>151</v>
      </c>
      <c r="BA740" s="17" t="s">
        <v>151</v>
      </c>
      <c r="BB740" s="17" t="s">
        <v>15147</v>
      </c>
      <c r="BC740" s="17" t="s">
        <v>151</v>
      </c>
      <c r="BD740" s="17" t="s">
        <v>15148</v>
      </c>
      <c r="BE740" s="17" t="s">
        <v>15149</v>
      </c>
      <c r="BF740" s="17" t="s">
        <v>282</v>
      </c>
      <c r="BG740" s="17" t="s">
        <v>15150</v>
      </c>
      <c r="BH740" s="17" t="s">
        <v>15151</v>
      </c>
      <c r="BI740" s="17" t="s">
        <v>764</v>
      </c>
      <c r="BJ740" s="17" t="s">
        <v>15152</v>
      </c>
      <c r="BK740" s="17" t="s">
        <v>15153</v>
      </c>
      <c r="BL740" s="17" t="s">
        <v>767</v>
      </c>
      <c r="BM740" s="17" t="s">
        <v>184</v>
      </c>
      <c r="BN740" s="16" t="s">
        <v>1260</v>
      </c>
      <c r="BO740" s="17" t="s">
        <v>186</v>
      </c>
      <c r="BP740" s="16" t="s">
        <v>15151</v>
      </c>
      <c r="BQ740" s="16" t="s">
        <v>151</v>
      </c>
      <c r="BR740" s="17" t="s">
        <v>15154</v>
      </c>
      <c r="BS740" s="17" t="s">
        <v>187</v>
      </c>
      <c r="BT740" s="17" t="s">
        <v>188</v>
      </c>
      <c r="BU740" s="22">
        <v>43952</v>
      </c>
      <c r="BV740" s="24">
        <v>0.22</v>
      </c>
      <c r="BW740" s="17" t="s">
        <v>192</v>
      </c>
      <c r="BX740" s="24" t="s">
        <v>151</v>
      </c>
      <c r="BY740" s="17" t="s">
        <v>151</v>
      </c>
      <c r="BZ740" s="17" t="s">
        <v>189</v>
      </c>
      <c r="CA740" s="17" t="s">
        <v>151</v>
      </c>
      <c r="CB740" s="17" t="s">
        <v>151</v>
      </c>
      <c r="CC740" s="17" t="s">
        <v>190</v>
      </c>
      <c r="CD740" s="17" t="s">
        <v>151</v>
      </c>
      <c r="CE740" s="17" t="s">
        <v>191</v>
      </c>
      <c r="CF740" s="22">
        <v>44931</v>
      </c>
      <c r="CG740" s="24">
        <v>17.84</v>
      </c>
      <c r="CH740" s="17" t="s">
        <v>192</v>
      </c>
      <c r="CI740" s="24">
        <v>77.84</v>
      </c>
      <c r="CJ740" s="17" t="s">
        <v>192</v>
      </c>
      <c r="CK740" s="16" t="s">
        <v>151</v>
      </c>
      <c r="CL740" s="17" t="s">
        <v>231</v>
      </c>
      <c r="CM740" s="17" t="s">
        <v>232</v>
      </c>
      <c r="CN740" s="17" t="s">
        <v>151</v>
      </c>
      <c r="CO740" s="17" t="s">
        <v>165</v>
      </c>
      <c r="CP740" s="22">
        <v>44931</v>
      </c>
      <c r="CQ740" s="24" t="s">
        <v>151</v>
      </c>
      <c r="CR740" s="17" t="s">
        <v>151</v>
      </c>
      <c r="CS740" s="17" t="s">
        <v>191</v>
      </c>
      <c r="CT740" s="16" t="s">
        <v>151</v>
      </c>
      <c r="CU740" s="17" t="s">
        <v>151</v>
      </c>
      <c r="CV740" s="19" t="s">
        <v>151</v>
      </c>
      <c r="CW740" s="19" t="s">
        <v>151</v>
      </c>
      <c r="CX740" s="17" t="s">
        <v>151</v>
      </c>
      <c r="CY740" s="19" t="s">
        <v>151</v>
      </c>
      <c r="CZ740" s="19" t="s">
        <v>151</v>
      </c>
      <c r="DA740" s="24">
        <v>77.84</v>
      </c>
      <c r="DB740" s="22">
        <v>44931</v>
      </c>
      <c r="DC740" s="17" t="s">
        <v>231</v>
      </c>
      <c r="DD740" s="16" t="s">
        <v>151</v>
      </c>
      <c r="DE740" s="19">
        <v>-0.96</v>
      </c>
      <c r="DF740" s="21">
        <v>4</v>
      </c>
      <c r="DG740" s="19">
        <v>0</v>
      </c>
      <c r="DH740" s="19">
        <v>0</v>
      </c>
      <c r="DI740" s="19">
        <v>-0.96</v>
      </c>
      <c r="DJ740" s="21">
        <v>4</v>
      </c>
      <c r="DK740" s="19" t="s">
        <v>151</v>
      </c>
      <c r="DL740" s="21" t="s">
        <v>151</v>
      </c>
      <c r="DM740" s="19">
        <v>-0.96</v>
      </c>
      <c r="DN740" s="21">
        <v>4</v>
      </c>
      <c r="DO740" s="23">
        <v>9.21</v>
      </c>
      <c r="DP740" s="21">
        <v>89</v>
      </c>
      <c r="DQ740" s="23">
        <v>0</v>
      </c>
      <c r="DR740" s="19">
        <v>0</v>
      </c>
      <c r="DS740" s="23">
        <v>9.21</v>
      </c>
      <c r="DT740" s="21">
        <v>89</v>
      </c>
      <c r="DU740" s="23" t="s">
        <v>151</v>
      </c>
      <c r="DV740" s="21" t="s">
        <v>151</v>
      </c>
      <c r="DW740" s="23">
        <v>9.21</v>
      </c>
      <c r="DX740" s="21">
        <v>89</v>
      </c>
      <c r="DY740" s="18" t="s">
        <v>151</v>
      </c>
      <c r="DZ740" s="22" t="s">
        <v>151</v>
      </c>
      <c r="EA740" s="22" t="s">
        <v>151</v>
      </c>
      <c r="EB740" s="21" t="s">
        <v>151</v>
      </c>
      <c r="EC740" s="20" t="s">
        <v>151</v>
      </c>
      <c r="ED740" s="19" t="s">
        <v>151</v>
      </c>
      <c r="EE740" s="21">
        <v>175</v>
      </c>
      <c r="EF740" s="20">
        <v>-1</v>
      </c>
      <c r="EG740" s="19">
        <v>-0.57</v>
      </c>
      <c r="EH740" s="16" t="s">
        <v>198</v>
      </c>
      <c r="EI740" s="17" t="s">
        <v>151</v>
      </c>
      <c r="EJ740" s="17" t="s">
        <v>151</v>
      </c>
      <c r="EK740" s="18" t="s">
        <v>151</v>
      </c>
      <c r="EL740" s="18" t="s">
        <v>151</v>
      </c>
      <c r="EM740" s="18" t="s">
        <v>151</v>
      </c>
      <c r="EN740" s="18" t="s">
        <v>151</v>
      </c>
      <c r="EO740" s="18" t="s">
        <v>151</v>
      </c>
      <c r="EP740" s="17" t="s">
        <v>151</v>
      </c>
      <c r="EQ740" s="16" t="s">
        <v>151</v>
      </c>
      <c r="ER740" s="16" t="s">
        <v>151</v>
      </c>
      <c r="ES740" s="3">
        <f>HYPERLINK("https://my.pitchbook.com?c=437458-87","View Company Online")</f>
      </c>
    </row>
    <row r="741">
      <c r="A741" s="30" t="s">
        <v>15155</v>
      </c>
      <c r="B741" s="30" t="s">
        <v>15156</v>
      </c>
      <c r="C741" s="31" t="s">
        <v>151</v>
      </c>
      <c r="D741" s="30" t="s">
        <v>151</v>
      </c>
      <c r="E741" s="30" t="s">
        <v>151</v>
      </c>
      <c r="F741" s="30" t="s">
        <v>15157</v>
      </c>
      <c r="G741" s="30" t="s">
        <v>151</v>
      </c>
      <c r="H741" s="30" t="s">
        <v>151</v>
      </c>
      <c r="I741" s="30" t="s">
        <v>15158</v>
      </c>
      <c r="J741" s="30" t="s">
        <v>15155</v>
      </c>
      <c r="K741" s="30" t="s">
        <v>15159</v>
      </c>
      <c r="L741" s="30" t="s">
        <v>205</v>
      </c>
      <c r="M741" s="30" t="s">
        <v>206</v>
      </c>
      <c r="N741" s="30" t="s">
        <v>269</v>
      </c>
      <c r="O741" s="30" t="s">
        <v>563</v>
      </c>
      <c r="P741" s="30" t="s">
        <v>15160</v>
      </c>
      <c r="Q741" s="30" t="s">
        <v>15161</v>
      </c>
      <c r="R741" s="30" t="s">
        <v>151</v>
      </c>
      <c r="S741" s="30" t="s">
        <v>162</v>
      </c>
      <c r="T741" s="37">
        <v>4.75</v>
      </c>
      <c r="U741" s="30" t="s">
        <v>163</v>
      </c>
      <c r="V741" s="30" t="s">
        <v>164</v>
      </c>
      <c r="W741" s="30" t="s">
        <v>165</v>
      </c>
      <c r="X741" s="28" t="s">
        <v>15162</v>
      </c>
      <c r="Y741" s="28" t="s">
        <v>15163</v>
      </c>
      <c r="Z741" s="40">
        <v>307</v>
      </c>
      <c r="AA741" s="30" t="s">
        <v>15164</v>
      </c>
      <c r="AB741" s="30" t="s">
        <v>151</v>
      </c>
      <c r="AC741" s="30" t="s">
        <v>151</v>
      </c>
      <c r="AD741" s="39">
        <v>2020</v>
      </c>
      <c r="AE741" s="30" t="s">
        <v>151</v>
      </c>
      <c r="AF741" s="35">
        <v>45342</v>
      </c>
      <c r="AG741" s="30" t="s">
        <v>151</v>
      </c>
      <c r="AH741" s="30" t="s">
        <v>151</v>
      </c>
      <c r="AI741" s="38" t="s">
        <v>151</v>
      </c>
      <c r="AJ741" s="32" t="s">
        <v>151</v>
      </c>
      <c r="AK741" s="38" t="s">
        <v>151</v>
      </c>
      <c r="AL741" s="38" t="s">
        <v>151</v>
      </c>
      <c r="AM741" s="38" t="s">
        <v>151</v>
      </c>
      <c r="AN741" s="38" t="s">
        <v>151</v>
      </c>
      <c r="AO741" s="38" t="s">
        <v>151</v>
      </c>
      <c r="AP741" s="38" t="s">
        <v>151</v>
      </c>
      <c r="AQ741" s="38" t="s">
        <v>151</v>
      </c>
      <c r="AR741" s="29" t="s">
        <v>151</v>
      </c>
      <c r="AS741" s="30" t="s">
        <v>15165</v>
      </c>
      <c r="AT741" s="30" t="s">
        <v>15166</v>
      </c>
      <c r="AU741" s="31">
        <v>6</v>
      </c>
      <c r="AV741" s="30" t="s">
        <v>151</v>
      </c>
      <c r="AW741" s="30" t="s">
        <v>151</v>
      </c>
      <c r="AX741" s="30" t="s">
        <v>151</v>
      </c>
      <c r="AY741" s="30" t="s">
        <v>15167</v>
      </c>
      <c r="AZ741" s="30" t="s">
        <v>151</v>
      </c>
      <c r="BA741" s="30" t="s">
        <v>151</v>
      </c>
      <c r="BB741" s="30" t="s">
        <v>151</v>
      </c>
      <c r="BC741" s="30" t="s">
        <v>3756</v>
      </c>
      <c r="BD741" s="30" t="s">
        <v>15168</v>
      </c>
      <c r="BE741" s="30" t="s">
        <v>15169</v>
      </c>
      <c r="BF741" s="30" t="s">
        <v>12800</v>
      </c>
      <c r="BG741" s="30" t="s">
        <v>15170</v>
      </c>
      <c r="BH741" s="30" t="s">
        <v>151</v>
      </c>
      <c r="BI741" s="30" t="s">
        <v>764</v>
      </c>
      <c r="BJ741" s="30" t="s">
        <v>14080</v>
      </c>
      <c r="BK741" s="30" t="s">
        <v>14081</v>
      </c>
      <c r="BL741" s="30" t="s">
        <v>767</v>
      </c>
      <c r="BM741" s="30" t="s">
        <v>184</v>
      </c>
      <c r="BN741" s="29" t="s">
        <v>7178</v>
      </c>
      <c r="BO741" s="30" t="s">
        <v>186</v>
      </c>
      <c r="BP741" s="29" t="s">
        <v>151</v>
      </c>
      <c r="BQ741" s="29" t="s">
        <v>151</v>
      </c>
      <c r="BR741" s="30" t="s">
        <v>15171</v>
      </c>
      <c r="BS741" s="30" t="s">
        <v>187</v>
      </c>
      <c r="BT741" s="30" t="s">
        <v>188</v>
      </c>
      <c r="BU741" s="35">
        <v>44317</v>
      </c>
      <c r="BV741" s="37">
        <v>1.65</v>
      </c>
      <c r="BW741" s="30" t="s">
        <v>192</v>
      </c>
      <c r="BX741" s="37" t="s">
        <v>151</v>
      </c>
      <c r="BY741" s="30" t="s">
        <v>151</v>
      </c>
      <c r="BZ741" s="30" t="s">
        <v>293</v>
      </c>
      <c r="CA741" s="30" t="s">
        <v>293</v>
      </c>
      <c r="CB741" s="30" t="s">
        <v>151</v>
      </c>
      <c r="CC741" s="30" t="s">
        <v>165</v>
      </c>
      <c r="CD741" s="30" t="s">
        <v>151</v>
      </c>
      <c r="CE741" s="30" t="s">
        <v>191</v>
      </c>
      <c r="CF741" s="35">
        <v>44743</v>
      </c>
      <c r="CG741" s="37">
        <v>3.1</v>
      </c>
      <c r="CH741" s="30" t="s">
        <v>192</v>
      </c>
      <c r="CI741" s="37" t="s">
        <v>151</v>
      </c>
      <c r="CJ741" s="30" t="s">
        <v>151</v>
      </c>
      <c r="CK741" s="29" t="s">
        <v>151</v>
      </c>
      <c r="CL741" s="30" t="s">
        <v>293</v>
      </c>
      <c r="CM741" s="30" t="s">
        <v>293</v>
      </c>
      <c r="CN741" s="30" t="s">
        <v>151</v>
      </c>
      <c r="CO741" s="30" t="s">
        <v>165</v>
      </c>
      <c r="CP741" s="35">
        <v>44743</v>
      </c>
      <c r="CQ741" s="37" t="s">
        <v>151</v>
      </c>
      <c r="CR741" s="30" t="s">
        <v>151</v>
      </c>
      <c r="CS741" s="30" t="s">
        <v>191</v>
      </c>
      <c r="CT741" s="29">
        <v>76</v>
      </c>
      <c r="CU741" s="30" t="s">
        <v>196</v>
      </c>
      <c r="CV741" s="32">
        <v>70</v>
      </c>
      <c r="CW741" s="32">
        <v>30</v>
      </c>
      <c r="CX741" s="30" t="s">
        <v>294</v>
      </c>
      <c r="CY741" s="32">
        <v>1</v>
      </c>
      <c r="CZ741" s="32">
        <v>69</v>
      </c>
      <c r="DA741" s="37" t="s">
        <v>151</v>
      </c>
      <c r="DB741" s="35" t="s">
        <v>151</v>
      </c>
      <c r="DC741" s="30" t="s">
        <v>151</v>
      </c>
      <c r="DD741" s="29" t="s">
        <v>151</v>
      </c>
      <c r="DE741" s="32" t="s">
        <v>151</v>
      </c>
      <c r="DF741" s="34" t="s">
        <v>151</v>
      </c>
      <c r="DG741" s="32" t="s">
        <v>151</v>
      </c>
      <c r="DH741" s="32" t="s">
        <v>151</v>
      </c>
      <c r="DI741" s="32" t="s">
        <v>151</v>
      </c>
      <c r="DJ741" s="34" t="s">
        <v>151</v>
      </c>
      <c r="DK741" s="32" t="s">
        <v>151</v>
      </c>
      <c r="DL741" s="34" t="s">
        <v>151</v>
      </c>
      <c r="DM741" s="32" t="s">
        <v>151</v>
      </c>
      <c r="DN741" s="34" t="s">
        <v>151</v>
      </c>
      <c r="DO741" s="36" t="s">
        <v>151</v>
      </c>
      <c r="DP741" s="34" t="s">
        <v>151</v>
      </c>
      <c r="DQ741" s="36" t="s">
        <v>151</v>
      </c>
      <c r="DR741" s="32" t="s">
        <v>151</v>
      </c>
      <c r="DS741" s="36" t="s">
        <v>151</v>
      </c>
      <c r="DT741" s="34" t="s">
        <v>151</v>
      </c>
      <c r="DU741" s="36" t="s">
        <v>151</v>
      </c>
      <c r="DV741" s="34" t="s">
        <v>151</v>
      </c>
      <c r="DW741" s="36" t="s">
        <v>151</v>
      </c>
      <c r="DX741" s="34" t="s">
        <v>151</v>
      </c>
      <c r="DY741" s="31" t="s">
        <v>151</v>
      </c>
      <c r="DZ741" s="35" t="s">
        <v>151</v>
      </c>
      <c r="EA741" s="35" t="s">
        <v>151</v>
      </c>
      <c r="EB741" s="34" t="s">
        <v>151</v>
      </c>
      <c r="EC741" s="33" t="s">
        <v>151</v>
      </c>
      <c r="ED741" s="32" t="s">
        <v>151</v>
      </c>
      <c r="EE741" s="34" t="s">
        <v>151</v>
      </c>
      <c r="EF741" s="33" t="s">
        <v>151</v>
      </c>
      <c r="EG741" s="32" t="s">
        <v>151</v>
      </c>
      <c r="EH741" s="29" t="s">
        <v>198</v>
      </c>
      <c r="EI741" s="30" t="s">
        <v>151</v>
      </c>
      <c r="EJ741" s="30" t="s">
        <v>151</v>
      </c>
      <c r="EK741" s="31" t="s">
        <v>151</v>
      </c>
      <c r="EL741" s="31" t="s">
        <v>151</v>
      </c>
      <c r="EM741" s="31" t="s">
        <v>151</v>
      </c>
      <c r="EN741" s="31" t="s">
        <v>151</v>
      </c>
      <c r="EO741" s="31" t="s">
        <v>151</v>
      </c>
      <c r="EP741" s="30" t="s">
        <v>151</v>
      </c>
      <c r="EQ741" s="29" t="s">
        <v>151</v>
      </c>
      <c r="ER741" s="29" t="s">
        <v>151</v>
      </c>
      <c r="ES741" s="4">
        <f>HYPERLINK("https://my.pitchbook.com?c=458476-12","View Company Online")</f>
      </c>
    </row>
    <row r="742">
      <c r="A742" s="17" t="s">
        <v>15172</v>
      </c>
      <c r="B742" s="17" t="s">
        <v>15173</v>
      </c>
      <c r="C742" s="18" t="s">
        <v>151</v>
      </c>
      <c r="D742" s="17" t="s">
        <v>151</v>
      </c>
      <c r="E742" s="17" t="s">
        <v>151</v>
      </c>
      <c r="F742" s="17" t="s">
        <v>15174</v>
      </c>
      <c r="G742" s="17" t="s">
        <v>151</v>
      </c>
      <c r="H742" s="17" t="s">
        <v>151</v>
      </c>
      <c r="I742" s="17" t="s">
        <v>151</v>
      </c>
      <c r="J742" s="17" t="s">
        <v>15172</v>
      </c>
      <c r="K742" s="17" t="s">
        <v>15175</v>
      </c>
      <c r="L742" s="17" t="s">
        <v>205</v>
      </c>
      <c r="M742" s="17" t="s">
        <v>206</v>
      </c>
      <c r="N742" s="17" t="s">
        <v>269</v>
      </c>
      <c r="O742" s="17" t="s">
        <v>563</v>
      </c>
      <c r="P742" s="17" t="s">
        <v>2301</v>
      </c>
      <c r="Q742" s="17" t="s">
        <v>15176</v>
      </c>
      <c r="R742" s="17" t="s">
        <v>151</v>
      </c>
      <c r="S742" s="17" t="s">
        <v>162</v>
      </c>
      <c r="T742" s="24">
        <v>1.65</v>
      </c>
      <c r="U742" s="17" t="s">
        <v>163</v>
      </c>
      <c r="V742" s="17" t="s">
        <v>164</v>
      </c>
      <c r="W742" s="17" t="s">
        <v>165</v>
      </c>
      <c r="X742" s="15" t="s">
        <v>15177</v>
      </c>
      <c r="Y742" s="15" t="s">
        <v>15178</v>
      </c>
      <c r="Z742" s="27">
        <v>16</v>
      </c>
      <c r="AA742" s="17" t="s">
        <v>15179</v>
      </c>
      <c r="AB742" s="17" t="s">
        <v>151</v>
      </c>
      <c r="AC742" s="17" t="s">
        <v>151</v>
      </c>
      <c r="AD742" s="26">
        <v>2023</v>
      </c>
      <c r="AE742" s="17" t="s">
        <v>151</v>
      </c>
      <c r="AF742" s="22">
        <v>45527</v>
      </c>
      <c r="AG742" s="17" t="s">
        <v>151</v>
      </c>
      <c r="AH742" s="17" t="s">
        <v>151</v>
      </c>
      <c r="AI742" s="25" t="s">
        <v>151</v>
      </c>
      <c r="AJ742" s="19" t="s">
        <v>151</v>
      </c>
      <c r="AK742" s="25" t="s">
        <v>151</v>
      </c>
      <c r="AL742" s="25" t="s">
        <v>151</v>
      </c>
      <c r="AM742" s="25" t="s">
        <v>151</v>
      </c>
      <c r="AN742" s="25" t="s">
        <v>151</v>
      </c>
      <c r="AO742" s="25" t="s">
        <v>151</v>
      </c>
      <c r="AP742" s="25" t="s">
        <v>151</v>
      </c>
      <c r="AQ742" s="25" t="s">
        <v>151</v>
      </c>
      <c r="AR742" s="16" t="s">
        <v>151</v>
      </c>
      <c r="AS742" s="17" t="s">
        <v>15180</v>
      </c>
      <c r="AT742" s="17" t="s">
        <v>15181</v>
      </c>
      <c r="AU742" s="18">
        <v>2</v>
      </c>
      <c r="AV742" s="17" t="s">
        <v>151</v>
      </c>
      <c r="AW742" s="17" t="s">
        <v>151</v>
      </c>
      <c r="AX742" s="17" t="s">
        <v>151</v>
      </c>
      <c r="AY742" s="17" t="s">
        <v>15182</v>
      </c>
      <c r="AZ742" s="17" t="s">
        <v>151</v>
      </c>
      <c r="BA742" s="17" t="s">
        <v>151</v>
      </c>
      <c r="BB742" s="17" t="s">
        <v>151</v>
      </c>
      <c r="BC742" s="17" t="s">
        <v>151</v>
      </c>
      <c r="BD742" s="17" t="s">
        <v>15183</v>
      </c>
      <c r="BE742" s="17" t="s">
        <v>15184</v>
      </c>
      <c r="BF742" s="17" t="s">
        <v>221</v>
      </c>
      <c r="BG742" s="17" t="s">
        <v>15185</v>
      </c>
      <c r="BH742" s="17" t="s">
        <v>15186</v>
      </c>
      <c r="BI742" s="17" t="s">
        <v>6444</v>
      </c>
      <c r="BJ742" s="17" t="s">
        <v>15187</v>
      </c>
      <c r="BK742" s="17" t="s">
        <v>151</v>
      </c>
      <c r="BL742" s="17" t="s">
        <v>6445</v>
      </c>
      <c r="BM742" s="17" t="s">
        <v>525</v>
      </c>
      <c r="BN742" s="16" t="s">
        <v>6446</v>
      </c>
      <c r="BO742" s="17" t="s">
        <v>186</v>
      </c>
      <c r="BP742" s="16" t="s">
        <v>15186</v>
      </c>
      <c r="BQ742" s="16" t="s">
        <v>151</v>
      </c>
      <c r="BR742" s="17" t="s">
        <v>15188</v>
      </c>
      <c r="BS742" s="17" t="s">
        <v>187</v>
      </c>
      <c r="BT742" s="17" t="s">
        <v>188</v>
      </c>
      <c r="BU742" s="22">
        <v>45097</v>
      </c>
      <c r="BV742" s="24">
        <v>1.65</v>
      </c>
      <c r="BW742" s="17" t="s">
        <v>192</v>
      </c>
      <c r="BX742" s="24" t="s">
        <v>151</v>
      </c>
      <c r="BY742" s="17" t="s">
        <v>151</v>
      </c>
      <c r="BZ742" s="17" t="s">
        <v>293</v>
      </c>
      <c r="CA742" s="17" t="s">
        <v>293</v>
      </c>
      <c r="CB742" s="17" t="s">
        <v>151</v>
      </c>
      <c r="CC742" s="17" t="s">
        <v>165</v>
      </c>
      <c r="CD742" s="17" t="s">
        <v>151</v>
      </c>
      <c r="CE742" s="17" t="s">
        <v>191</v>
      </c>
      <c r="CF742" s="22">
        <v>45097</v>
      </c>
      <c r="CG742" s="24">
        <v>1.65</v>
      </c>
      <c r="CH742" s="17" t="s">
        <v>192</v>
      </c>
      <c r="CI742" s="24" t="s">
        <v>151</v>
      </c>
      <c r="CJ742" s="17" t="s">
        <v>151</v>
      </c>
      <c r="CK742" s="16" t="s">
        <v>151</v>
      </c>
      <c r="CL742" s="17" t="s">
        <v>293</v>
      </c>
      <c r="CM742" s="17" t="s">
        <v>293</v>
      </c>
      <c r="CN742" s="17" t="s">
        <v>151</v>
      </c>
      <c r="CO742" s="17" t="s">
        <v>165</v>
      </c>
      <c r="CP742" s="22">
        <v>45097</v>
      </c>
      <c r="CQ742" s="24" t="s">
        <v>151</v>
      </c>
      <c r="CR742" s="17" t="s">
        <v>151</v>
      </c>
      <c r="CS742" s="17" t="s">
        <v>191</v>
      </c>
      <c r="CT742" s="16" t="s">
        <v>151</v>
      </c>
      <c r="CU742" s="17" t="s">
        <v>151</v>
      </c>
      <c r="CV742" s="19" t="s">
        <v>151</v>
      </c>
      <c r="CW742" s="19" t="s">
        <v>151</v>
      </c>
      <c r="CX742" s="17" t="s">
        <v>151</v>
      </c>
      <c r="CY742" s="19" t="s">
        <v>151</v>
      </c>
      <c r="CZ742" s="19" t="s">
        <v>151</v>
      </c>
      <c r="DA742" s="24" t="s">
        <v>151</v>
      </c>
      <c r="DB742" s="22" t="s">
        <v>151</v>
      </c>
      <c r="DC742" s="17" t="s">
        <v>151</v>
      </c>
      <c r="DD742" s="16" t="s">
        <v>151</v>
      </c>
      <c r="DE742" s="19">
        <v>-0.37</v>
      </c>
      <c r="DF742" s="21">
        <v>8</v>
      </c>
      <c r="DG742" s="19">
        <v>0</v>
      </c>
      <c r="DH742" s="19">
        <v>0</v>
      </c>
      <c r="DI742" s="19">
        <v>0</v>
      </c>
      <c r="DJ742" s="21">
        <v>10</v>
      </c>
      <c r="DK742" s="19" t="s">
        <v>151</v>
      </c>
      <c r="DL742" s="21" t="s">
        <v>151</v>
      </c>
      <c r="DM742" s="19">
        <v>0</v>
      </c>
      <c r="DN742" s="21">
        <v>10</v>
      </c>
      <c r="DO742" s="23">
        <v>1.51</v>
      </c>
      <c r="DP742" s="21">
        <v>60</v>
      </c>
      <c r="DQ742" s="23">
        <v>0</v>
      </c>
      <c r="DR742" s="19">
        <v>0</v>
      </c>
      <c r="DS742" s="23">
        <v>1.79</v>
      </c>
      <c r="DT742" s="21">
        <v>63</v>
      </c>
      <c r="DU742" s="23" t="s">
        <v>151</v>
      </c>
      <c r="DV742" s="21" t="s">
        <v>151</v>
      </c>
      <c r="DW742" s="23">
        <v>1.79</v>
      </c>
      <c r="DX742" s="21">
        <v>63</v>
      </c>
      <c r="DY742" s="18" t="s">
        <v>151</v>
      </c>
      <c r="DZ742" s="22" t="s">
        <v>151</v>
      </c>
      <c r="EA742" s="22" t="s">
        <v>151</v>
      </c>
      <c r="EB742" s="21">
        <v>229</v>
      </c>
      <c r="EC742" s="20">
        <v>22</v>
      </c>
      <c r="ED742" s="19">
        <v>10.63</v>
      </c>
      <c r="EE742" s="21">
        <v>34</v>
      </c>
      <c r="EF742" s="20">
        <v>0</v>
      </c>
      <c r="EG742" s="19">
        <v>0</v>
      </c>
      <c r="EH742" s="16" t="s">
        <v>198</v>
      </c>
      <c r="EI742" s="17" t="s">
        <v>151</v>
      </c>
      <c r="EJ742" s="17" t="s">
        <v>151</v>
      </c>
      <c r="EK742" s="18" t="s">
        <v>151</v>
      </c>
      <c r="EL742" s="18" t="s">
        <v>151</v>
      </c>
      <c r="EM742" s="18" t="s">
        <v>151</v>
      </c>
      <c r="EN742" s="18" t="s">
        <v>151</v>
      </c>
      <c r="EO742" s="18" t="s">
        <v>151</v>
      </c>
      <c r="EP742" s="17" t="s">
        <v>151</v>
      </c>
      <c r="EQ742" s="16" t="s">
        <v>151</v>
      </c>
      <c r="ER742" s="16" t="s">
        <v>151</v>
      </c>
      <c r="ES742" s="3">
        <f>HYPERLINK("https://my.pitchbook.com?c=530028-19","View Company Online")</f>
      </c>
    </row>
    <row r="743">
      <c r="A743" s="30" t="s">
        <v>15189</v>
      </c>
      <c r="B743" s="30" t="s">
        <v>15190</v>
      </c>
      <c r="C743" s="31" t="s">
        <v>151</v>
      </c>
      <c r="D743" s="30" t="s">
        <v>151</v>
      </c>
      <c r="E743" s="30" t="s">
        <v>151</v>
      </c>
      <c r="F743" s="30" t="s">
        <v>151</v>
      </c>
      <c r="G743" s="30" t="s">
        <v>151</v>
      </c>
      <c r="H743" s="30" t="s">
        <v>151</v>
      </c>
      <c r="I743" s="30" t="s">
        <v>151</v>
      </c>
      <c r="J743" s="30" t="s">
        <v>15189</v>
      </c>
      <c r="K743" s="30" t="s">
        <v>15191</v>
      </c>
      <c r="L743" s="30" t="s">
        <v>155</v>
      </c>
      <c r="M743" s="30" t="s">
        <v>7474</v>
      </c>
      <c r="N743" s="30" t="s">
        <v>7475</v>
      </c>
      <c r="O743" s="30" t="s">
        <v>7476</v>
      </c>
      <c r="P743" s="30" t="s">
        <v>15192</v>
      </c>
      <c r="Q743" s="30" t="s">
        <v>15193</v>
      </c>
      <c r="R743" s="30" t="s">
        <v>151</v>
      </c>
      <c r="S743" s="30" t="s">
        <v>162</v>
      </c>
      <c r="T743" s="37">
        <v>1.84</v>
      </c>
      <c r="U743" s="30" t="s">
        <v>163</v>
      </c>
      <c r="V743" s="30" t="s">
        <v>164</v>
      </c>
      <c r="W743" s="30" t="s">
        <v>165</v>
      </c>
      <c r="X743" s="28" t="s">
        <v>15194</v>
      </c>
      <c r="Y743" s="28" t="s">
        <v>15195</v>
      </c>
      <c r="Z743" s="40">
        <v>44</v>
      </c>
      <c r="AA743" s="30" t="s">
        <v>15196</v>
      </c>
      <c r="AB743" s="30" t="s">
        <v>151</v>
      </c>
      <c r="AC743" s="30" t="s">
        <v>151</v>
      </c>
      <c r="AD743" s="39">
        <v>2018</v>
      </c>
      <c r="AE743" s="30" t="s">
        <v>151</v>
      </c>
      <c r="AF743" s="35">
        <v>45314</v>
      </c>
      <c r="AG743" s="30" t="s">
        <v>151</v>
      </c>
      <c r="AH743" s="30" t="s">
        <v>151</v>
      </c>
      <c r="AI743" s="38" t="s">
        <v>151</v>
      </c>
      <c r="AJ743" s="32" t="s">
        <v>151</v>
      </c>
      <c r="AK743" s="38" t="s">
        <v>151</v>
      </c>
      <c r="AL743" s="38" t="s">
        <v>151</v>
      </c>
      <c r="AM743" s="38" t="s">
        <v>151</v>
      </c>
      <c r="AN743" s="38" t="s">
        <v>151</v>
      </c>
      <c r="AO743" s="38" t="s">
        <v>151</v>
      </c>
      <c r="AP743" s="38" t="s">
        <v>151</v>
      </c>
      <c r="AQ743" s="38" t="s">
        <v>151</v>
      </c>
      <c r="AR743" s="29" t="s">
        <v>151</v>
      </c>
      <c r="AS743" s="30" t="s">
        <v>15197</v>
      </c>
      <c r="AT743" s="30" t="s">
        <v>15198</v>
      </c>
      <c r="AU743" s="31">
        <v>2</v>
      </c>
      <c r="AV743" s="30" t="s">
        <v>151</v>
      </c>
      <c r="AW743" s="30" t="s">
        <v>151</v>
      </c>
      <c r="AX743" s="30" t="s">
        <v>151</v>
      </c>
      <c r="AY743" s="30" t="s">
        <v>15199</v>
      </c>
      <c r="AZ743" s="30" t="s">
        <v>151</v>
      </c>
      <c r="BA743" s="30" t="s">
        <v>151</v>
      </c>
      <c r="BB743" s="30" t="s">
        <v>151</v>
      </c>
      <c r="BC743" s="30" t="s">
        <v>151</v>
      </c>
      <c r="BD743" s="30" t="s">
        <v>15200</v>
      </c>
      <c r="BE743" s="30" t="s">
        <v>15201</v>
      </c>
      <c r="BF743" s="30" t="s">
        <v>15202</v>
      </c>
      <c r="BG743" s="30" t="s">
        <v>15203</v>
      </c>
      <c r="BH743" s="30" t="s">
        <v>15204</v>
      </c>
      <c r="BI743" s="30" t="s">
        <v>5192</v>
      </c>
      <c r="BJ743" s="30" t="s">
        <v>15205</v>
      </c>
      <c r="BK743" s="30" t="s">
        <v>151</v>
      </c>
      <c r="BL743" s="30" t="s">
        <v>5194</v>
      </c>
      <c r="BM743" s="30" t="s">
        <v>5195</v>
      </c>
      <c r="BN743" s="29" t="s">
        <v>15206</v>
      </c>
      <c r="BO743" s="30" t="s">
        <v>186</v>
      </c>
      <c r="BP743" s="29" t="s">
        <v>15204</v>
      </c>
      <c r="BQ743" s="29" t="s">
        <v>151</v>
      </c>
      <c r="BR743" s="30" t="s">
        <v>15207</v>
      </c>
      <c r="BS743" s="30" t="s">
        <v>187</v>
      </c>
      <c r="BT743" s="30" t="s">
        <v>188</v>
      </c>
      <c r="BU743" s="35">
        <v>43168</v>
      </c>
      <c r="BV743" s="37">
        <v>0.04</v>
      </c>
      <c r="BW743" s="30" t="s">
        <v>192</v>
      </c>
      <c r="BX743" s="37" t="s">
        <v>151</v>
      </c>
      <c r="BY743" s="30" t="s">
        <v>151</v>
      </c>
      <c r="BZ743" s="30" t="s">
        <v>189</v>
      </c>
      <c r="CA743" s="30" t="s">
        <v>151</v>
      </c>
      <c r="CB743" s="30" t="s">
        <v>151</v>
      </c>
      <c r="CC743" s="30" t="s">
        <v>190</v>
      </c>
      <c r="CD743" s="30" t="s">
        <v>151</v>
      </c>
      <c r="CE743" s="30" t="s">
        <v>191</v>
      </c>
      <c r="CF743" s="35">
        <v>44439</v>
      </c>
      <c r="CG743" s="37">
        <v>1.8</v>
      </c>
      <c r="CH743" s="30" t="s">
        <v>192</v>
      </c>
      <c r="CI743" s="37" t="s">
        <v>151</v>
      </c>
      <c r="CJ743" s="30" t="s">
        <v>151</v>
      </c>
      <c r="CK743" s="29" t="s">
        <v>151</v>
      </c>
      <c r="CL743" s="30" t="s">
        <v>231</v>
      </c>
      <c r="CM743" s="30" t="s">
        <v>151</v>
      </c>
      <c r="CN743" s="30" t="s">
        <v>151</v>
      </c>
      <c r="CO743" s="30" t="s">
        <v>165</v>
      </c>
      <c r="CP743" s="35">
        <v>44439</v>
      </c>
      <c r="CQ743" s="37" t="s">
        <v>151</v>
      </c>
      <c r="CR743" s="30" t="s">
        <v>151</v>
      </c>
      <c r="CS743" s="30" t="s">
        <v>191</v>
      </c>
      <c r="CT743" s="29" t="s">
        <v>151</v>
      </c>
      <c r="CU743" s="30" t="s">
        <v>151</v>
      </c>
      <c r="CV743" s="32" t="s">
        <v>151</v>
      </c>
      <c r="CW743" s="32" t="s">
        <v>151</v>
      </c>
      <c r="CX743" s="30" t="s">
        <v>151</v>
      </c>
      <c r="CY743" s="32" t="s">
        <v>151</v>
      </c>
      <c r="CZ743" s="32" t="s">
        <v>151</v>
      </c>
      <c r="DA743" s="37" t="s">
        <v>151</v>
      </c>
      <c r="DB743" s="35" t="s">
        <v>151</v>
      </c>
      <c r="DC743" s="30" t="s">
        <v>151</v>
      </c>
      <c r="DD743" s="29" t="s">
        <v>151</v>
      </c>
      <c r="DE743" s="32">
        <v>0.32</v>
      </c>
      <c r="DF743" s="34">
        <v>93</v>
      </c>
      <c r="DG743" s="32">
        <v>0</v>
      </c>
      <c r="DH743" s="32">
        <v>0</v>
      </c>
      <c r="DI743" s="32">
        <v>0.64</v>
      </c>
      <c r="DJ743" s="34">
        <v>95</v>
      </c>
      <c r="DK743" s="32" t="s">
        <v>151</v>
      </c>
      <c r="DL743" s="34" t="s">
        <v>151</v>
      </c>
      <c r="DM743" s="32">
        <v>0.64</v>
      </c>
      <c r="DN743" s="34">
        <v>96</v>
      </c>
      <c r="DO743" s="36">
        <v>4.88</v>
      </c>
      <c r="DP743" s="34">
        <v>82</v>
      </c>
      <c r="DQ743" s="36">
        <v>0</v>
      </c>
      <c r="DR743" s="32">
        <v>0</v>
      </c>
      <c r="DS743" s="36">
        <v>6.37</v>
      </c>
      <c r="DT743" s="34">
        <v>85</v>
      </c>
      <c r="DU743" s="36" t="s">
        <v>151</v>
      </c>
      <c r="DV743" s="34" t="s">
        <v>151</v>
      </c>
      <c r="DW743" s="36">
        <v>6.37</v>
      </c>
      <c r="DX743" s="34">
        <v>85</v>
      </c>
      <c r="DY743" s="31" t="s">
        <v>151</v>
      </c>
      <c r="DZ743" s="35" t="s">
        <v>151</v>
      </c>
      <c r="EA743" s="35" t="s">
        <v>151</v>
      </c>
      <c r="EB743" s="34" t="s">
        <v>151</v>
      </c>
      <c r="EC743" s="33" t="s">
        <v>151</v>
      </c>
      <c r="ED743" s="32" t="s">
        <v>151</v>
      </c>
      <c r="EE743" s="34">
        <v>121</v>
      </c>
      <c r="EF743" s="33">
        <v>0</v>
      </c>
      <c r="EG743" s="32">
        <v>0</v>
      </c>
      <c r="EH743" s="29" t="s">
        <v>198</v>
      </c>
      <c r="EI743" s="30" t="s">
        <v>151</v>
      </c>
      <c r="EJ743" s="30" t="s">
        <v>151</v>
      </c>
      <c r="EK743" s="31" t="s">
        <v>151</v>
      </c>
      <c r="EL743" s="31" t="s">
        <v>151</v>
      </c>
      <c r="EM743" s="31" t="s">
        <v>151</v>
      </c>
      <c r="EN743" s="31" t="s">
        <v>151</v>
      </c>
      <c r="EO743" s="31" t="s">
        <v>151</v>
      </c>
      <c r="EP743" s="30" t="s">
        <v>151</v>
      </c>
      <c r="EQ743" s="29" t="s">
        <v>151</v>
      </c>
      <c r="ER743" s="29" t="s">
        <v>151</v>
      </c>
      <c r="ES743" s="4">
        <f>HYPERLINK("https://my.pitchbook.com?c=309979-90","View Company Online")</f>
      </c>
    </row>
    <row r="744">
      <c r="A744" s="17" t="s">
        <v>15208</v>
      </c>
      <c r="B744" s="17" t="s">
        <v>15209</v>
      </c>
      <c r="C744" s="18" t="s">
        <v>151</v>
      </c>
      <c r="D744" s="17" t="s">
        <v>15210</v>
      </c>
      <c r="E744" s="17" t="s">
        <v>151</v>
      </c>
      <c r="F744" s="17" t="s">
        <v>15211</v>
      </c>
      <c r="G744" s="17" t="s">
        <v>151</v>
      </c>
      <c r="H744" s="17" t="s">
        <v>151</v>
      </c>
      <c r="I744" s="17" t="s">
        <v>15212</v>
      </c>
      <c r="J744" s="17" t="s">
        <v>15208</v>
      </c>
      <c r="K744" s="17" t="s">
        <v>15213</v>
      </c>
      <c r="L744" s="17" t="s">
        <v>205</v>
      </c>
      <c r="M744" s="17" t="s">
        <v>206</v>
      </c>
      <c r="N744" s="17" t="s">
        <v>269</v>
      </c>
      <c r="O744" s="17" t="s">
        <v>563</v>
      </c>
      <c r="P744" s="17" t="s">
        <v>7696</v>
      </c>
      <c r="Q744" s="17" t="s">
        <v>15214</v>
      </c>
      <c r="R744" s="17" t="s">
        <v>151</v>
      </c>
      <c r="S744" s="17" t="s">
        <v>162</v>
      </c>
      <c r="T744" s="24">
        <v>14</v>
      </c>
      <c r="U744" s="17" t="s">
        <v>163</v>
      </c>
      <c r="V744" s="17" t="s">
        <v>164</v>
      </c>
      <c r="W744" s="17" t="s">
        <v>165</v>
      </c>
      <c r="X744" s="15" t="s">
        <v>15215</v>
      </c>
      <c r="Y744" s="15" t="s">
        <v>15216</v>
      </c>
      <c r="Z744" s="27">
        <v>61</v>
      </c>
      <c r="AA744" s="17" t="s">
        <v>15217</v>
      </c>
      <c r="AB744" s="17" t="s">
        <v>151</v>
      </c>
      <c r="AC744" s="17" t="s">
        <v>151</v>
      </c>
      <c r="AD744" s="26">
        <v>2021</v>
      </c>
      <c r="AE744" s="17" t="s">
        <v>151</v>
      </c>
      <c r="AF744" s="22">
        <v>45541</v>
      </c>
      <c r="AG744" s="17" t="s">
        <v>151</v>
      </c>
      <c r="AH744" s="17" t="s">
        <v>151</v>
      </c>
      <c r="AI744" s="25" t="s">
        <v>151</v>
      </c>
      <c r="AJ744" s="19" t="s">
        <v>151</v>
      </c>
      <c r="AK744" s="25" t="s">
        <v>151</v>
      </c>
      <c r="AL744" s="25" t="s">
        <v>151</v>
      </c>
      <c r="AM744" s="25" t="s">
        <v>151</v>
      </c>
      <c r="AN744" s="25" t="s">
        <v>151</v>
      </c>
      <c r="AO744" s="25" t="s">
        <v>151</v>
      </c>
      <c r="AP744" s="25" t="s">
        <v>151</v>
      </c>
      <c r="AQ744" s="25" t="s">
        <v>151</v>
      </c>
      <c r="AR744" s="16" t="s">
        <v>151</v>
      </c>
      <c r="AS744" s="17" t="s">
        <v>15218</v>
      </c>
      <c r="AT744" s="17" t="s">
        <v>15219</v>
      </c>
      <c r="AU744" s="18">
        <v>9</v>
      </c>
      <c r="AV744" s="17" t="s">
        <v>151</v>
      </c>
      <c r="AW744" s="17" t="s">
        <v>151</v>
      </c>
      <c r="AX744" s="17" t="s">
        <v>151</v>
      </c>
      <c r="AY744" s="17" t="s">
        <v>15220</v>
      </c>
      <c r="AZ744" s="17" t="s">
        <v>151</v>
      </c>
      <c r="BA744" s="17" t="s">
        <v>151</v>
      </c>
      <c r="BB744" s="17" t="s">
        <v>15221</v>
      </c>
      <c r="BC744" s="17" t="s">
        <v>15222</v>
      </c>
      <c r="BD744" s="17" t="s">
        <v>15223</v>
      </c>
      <c r="BE744" s="17" t="s">
        <v>15224</v>
      </c>
      <c r="BF744" s="17" t="s">
        <v>221</v>
      </c>
      <c r="BG744" s="17" t="s">
        <v>15225</v>
      </c>
      <c r="BH744" s="17" t="s">
        <v>151</v>
      </c>
      <c r="BI744" s="17" t="s">
        <v>934</v>
      </c>
      <c r="BJ744" s="17" t="s">
        <v>15226</v>
      </c>
      <c r="BK744" s="17" t="s">
        <v>151</v>
      </c>
      <c r="BL744" s="17" t="s">
        <v>937</v>
      </c>
      <c r="BM744" s="17" t="s">
        <v>184</v>
      </c>
      <c r="BN744" s="16" t="s">
        <v>15227</v>
      </c>
      <c r="BO744" s="17" t="s">
        <v>186</v>
      </c>
      <c r="BP744" s="16" t="s">
        <v>151</v>
      </c>
      <c r="BQ744" s="16" t="s">
        <v>151</v>
      </c>
      <c r="BR744" s="17" t="s">
        <v>15228</v>
      </c>
      <c r="BS744" s="17" t="s">
        <v>187</v>
      </c>
      <c r="BT744" s="17" t="s">
        <v>188</v>
      </c>
      <c r="BU744" s="22">
        <v>44609</v>
      </c>
      <c r="BV744" s="24">
        <v>6</v>
      </c>
      <c r="BW744" s="17" t="s">
        <v>192</v>
      </c>
      <c r="BX744" s="24" t="s">
        <v>151</v>
      </c>
      <c r="BY744" s="17" t="s">
        <v>151</v>
      </c>
      <c r="BZ744" s="17" t="s">
        <v>293</v>
      </c>
      <c r="CA744" s="17" t="s">
        <v>293</v>
      </c>
      <c r="CB744" s="17" t="s">
        <v>151</v>
      </c>
      <c r="CC744" s="17" t="s">
        <v>165</v>
      </c>
      <c r="CD744" s="17" t="s">
        <v>151</v>
      </c>
      <c r="CE744" s="17" t="s">
        <v>191</v>
      </c>
      <c r="CF744" s="22">
        <v>45357</v>
      </c>
      <c r="CG744" s="24" t="s">
        <v>151</v>
      </c>
      <c r="CH744" s="17" t="s">
        <v>151</v>
      </c>
      <c r="CI744" s="24" t="s">
        <v>151</v>
      </c>
      <c r="CJ744" s="17" t="s">
        <v>151</v>
      </c>
      <c r="CK744" s="16" t="s">
        <v>151</v>
      </c>
      <c r="CL744" s="17" t="s">
        <v>1075</v>
      </c>
      <c r="CM744" s="17" t="s">
        <v>1075</v>
      </c>
      <c r="CN744" s="17" t="s">
        <v>151</v>
      </c>
      <c r="CO744" s="17" t="s">
        <v>585</v>
      </c>
      <c r="CP744" s="22">
        <v>45357</v>
      </c>
      <c r="CQ744" s="24" t="s">
        <v>151</v>
      </c>
      <c r="CR744" s="17" t="s">
        <v>151</v>
      </c>
      <c r="CS744" s="17" t="s">
        <v>191</v>
      </c>
      <c r="CT744" s="16">
        <v>51</v>
      </c>
      <c r="CU744" s="17" t="s">
        <v>263</v>
      </c>
      <c r="CV744" s="19">
        <v>49</v>
      </c>
      <c r="CW744" s="19">
        <v>51</v>
      </c>
      <c r="CX744" s="17" t="s">
        <v>263</v>
      </c>
      <c r="CY744" s="19">
        <v>1</v>
      </c>
      <c r="CZ744" s="19">
        <v>48</v>
      </c>
      <c r="DA744" s="24" t="s">
        <v>151</v>
      </c>
      <c r="DB744" s="22" t="s">
        <v>151</v>
      </c>
      <c r="DC744" s="17" t="s">
        <v>151</v>
      </c>
      <c r="DD744" s="16" t="s">
        <v>151</v>
      </c>
      <c r="DE744" s="19">
        <v>0.17</v>
      </c>
      <c r="DF744" s="21">
        <v>91</v>
      </c>
      <c r="DG744" s="19">
        <v>0</v>
      </c>
      <c r="DH744" s="19">
        <v>0</v>
      </c>
      <c r="DI744" s="19">
        <v>0.17</v>
      </c>
      <c r="DJ744" s="21">
        <v>93</v>
      </c>
      <c r="DK744" s="19" t="s">
        <v>151</v>
      </c>
      <c r="DL744" s="21" t="s">
        <v>151</v>
      </c>
      <c r="DM744" s="19">
        <v>0.17</v>
      </c>
      <c r="DN744" s="21">
        <v>93</v>
      </c>
      <c r="DO744" s="23">
        <v>19.95</v>
      </c>
      <c r="DP744" s="21">
        <v>95</v>
      </c>
      <c r="DQ744" s="23">
        <v>0</v>
      </c>
      <c r="DR744" s="19">
        <v>0</v>
      </c>
      <c r="DS744" s="23">
        <v>19.95</v>
      </c>
      <c r="DT744" s="21">
        <v>95</v>
      </c>
      <c r="DU744" s="23" t="s">
        <v>151</v>
      </c>
      <c r="DV744" s="21" t="s">
        <v>151</v>
      </c>
      <c r="DW744" s="23">
        <v>19.95</v>
      </c>
      <c r="DX744" s="21">
        <v>95</v>
      </c>
      <c r="DY744" s="18" t="s">
        <v>151</v>
      </c>
      <c r="DZ744" s="22" t="s">
        <v>151</v>
      </c>
      <c r="EA744" s="22" t="s">
        <v>151</v>
      </c>
      <c r="EB744" s="21">
        <v>3114</v>
      </c>
      <c r="EC744" s="20">
        <v>171</v>
      </c>
      <c r="ED744" s="19">
        <v>5.81</v>
      </c>
      <c r="EE744" s="21">
        <v>379</v>
      </c>
      <c r="EF744" s="20">
        <v>0</v>
      </c>
      <c r="EG744" s="19">
        <v>0</v>
      </c>
      <c r="EH744" s="16" t="s">
        <v>198</v>
      </c>
      <c r="EI744" s="17" t="s">
        <v>151</v>
      </c>
      <c r="EJ744" s="17" t="s">
        <v>151</v>
      </c>
      <c r="EK744" s="18" t="s">
        <v>151</v>
      </c>
      <c r="EL744" s="18" t="s">
        <v>151</v>
      </c>
      <c r="EM744" s="18" t="s">
        <v>151</v>
      </c>
      <c r="EN744" s="18" t="s">
        <v>151</v>
      </c>
      <c r="EO744" s="18" t="s">
        <v>151</v>
      </c>
      <c r="EP744" s="17" t="s">
        <v>151</v>
      </c>
      <c r="EQ744" s="16" t="s">
        <v>151</v>
      </c>
      <c r="ER744" s="16" t="s">
        <v>151</v>
      </c>
      <c r="ES744" s="3">
        <f>HYPERLINK("https://my.pitchbook.com?c=471597-22","View Company Online")</f>
      </c>
    </row>
    <row r="745">
      <c r="A745" s="30" t="s">
        <v>15229</v>
      </c>
      <c r="B745" s="30" t="s">
        <v>15230</v>
      </c>
      <c r="C745" s="31" t="s">
        <v>151</v>
      </c>
      <c r="D745" s="30" t="s">
        <v>151</v>
      </c>
      <c r="E745" s="30" t="s">
        <v>15231</v>
      </c>
      <c r="F745" s="30" t="s">
        <v>15232</v>
      </c>
      <c r="G745" s="30" t="s">
        <v>151</v>
      </c>
      <c r="H745" s="30" t="s">
        <v>151</v>
      </c>
      <c r="I745" s="30" t="s">
        <v>15233</v>
      </c>
      <c r="J745" s="30" t="s">
        <v>15229</v>
      </c>
      <c r="K745" s="30" t="s">
        <v>15234</v>
      </c>
      <c r="L745" s="30" t="s">
        <v>205</v>
      </c>
      <c r="M745" s="30" t="s">
        <v>206</v>
      </c>
      <c r="N745" s="30" t="s">
        <v>269</v>
      </c>
      <c r="O745" s="30" t="s">
        <v>3558</v>
      </c>
      <c r="P745" s="30" t="s">
        <v>304</v>
      </c>
      <c r="Q745" s="30" t="s">
        <v>15235</v>
      </c>
      <c r="R745" s="30" t="s">
        <v>151</v>
      </c>
      <c r="S745" s="30" t="s">
        <v>162</v>
      </c>
      <c r="T745" s="37">
        <v>1</v>
      </c>
      <c r="U745" s="30" t="s">
        <v>163</v>
      </c>
      <c r="V745" s="30" t="s">
        <v>164</v>
      </c>
      <c r="W745" s="30" t="s">
        <v>165</v>
      </c>
      <c r="X745" s="28" t="s">
        <v>15236</v>
      </c>
      <c r="Y745" s="28" t="s">
        <v>15237</v>
      </c>
      <c r="Z745" s="40">
        <v>8</v>
      </c>
      <c r="AA745" s="30" t="s">
        <v>15238</v>
      </c>
      <c r="AB745" s="30" t="s">
        <v>151</v>
      </c>
      <c r="AC745" s="30" t="s">
        <v>151</v>
      </c>
      <c r="AD745" s="39">
        <v>2022</v>
      </c>
      <c r="AE745" s="30" t="s">
        <v>151</v>
      </c>
      <c r="AF745" s="35">
        <v>45586</v>
      </c>
      <c r="AG745" s="30" t="s">
        <v>151</v>
      </c>
      <c r="AH745" s="30" t="s">
        <v>151</v>
      </c>
      <c r="AI745" s="38" t="s">
        <v>151</v>
      </c>
      <c r="AJ745" s="32" t="s">
        <v>151</v>
      </c>
      <c r="AK745" s="38" t="s">
        <v>151</v>
      </c>
      <c r="AL745" s="38" t="s">
        <v>151</v>
      </c>
      <c r="AM745" s="38" t="s">
        <v>151</v>
      </c>
      <c r="AN745" s="38" t="s">
        <v>151</v>
      </c>
      <c r="AO745" s="38" t="s">
        <v>151</v>
      </c>
      <c r="AP745" s="38" t="s">
        <v>151</v>
      </c>
      <c r="AQ745" s="38" t="s">
        <v>151</v>
      </c>
      <c r="AR745" s="29" t="s">
        <v>151</v>
      </c>
      <c r="AS745" s="30" t="s">
        <v>15239</v>
      </c>
      <c r="AT745" s="30" t="s">
        <v>15240</v>
      </c>
      <c r="AU745" s="31">
        <v>12</v>
      </c>
      <c r="AV745" s="30" t="s">
        <v>151</v>
      </c>
      <c r="AW745" s="30" t="s">
        <v>151</v>
      </c>
      <c r="AX745" s="30" t="s">
        <v>151</v>
      </c>
      <c r="AY745" s="30" t="s">
        <v>15241</v>
      </c>
      <c r="AZ745" s="30" t="s">
        <v>151</v>
      </c>
      <c r="BA745" s="30" t="s">
        <v>151</v>
      </c>
      <c r="BB745" s="30" t="s">
        <v>151</v>
      </c>
      <c r="BC745" s="30" t="s">
        <v>151</v>
      </c>
      <c r="BD745" s="30" t="s">
        <v>15242</v>
      </c>
      <c r="BE745" s="30" t="s">
        <v>15243</v>
      </c>
      <c r="BF745" s="30" t="s">
        <v>3087</v>
      </c>
      <c r="BG745" s="30" t="s">
        <v>151</v>
      </c>
      <c r="BH745" s="30" t="s">
        <v>151</v>
      </c>
      <c r="BI745" s="30" t="s">
        <v>764</v>
      </c>
      <c r="BJ745" s="30" t="s">
        <v>15244</v>
      </c>
      <c r="BK745" s="30" t="s">
        <v>1832</v>
      </c>
      <c r="BL745" s="30" t="s">
        <v>767</v>
      </c>
      <c r="BM745" s="30" t="s">
        <v>184</v>
      </c>
      <c r="BN745" s="29" t="s">
        <v>10913</v>
      </c>
      <c r="BO745" s="30" t="s">
        <v>186</v>
      </c>
      <c r="BP745" s="29" t="s">
        <v>151</v>
      </c>
      <c r="BQ745" s="29" t="s">
        <v>151</v>
      </c>
      <c r="BR745" s="30" t="s">
        <v>151</v>
      </c>
      <c r="BS745" s="30" t="s">
        <v>187</v>
      </c>
      <c r="BT745" s="30" t="s">
        <v>188</v>
      </c>
      <c r="BU745" s="35">
        <v>44835</v>
      </c>
      <c r="BV745" s="37">
        <v>1</v>
      </c>
      <c r="BW745" s="30" t="s">
        <v>192</v>
      </c>
      <c r="BX745" s="37">
        <v>8</v>
      </c>
      <c r="BY745" s="30" t="s">
        <v>192</v>
      </c>
      <c r="BZ745" s="30" t="s">
        <v>231</v>
      </c>
      <c r="CA745" s="30" t="s">
        <v>151</v>
      </c>
      <c r="CB745" s="30" t="s">
        <v>151</v>
      </c>
      <c r="CC745" s="30" t="s">
        <v>165</v>
      </c>
      <c r="CD745" s="30" t="s">
        <v>151</v>
      </c>
      <c r="CE745" s="30" t="s">
        <v>191</v>
      </c>
      <c r="CF745" s="35">
        <v>45170</v>
      </c>
      <c r="CG745" s="37" t="s">
        <v>151</v>
      </c>
      <c r="CH745" s="30" t="s">
        <v>151</v>
      </c>
      <c r="CI745" s="37" t="s">
        <v>151</v>
      </c>
      <c r="CJ745" s="30" t="s">
        <v>151</v>
      </c>
      <c r="CK745" s="29" t="s">
        <v>151</v>
      </c>
      <c r="CL745" s="30" t="s">
        <v>231</v>
      </c>
      <c r="CM745" s="30" t="s">
        <v>151</v>
      </c>
      <c r="CN745" s="30" t="s">
        <v>151</v>
      </c>
      <c r="CO745" s="30" t="s">
        <v>165</v>
      </c>
      <c r="CP745" s="35">
        <v>45170</v>
      </c>
      <c r="CQ745" s="37" t="s">
        <v>151</v>
      </c>
      <c r="CR745" s="30" t="s">
        <v>151</v>
      </c>
      <c r="CS745" s="30" t="s">
        <v>191</v>
      </c>
      <c r="CT745" s="29">
        <v>40</v>
      </c>
      <c r="CU745" s="30" t="s">
        <v>263</v>
      </c>
      <c r="CV745" s="32">
        <v>40</v>
      </c>
      <c r="CW745" s="32">
        <v>60</v>
      </c>
      <c r="CX745" s="30" t="s">
        <v>263</v>
      </c>
      <c r="CY745" s="32">
        <v>1</v>
      </c>
      <c r="CZ745" s="32">
        <v>39</v>
      </c>
      <c r="DA745" s="37">
        <v>8</v>
      </c>
      <c r="DB745" s="35">
        <v>44835</v>
      </c>
      <c r="DC745" s="30" t="s">
        <v>231</v>
      </c>
      <c r="DD745" s="29" t="s">
        <v>151</v>
      </c>
      <c r="DE745" s="32">
        <v>0</v>
      </c>
      <c r="DF745" s="34">
        <v>11</v>
      </c>
      <c r="DG745" s="32">
        <v>0</v>
      </c>
      <c r="DH745" s="32">
        <v>0</v>
      </c>
      <c r="DI745" s="32">
        <v>0</v>
      </c>
      <c r="DJ745" s="34">
        <v>10</v>
      </c>
      <c r="DK745" s="32" t="s">
        <v>151</v>
      </c>
      <c r="DL745" s="34" t="s">
        <v>151</v>
      </c>
      <c r="DM745" s="32">
        <v>0</v>
      </c>
      <c r="DN745" s="34">
        <v>10</v>
      </c>
      <c r="DO745" s="36">
        <v>1.76</v>
      </c>
      <c r="DP745" s="34">
        <v>63</v>
      </c>
      <c r="DQ745" s="36">
        <v>0</v>
      </c>
      <c r="DR745" s="32">
        <v>0</v>
      </c>
      <c r="DS745" s="36">
        <v>2.89</v>
      </c>
      <c r="DT745" s="34">
        <v>73</v>
      </c>
      <c r="DU745" s="36" t="s">
        <v>151</v>
      </c>
      <c r="DV745" s="34" t="s">
        <v>151</v>
      </c>
      <c r="DW745" s="36">
        <v>2.89</v>
      </c>
      <c r="DX745" s="34">
        <v>73</v>
      </c>
      <c r="DY745" s="31" t="s">
        <v>151</v>
      </c>
      <c r="DZ745" s="35" t="s">
        <v>151</v>
      </c>
      <c r="EA745" s="35" t="s">
        <v>151</v>
      </c>
      <c r="EB745" s="34">
        <v>969</v>
      </c>
      <c r="EC745" s="33">
        <v>62</v>
      </c>
      <c r="ED745" s="32">
        <v>6.84</v>
      </c>
      <c r="EE745" s="34">
        <v>55</v>
      </c>
      <c r="EF745" s="33">
        <v>1</v>
      </c>
      <c r="EG745" s="32">
        <v>1.85</v>
      </c>
      <c r="EH745" s="29" t="s">
        <v>198</v>
      </c>
      <c r="EI745" s="30" t="s">
        <v>151</v>
      </c>
      <c r="EJ745" s="30" t="s">
        <v>151</v>
      </c>
      <c r="EK745" s="31" t="s">
        <v>151</v>
      </c>
      <c r="EL745" s="31" t="s">
        <v>151</v>
      </c>
      <c r="EM745" s="31" t="s">
        <v>151</v>
      </c>
      <c r="EN745" s="31" t="s">
        <v>151</v>
      </c>
      <c r="EO745" s="31" t="s">
        <v>151</v>
      </c>
      <c r="EP745" s="30" t="s">
        <v>151</v>
      </c>
      <c r="EQ745" s="29" t="s">
        <v>151</v>
      </c>
      <c r="ER745" s="29" t="s">
        <v>151</v>
      </c>
      <c r="ES745" s="4">
        <f>HYPERLINK("https://my.pitchbook.com?c=515651-59","View Company Online")</f>
      </c>
    </row>
    <row r="746">
      <c r="A746" s="17" t="s">
        <v>15245</v>
      </c>
      <c r="B746" s="17" t="s">
        <v>15246</v>
      </c>
      <c r="C746" s="18" t="s">
        <v>151</v>
      </c>
      <c r="D746" s="17" t="s">
        <v>151</v>
      </c>
      <c r="E746" s="17" t="s">
        <v>15247</v>
      </c>
      <c r="F746" s="17" t="s">
        <v>15248</v>
      </c>
      <c r="G746" s="17" t="s">
        <v>151</v>
      </c>
      <c r="H746" s="17" t="s">
        <v>151</v>
      </c>
      <c r="I746" s="17" t="s">
        <v>15249</v>
      </c>
      <c r="J746" s="17" t="s">
        <v>15245</v>
      </c>
      <c r="K746" s="17" t="s">
        <v>15250</v>
      </c>
      <c r="L746" s="17" t="s">
        <v>205</v>
      </c>
      <c r="M746" s="17" t="s">
        <v>206</v>
      </c>
      <c r="N746" s="17" t="s">
        <v>269</v>
      </c>
      <c r="O746" s="17" t="s">
        <v>15251</v>
      </c>
      <c r="P746" s="17" t="s">
        <v>15252</v>
      </c>
      <c r="Q746" s="17" t="s">
        <v>15253</v>
      </c>
      <c r="R746" s="17" t="s">
        <v>151</v>
      </c>
      <c r="S746" s="17" t="s">
        <v>162</v>
      </c>
      <c r="T746" s="24">
        <v>7.58</v>
      </c>
      <c r="U746" s="17" t="s">
        <v>163</v>
      </c>
      <c r="V746" s="17" t="s">
        <v>164</v>
      </c>
      <c r="W746" s="17" t="s">
        <v>165</v>
      </c>
      <c r="X746" s="15" t="s">
        <v>15254</v>
      </c>
      <c r="Y746" s="15" t="s">
        <v>15255</v>
      </c>
      <c r="Z746" s="27">
        <v>34</v>
      </c>
      <c r="AA746" s="17" t="s">
        <v>15256</v>
      </c>
      <c r="AB746" s="17" t="s">
        <v>151</v>
      </c>
      <c r="AC746" s="17" t="s">
        <v>151</v>
      </c>
      <c r="AD746" s="26">
        <v>2020</v>
      </c>
      <c r="AE746" s="17" t="s">
        <v>151</v>
      </c>
      <c r="AF746" s="22">
        <v>45607</v>
      </c>
      <c r="AG746" s="17" t="s">
        <v>151</v>
      </c>
      <c r="AH746" s="17" t="s">
        <v>151</v>
      </c>
      <c r="AI746" s="25" t="s">
        <v>151</v>
      </c>
      <c r="AJ746" s="19" t="s">
        <v>151</v>
      </c>
      <c r="AK746" s="25" t="s">
        <v>151</v>
      </c>
      <c r="AL746" s="25" t="s">
        <v>151</v>
      </c>
      <c r="AM746" s="25" t="s">
        <v>151</v>
      </c>
      <c r="AN746" s="25" t="s">
        <v>151</v>
      </c>
      <c r="AO746" s="25" t="s">
        <v>151</v>
      </c>
      <c r="AP746" s="25" t="s">
        <v>151</v>
      </c>
      <c r="AQ746" s="25" t="s">
        <v>151</v>
      </c>
      <c r="AR746" s="16" t="s">
        <v>151</v>
      </c>
      <c r="AS746" s="17" t="s">
        <v>15257</v>
      </c>
      <c r="AT746" s="17" t="s">
        <v>15258</v>
      </c>
      <c r="AU746" s="18">
        <v>20</v>
      </c>
      <c r="AV746" s="17" t="s">
        <v>151</v>
      </c>
      <c r="AW746" s="17" t="s">
        <v>151</v>
      </c>
      <c r="AX746" s="17" t="s">
        <v>151</v>
      </c>
      <c r="AY746" s="17" t="s">
        <v>15259</v>
      </c>
      <c r="AZ746" s="17" t="s">
        <v>151</v>
      </c>
      <c r="BA746" s="17" t="s">
        <v>151</v>
      </c>
      <c r="BB746" s="17" t="s">
        <v>151</v>
      </c>
      <c r="BC746" s="17" t="s">
        <v>490</v>
      </c>
      <c r="BD746" s="17" t="s">
        <v>15260</v>
      </c>
      <c r="BE746" s="17" t="s">
        <v>15261</v>
      </c>
      <c r="BF746" s="17" t="s">
        <v>493</v>
      </c>
      <c r="BG746" s="17" t="s">
        <v>15262</v>
      </c>
      <c r="BH746" s="17" t="s">
        <v>15263</v>
      </c>
      <c r="BI746" s="17" t="s">
        <v>906</v>
      </c>
      <c r="BJ746" s="17" t="s">
        <v>15264</v>
      </c>
      <c r="BK746" s="17" t="s">
        <v>151</v>
      </c>
      <c r="BL746" s="17" t="s">
        <v>259</v>
      </c>
      <c r="BM746" s="17" t="s">
        <v>259</v>
      </c>
      <c r="BN746" s="16" t="s">
        <v>4398</v>
      </c>
      <c r="BO746" s="17" t="s">
        <v>186</v>
      </c>
      <c r="BP746" s="16" t="s">
        <v>15263</v>
      </c>
      <c r="BQ746" s="16" t="s">
        <v>151</v>
      </c>
      <c r="BR746" s="17" t="s">
        <v>15265</v>
      </c>
      <c r="BS746" s="17" t="s">
        <v>187</v>
      </c>
      <c r="BT746" s="17" t="s">
        <v>188</v>
      </c>
      <c r="BU746" s="22">
        <v>44502</v>
      </c>
      <c r="BV746" s="24">
        <v>2.5</v>
      </c>
      <c r="BW746" s="17" t="s">
        <v>192</v>
      </c>
      <c r="BX746" s="24">
        <v>12.5</v>
      </c>
      <c r="BY746" s="17" t="s">
        <v>192</v>
      </c>
      <c r="BZ746" s="17" t="s">
        <v>293</v>
      </c>
      <c r="CA746" s="17" t="s">
        <v>293</v>
      </c>
      <c r="CB746" s="17" t="s">
        <v>151</v>
      </c>
      <c r="CC746" s="17" t="s">
        <v>165</v>
      </c>
      <c r="CD746" s="17" t="s">
        <v>151</v>
      </c>
      <c r="CE746" s="17" t="s">
        <v>191</v>
      </c>
      <c r="CF746" s="22">
        <v>45349</v>
      </c>
      <c r="CG746" s="24">
        <v>3</v>
      </c>
      <c r="CH746" s="17" t="s">
        <v>192</v>
      </c>
      <c r="CI746" s="24" t="s">
        <v>151</v>
      </c>
      <c r="CJ746" s="17" t="s">
        <v>151</v>
      </c>
      <c r="CK746" s="16" t="s">
        <v>151</v>
      </c>
      <c r="CL746" s="17" t="s">
        <v>231</v>
      </c>
      <c r="CM746" s="17" t="s">
        <v>151</v>
      </c>
      <c r="CN746" s="17" t="s">
        <v>151</v>
      </c>
      <c r="CO746" s="17" t="s">
        <v>165</v>
      </c>
      <c r="CP746" s="22">
        <v>45349</v>
      </c>
      <c r="CQ746" s="24" t="s">
        <v>151</v>
      </c>
      <c r="CR746" s="17" t="s">
        <v>151</v>
      </c>
      <c r="CS746" s="17" t="s">
        <v>191</v>
      </c>
      <c r="CT746" s="16">
        <v>77</v>
      </c>
      <c r="CU746" s="17" t="s">
        <v>196</v>
      </c>
      <c r="CV746" s="19">
        <v>71</v>
      </c>
      <c r="CW746" s="19">
        <v>29</v>
      </c>
      <c r="CX746" s="17" t="s">
        <v>294</v>
      </c>
      <c r="CY746" s="19">
        <v>1</v>
      </c>
      <c r="CZ746" s="19">
        <v>70</v>
      </c>
      <c r="DA746" s="24">
        <v>12.5</v>
      </c>
      <c r="DB746" s="22">
        <v>44502</v>
      </c>
      <c r="DC746" s="17" t="s">
        <v>293</v>
      </c>
      <c r="DD746" s="16" t="s">
        <v>151</v>
      </c>
      <c r="DE746" s="19">
        <v>0.19</v>
      </c>
      <c r="DF746" s="21">
        <v>91</v>
      </c>
      <c r="DG746" s="19">
        <v>0</v>
      </c>
      <c r="DH746" s="19">
        <v>0</v>
      </c>
      <c r="DI746" s="19">
        <v>0</v>
      </c>
      <c r="DJ746" s="21">
        <v>10</v>
      </c>
      <c r="DK746" s="19" t="s">
        <v>151</v>
      </c>
      <c r="DL746" s="21" t="s">
        <v>151</v>
      </c>
      <c r="DM746" s="19">
        <v>0</v>
      </c>
      <c r="DN746" s="21">
        <v>10</v>
      </c>
      <c r="DO746" s="23">
        <v>2.62</v>
      </c>
      <c r="DP746" s="21">
        <v>72</v>
      </c>
      <c r="DQ746" s="23">
        <v>0</v>
      </c>
      <c r="DR746" s="19">
        <v>0</v>
      </c>
      <c r="DS746" s="23">
        <v>2.63</v>
      </c>
      <c r="DT746" s="21">
        <v>72</v>
      </c>
      <c r="DU746" s="23" t="s">
        <v>151</v>
      </c>
      <c r="DV746" s="21" t="s">
        <v>151</v>
      </c>
      <c r="DW746" s="23">
        <v>2.63</v>
      </c>
      <c r="DX746" s="21">
        <v>71</v>
      </c>
      <c r="DY746" s="18" t="s">
        <v>151</v>
      </c>
      <c r="DZ746" s="22" t="s">
        <v>151</v>
      </c>
      <c r="EA746" s="22" t="s">
        <v>151</v>
      </c>
      <c r="EB746" s="21">
        <v>2023</v>
      </c>
      <c r="EC746" s="20">
        <v>388</v>
      </c>
      <c r="ED746" s="19">
        <v>23.73</v>
      </c>
      <c r="EE746" s="21">
        <v>50</v>
      </c>
      <c r="EF746" s="20">
        <v>0</v>
      </c>
      <c r="EG746" s="19">
        <v>0</v>
      </c>
      <c r="EH746" s="16" t="s">
        <v>198</v>
      </c>
      <c r="EI746" s="17" t="s">
        <v>151</v>
      </c>
      <c r="EJ746" s="17" t="s">
        <v>151</v>
      </c>
      <c r="EK746" s="18" t="s">
        <v>151</v>
      </c>
      <c r="EL746" s="18" t="s">
        <v>151</v>
      </c>
      <c r="EM746" s="18" t="s">
        <v>151</v>
      </c>
      <c r="EN746" s="18" t="s">
        <v>151</v>
      </c>
      <c r="EO746" s="18" t="s">
        <v>151</v>
      </c>
      <c r="EP746" s="17" t="s">
        <v>151</v>
      </c>
      <c r="EQ746" s="16" t="s">
        <v>151</v>
      </c>
      <c r="ER746" s="16" t="s">
        <v>151</v>
      </c>
      <c r="ES746" s="3">
        <f>HYPERLINK("https://my.pitchbook.com?c=466174-63","View Company Online")</f>
      </c>
    </row>
    <row r="747">
      <c r="A747" s="30" t="s">
        <v>15266</v>
      </c>
      <c r="B747" s="30" t="s">
        <v>15267</v>
      </c>
      <c r="C747" s="31" t="s">
        <v>151</v>
      </c>
      <c r="D747" s="30" t="s">
        <v>15268</v>
      </c>
      <c r="E747" s="30" t="s">
        <v>15269</v>
      </c>
      <c r="F747" s="30" t="s">
        <v>15270</v>
      </c>
      <c r="G747" s="30" t="s">
        <v>151</v>
      </c>
      <c r="H747" s="30" t="s">
        <v>151</v>
      </c>
      <c r="I747" s="30" t="s">
        <v>15271</v>
      </c>
      <c r="J747" s="30" t="s">
        <v>15266</v>
      </c>
      <c r="K747" s="30" t="s">
        <v>15272</v>
      </c>
      <c r="L747" s="30" t="s">
        <v>155</v>
      </c>
      <c r="M747" s="30" t="s">
        <v>361</v>
      </c>
      <c r="N747" s="30" t="s">
        <v>362</v>
      </c>
      <c r="O747" s="30" t="s">
        <v>15273</v>
      </c>
      <c r="P747" s="30" t="s">
        <v>15274</v>
      </c>
      <c r="Q747" s="30" t="s">
        <v>15275</v>
      </c>
      <c r="R747" s="30" t="s">
        <v>151</v>
      </c>
      <c r="S747" s="30" t="s">
        <v>162</v>
      </c>
      <c r="T747" s="37">
        <v>23.98</v>
      </c>
      <c r="U747" s="30" t="s">
        <v>163</v>
      </c>
      <c r="V747" s="30" t="s">
        <v>164</v>
      </c>
      <c r="W747" s="30" t="s">
        <v>165</v>
      </c>
      <c r="X747" s="28" t="s">
        <v>15276</v>
      </c>
      <c r="Y747" s="28" t="s">
        <v>15277</v>
      </c>
      <c r="Z747" s="40">
        <v>31</v>
      </c>
      <c r="AA747" s="30" t="s">
        <v>15278</v>
      </c>
      <c r="AB747" s="30" t="s">
        <v>151</v>
      </c>
      <c r="AC747" s="30" t="s">
        <v>151</v>
      </c>
      <c r="AD747" s="39">
        <v>2021</v>
      </c>
      <c r="AE747" s="30" t="s">
        <v>151</v>
      </c>
      <c r="AF747" s="35">
        <v>45559</v>
      </c>
      <c r="AG747" s="30" t="s">
        <v>151</v>
      </c>
      <c r="AH747" s="30" t="s">
        <v>151</v>
      </c>
      <c r="AI747" s="38" t="s">
        <v>151</v>
      </c>
      <c r="AJ747" s="32" t="s">
        <v>151</v>
      </c>
      <c r="AK747" s="38" t="s">
        <v>151</v>
      </c>
      <c r="AL747" s="38" t="s">
        <v>151</v>
      </c>
      <c r="AM747" s="38" t="s">
        <v>151</v>
      </c>
      <c r="AN747" s="38" t="s">
        <v>151</v>
      </c>
      <c r="AO747" s="38" t="s">
        <v>151</v>
      </c>
      <c r="AP747" s="38" t="s">
        <v>151</v>
      </c>
      <c r="AQ747" s="38" t="s">
        <v>151</v>
      </c>
      <c r="AR747" s="29" t="s">
        <v>151</v>
      </c>
      <c r="AS747" s="30" t="s">
        <v>15279</v>
      </c>
      <c r="AT747" s="30" t="s">
        <v>15280</v>
      </c>
      <c r="AU747" s="31">
        <v>14</v>
      </c>
      <c r="AV747" s="30" t="s">
        <v>151</v>
      </c>
      <c r="AW747" s="30" t="s">
        <v>151</v>
      </c>
      <c r="AX747" s="30" t="s">
        <v>151</v>
      </c>
      <c r="AY747" s="30" t="s">
        <v>15281</v>
      </c>
      <c r="AZ747" s="30" t="s">
        <v>151</v>
      </c>
      <c r="BA747" s="30" t="s">
        <v>151</v>
      </c>
      <c r="BB747" s="30" t="s">
        <v>151</v>
      </c>
      <c r="BC747" s="30" t="s">
        <v>4213</v>
      </c>
      <c r="BD747" s="30" t="s">
        <v>15282</v>
      </c>
      <c r="BE747" s="30" t="s">
        <v>15283</v>
      </c>
      <c r="BF747" s="30" t="s">
        <v>493</v>
      </c>
      <c r="BG747" s="30" t="s">
        <v>15284</v>
      </c>
      <c r="BH747" s="30" t="s">
        <v>15285</v>
      </c>
      <c r="BI747" s="30" t="s">
        <v>906</v>
      </c>
      <c r="BJ747" s="30" t="s">
        <v>15286</v>
      </c>
      <c r="BK747" s="30" t="s">
        <v>151</v>
      </c>
      <c r="BL747" s="30" t="s">
        <v>259</v>
      </c>
      <c r="BM747" s="30" t="s">
        <v>259</v>
      </c>
      <c r="BN747" s="29" t="s">
        <v>5051</v>
      </c>
      <c r="BO747" s="30" t="s">
        <v>186</v>
      </c>
      <c r="BP747" s="29" t="s">
        <v>15287</v>
      </c>
      <c r="BQ747" s="29" t="s">
        <v>151</v>
      </c>
      <c r="BR747" s="30" t="s">
        <v>151</v>
      </c>
      <c r="BS747" s="30" t="s">
        <v>187</v>
      </c>
      <c r="BT747" s="30" t="s">
        <v>188</v>
      </c>
      <c r="BU747" s="35">
        <v>44588</v>
      </c>
      <c r="BV747" s="37">
        <v>1</v>
      </c>
      <c r="BW747" s="30" t="s">
        <v>192</v>
      </c>
      <c r="BX747" s="37" t="s">
        <v>151</v>
      </c>
      <c r="BY747" s="30" t="s">
        <v>151</v>
      </c>
      <c r="BZ747" s="30" t="s">
        <v>293</v>
      </c>
      <c r="CA747" s="30" t="s">
        <v>293</v>
      </c>
      <c r="CB747" s="30" t="s">
        <v>151</v>
      </c>
      <c r="CC747" s="30" t="s">
        <v>165</v>
      </c>
      <c r="CD747" s="30" t="s">
        <v>151</v>
      </c>
      <c r="CE747" s="30" t="s">
        <v>191</v>
      </c>
      <c r="CF747" s="35">
        <v>45275</v>
      </c>
      <c r="CG747" s="37">
        <v>4.03</v>
      </c>
      <c r="CH747" s="30" t="s">
        <v>192</v>
      </c>
      <c r="CI747" s="37" t="s">
        <v>151</v>
      </c>
      <c r="CJ747" s="30" t="s">
        <v>151</v>
      </c>
      <c r="CK747" s="29" t="s">
        <v>151</v>
      </c>
      <c r="CL747" s="30" t="s">
        <v>231</v>
      </c>
      <c r="CM747" s="30" t="s">
        <v>151</v>
      </c>
      <c r="CN747" s="30" t="s">
        <v>151</v>
      </c>
      <c r="CO747" s="30" t="s">
        <v>165</v>
      </c>
      <c r="CP747" s="35">
        <v>45275</v>
      </c>
      <c r="CQ747" s="37" t="s">
        <v>151</v>
      </c>
      <c r="CR747" s="30" t="s">
        <v>151</v>
      </c>
      <c r="CS747" s="30" t="s">
        <v>191</v>
      </c>
      <c r="CT747" s="29">
        <v>73</v>
      </c>
      <c r="CU747" s="30" t="s">
        <v>196</v>
      </c>
      <c r="CV747" s="32">
        <v>67</v>
      </c>
      <c r="CW747" s="32">
        <v>33</v>
      </c>
      <c r="CX747" s="30" t="s">
        <v>294</v>
      </c>
      <c r="CY747" s="32">
        <v>3</v>
      </c>
      <c r="CZ747" s="32">
        <v>64</v>
      </c>
      <c r="DA747" s="37">
        <v>45</v>
      </c>
      <c r="DB747" s="35">
        <v>44991</v>
      </c>
      <c r="DC747" s="30" t="s">
        <v>293</v>
      </c>
      <c r="DD747" s="29" t="s">
        <v>151</v>
      </c>
      <c r="DE747" s="32">
        <v>1.12</v>
      </c>
      <c r="DF747" s="34">
        <v>96</v>
      </c>
      <c r="DG747" s="32">
        <v>0</v>
      </c>
      <c r="DH747" s="32">
        <v>0</v>
      </c>
      <c r="DI747" s="32">
        <v>0</v>
      </c>
      <c r="DJ747" s="34">
        <v>10</v>
      </c>
      <c r="DK747" s="32" t="s">
        <v>151</v>
      </c>
      <c r="DL747" s="34" t="s">
        <v>151</v>
      </c>
      <c r="DM747" s="32">
        <v>0</v>
      </c>
      <c r="DN747" s="34">
        <v>10</v>
      </c>
      <c r="DO747" s="36">
        <v>3.35</v>
      </c>
      <c r="DP747" s="34">
        <v>76</v>
      </c>
      <c r="DQ747" s="36">
        <v>0</v>
      </c>
      <c r="DR747" s="32">
        <v>0</v>
      </c>
      <c r="DS747" s="36">
        <v>4.32</v>
      </c>
      <c r="DT747" s="34">
        <v>80</v>
      </c>
      <c r="DU747" s="36" t="s">
        <v>151</v>
      </c>
      <c r="DV747" s="34" t="s">
        <v>151</v>
      </c>
      <c r="DW747" s="36">
        <v>4.32</v>
      </c>
      <c r="DX747" s="34">
        <v>80</v>
      </c>
      <c r="DY747" s="31" t="s">
        <v>151</v>
      </c>
      <c r="DZ747" s="35" t="s">
        <v>151</v>
      </c>
      <c r="EA747" s="35" t="s">
        <v>151</v>
      </c>
      <c r="EB747" s="34">
        <v>383</v>
      </c>
      <c r="EC747" s="33">
        <v>76</v>
      </c>
      <c r="ED747" s="32">
        <v>24.76</v>
      </c>
      <c r="EE747" s="34">
        <v>82</v>
      </c>
      <c r="EF747" s="33">
        <v>0</v>
      </c>
      <c r="EG747" s="32">
        <v>0</v>
      </c>
      <c r="EH747" s="29" t="s">
        <v>198</v>
      </c>
      <c r="EI747" s="30" t="s">
        <v>151</v>
      </c>
      <c r="EJ747" s="30" t="s">
        <v>151</v>
      </c>
      <c r="EK747" s="31" t="s">
        <v>151</v>
      </c>
      <c r="EL747" s="31" t="s">
        <v>151</v>
      </c>
      <c r="EM747" s="31" t="s">
        <v>151</v>
      </c>
      <c r="EN747" s="31" t="s">
        <v>151</v>
      </c>
      <c r="EO747" s="31" t="s">
        <v>151</v>
      </c>
      <c r="EP747" s="30" t="s">
        <v>151</v>
      </c>
      <c r="EQ747" s="29" t="s">
        <v>151</v>
      </c>
      <c r="ER747" s="29" t="s">
        <v>151</v>
      </c>
      <c r="ES747" s="4">
        <f>HYPERLINK("https://my.pitchbook.com?c=490050-91","View Company Online")</f>
      </c>
    </row>
    <row r="748">
      <c r="A748" s="17" t="s">
        <v>15288</v>
      </c>
      <c r="B748" s="17" t="s">
        <v>15289</v>
      </c>
      <c r="C748" s="18" t="s">
        <v>151</v>
      </c>
      <c r="D748" s="17" t="s">
        <v>15290</v>
      </c>
      <c r="E748" s="17" t="s">
        <v>151</v>
      </c>
      <c r="F748" s="17" t="s">
        <v>15291</v>
      </c>
      <c r="G748" s="17" t="s">
        <v>151</v>
      </c>
      <c r="H748" s="17" t="s">
        <v>151</v>
      </c>
      <c r="I748" s="17" t="s">
        <v>151</v>
      </c>
      <c r="J748" s="17" t="s">
        <v>15288</v>
      </c>
      <c r="K748" s="17" t="s">
        <v>15292</v>
      </c>
      <c r="L748" s="17" t="s">
        <v>205</v>
      </c>
      <c r="M748" s="17" t="s">
        <v>206</v>
      </c>
      <c r="N748" s="17" t="s">
        <v>776</v>
      </c>
      <c r="O748" s="17" t="s">
        <v>2749</v>
      </c>
      <c r="P748" s="17" t="s">
        <v>2640</v>
      </c>
      <c r="Q748" s="17" t="s">
        <v>15293</v>
      </c>
      <c r="R748" s="17" t="s">
        <v>151</v>
      </c>
      <c r="S748" s="17" t="s">
        <v>162</v>
      </c>
      <c r="T748" s="24">
        <v>1.22</v>
      </c>
      <c r="U748" s="17" t="s">
        <v>163</v>
      </c>
      <c r="V748" s="17" t="s">
        <v>164</v>
      </c>
      <c r="W748" s="17" t="s">
        <v>165</v>
      </c>
      <c r="X748" s="15" t="s">
        <v>15294</v>
      </c>
      <c r="Y748" s="15" t="s">
        <v>15295</v>
      </c>
      <c r="Z748" s="27">
        <v>13</v>
      </c>
      <c r="AA748" s="17" t="s">
        <v>15296</v>
      </c>
      <c r="AB748" s="17" t="s">
        <v>151</v>
      </c>
      <c r="AC748" s="17" t="s">
        <v>151</v>
      </c>
      <c r="AD748" s="26">
        <v>2020</v>
      </c>
      <c r="AE748" s="17" t="s">
        <v>151</v>
      </c>
      <c r="AF748" s="22">
        <v>45609</v>
      </c>
      <c r="AG748" s="17" t="s">
        <v>151</v>
      </c>
      <c r="AH748" s="17" t="s">
        <v>151</v>
      </c>
      <c r="AI748" s="25" t="s">
        <v>151</v>
      </c>
      <c r="AJ748" s="19" t="s">
        <v>151</v>
      </c>
      <c r="AK748" s="25" t="s">
        <v>151</v>
      </c>
      <c r="AL748" s="25" t="s">
        <v>151</v>
      </c>
      <c r="AM748" s="25" t="s">
        <v>151</v>
      </c>
      <c r="AN748" s="25" t="s">
        <v>151</v>
      </c>
      <c r="AO748" s="25" t="s">
        <v>151</v>
      </c>
      <c r="AP748" s="25" t="s">
        <v>151</v>
      </c>
      <c r="AQ748" s="25" t="s">
        <v>151</v>
      </c>
      <c r="AR748" s="16" t="s">
        <v>151</v>
      </c>
      <c r="AS748" s="17" t="s">
        <v>15297</v>
      </c>
      <c r="AT748" s="17" t="s">
        <v>15298</v>
      </c>
      <c r="AU748" s="18">
        <v>14</v>
      </c>
      <c r="AV748" s="17" t="s">
        <v>151</v>
      </c>
      <c r="AW748" s="17" t="s">
        <v>151</v>
      </c>
      <c r="AX748" s="17" t="s">
        <v>151</v>
      </c>
      <c r="AY748" s="17" t="s">
        <v>15299</v>
      </c>
      <c r="AZ748" s="17" t="s">
        <v>151</v>
      </c>
      <c r="BA748" s="17" t="s">
        <v>151</v>
      </c>
      <c r="BB748" s="17" t="s">
        <v>151</v>
      </c>
      <c r="BC748" s="17" t="s">
        <v>151</v>
      </c>
      <c r="BD748" s="17" t="s">
        <v>15300</v>
      </c>
      <c r="BE748" s="17" t="s">
        <v>15301</v>
      </c>
      <c r="BF748" s="17" t="s">
        <v>12478</v>
      </c>
      <c r="BG748" s="17" t="s">
        <v>15302</v>
      </c>
      <c r="BH748" s="17" t="s">
        <v>151</v>
      </c>
      <c r="BI748" s="17" t="s">
        <v>285</v>
      </c>
      <c r="BJ748" s="17" t="s">
        <v>2677</v>
      </c>
      <c r="BK748" s="17" t="s">
        <v>2678</v>
      </c>
      <c r="BL748" s="17" t="s">
        <v>288</v>
      </c>
      <c r="BM748" s="17" t="s">
        <v>289</v>
      </c>
      <c r="BN748" s="16" t="s">
        <v>382</v>
      </c>
      <c r="BO748" s="17" t="s">
        <v>186</v>
      </c>
      <c r="BP748" s="16" t="s">
        <v>151</v>
      </c>
      <c r="BQ748" s="16" t="s">
        <v>151</v>
      </c>
      <c r="BR748" s="17" t="s">
        <v>15303</v>
      </c>
      <c r="BS748" s="17" t="s">
        <v>187</v>
      </c>
      <c r="BT748" s="17" t="s">
        <v>188</v>
      </c>
      <c r="BU748" s="22">
        <v>44508</v>
      </c>
      <c r="BV748" s="24">
        <v>0.02</v>
      </c>
      <c r="BW748" s="17" t="s">
        <v>192</v>
      </c>
      <c r="BX748" s="24">
        <v>0.33</v>
      </c>
      <c r="BY748" s="17" t="s">
        <v>192</v>
      </c>
      <c r="BZ748" s="17" t="s">
        <v>189</v>
      </c>
      <c r="CA748" s="17" t="s">
        <v>151</v>
      </c>
      <c r="CB748" s="17" t="s">
        <v>151</v>
      </c>
      <c r="CC748" s="17" t="s">
        <v>190</v>
      </c>
      <c r="CD748" s="17" t="s">
        <v>151</v>
      </c>
      <c r="CE748" s="17" t="s">
        <v>191</v>
      </c>
      <c r="CF748" s="22">
        <v>44606</v>
      </c>
      <c r="CG748" s="24">
        <v>1.2</v>
      </c>
      <c r="CH748" s="17" t="s">
        <v>192</v>
      </c>
      <c r="CI748" s="24" t="s">
        <v>151</v>
      </c>
      <c r="CJ748" s="17" t="s">
        <v>151</v>
      </c>
      <c r="CK748" s="16" t="s">
        <v>151</v>
      </c>
      <c r="CL748" s="17" t="s">
        <v>293</v>
      </c>
      <c r="CM748" s="17" t="s">
        <v>293</v>
      </c>
      <c r="CN748" s="17" t="s">
        <v>151</v>
      </c>
      <c r="CO748" s="17" t="s">
        <v>165</v>
      </c>
      <c r="CP748" s="22">
        <v>44606</v>
      </c>
      <c r="CQ748" s="24" t="s">
        <v>151</v>
      </c>
      <c r="CR748" s="17" t="s">
        <v>151</v>
      </c>
      <c r="CS748" s="17" t="s">
        <v>191</v>
      </c>
      <c r="CT748" s="16" t="s">
        <v>151</v>
      </c>
      <c r="CU748" s="17" t="s">
        <v>151</v>
      </c>
      <c r="CV748" s="19" t="s">
        <v>151</v>
      </c>
      <c r="CW748" s="19" t="s">
        <v>151</v>
      </c>
      <c r="CX748" s="17" t="s">
        <v>151</v>
      </c>
      <c r="CY748" s="19" t="s">
        <v>151</v>
      </c>
      <c r="CZ748" s="19" t="s">
        <v>151</v>
      </c>
      <c r="DA748" s="24">
        <v>0.33</v>
      </c>
      <c r="DB748" s="22">
        <v>44508</v>
      </c>
      <c r="DC748" s="17" t="s">
        <v>189</v>
      </c>
      <c r="DD748" s="16" t="s">
        <v>151</v>
      </c>
      <c r="DE748" s="19">
        <v>0.2</v>
      </c>
      <c r="DF748" s="21">
        <v>91</v>
      </c>
      <c r="DG748" s="19">
        <v>-0.19</v>
      </c>
      <c r="DH748" s="19">
        <v>-48.97</v>
      </c>
      <c r="DI748" s="19">
        <v>0.2</v>
      </c>
      <c r="DJ748" s="21">
        <v>93</v>
      </c>
      <c r="DK748" s="19" t="s">
        <v>151</v>
      </c>
      <c r="DL748" s="21" t="s">
        <v>151</v>
      </c>
      <c r="DM748" s="19">
        <v>0.2</v>
      </c>
      <c r="DN748" s="21">
        <v>93</v>
      </c>
      <c r="DO748" s="23">
        <v>56.37</v>
      </c>
      <c r="DP748" s="21">
        <v>98</v>
      </c>
      <c r="DQ748" s="23">
        <v>0</v>
      </c>
      <c r="DR748" s="19">
        <v>0</v>
      </c>
      <c r="DS748" s="23">
        <v>56.37</v>
      </c>
      <c r="DT748" s="21">
        <v>98</v>
      </c>
      <c r="DU748" s="23" t="s">
        <v>151</v>
      </c>
      <c r="DV748" s="21" t="s">
        <v>151</v>
      </c>
      <c r="DW748" s="23">
        <v>56.37</v>
      </c>
      <c r="DX748" s="21">
        <v>98</v>
      </c>
      <c r="DY748" s="18" t="s">
        <v>151</v>
      </c>
      <c r="DZ748" s="22" t="s">
        <v>151</v>
      </c>
      <c r="EA748" s="22" t="s">
        <v>151</v>
      </c>
      <c r="EB748" s="21">
        <v>18561</v>
      </c>
      <c r="EC748" s="20">
        <v>473</v>
      </c>
      <c r="ED748" s="19">
        <v>2.61</v>
      </c>
      <c r="EE748" s="21">
        <v>1071</v>
      </c>
      <c r="EF748" s="20">
        <v>0</v>
      </c>
      <c r="EG748" s="19">
        <v>0</v>
      </c>
      <c r="EH748" s="16" t="s">
        <v>198</v>
      </c>
      <c r="EI748" s="17" t="s">
        <v>151</v>
      </c>
      <c r="EJ748" s="17" t="s">
        <v>151</v>
      </c>
      <c r="EK748" s="18" t="s">
        <v>151</v>
      </c>
      <c r="EL748" s="18" t="s">
        <v>151</v>
      </c>
      <c r="EM748" s="18" t="s">
        <v>151</v>
      </c>
      <c r="EN748" s="18" t="s">
        <v>151</v>
      </c>
      <c r="EO748" s="18" t="s">
        <v>151</v>
      </c>
      <c r="EP748" s="17" t="s">
        <v>151</v>
      </c>
      <c r="EQ748" s="16" t="s">
        <v>151</v>
      </c>
      <c r="ER748" s="16" t="s">
        <v>151</v>
      </c>
      <c r="ES748" s="3">
        <f>HYPERLINK("https://my.pitchbook.com?c=484586-02","View Company Online")</f>
      </c>
    </row>
    <row r="749">
      <c r="A749" s="30" t="s">
        <v>15304</v>
      </c>
      <c r="B749" s="30" t="s">
        <v>15305</v>
      </c>
      <c r="C749" s="31" t="s">
        <v>151</v>
      </c>
      <c r="D749" s="30" t="s">
        <v>151</v>
      </c>
      <c r="E749" s="30" t="s">
        <v>15306</v>
      </c>
      <c r="F749" s="30" t="s">
        <v>15307</v>
      </c>
      <c r="G749" s="30" t="s">
        <v>151</v>
      </c>
      <c r="H749" s="30" t="s">
        <v>151</v>
      </c>
      <c r="I749" s="30" t="s">
        <v>15308</v>
      </c>
      <c r="J749" s="30" t="s">
        <v>15304</v>
      </c>
      <c r="K749" s="30" t="s">
        <v>15309</v>
      </c>
      <c r="L749" s="30" t="s">
        <v>205</v>
      </c>
      <c r="M749" s="30" t="s">
        <v>206</v>
      </c>
      <c r="N749" s="30" t="s">
        <v>269</v>
      </c>
      <c r="O749" s="30" t="s">
        <v>8880</v>
      </c>
      <c r="P749" s="30" t="s">
        <v>3250</v>
      </c>
      <c r="Q749" s="30" t="s">
        <v>15310</v>
      </c>
      <c r="R749" s="30" t="s">
        <v>151</v>
      </c>
      <c r="S749" s="30" t="s">
        <v>162</v>
      </c>
      <c r="T749" s="37">
        <v>50.15</v>
      </c>
      <c r="U749" s="30" t="s">
        <v>163</v>
      </c>
      <c r="V749" s="30" t="s">
        <v>164</v>
      </c>
      <c r="W749" s="30" t="s">
        <v>165</v>
      </c>
      <c r="X749" s="28" t="s">
        <v>15311</v>
      </c>
      <c r="Y749" s="28" t="s">
        <v>15312</v>
      </c>
      <c r="Z749" s="40">
        <v>50</v>
      </c>
      <c r="AA749" s="30" t="s">
        <v>15313</v>
      </c>
      <c r="AB749" s="30" t="s">
        <v>151</v>
      </c>
      <c r="AC749" s="30" t="s">
        <v>151</v>
      </c>
      <c r="AD749" s="39">
        <v>2019</v>
      </c>
      <c r="AE749" s="30" t="s">
        <v>151</v>
      </c>
      <c r="AF749" s="35">
        <v>45590</v>
      </c>
      <c r="AG749" s="30" t="s">
        <v>151</v>
      </c>
      <c r="AH749" s="30" t="s">
        <v>151</v>
      </c>
      <c r="AI749" s="38" t="s">
        <v>151</v>
      </c>
      <c r="AJ749" s="32" t="s">
        <v>151</v>
      </c>
      <c r="AK749" s="38" t="s">
        <v>151</v>
      </c>
      <c r="AL749" s="38" t="s">
        <v>151</v>
      </c>
      <c r="AM749" s="38" t="s">
        <v>151</v>
      </c>
      <c r="AN749" s="38" t="s">
        <v>151</v>
      </c>
      <c r="AO749" s="38" t="s">
        <v>151</v>
      </c>
      <c r="AP749" s="38" t="s">
        <v>151</v>
      </c>
      <c r="AQ749" s="38" t="s">
        <v>151</v>
      </c>
      <c r="AR749" s="29" t="s">
        <v>151</v>
      </c>
      <c r="AS749" s="30" t="s">
        <v>15314</v>
      </c>
      <c r="AT749" s="30" t="s">
        <v>15315</v>
      </c>
      <c r="AU749" s="31">
        <v>32</v>
      </c>
      <c r="AV749" s="30" t="s">
        <v>151</v>
      </c>
      <c r="AW749" s="30" t="s">
        <v>151</v>
      </c>
      <c r="AX749" s="30" t="s">
        <v>151</v>
      </c>
      <c r="AY749" s="30" t="s">
        <v>15316</v>
      </c>
      <c r="AZ749" s="30" t="s">
        <v>151</v>
      </c>
      <c r="BA749" s="30" t="s">
        <v>151</v>
      </c>
      <c r="BB749" s="30" t="s">
        <v>15317</v>
      </c>
      <c r="BC749" s="30" t="s">
        <v>15318</v>
      </c>
      <c r="BD749" s="30" t="s">
        <v>15319</v>
      </c>
      <c r="BE749" s="30" t="s">
        <v>15320</v>
      </c>
      <c r="BF749" s="30" t="s">
        <v>15321</v>
      </c>
      <c r="BG749" s="30" t="s">
        <v>15322</v>
      </c>
      <c r="BH749" s="30" t="s">
        <v>151</v>
      </c>
      <c r="BI749" s="30" t="s">
        <v>6102</v>
      </c>
      <c r="BJ749" s="30" t="s">
        <v>10699</v>
      </c>
      <c r="BK749" s="30" t="s">
        <v>15323</v>
      </c>
      <c r="BL749" s="30" t="s">
        <v>6104</v>
      </c>
      <c r="BM749" s="30" t="s">
        <v>184</v>
      </c>
      <c r="BN749" s="29" t="s">
        <v>9024</v>
      </c>
      <c r="BO749" s="30" t="s">
        <v>186</v>
      </c>
      <c r="BP749" s="29" t="s">
        <v>151</v>
      </c>
      <c r="BQ749" s="29" t="s">
        <v>151</v>
      </c>
      <c r="BR749" s="30" t="s">
        <v>15324</v>
      </c>
      <c r="BS749" s="30" t="s">
        <v>187</v>
      </c>
      <c r="BT749" s="30" t="s">
        <v>188</v>
      </c>
      <c r="BU749" s="35">
        <v>43907</v>
      </c>
      <c r="BV749" s="37">
        <v>0.15</v>
      </c>
      <c r="BW749" s="30" t="s">
        <v>192</v>
      </c>
      <c r="BX749" s="37">
        <v>2.14</v>
      </c>
      <c r="BY749" s="30" t="s">
        <v>192</v>
      </c>
      <c r="BZ749" s="30" t="s">
        <v>189</v>
      </c>
      <c r="CA749" s="30" t="s">
        <v>151</v>
      </c>
      <c r="CB749" s="30" t="s">
        <v>151</v>
      </c>
      <c r="CC749" s="30" t="s">
        <v>190</v>
      </c>
      <c r="CD749" s="30" t="s">
        <v>151</v>
      </c>
      <c r="CE749" s="30" t="s">
        <v>191</v>
      </c>
      <c r="CF749" s="35">
        <v>45352</v>
      </c>
      <c r="CG749" s="37" t="s">
        <v>151</v>
      </c>
      <c r="CH749" s="30" t="s">
        <v>151</v>
      </c>
      <c r="CI749" s="37" t="s">
        <v>151</v>
      </c>
      <c r="CJ749" s="30" t="s">
        <v>151</v>
      </c>
      <c r="CK749" s="29" t="s">
        <v>151</v>
      </c>
      <c r="CL749" s="30" t="s">
        <v>194</v>
      </c>
      <c r="CM749" s="30" t="s">
        <v>151</v>
      </c>
      <c r="CN749" s="30" t="s">
        <v>151</v>
      </c>
      <c r="CO749" s="30" t="s">
        <v>165</v>
      </c>
      <c r="CP749" s="35">
        <v>45352</v>
      </c>
      <c r="CQ749" s="37" t="s">
        <v>151</v>
      </c>
      <c r="CR749" s="30" t="s">
        <v>151</v>
      </c>
      <c r="CS749" s="30" t="s">
        <v>191</v>
      </c>
      <c r="CT749" s="29">
        <v>70</v>
      </c>
      <c r="CU749" s="30" t="s">
        <v>196</v>
      </c>
      <c r="CV749" s="32">
        <v>81</v>
      </c>
      <c r="CW749" s="32">
        <v>19</v>
      </c>
      <c r="CX749" s="30" t="s">
        <v>294</v>
      </c>
      <c r="CY749" s="32">
        <v>1</v>
      </c>
      <c r="CZ749" s="32">
        <v>80</v>
      </c>
      <c r="DA749" s="37">
        <v>255</v>
      </c>
      <c r="DB749" s="35">
        <v>44755</v>
      </c>
      <c r="DC749" s="30" t="s">
        <v>231</v>
      </c>
      <c r="DD749" s="29">
        <v>7.17</v>
      </c>
      <c r="DE749" s="32">
        <v>-1.34</v>
      </c>
      <c r="DF749" s="34">
        <v>3</v>
      </c>
      <c r="DG749" s="32">
        <v>0</v>
      </c>
      <c r="DH749" s="32">
        <v>0</v>
      </c>
      <c r="DI749" s="32">
        <v>-1.34</v>
      </c>
      <c r="DJ749" s="34">
        <v>3</v>
      </c>
      <c r="DK749" s="32">
        <v>-2.72</v>
      </c>
      <c r="DL749" s="34">
        <v>6</v>
      </c>
      <c r="DM749" s="32">
        <v>0.03</v>
      </c>
      <c r="DN749" s="34">
        <v>92</v>
      </c>
      <c r="DO749" s="36">
        <v>58.58</v>
      </c>
      <c r="DP749" s="34">
        <v>98</v>
      </c>
      <c r="DQ749" s="36">
        <v>0</v>
      </c>
      <c r="DR749" s="32">
        <v>0</v>
      </c>
      <c r="DS749" s="36">
        <v>58.58</v>
      </c>
      <c r="DT749" s="34">
        <v>98</v>
      </c>
      <c r="DU749" s="36">
        <v>79.22</v>
      </c>
      <c r="DV749" s="34">
        <v>96</v>
      </c>
      <c r="DW749" s="36">
        <v>37.95</v>
      </c>
      <c r="DX749" s="34">
        <v>97</v>
      </c>
      <c r="DY749" s="31" t="s">
        <v>151</v>
      </c>
      <c r="DZ749" s="35" t="s">
        <v>151</v>
      </c>
      <c r="EA749" s="35" t="s">
        <v>151</v>
      </c>
      <c r="EB749" s="34">
        <v>16319</v>
      </c>
      <c r="EC749" s="33">
        <v>-552</v>
      </c>
      <c r="ED749" s="32">
        <v>-3.27</v>
      </c>
      <c r="EE749" s="34">
        <v>721</v>
      </c>
      <c r="EF749" s="33">
        <v>0</v>
      </c>
      <c r="EG749" s="32">
        <v>0</v>
      </c>
      <c r="EH749" s="29" t="s">
        <v>198</v>
      </c>
      <c r="EI749" s="30" t="s">
        <v>151</v>
      </c>
      <c r="EJ749" s="30" t="s">
        <v>151</v>
      </c>
      <c r="EK749" s="31" t="s">
        <v>151</v>
      </c>
      <c r="EL749" s="31" t="s">
        <v>151</v>
      </c>
      <c r="EM749" s="31" t="s">
        <v>151</v>
      </c>
      <c r="EN749" s="31" t="s">
        <v>151</v>
      </c>
      <c r="EO749" s="31" t="s">
        <v>151</v>
      </c>
      <c r="EP749" s="30" t="s">
        <v>151</v>
      </c>
      <c r="EQ749" s="29" t="s">
        <v>151</v>
      </c>
      <c r="ER749" s="29" t="s">
        <v>151</v>
      </c>
      <c r="ES749" s="4">
        <f>HYPERLINK("https://my.pitchbook.com?c=433412-83","View Company Online")</f>
      </c>
    </row>
    <row r="750">
      <c r="A750" s="17" t="s">
        <v>15325</v>
      </c>
      <c r="B750" s="17" t="s">
        <v>15326</v>
      </c>
      <c r="C750" s="18" t="s">
        <v>151</v>
      </c>
      <c r="D750" s="17" t="s">
        <v>151</v>
      </c>
      <c r="E750" s="17" t="s">
        <v>151</v>
      </c>
      <c r="F750" s="17" t="s">
        <v>15327</v>
      </c>
      <c r="G750" s="17" t="s">
        <v>151</v>
      </c>
      <c r="H750" s="17" t="s">
        <v>151</v>
      </c>
      <c r="I750" s="17" t="s">
        <v>151</v>
      </c>
      <c r="J750" s="17" t="s">
        <v>15325</v>
      </c>
      <c r="K750" s="17" t="s">
        <v>15328</v>
      </c>
      <c r="L750" s="17" t="s">
        <v>205</v>
      </c>
      <c r="M750" s="17" t="s">
        <v>206</v>
      </c>
      <c r="N750" s="17" t="s">
        <v>269</v>
      </c>
      <c r="O750" s="17" t="s">
        <v>8880</v>
      </c>
      <c r="P750" s="17" t="s">
        <v>15329</v>
      </c>
      <c r="Q750" s="17" t="s">
        <v>15330</v>
      </c>
      <c r="R750" s="17" t="s">
        <v>151</v>
      </c>
      <c r="S750" s="17" t="s">
        <v>162</v>
      </c>
      <c r="T750" s="24">
        <v>4.6</v>
      </c>
      <c r="U750" s="17" t="s">
        <v>163</v>
      </c>
      <c r="V750" s="17" t="s">
        <v>164</v>
      </c>
      <c r="W750" s="17" t="s">
        <v>165</v>
      </c>
      <c r="X750" s="15" t="s">
        <v>15331</v>
      </c>
      <c r="Y750" s="15" t="s">
        <v>15332</v>
      </c>
      <c r="Z750" s="27">
        <v>29</v>
      </c>
      <c r="AA750" s="17" t="s">
        <v>15333</v>
      </c>
      <c r="AB750" s="17" t="s">
        <v>151</v>
      </c>
      <c r="AC750" s="17" t="s">
        <v>151</v>
      </c>
      <c r="AD750" s="26">
        <v>2022</v>
      </c>
      <c r="AE750" s="17" t="s">
        <v>151</v>
      </c>
      <c r="AF750" s="22">
        <v>45561</v>
      </c>
      <c r="AG750" s="17" t="s">
        <v>151</v>
      </c>
      <c r="AH750" s="17" t="s">
        <v>151</v>
      </c>
      <c r="AI750" s="25" t="s">
        <v>151</v>
      </c>
      <c r="AJ750" s="19" t="s">
        <v>151</v>
      </c>
      <c r="AK750" s="25" t="s">
        <v>151</v>
      </c>
      <c r="AL750" s="25" t="s">
        <v>151</v>
      </c>
      <c r="AM750" s="25" t="s">
        <v>151</v>
      </c>
      <c r="AN750" s="25" t="s">
        <v>151</v>
      </c>
      <c r="AO750" s="25" t="s">
        <v>151</v>
      </c>
      <c r="AP750" s="25" t="s">
        <v>151</v>
      </c>
      <c r="AQ750" s="25" t="s">
        <v>151</v>
      </c>
      <c r="AR750" s="16" t="s">
        <v>151</v>
      </c>
      <c r="AS750" s="17" t="s">
        <v>15334</v>
      </c>
      <c r="AT750" s="17" t="s">
        <v>15335</v>
      </c>
      <c r="AU750" s="18">
        <v>7</v>
      </c>
      <c r="AV750" s="17" t="s">
        <v>151</v>
      </c>
      <c r="AW750" s="17" t="s">
        <v>151</v>
      </c>
      <c r="AX750" s="17" t="s">
        <v>151</v>
      </c>
      <c r="AY750" s="17" t="s">
        <v>15336</v>
      </c>
      <c r="AZ750" s="17" t="s">
        <v>151</v>
      </c>
      <c r="BA750" s="17" t="s">
        <v>151</v>
      </c>
      <c r="BB750" s="17" t="s">
        <v>151</v>
      </c>
      <c r="BC750" s="17" t="s">
        <v>151</v>
      </c>
      <c r="BD750" s="17" t="s">
        <v>15337</v>
      </c>
      <c r="BE750" s="17" t="s">
        <v>15338</v>
      </c>
      <c r="BF750" s="17" t="s">
        <v>282</v>
      </c>
      <c r="BG750" s="17" t="s">
        <v>15339</v>
      </c>
      <c r="BH750" s="17" t="s">
        <v>15340</v>
      </c>
      <c r="BI750" s="17" t="s">
        <v>764</v>
      </c>
      <c r="BJ750" s="17" t="s">
        <v>15341</v>
      </c>
      <c r="BK750" s="17" t="s">
        <v>151</v>
      </c>
      <c r="BL750" s="17" t="s">
        <v>767</v>
      </c>
      <c r="BM750" s="17" t="s">
        <v>184</v>
      </c>
      <c r="BN750" s="16" t="s">
        <v>3001</v>
      </c>
      <c r="BO750" s="17" t="s">
        <v>186</v>
      </c>
      <c r="BP750" s="16" t="s">
        <v>15342</v>
      </c>
      <c r="BQ750" s="16" t="s">
        <v>151</v>
      </c>
      <c r="BR750" s="17" t="s">
        <v>15343</v>
      </c>
      <c r="BS750" s="17" t="s">
        <v>187</v>
      </c>
      <c r="BT750" s="17" t="s">
        <v>188</v>
      </c>
      <c r="BU750" s="22">
        <v>44713</v>
      </c>
      <c r="BV750" s="24">
        <v>4.5</v>
      </c>
      <c r="BW750" s="17" t="s">
        <v>192</v>
      </c>
      <c r="BX750" s="24" t="s">
        <v>151</v>
      </c>
      <c r="BY750" s="17" t="s">
        <v>151</v>
      </c>
      <c r="BZ750" s="17" t="s">
        <v>293</v>
      </c>
      <c r="CA750" s="17" t="s">
        <v>293</v>
      </c>
      <c r="CB750" s="17" t="s">
        <v>151</v>
      </c>
      <c r="CC750" s="17" t="s">
        <v>165</v>
      </c>
      <c r="CD750" s="17" t="s">
        <v>151</v>
      </c>
      <c r="CE750" s="17" t="s">
        <v>191</v>
      </c>
      <c r="CF750" s="22">
        <v>45387</v>
      </c>
      <c r="CG750" s="24">
        <v>0.1</v>
      </c>
      <c r="CH750" s="17" t="s">
        <v>192</v>
      </c>
      <c r="CI750" s="24" t="s">
        <v>151</v>
      </c>
      <c r="CJ750" s="17" t="s">
        <v>151</v>
      </c>
      <c r="CK750" s="16" t="s">
        <v>151</v>
      </c>
      <c r="CL750" s="17" t="s">
        <v>293</v>
      </c>
      <c r="CM750" s="17" t="s">
        <v>293</v>
      </c>
      <c r="CN750" s="17" t="s">
        <v>151</v>
      </c>
      <c r="CO750" s="17" t="s">
        <v>165</v>
      </c>
      <c r="CP750" s="22">
        <v>45387</v>
      </c>
      <c r="CQ750" s="24" t="s">
        <v>151</v>
      </c>
      <c r="CR750" s="17" t="s">
        <v>151</v>
      </c>
      <c r="CS750" s="17" t="s">
        <v>191</v>
      </c>
      <c r="CT750" s="16">
        <v>73</v>
      </c>
      <c r="CU750" s="17" t="s">
        <v>196</v>
      </c>
      <c r="CV750" s="19">
        <v>68</v>
      </c>
      <c r="CW750" s="19">
        <v>32</v>
      </c>
      <c r="CX750" s="17" t="s">
        <v>294</v>
      </c>
      <c r="CY750" s="19">
        <v>1</v>
      </c>
      <c r="CZ750" s="19">
        <v>67</v>
      </c>
      <c r="DA750" s="24" t="s">
        <v>151</v>
      </c>
      <c r="DB750" s="22" t="s">
        <v>151</v>
      </c>
      <c r="DC750" s="17" t="s">
        <v>151</v>
      </c>
      <c r="DD750" s="16" t="s">
        <v>151</v>
      </c>
      <c r="DE750" s="19">
        <v>0.82</v>
      </c>
      <c r="DF750" s="21">
        <v>95</v>
      </c>
      <c r="DG750" s="19">
        <v>0</v>
      </c>
      <c r="DH750" s="19">
        <v>0</v>
      </c>
      <c r="DI750" s="19">
        <v>-0.78</v>
      </c>
      <c r="DJ750" s="21">
        <v>5</v>
      </c>
      <c r="DK750" s="19" t="s">
        <v>151</v>
      </c>
      <c r="DL750" s="21" t="s">
        <v>151</v>
      </c>
      <c r="DM750" s="19">
        <v>-0.78</v>
      </c>
      <c r="DN750" s="21">
        <v>5</v>
      </c>
      <c r="DO750" s="23">
        <v>13.75</v>
      </c>
      <c r="DP750" s="21">
        <v>93</v>
      </c>
      <c r="DQ750" s="23">
        <v>0</v>
      </c>
      <c r="DR750" s="19">
        <v>0</v>
      </c>
      <c r="DS750" s="23">
        <v>25.26</v>
      </c>
      <c r="DT750" s="21">
        <v>96</v>
      </c>
      <c r="DU750" s="23" t="s">
        <v>151</v>
      </c>
      <c r="DV750" s="21" t="s">
        <v>151</v>
      </c>
      <c r="DW750" s="23">
        <v>25.26</v>
      </c>
      <c r="DX750" s="21">
        <v>96</v>
      </c>
      <c r="DY750" s="18" t="s">
        <v>151</v>
      </c>
      <c r="DZ750" s="22" t="s">
        <v>151</v>
      </c>
      <c r="EA750" s="22" t="s">
        <v>151</v>
      </c>
      <c r="EB750" s="21">
        <v>5904</v>
      </c>
      <c r="EC750" s="20">
        <v>267</v>
      </c>
      <c r="ED750" s="19">
        <v>4.74</v>
      </c>
      <c r="EE750" s="21">
        <v>480</v>
      </c>
      <c r="EF750" s="20">
        <v>-3</v>
      </c>
      <c r="EG750" s="19">
        <v>-0.62</v>
      </c>
      <c r="EH750" s="16" t="s">
        <v>198</v>
      </c>
      <c r="EI750" s="17" t="s">
        <v>151</v>
      </c>
      <c r="EJ750" s="17" t="s">
        <v>151</v>
      </c>
      <c r="EK750" s="18" t="s">
        <v>151</v>
      </c>
      <c r="EL750" s="18" t="s">
        <v>151</v>
      </c>
      <c r="EM750" s="18" t="s">
        <v>151</v>
      </c>
      <c r="EN750" s="18" t="s">
        <v>151</v>
      </c>
      <c r="EO750" s="18" t="s">
        <v>151</v>
      </c>
      <c r="EP750" s="17" t="s">
        <v>151</v>
      </c>
      <c r="EQ750" s="16" t="s">
        <v>151</v>
      </c>
      <c r="ER750" s="16" t="s">
        <v>151</v>
      </c>
      <c r="ES750" s="3">
        <f>HYPERLINK("https://my.pitchbook.com?c=522263-71","View Company Online")</f>
      </c>
    </row>
    <row r="751">
      <c r="A751" s="30" t="s">
        <v>15344</v>
      </c>
      <c r="B751" s="30" t="s">
        <v>15345</v>
      </c>
      <c r="C751" s="31" t="s">
        <v>151</v>
      </c>
      <c r="D751" s="30" t="s">
        <v>151</v>
      </c>
      <c r="E751" s="30" t="s">
        <v>151</v>
      </c>
      <c r="F751" s="30" t="s">
        <v>15346</v>
      </c>
      <c r="G751" s="30" t="s">
        <v>151</v>
      </c>
      <c r="H751" s="30" t="s">
        <v>151</v>
      </c>
      <c r="I751" s="30" t="s">
        <v>15347</v>
      </c>
      <c r="J751" s="30" t="s">
        <v>15344</v>
      </c>
      <c r="K751" s="30" t="s">
        <v>15348</v>
      </c>
      <c r="L751" s="30" t="s">
        <v>155</v>
      </c>
      <c r="M751" s="30" t="s">
        <v>2320</v>
      </c>
      <c r="N751" s="30" t="s">
        <v>2321</v>
      </c>
      <c r="O751" s="30" t="s">
        <v>2322</v>
      </c>
      <c r="P751" s="30" t="s">
        <v>151</v>
      </c>
      <c r="Q751" s="30" t="s">
        <v>15349</v>
      </c>
      <c r="R751" s="30" t="s">
        <v>151</v>
      </c>
      <c r="S751" s="30" t="s">
        <v>162</v>
      </c>
      <c r="T751" s="37">
        <v>4.01</v>
      </c>
      <c r="U751" s="30" t="s">
        <v>163</v>
      </c>
      <c r="V751" s="30" t="s">
        <v>164</v>
      </c>
      <c r="W751" s="30" t="s">
        <v>165</v>
      </c>
      <c r="X751" s="28" t="s">
        <v>15350</v>
      </c>
      <c r="Y751" s="28" t="s">
        <v>15351</v>
      </c>
      <c r="Z751" s="40">
        <v>9</v>
      </c>
      <c r="AA751" s="30" t="s">
        <v>15352</v>
      </c>
      <c r="AB751" s="30" t="s">
        <v>151</v>
      </c>
      <c r="AC751" s="30" t="s">
        <v>151</v>
      </c>
      <c r="AD751" s="39">
        <v>2015</v>
      </c>
      <c r="AE751" s="30" t="s">
        <v>151</v>
      </c>
      <c r="AF751" s="35">
        <v>45555</v>
      </c>
      <c r="AG751" s="30" t="s">
        <v>151</v>
      </c>
      <c r="AH751" s="30" t="s">
        <v>151</v>
      </c>
      <c r="AI751" s="38" t="s">
        <v>151</v>
      </c>
      <c r="AJ751" s="32" t="s">
        <v>151</v>
      </c>
      <c r="AK751" s="38" t="s">
        <v>151</v>
      </c>
      <c r="AL751" s="38" t="s">
        <v>151</v>
      </c>
      <c r="AM751" s="38" t="s">
        <v>151</v>
      </c>
      <c r="AN751" s="38" t="s">
        <v>151</v>
      </c>
      <c r="AO751" s="38" t="s">
        <v>151</v>
      </c>
      <c r="AP751" s="38" t="s">
        <v>151</v>
      </c>
      <c r="AQ751" s="38" t="s">
        <v>151</v>
      </c>
      <c r="AR751" s="29" t="s">
        <v>151</v>
      </c>
      <c r="AS751" s="30" t="s">
        <v>15353</v>
      </c>
      <c r="AT751" s="30" t="s">
        <v>15354</v>
      </c>
      <c r="AU751" s="31">
        <v>14</v>
      </c>
      <c r="AV751" s="30" t="s">
        <v>151</v>
      </c>
      <c r="AW751" s="30" t="s">
        <v>151</v>
      </c>
      <c r="AX751" s="30" t="s">
        <v>151</v>
      </c>
      <c r="AY751" s="30" t="s">
        <v>15355</v>
      </c>
      <c r="AZ751" s="30" t="s">
        <v>151</v>
      </c>
      <c r="BA751" s="30" t="s">
        <v>151</v>
      </c>
      <c r="BB751" s="30" t="s">
        <v>151</v>
      </c>
      <c r="BC751" s="30" t="s">
        <v>15356</v>
      </c>
      <c r="BD751" s="30" t="s">
        <v>15357</v>
      </c>
      <c r="BE751" s="30" t="s">
        <v>15358</v>
      </c>
      <c r="BF751" s="30" t="s">
        <v>3909</v>
      </c>
      <c r="BG751" s="30" t="s">
        <v>15359</v>
      </c>
      <c r="BH751" s="30" t="s">
        <v>15360</v>
      </c>
      <c r="BI751" s="30" t="s">
        <v>15361</v>
      </c>
      <c r="BJ751" s="30" t="s">
        <v>15362</v>
      </c>
      <c r="BK751" s="30" t="s">
        <v>151</v>
      </c>
      <c r="BL751" s="30" t="s">
        <v>15363</v>
      </c>
      <c r="BM751" s="30" t="s">
        <v>5682</v>
      </c>
      <c r="BN751" s="29" t="s">
        <v>15364</v>
      </c>
      <c r="BO751" s="30" t="s">
        <v>186</v>
      </c>
      <c r="BP751" s="29" t="s">
        <v>15360</v>
      </c>
      <c r="BQ751" s="29" t="s">
        <v>151</v>
      </c>
      <c r="BR751" s="30" t="s">
        <v>151</v>
      </c>
      <c r="BS751" s="30" t="s">
        <v>187</v>
      </c>
      <c r="BT751" s="30" t="s">
        <v>188</v>
      </c>
      <c r="BU751" s="35">
        <v>42964</v>
      </c>
      <c r="BV751" s="37">
        <v>0.04</v>
      </c>
      <c r="BW751" s="30" t="s">
        <v>192</v>
      </c>
      <c r="BX751" s="37" t="s">
        <v>151</v>
      </c>
      <c r="BY751" s="30" t="s">
        <v>151</v>
      </c>
      <c r="BZ751" s="30" t="s">
        <v>858</v>
      </c>
      <c r="CA751" s="30" t="s">
        <v>151</v>
      </c>
      <c r="CB751" s="30" t="s">
        <v>151</v>
      </c>
      <c r="CC751" s="30" t="s">
        <v>585</v>
      </c>
      <c r="CD751" s="30" t="s">
        <v>151</v>
      </c>
      <c r="CE751" s="30" t="s">
        <v>191</v>
      </c>
      <c r="CF751" s="35">
        <v>45536</v>
      </c>
      <c r="CG751" s="37" t="s">
        <v>151</v>
      </c>
      <c r="CH751" s="30" t="s">
        <v>151</v>
      </c>
      <c r="CI751" s="37" t="s">
        <v>151</v>
      </c>
      <c r="CJ751" s="30" t="s">
        <v>151</v>
      </c>
      <c r="CK751" s="29" t="s">
        <v>151</v>
      </c>
      <c r="CL751" s="30" t="s">
        <v>194</v>
      </c>
      <c r="CM751" s="30" t="s">
        <v>151</v>
      </c>
      <c r="CN751" s="30" t="s">
        <v>151</v>
      </c>
      <c r="CO751" s="30" t="s">
        <v>165</v>
      </c>
      <c r="CP751" s="35">
        <v>45536</v>
      </c>
      <c r="CQ751" s="37" t="s">
        <v>151</v>
      </c>
      <c r="CR751" s="30" t="s">
        <v>151</v>
      </c>
      <c r="CS751" s="30" t="s">
        <v>191</v>
      </c>
      <c r="CT751" s="29">
        <v>80</v>
      </c>
      <c r="CU751" s="30" t="s">
        <v>196</v>
      </c>
      <c r="CV751" s="32">
        <v>73</v>
      </c>
      <c r="CW751" s="32">
        <v>27</v>
      </c>
      <c r="CX751" s="30" t="s">
        <v>294</v>
      </c>
      <c r="CY751" s="32">
        <v>1</v>
      </c>
      <c r="CZ751" s="32">
        <v>72</v>
      </c>
      <c r="DA751" s="37">
        <v>6.6</v>
      </c>
      <c r="DB751" s="35">
        <v>45175</v>
      </c>
      <c r="DC751" s="30" t="s">
        <v>293</v>
      </c>
      <c r="DD751" s="29">
        <v>1</v>
      </c>
      <c r="DE751" s="32">
        <v>0.6</v>
      </c>
      <c r="DF751" s="34">
        <v>94</v>
      </c>
      <c r="DG751" s="32">
        <v>0.04</v>
      </c>
      <c r="DH751" s="32">
        <v>7.16</v>
      </c>
      <c r="DI751" s="32">
        <v>1.16</v>
      </c>
      <c r="DJ751" s="34">
        <v>97</v>
      </c>
      <c r="DK751" s="32">
        <v>0</v>
      </c>
      <c r="DL751" s="34">
        <v>11</v>
      </c>
      <c r="DM751" s="32">
        <v>2.32</v>
      </c>
      <c r="DN751" s="34">
        <v>99</v>
      </c>
      <c r="DO751" s="36">
        <v>4.66</v>
      </c>
      <c r="DP751" s="34">
        <v>81</v>
      </c>
      <c r="DQ751" s="36">
        <v>0.02</v>
      </c>
      <c r="DR751" s="32">
        <v>0.5</v>
      </c>
      <c r="DS751" s="36">
        <v>9.73</v>
      </c>
      <c r="DT751" s="34">
        <v>90</v>
      </c>
      <c r="DU751" s="36">
        <v>1.57</v>
      </c>
      <c r="DV751" s="34">
        <v>66</v>
      </c>
      <c r="DW751" s="36">
        <v>17.89</v>
      </c>
      <c r="DX751" s="34">
        <v>94</v>
      </c>
      <c r="DY751" s="31">
        <v>1</v>
      </c>
      <c r="DZ751" s="35">
        <v>44560</v>
      </c>
      <c r="EA751" s="35" t="s">
        <v>15365</v>
      </c>
      <c r="EB751" s="34">
        <v>324</v>
      </c>
      <c r="EC751" s="33">
        <v>-1</v>
      </c>
      <c r="ED751" s="32">
        <v>-0.31</v>
      </c>
      <c r="EE751" s="34">
        <v>340</v>
      </c>
      <c r="EF751" s="33">
        <v>5</v>
      </c>
      <c r="EG751" s="32">
        <v>1.49</v>
      </c>
      <c r="EH751" s="29" t="s">
        <v>198</v>
      </c>
      <c r="EI751" s="30" t="s">
        <v>151</v>
      </c>
      <c r="EJ751" s="30" t="s">
        <v>151</v>
      </c>
      <c r="EK751" s="31" t="s">
        <v>151</v>
      </c>
      <c r="EL751" s="31" t="s">
        <v>151</v>
      </c>
      <c r="EM751" s="31" t="s">
        <v>151</v>
      </c>
      <c r="EN751" s="31" t="s">
        <v>151</v>
      </c>
      <c r="EO751" s="31" t="s">
        <v>151</v>
      </c>
      <c r="EP751" s="30" t="s">
        <v>151</v>
      </c>
      <c r="EQ751" s="29" t="s">
        <v>151</v>
      </c>
      <c r="ER751" s="29" t="s">
        <v>151</v>
      </c>
      <c r="ES751" s="4">
        <f>HYPERLINK("https://my.pitchbook.com?c=264645-19","View Company Online")</f>
      </c>
    </row>
    <row r="752">
      <c r="A752" s="17" t="s">
        <v>15366</v>
      </c>
      <c r="B752" s="17" t="s">
        <v>15367</v>
      </c>
      <c r="C752" s="18" t="s">
        <v>151</v>
      </c>
      <c r="D752" s="17" t="s">
        <v>15368</v>
      </c>
      <c r="E752" s="17" t="s">
        <v>151</v>
      </c>
      <c r="F752" s="17" t="s">
        <v>15369</v>
      </c>
      <c r="G752" s="17" t="s">
        <v>151</v>
      </c>
      <c r="H752" s="17" t="s">
        <v>151</v>
      </c>
      <c r="I752" s="17" t="s">
        <v>151</v>
      </c>
      <c r="J752" s="17" t="s">
        <v>15366</v>
      </c>
      <c r="K752" s="17" t="s">
        <v>15370</v>
      </c>
      <c r="L752" s="17" t="s">
        <v>205</v>
      </c>
      <c r="M752" s="17" t="s">
        <v>206</v>
      </c>
      <c r="N752" s="17" t="s">
        <v>269</v>
      </c>
      <c r="O752" s="17" t="s">
        <v>1420</v>
      </c>
      <c r="P752" s="17" t="s">
        <v>1107</v>
      </c>
      <c r="Q752" s="17" t="s">
        <v>15371</v>
      </c>
      <c r="R752" s="17" t="s">
        <v>151</v>
      </c>
      <c r="S752" s="17" t="s">
        <v>162</v>
      </c>
      <c r="T752" s="24">
        <v>2.2</v>
      </c>
      <c r="U752" s="17" t="s">
        <v>163</v>
      </c>
      <c r="V752" s="17" t="s">
        <v>164</v>
      </c>
      <c r="W752" s="17" t="s">
        <v>165</v>
      </c>
      <c r="X752" s="15" t="s">
        <v>15372</v>
      </c>
      <c r="Y752" s="15" t="s">
        <v>15373</v>
      </c>
      <c r="Z752" s="27">
        <v>6</v>
      </c>
      <c r="AA752" s="17" t="s">
        <v>15374</v>
      </c>
      <c r="AB752" s="17" t="s">
        <v>151</v>
      </c>
      <c r="AC752" s="17" t="s">
        <v>151</v>
      </c>
      <c r="AD752" s="26">
        <v>2021</v>
      </c>
      <c r="AE752" s="17" t="s">
        <v>151</v>
      </c>
      <c r="AF752" s="22">
        <v>45348</v>
      </c>
      <c r="AG752" s="17" t="s">
        <v>151</v>
      </c>
      <c r="AH752" s="17" t="s">
        <v>151</v>
      </c>
      <c r="AI752" s="25" t="s">
        <v>151</v>
      </c>
      <c r="AJ752" s="19" t="s">
        <v>151</v>
      </c>
      <c r="AK752" s="25" t="s">
        <v>151</v>
      </c>
      <c r="AL752" s="25" t="s">
        <v>151</v>
      </c>
      <c r="AM752" s="25" t="s">
        <v>151</v>
      </c>
      <c r="AN752" s="25" t="s">
        <v>151</v>
      </c>
      <c r="AO752" s="25" t="s">
        <v>151</v>
      </c>
      <c r="AP752" s="25" t="s">
        <v>151</v>
      </c>
      <c r="AQ752" s="25" t="s">
        <v>151</v>
      </c>
      <c r="AR752" s="16" t="s">
        <v>151</v>
      </c>
      <c r="AS752" s="17" t="s">
        <v>15375</v>
      </c>
      <c r="AT752" s="17" t="s">
        <v>15376</v>
      </c>
      <c r="AU752" s="18">
        <v>5</v>
      </c>
      <c r="AV752" s="17" t="s">
        <v>151</v>
      </c>
      <c r="AW752" s="17" t="s">
        <v>151</v>
      </c>
      <c r="AX752" s="17" t="s">
        <v>151</v>
      </c>
      <c r="AY752" s="17" t="s">
        <v>15377</v>
      </c>
      <c r="AZ752" s="17" t="s">
        <v>151</v>
      </c>
      <c r="BA752" s="17" t="s">
        <v>151</v>
      </c>
      <c r="BB752" s="17" t="s">
        <v>151</v>
      </c>
      <c r="BC752" s="17" t="s">
        <v>151</v>
      </c>
      <c r="BD752" s="17" t="s">
        <v>15378</v>
      </c>
      <c r="BE752" s="17" t="s">
        <v>15379</v>
      </c>
      <c r="BF752" s="17" t="s">
        <v>403</v>
      </c>
      <c r="BG752" s="17" t="s">
        <v>15380</v>
      </c>
      <c r="BH752" s="17" t="s">
        <v>151</v>
      </c>
      <c r="BI752" s="17" t="s">
        <v>906</v>
      </c>
      <c r="BJ752" s="17" t="s">
        <v>15381</v>
      </c>
      <c r="BK752" s="17" t="s">
        <v>5050</v>
      </c>
      <c r="BL752" s="17" t="s">
        <v>259</v>
      </c>
      <c r="BM752" s="17" t="s">
        <v>259</v>
      </c>
      <c r="BN752" s="16" t="s">
        <v>3738</v>
      </c>
      <c r="BO752" s="17" t="s">
        <v>186</v>
      </c>
      <c r="BP752" s="16" t="s">
        <v>151</v>
      </c>
      <c r="BQ752" s="16" t="s">
        <v>151</v>
      </c>
      <c r="BR752" s="17" t="s">
        <v>15382</v>
      </c>
      <c r="BS752" s="17" t="s">
        <v>187</v>
      </c>
      <c r="BT752" s="17" t="s">
        <v>188</v>
      </c>
      <c r="BU752" s="22">
        <v>44553</v>
      </c>
      <c r="BV752" s="24">
        <v>2.2</v>
      </c>
      <c r="BW752" s="17" t="s">
        <v>192</v>
      </c>
      <c r="BX752" s="24" t="s">
        <v>151</v>
      </c>
      <c r="BY752" s="17" t="s">
        <v>151</v>
      </c>
      <c r="BZ752" s="17" t="s">
        <v>293</v>
      </c>
      <c r="CA752" s="17" t="s">
        <v>293</v>
      </c>
      <c r="CB752" s="17" t="s">
        <v>151</v>
      </c>
      <c r="CC752" s="17" t="s">
        <v>165</v>
      </c>
      <c r="CD752" s="17" t="s">
        <v>151</v>
      </c>
      <c r="CE752" s="17" t="s">
        <v>191</v>
      </c>
      <c r="CF752" s="22">
        <v>44553</v>
      </c>
      <c r="CG752" s="24">
        <v>2.2</v>
      </c>
      <c r="CH752" s="17" t="s">
        <v>192</v>
      </c>
      <c r="CI752" s="24" t="s">
        <v>151</v>
      </c>
      <c r="CJ752" s="17" t="s">
        <v>151</v>
      </c>
      <c r="CK752" s="16" t="s">
        <v>151</v>
      </c>
      <c r="CL752" s="17" t="s">
        <v>293</v>
      </c>
      <c r="CM752" s="17" t="s">
        <v>293</v>
      </c>
      <c r="CN752" s="17" t="s">
        <v>151</v>
      </c>
      <c r="CO752" s="17" t="s">
        <v>165</v>
      </c>
      <c r="CP752" s="22">
        <v>44553</v>
      </c>
      <c r="CQ752" s="24" t="s">
        <v>151</v>
      </c>
      <c r="CR752" s="17" t="s">
        <v>151</v>
      </c>
      <c r="CS752" s="17" t="s">
        <v>191</v>
      </c>
      <c r="CT752" s="16" t="s">
        <v>151</v>
      </c>
      <c r="CU752" s="17" t="s">
        <v>151</v>
      </c>
      <c r="CV752" s="19" t="s">
        <v>151</v>
      </c>
      <c r="CW752" s="19" t="s">
        <v>151</v>
      </c>
      <c r="CX752" s="17" t="s">
        <v>151</v>
      </c>
      <c r="CY752" s="19" t="s">
        <v>151</v>
      </c>
      <c r="CZ752" s="19" t="s">
        <v>151</v>
      </c>
      <c r="DA752" s="24" t="s">
        <v>151</v>
      </c>
      <c r="DB752" s="22" t="s">
        <v>151</v>
      </c>
      <c r="DC752" s="17" t="s">
        <v>151</v>
      </c>
      <c r="DD752" s="16" t="s">
        <v>151</v>
      </c>
      <c r="DE752" s="19">
        <v>0</v>
      </c>
      <c r="DF752" s="21">
        <v>11</v>
      </c>
      <c r="DG752" s="19">
        <v>0</v>
      </c>
      <c r="DH752" s="19">
        <v>0</v>
      </c>
      <c r="DI752" s="19">
        <v>0</v>
      </c>
      <c r="DJ752" s="21">
        <v>10</v>
      </c>
      <c r="DK752" s="19" t="s">
        <v>151</v>
      </c>
      <c r="DL752" s="21" t="s">
        <v>151</v>
      </c>
      <c r="DM752" s="19">
        <v>0</v>
      </c>
      <c r="DN752" s="21">
        <v>10</v>
      </c>
      <c r="DO752" s="23">
        <v>0.53</v>
      </c>
      <c r="DP752" s="21">
        <v>33</v>
      </c>
      <c r="DQ752" s="23">
        <v>0</v>
      </c>
      <c r="DR752" s="19">
        <v>0</v>
      </c>
      <c r="DS752" s="23">
        <v>0.53</v>
      </c>
      <c r="DT752" s="21">
        <v>34</v>
      </c>
      <c r="DU752" s="23" t="s">
        <v>151</v>
      </c>
      <c r="DV752" s="21" t="s">
        <v>151</v>
      </c>
      <c r="DW752" s="23">
        <v>0.53</v>
      </c>
      <c r="DX752" s="21">
        <v>34</v>
      </c>
      <c r="DY752" s="18" t="s">
        <v>151</v>
      </c>
      <c r="DZ752" s="22" t="s">
        <v>151</v>
      </c>
      <c r="EA752" s="22" t="s">
        <v>151</v>
      </c>
      <c r="EB752" s="21">
        <v>373</v>
      </c>
      <c r="EC752" s="20">
        <v>32</v>
      </c>
      <c r="ED752" s="19">
        <v>9.38</v>
      </c>
      <c r="EE752" s="21">
        <v>10</v>
      </c>
      <c r="EF752" s="20">
        <v>0</v>
      </c>
      <c r="EG752" s="19">
        <v>0</v>
      </c>
      <c r="EH752" s="16" t="s">
        <v>198</v>
      </c>
      <c r="EI752" s="17" t="s">
        <v>151</v>
      </c>
      <c r="EJ752" s="17" t="s">
        <v>151</v>
      </c>
      <c r="EK752" s="18" t="s">
        <v>151</v>
      </c>
      <c r="EL752" s="18" t="s">
        <v>151</v>
      </c>
      <c r="EM752" s="18" t="s">
        <v>151</v>
      </c>
      <c r="EN752" s="18" t="s">
        <v>151</v>
      </c>
      <c r="EO752" s="18" t="s">
        <v>151</v>
      </c>
      <c r="EP752" s="17" t="s">
        <v>151</v>
      </c>
      <c r="EQ752" s="16" t="s">
        <v>151</v>
      </c>
      <c r="ER752" s="16" t="s">
        <v>151</v>
      </c>
      <c r="ES752" s="3">
        <f>HYPERLINK("https://my.pitchbook.com?c=493878-25","View Company Online")</f>
      </c>
    </row>
    <row r="753">
      <c r="A753" s="30" t="s">
        <v>15383</v>
      </c>
      <c r="B753" s="30" t="s">
        <v>15384</v>
      </c>
      <c r="C753" s="31" t="s">
        <v>151</v>
      </c>
      <c r="D753" s="30" t="s">
        <v>151</v>
      </c>
      <c r="E753" s="30" t="s">
        <v>15385</v>
      </c>
      <c r="F753" s="30" t="s">
        <v>15386</v>
      </c>
      <c r="G753" s="30" t="s">
        <v>151</v>
      </c>
      <c r="H753" s="30" t="s">
        <v>151</v>
      </c>
      <c r="I753" s="30" t="s">
        <v>151</v>
      </c>
      <c r="J753" s="30" t="s">
        <v>15383</v>
      </c>
      <c r="K753" s="30" t="s">
        <v>15387</v>
      </c>
      <c r="L753" s="30" t="s">
        <v>205</v>
      </c>
      <c r="M753" s="30" t="s">
        <v>206</v>
      </c>
      <c r="N753" s="30" t="s">
        <v>2484</v>
      </c>
      <c r="O753" s="30" t="s">
        <v>15388</v>
      </c>
      <c r="P753" s="30" t="s">
        <v>919</v>
      </c>
      <c r="Q753" s="30" t="s">
        <v>15389</v>
      </c>
      <c r="R753" s="30" t="s">
        <v>151</v>
      </c>
      <c r="S753" s="30" t="s">
        <v>162</v>
      </c>
      <c r="T753" s="37">
        <v>0.74</v>
      </c>
      <c r="U753" s="30" t="s">
        <v>163</v>
      </c>
      <c r="V753" s="30" t="s">
        <v>164</v>
      </c>
      <c r="W753" s="30" t="s">
        <v>165</v>
      </c>
      <c r="X753" s="28" t="s">
        <v>15390</v>
      </c>
      <c r="Y753" s="28" t="s">
        <v>15391</v>
      </c>
      <c r="Z753" s="40">
        <v>9</v>
      </c>
      <c r="AA753" s="30" t="s">
        <v>15392</v>
      </c>
      <c r="AB753" s="30" t="s">
        <v>151</v>
      </c>
      <c r="AC753" s="30" t="s">
        <v>151</v>
      </c>
      <c r="AD753" s="39">
        <v>2020</v>
      </c>
      <c r="AE753" s="30" t="s">
        <v>151</v>
      </c>
      <c r="AF753" s="35">
        <v>45583</v>
      </c>
      <c r="AG753" s="30" t="s">
        <v>151</v>
      </c>
      <c r="AH753" s="30" t="s">
        <v>151</v>
      </c>
      <c r="AI753" s="38" t="s">
        <v>151</v>
      </c>
      <c r="AJ753" s="32" t="s">
        <v>151</v>
      </c>
      <c r="AK753" s="38" t="s">
        <v>151</v>
      </c>
      <c r="AL753" s="38" t="s">
        <v>151</v>
      </c>
      <c r="AM753" s="38" t="s">
        <v>151</v>
      </c>
      <c r="AN753" s="38" t="s">
        <v>151</v>
      </c>
      <c r="AO753" s="38" t="s">
        <v>151</v>
      </c>
      <c r="AP753" s="38" t="s">
        <v>151</v>
      </c>
      <c r="AQ753" s="38" t="s">
        <v>151</v>
      </c>
      <c r="AR753" s="29" t="s">
        <v>151</v>
      </c>
      <c r="AS753" s="30" t="s">
        <v>15393</v>
      </c>
      <c r="AT753" s="30" t="s">
        <v>15394</v>
      </c>
      <c r="AU753" s="31">
        <v>3</v>
      </c>
      <c r="AV753" s="30" t="s">
        <v>151</v>
      </c>
      <c r="AW753" s="30" t="s">
        <v>151</v>
      </c>
      <c r="AX753" s="30" t="s">
        <v>151</v>
      </c>
      <c r="AY753" s="30" t="s">
        <v>15395</v>
      </c>
      <c r="AZ753" s="30" t="s">
        <v>151</v>
      </c>
      <c r="BA753" s="30" t="s">
        <v>151</v>
      </c>
      <c r="BB753" s="30" t="s">
        <v>151</v>
      </c>
      <c r="BC753" s="30" t="s">
        <v>151</v>
      </c>
      <c r="BD753" s="30" t="s">
        <v>15396</v>
      </c>
      <c r="BE753" s="30" t="s">
        <v>15397</v>
      </c>
      <c r="BF753" s="30" t="s">
        <v>2427</v>
      </c>
      <c r="BG753" s="30" t="s">
        <v>15398</v>
      </c>
      <c r="BH753" s="30" t="s">
        <v>151</v>
      </c>
      <c r="BI753" s="30" t="s">
        <v>15399</v>
      </c>
      <c r="BJ753" s="30" t="s">
        <v>15400</v>
      </c>
      <c r="BK753" s="30" t="s">
        <v>151</v>
      </c>
      <c r="BL753" s="30" t="s">
        <v>15401</v>
      </c>
      <c r="BM753" s="30" t="s">
        <v>15402</v>
      </c>
      <c r="BN753" s="29" t="s">
        <v>15403</v>
      </c>
      <c r="BO753" s="30" t="s">
        <v>186</v>
      </c>
      <c r="BP753" s="29" t="s">
        <v>151</v>
      </c>
      <c r="BQ753" s="29" t="s">
        <v>151</v>
      </c>
      <c r="BR753" s="30" t="s">
        <v>151</v>
      </c>
      <c r="BS753" s="30" t="s">
        <v>187</v>
      </c>
      <c r="BT753" s="30" t="s">
        <v>188</v>
      </c>
      <c r="BU753" s="35">
        <v>44655</v>
      </c>
      <c r="BV753" s="37">
        <v>0.74</v>
      </c>
      <c r="BW753" s="30" t="s">
        <v>192</v>
      </c>
      <c r="BX753" s="37">
        <v>3.8</v>
      </c>
      <c r="BY753" s="30" t="s">
        <v>192</v>
      </c>
      <c r="BZ753" s="30" t="s">
        <v>293</v>
      </c>
      <c r="CA753" s="30" t="s">
        <v>293</v>
      </c>
      <c r="CB753" s="30" t="s">
        <v>151</v>
      </c>
      <c r="CC753" s="30" t="s">
        <v>165</v>
      </c>
      <c r="CD753" s="30" t="s">
        <v>151</v>
      </c>
      <c r="CE753" s="30" t="s">
        <v>191</v>
      </c>
      <c r="CF753" s="35">
        <v>44655</v>
      </c>
      <c r="CG753" s="37">
        <v>0.74</v>
      </c>
      <c r="CH753" s="30" t="s">
        <v>192</v>
      </c>
      <c r="CI753" s="37">
        <v>3.8</v>
      </c>
      <c r="CJ753" s="30" t="s">
        <v>192</v>
      </c>
      <c r="CK753" s="29" t="s">
        <v>151</v>
      </c>
      <c r="CL753" s="30" t="s">
        <v>293</v>
      </c>
      <c r="CM753" s="30" t="s">
        <v>293</v>
      </c>
      <c r="CN753" s="30" t="s">
        <v>151</v>
      </c>
      <c r="CO753" s="30" t="s">
        <v>165</v>
      </c>
      <c r="CP753" s="35">
        <v>44655</v>
      </c>
      <c r="CQ753" s="37" t="s">
        <v>151</v>
      </c>
      <c r="CR753" s="30" t="s">
        <v>151</v>
      </c>
      <c r="CS753" s="30" t="s">
        <v>191</v>
      </c>
      <c r="CT753" s="29" t="s">
        <v>151</v>
      </c>
      <c r="CU753" s="30" t="s">
        <v>151</v>
      </c>
      <c r="CV753" s="32" t="s">
        <v>151</v>
      </c>
      <c r="CW753" s="32" t="s">
        <v>151</v>
      </c>
      <c r="CX753" s="30" t="s">
        <v>151</v>
      </c>
      <c r="CY753" s="32" t="s">
        <v>151</v>
      </c>
      <c r="CZ753" s="32" t="s">
        <v>151</v>
      </c>
      <c r="DA753" s="37">
        <v>3.8</v>
      </c>
      <c r="DB753" s="35">
        <v>44655</v>
      </c>
      <c r="DC753" s="30" t="s">
        <v>293</v>
      </c>
      <c r="DD753" s="29" t="s">
        <v>151</v>
      </c>
      <c r="DE753" s="32">
        <v>-0.63</v>
      </c>
      <c r="DF753" s="34">
        <v>6</v>
      </c>
      <c r="DG753" s="32">
        <v>0</v>
      </c>
      <c r="DH753" s="32">
        <v>0</v>
      </c>
      <c r="DI753" s="32">
        <v>0</v>
      </c>
      <c r="DJ753" s="34">
        <v>10</v>
      </c>
      <c r="DK753" s="32" t="s">
        <v>151</v>
      </c>
      <c r="DL753" s="34" t="s">
        <v>151</v>
      </c>
      <c r="DM753" s="32">
        <v>0</v>
      </c>
      <c r="DN753" s="34">
        <v>10</v>
      </c>
      <c r="DO753" s="36">
        <v>0.5</v>
      </c>
      <c r="DP753" s="34">
        <v>33</v>
      </c>
      <c r="DQ753" s="36">
        <v>0</v>
      </c>
      <c r="DR753" s="32">
        <v>0</v>
      </c>
      <c r="DS753" s="36">
        <v>0.32</v>
      </c>
      <c r="DT753" s="34">
        <v>22</v>
      </c>
      <c r="DU753" s="36" t="s">
        <v>151</v>
      </c>
      <c r="DV753" s="34" t="s">
        <v>151</v>
      </c>
      <c r="DW753" s="36">
        <v>0.32</v>
      </c>
      <c r="DX753" s="34">
        <v>22</v>
      </c>
      <c r="DY753" s="31" t="s">
        <v>151</v>
      </c>
      <c r="DZ753" s="35" t="s">
        <v>151</v>
      </c>
      <c r="EA753" s="35" t="s">
        <v>151</v>
      </c>
      <c r="EB753" s="34">
        <v>585</v>
      </c>
      <c r="EC753" s="33">
        <v>54</v>
      </c>
      <c r="ED753" s="32">
        <v>10.17</v>
      </c>
      <c r="EE753" s="34">
        <v>6</v>
      </c>
      <c r="EF753" s="33">
        <v>0</v>
      </c>
      <c r="EG753" s="32">
        <v>0</v>
      </c>
      <c r="EH753" s="29" t="s">
        <v>198</v>
      </c>
      <c r="EI753" s="30" t="s">
        <v>151</v>
      </c>
      <c r="EJ753" s="30" t="s">
        <v>151</v>
      </c>
      <c r="EK753" s="31" t="s">
        <v>151</v>
      </c>
      <c r="EL753" s="31" t="s">
        <v>151</v>
      </c>
      <c r="EM753" s="31" t="s">
        <v>151</v>
      </c>
      <c r="EN753" s="31" t="s">
        <v>151</v>
      </c>
      <c r="EO753" s="31" t="s">
        <v>151</v>
      </c>
      <c r="EP753" s="30" t="s">
        <v>151</v>
      </c>
      <c r="EQ753" s="29" t="s">
        <v>151</v>
      </c>
      <c r="ER753" s="29" t="s">
        <v>151</v>
      </c>
      <c r="ES753" s="4">
        <f>HYPERLINK("https://my.pitchbook.com?c=509428-00","View Company Online")</f>
      </c>
    </row>
    <row r="754">
      <c r="A754" s="17" t="s">
        <v>15404</v>
      </c>
      <c r="B754" s="17" t="s">
        <v>15405</v>
      </c>
      <c r="C754" s="18" t="s">
        <v>151</v>
      </c>
      <c r="D754" s="17" t="s">
        <v>151</v>
      </c>
      <c r="E754" s="17" t="s">
        <v>151</v>
      </c>
      <c r="F754" s="17" t="s">
        <v>15406</v>
      </c>
      <c r="G754" s="17" t="s">
        <v>151</v>
      </c>
      <c r="H754" s="17" t="s">
        <v>151</v>
      </c>
      <c r="I754" s="17" t="s">
        <v>151</v>
      </c>
      <c r="J754" s="17" t="s">
        <v>15404</v>
      </c>
      <c r="K754" s="17" t="s">
        <v>15407</v>
      </c>
      <c r="L754" s="17" t="s">
        <v>205</v>
      </c>
      <c r="M754" s="17" t="s">
        <v>206</v>
      </c>
      <c r="N754" s="17" t="s">
        <v>269</v>
      </c>
      <c r="O754" s="17" t="s">
        <v>15408</v>
      </c>
      <c r="P754" s="17" t="s">
        <v>919</v>
      </c>
      <c r="Q754" s="17" t="s">
        <v>15409</v>
      </c>
      <c r="R754" s="17" t="s">
        <v>151</v>
      </c>
      <c r="S754" s="17" t="s">
        <v>162</v>
      </c>
      <c r="T754" s="24">
        <v>3</v>
      </c>
      <c r="U754" s="17" t="s">
        <v>163</v>
      </c>
      <c r="V754" s="17" t="s">
        <v>164</v>
      </c>
      <c r="W754" s="17" t="s">
        <v>165</v>
      </c>
      <c r="X754" s="15" t="s">
        <v>15410</v>
      </c>
      <c r="Y754" s="15" t="s">
        <v>15411</v>
      </c>
      <c r="Z754" s="27">
        <v>9</v>
      </c>
      <c r="AA754" s="17" t="s">
        <v>15412</v>
      </c>
      <c r="AB754" s="17" t="s">
        <v>151</v>
      </c>
      <c r="AC754" s="17" t="s">
        <v>151</v>
      </c>
      <c r="AD754" s="26">
        <v>2010</v>
      </c>
      <c r="AE754" s="17" t="s">
        <v>151</v>
      </c>
      <c r="AF754" s="22">
        <v>45541</v>
      </c>
      <c r="AG754" s="17" t="s">
        <v>151</v>
      </c>
      <c r="AH754" s="17" t="s">
        <v>151</v>
      </c>
      <c r="AI754" s="25" t="s">
        <v>151</v>
      </c>
      <c r="AJ754" s="19" t="s">
        <v>151</v>
      </c>
      <c r="AK754" s="25" t="s">
        <v>151</v>
      </c>
      <c r="AL754" s="25" t="s">
        <v>151</v>
      </c>
      <c r="AM754" s="25" t="s">
        <v>151</v>
      </c>
      <c r="AN754" s="25" t="s">
        <v>151</v>
      </c>
      <c r="AO754" s="25" t="s">
        <v>151</v>
      </c>
      <c r="AP754" s="25" t="s">
        <v>151</v>
      </c>
      <c r="AQ754" s="25" t="s">
        <v>151</v>
      </c>
      <c r="AR754" s="16" t="s">
        <v>151</v>
      </c>
      <c r="AS754" s="17" t="s">
        <v>15413</v>
      </c>
      <c r="AT754" s="17" t="s">
        <v>15414</v>
      </c>
      <c r="AU754" s="18">
        <v>2</v>
      </c>
      <c r="AV754" s="17" t="s">
        <v>151</v>
      </c>
      <c r="AW754" s="17" t="s">
        <v>151</v>
      </c>
      <c r="AX754" s="17" t="s">
        <v>151</v>
      </c>
      <c r="AY754" s="17" t="s">
        <v>15415</v>
      </c>
      <c r="AZ754" s="17" t="s">
        <v>151</v>
      </c>
      <c r="BA754" s="17" t="s">
        <v>151</v>
      </c>
      <c r="BB754" s="17" t="s">
        <v>151</v>
      </c>
      <c r="BC754" s="17" t="s">
        <v>151</v>
      </c>
      <c r="BD754" s="17" t="s">
        <v>15416</v>
      </c>
      <c r="BE754" s="17" t="s">
        <v>15417</v>
      </c>
      <c r="BF754" s="17" t="s">
        <v>15418</v>
      </c>
      <c r="BG754" s="17" t="s">
        <v>15419</v>
      </c>
      <c r="BH754" s="17" t="s">
        <v>229</v>
      </c>
      <c r="BI754" s="17" t="s">
        <v>3443</v>
      </c>
      <c r="BJ754" s="17" t="s">
        <v>9205</v>
      </c>
      <c r="BK754" s="17" t="s">
        <v>15420</v>
      </c>
      <c r="BL754" s="17" t="s">
        <v>3446</v>
      </c>
      <c r="BM754" s="17" t="s">
        <v>184</v>
      </c>
      <c r="BN754" s="16" t="s">
        <v>9207</v>
      </c>
      <c r="BO754" s="17" t="s">
        <v>186</v>
      </c>
      <c r="BP754" s="16" t="s">
        <v>229</v>
      </c>
      <c r="BQ754" s="16" t="s">
        <v>151</v>
      </c>
      <c r="BR754" s="17" t="s">
        <v>15421</v>
      </c>
      <c r="BS754" s="17" t="s">
        <v>187</v>
      </c>
      <c r="BT754" s="17" t="s">
        <v>188</v>
      </c>
      <c r="BU754" s="22">
        <v>43861</v>
      </c>
      <c r="BV754" s="24">
        <v>3</v>
      </c>
      <c r="BW754" s="17" t="s">
        <v>192</v>
      </c>
      <c r="BX754" s="24">
        <v>6</v>
      </c>
      <c r="BY754" s="17" t="s">
        <v>192</v>
      </c>
      <c r="BZ754" s="17" t="s">
        <v>194</v>
      </c>
      <c r="CA754" s="17" t="s">
        <v>232</v>
      </c>
      <c r="CB754" s="17" t="s">
        <v>151</v>
      </c>
      <c r="CC754" s="17" t="s">
        <v>385</v>
      </c>
      <c r="CD754" s="17" t="s">
        <v>151</v>
      </c>
      <c r="CE754" s="17" t="s">
        <v>191</v>
      </c>
      <c r="CF754" s="22">
        <v>43861</v>
      </c>
      <c r="CG754" s="24">
        <v>3</v>
      </c>
      <c r="CH754" s="17" t="s">
        <v>192</v>
      </c>
      <c r="CI754" s="24">
        <v>6</v>
      </c>
      <c r="CJ754" s="17" t="s">
        <v>192</v>
      </c>
      <c r="CK754" s="16" t="s">
        <v>151</v>
      </c>
      <c r="CL754" s="17" t="s">
        <v>194</v>
      </c>
      <c r="CM754" s="17" t="s">
        <v>232</v>
      </c>
      <c r="CN754" s="17" t="s">
        <v>151</v>
      </c>
      <c r="CO754" s="17" t="s">
        <v>385</v>
      </c>
      <c r="CP754" s="22">
        <v>43861</v>
      </c>
      <c r="CQ754" s="24" t="s">
        <v>151</v>
      </c>
      <c r="CR754" s="17" t="s">
        <v>151</v>
      </c>
      <c r="CS754" s="17" t="s">
        <v>191</v>
      </c>
      <c r="CT754" s="16" t="s">
        <v>151</v>
      </c>
      <c r="CU754" s="17" t="s">
        <v>151</v>
      </c>
      <c r="CV754" s="19" t="s">
        <v>151</v>
      </c>
      <c r="CW754" s="19" t="s">
        <v>151</v>
      </c>
      <c r="CX754" s="17" t="s">
        <v>151</v>
      </c>
      <c r="CY754" s="19" t="s">
        <v>151</v>
      </c>
      <c r="CZ754" s="19" t="s">
        <v>151</v>
      </c>
      <c r="DA754" s="24">
        <v>6</v>
      </c>
      <c r="DB754" s="22">
        <v>43861</v>
      </c>
      <c r="DC754" s="17" t="s">
        <v>194</v>
      </c>
      <c r="DD754" s="16" t="s">
        <v>151</v>
      </c>
      <c r="DE754" s="19">
        <v>-0.63</v>
      </c>
      <c r="DF754" s="21">
        <v>6</v>
      </c>
      <c r="DG754" s="19">
        <v>0</v>
      </c>
      <c r="DH754" s="19">
        <v>0</v>
      </c>
      <c r="DI754" s="19">
        <v>0</v>
      </c>
      <c r="DJ754" s="21">
        <v>10</v>
      </c>
      <c r="DK754" s="19" t="s">
        <v>151</v>
      </c>
      <c r="DL754" s="21" t="s">
        <v>151</v>
      </c>
      <c r="DM754" s="19">
        <v>0</v>
      </c>
      <c r="DN754" s="21">
        <v>10</v>
      </c>
      <c r="DO754" s="23">
        <v>1.56</v>
      </c>
      <c r="DP754" s="21">
        <v>60</v>
      </c>
      <c r="DQ754" s="23">
        <v>0</v>
      </c>
      <c r="DR754" s="19">
        <v>0</v>
      </c>
      <c r="DS754" s="23">
        <v>2.42</v>
      </c>
      <c r="DT754" s="21">
        <v>70</v>
      </c>
      <c r="DU754" s="23" t="s">
        <v>151</v>
      </c>
      <c r="DV754" s="21" t="s">
        <v>151</v>
      </c>
      <c r="DW754" s="23">
        <v>2.42</v>
      </c>
      <c r="DX754" s="21">
        <v>70</v>
      </c>
      <c r="DY754" s="18" t="s">
        <v>151</v>
      </c>
      <c r="DZ754" s="22" t="s">
        <v>151</v>
      </c>
      <c r="EA754" s="22" t="s">
        <v>151</v>
      </c>
      <c r="EB754" s="21" t="s">
        <v>151</v>
      </c>
      <c r="EC754" s="20" t="s">
        <v>151</v>
      </c>
      <c r="ED754" s="19" t="s">
        <v>151</v>
      </c>
      <c r="EE754" s="21">
        <v>46</v>
      </c>
      <c r="EF754" s="20">
        <v>1</v>
      </c>
      <c r="EG754" s="19">
        <v>2.22</v>
      </c>
      <c r="EH754" s="16" t="s">
        <v>198</v>
      </c>
      <c r="EI754" s="17" t="s">
        <v>151</v>
      </c>
      <c r="EJ754" s="17" t="s">
        <v>151</v>
      </c>
      <c r="EK754" s="18" t="s">
        <v>151</v>
      </c>
      <c r="EL754" s="18" t="s">
        <v>151</v>
      </c>
      <c r="EM754" s="18" t="s">
        <v>151</v>
      </c>
      <c r="EN754" s="18" t="s">
        <v>151</v>
      </c>
      <c r="EO754" s="18" t="s">
        <v>151</v>
      </c>
      <c r="EP754" s="17" t="s">
        <v>151</v>
      </c>
      <c r="EQ754" s="16" t="s">
        <v>151</v>
      </c>
      <c r="ER754" s="16" t="s">
        <v>151</v>
      </c>
      <c r="ES754" s="3">
        <f>HYPERLINK("https://my.pitchbook.com?c=431372-35","View Company Online")</f>
      </c>
    </row>
    <row r="755">
      <c r="A755" s="30" t="s">
        <v>15422</v>
      </c>
      <c r="B755" s="30" t="s">
        <v>15423</v>
      </c>
      <c r="C755" s="31" t="s">
        <v>151</v>
      </c>
      <c r="D755" s="30" t="s">
        <v>151</v>
      </c>
      <c r="E755" s="30" t="s">
        <v>151</v>
      </c>
      <c r="F755" s="30" t="s">
        <v>15424</v>
      </c>
      <c r="G755" s="30" t="s">
        <v>151</v>
      </c>
      <c r="H755" s="30" t="s">
        <v>151</v>
      </c>
      <c r="I755" s="30" t="s">
        <v>15425</v>
      </c>
      <c r="J755" s="30" t="s">
        <v>15422</v>
      </c>
      <c r="K755" s="30" t="s">
        <v>15426</v>
      </c>
      <c r="L755" s="30" t="s">
        <v>205</v>
      </c>
      <c r="M755" s="30" t="s">
        <v>206</v>
      </c>
      <c r="N755" s="30" t="s">
        <v>998</v>
      </c>
      <c r="O755" s="30" t="s">
        <v>4620</v>
      </c>
      <c r="P755" s="30" t="s">
        <v>15427</v>
      </c>
      <c r="Q755" s="30" t="s">
        <v>15428</v>
      </c>
      <c r="R755" s="30" t="s">
        <v>151</v>
      </c>
      <c r="S755" s="30" t="s">
        <v>162</v>
      </c>
      <c r="T755" s="37">
        <v>56.38</v>
      </c>
      <c r="U755" s="30" t="s">
        <v>163</v>
      </c>
      <c r="V755" s="30" t="s">
        <v>164</v>
      </c>
      <c r="W755" s="30" t="s">
        <v>165</v>
      </c>
      <c r="X755" s="28" t="s">
        <v>15429</v>
      </c>
      <c r="Y755" s="28" t="s">
        <v>15430</v>
      </c>
      <c r="Z755" s="40">
        <v>141</v>
      </c>
      <c r="AA755" s="30" t="s">
        <v>15431</v>
      </c>
      <c r="AB755" s="30" t="s">
        <v>151</v>
      </c>
      <c r="AC755" s="30" t="s">
        <v>151</v>
      </c>
      <c r="AD755" s="39">
        <v>2019</v>
      </c>
      <c r="AE755" s="30" t="s">
        <v>151</v>
      </c>
      <c r="AF755" s="35">
        <v>45595</v>
      </c>
      <c r="AG755" s="30" t="s">
        <v>151</v>
      </c>
      <c r="AH755" s="30" t="s">
        <v>151</v>
      </c>
      <c r="AI755" s="38" t="s">
        <v>151</v>
      </c>
      <c r="AJ755" s="32" t="s">
        <v>151</v>
      </c>
      <c r="AK755" s="38" t="s">
        <v>151</v>
      </c>
      <c r="AL755" s="38" t="s">
        <v>151</v>
      </c>
      <c r="AM755" s="38" t="s">
        <v>151</v>
      </c>
      <c r="AN755" s="38" t="s">
        <v>151</v>
      </c>
      <c r="AO755" s="38" t="s">
        <v>151</v>
      </c>
      <c r="AP755" s="38" t="s">
        <v>151</v>
      </c>
      <c r="AQ755" s="38" t="s">
        <v>151</v>
      </c>
      <c r="AR755" s="29" t="s">
        <v>151</v>
      </c>
      <c r="AS755" s="30" t="s">
        <v>15432</v>
      </c>
      <c r="AT755" s="30" t="s">
        <v>15433</v>
      </c>
      <c r="AU755" s="31">
        <v>15</v>
      </c>
      <c r="AV755" s="30" t="s">
        <v>151</v>
      </c>
      <c r="AW755" s="30" t="s">
        <v>151</v>
      </c>
      <c r="AX755" s="30" t="s">
        <v>151</v>
      </c>
      <c r="AY755" s="30" t="s">
        <v>15434</v>
      </c>
      <c r="AZ755" s="30" t="s">
        <v>151</v>
      </c>
      <c r="BA755" s="30" t="s">
        <v>151</v>
      </c>
      <c r="BB755" s="30" t="s">
        <v>151</v>
      </c>
      <c r="BC755" s="30" t="s">
        <v>343</v>
      </c>
      <c r="BD755" s="30" t="s">
        <v>15435</v>
      </c>
      <c r="BE755" s="30" t="s">
        <v>15436</v>
      </c>
      <c r="BF755" s="30" t="s">
        <v>931</v>
      </c>
      <c r="BG755" s="30" t="s">
        <v>15437</v>
      </c>
      <c r="BH755" s="30" t="s">
        <v>151</v>
      </c>
      <c r="BI755" s="30" t="s">
        <v>285</v>
      </c>
      <c r="BJ755" s="30" t="s">
        <v>286</v>
      </c>
      <c r="BK755" s="30" t="s">
        <v>15438</v>
      </c>
      <c r="BL755" s="30" t="s">
        <v>288</v>
      </c>
      <c r="BM755" s="30" t="s">
        <v>289</v>
      </c>
      <c r="BN755" s="29" t="s">
        <v>8427</v>
      </c>
      <c r="BO755" s="30" t="s">
        <v>186</v>
      </c>
      <c r="BP755" s="29" t="s">
        <v>151</v>
      </c>
      <c r="BQ755" s="29" t="s">
        <v>151</v>
      </c>
      <c r="BR755" s="30" t="s">
        <v>15439</v>
      </c>
      <c r="BS755" s="30" t="s">
        <v>187</v>
      </c>
      <c r="BT755" s="30" t="s">
        <v>188</v>
      </c>
      <c r="BU755" s="35">
        <v>44409</v>
      </c>
      <c r="BV755" s="37">
        <v>1.45</v>
      </c>
      <c r="BW755" s="30" t="s">
        <v>192</v>
      </c>
      <c r="BX755" s="37">
        <v>19.45</v>
      </c>
      <c r="BY755" s="30" t="s">
        <v>192</v>
      </c>
      <c r="BZ755" s="30" t="s">
        <v>293</v>
      </c>
      <c r="CA755" s="30" t="s">
        <v>293</v>
      </c>
      <c r="CB755" s="30" t="s">
        <v>151</v>
      </c>
      <c r="CC755" s="30" t="s">
        <v>165</v>
      </c>
      <c r="CD755" s="30" t="s">
        <v>151</v>
      </c>
      <c r="CE755" s="30" t="s">
        <v>191</v>
      </c>
      <c r="CF755" s="35">
        <v>45496</v>
      </c>
      <c r="CG755" s="37">
        <v>36</v>
      </c>
      <c r="CH755" s="30" t="s">
        <v>192</v>
      </c>
      <c r="CI755" s="37">
        <v>170</v>
      </c>
      <c r="CJ755" s="30" t="s">
        <v>192</v>
      </c>
      <c r="CK755" s="29">
        <v>1.33</v>
      </c>
      <c r="CL755" s="30" t="s">
        <v>194</v>
      </c>
      <c r="CM755" s="30" t="s">
        <v>326</v>
      </c>
      <c r="CN755" s="30" t="s">
        <v>151</v>
      </c>
      <c r="CO755" s="30" t="s">
        <v>165</v>
      </c>
      <c r="CP755" s="35">
        <v>45496</v>
      </c>
      <c r="CQ755" s="37" t="s">
        <v>151</v>
      </c>
      <c r="CR755" s="30" t="s">
        <v>151</v>
      </c>
      <c r="CS755" s="30" t="s">
        <v>191</v>
      </c>
      <c r="CT755" s="29">
        <v>96</v>
      </c>
      <c r="CU755" s="30" t="s">
        <v>196</v>
      </c>
      <c r="CV755" s="32">
        <v>91</v>
      </c>
      <c r="CW755" s="32">
        <v>9</v>
      </c>
      <c r="CX755" s="30" t="s">
        <v>294</v>
      </c>
      <c r="CY755" s="32">
        <v>3</v>
      </c>
      <c r="CZ755" s="32">
        <v>88</v>
      </c>
      <c r="DA755" s="37">
        <v>170</v>
      </c>
      <c r="DB755" s="35">
        <v>45496</v>
      </c>
      <c r="DC755" s="30" t="s">
        <v>194</v>
      </c>
      <c r="DD755" s="29">
        <v>1.33</v>
      </c>
      <c r="DE755" s="32">
        <v>1.18</v>
      </c>
      <c r="DF755" s="34">
        <v>97</v>
      </c>
      <c r="DG755" s="32">
        <v>0</v>
      </c>
      <c r="DH755" s="32">
        <v>0</v>
      </c>
      <c r="DI755" s="32">
        <v>1.05</v>
      </c>
      <c r="DJ755" s="34">
        <v>97</v>
      </c>
      <c r="DK755" s="32">
        <v>-0.72</v>
      </c>
      <c r="DL755" s="34">
        <v>9</v>
      </c>
      <c r="DM755" s="32">
        <v>2.81</v>
      </c>
      <c r="DN755" s="34">
        <v>99</v>
      </c>
      <c r="DO755" s="36">
        <v>27.58</v>
      </c>
      <c r="DP755" s="34">
        <v>96</v>
      </c>
      <c r="DQ755" s="36">
        <v>0</v>
      </c>
      <c r="DR755" s="32">
        <v>0</v>
      </c>
      <c r="DS755" s="36">
        <v>44.3</v>
      </c>
      <c r="DT755" s="34">
        <v>98</v>
      </c>
      <c r="DU755" s="36">
        <v>63.4</v>
      </c>
      <c r="DV755" s="34">
        <v>96</v>
      </c>
      <c r="DW755" s="36">
        <v>25.21</v>
      </c>
      <c r="DX755" s="34">
        <v>96</v>
      </c>
      <c r="DY755" s="31" t="s">
        <v>151</v>
      </c>
      <c r="DZ755" s="35" t="s">
        <v>151</v>
      </c>
      <c r="EA755" s="35" t="s">
        <v>151</v>
      </c>
      <c r="EB755" s="34">
        <v>13060</v>
      </c>
      <c r="EC755" s="33">
        <v>-114</v>
      </c>
      <c r="ED755" s="32">
        <v>-0.87</v>
      </c>
      <c r="EE755" s="34">
        <v>479</v>
      </c>
      <c r="EF755" s="33">
        <v>5</v>
      </c>
      <c r="EG755" s="32">
        <v>1.05</v>
      </c>
      <c r="EH755" s="29" t="s">
        <v>198</v>
      </c>
      <c r="EI755" s="30" t="s">
        <v>151</v>
      </c>
      <c r="EJ755" s="30" t="s">
        <v>151</v>
      </c>
      <c r="EK755" s="31" t="s">
        <v>151</v>
      </c>
      <c r="EL755" s="31" t="s">
        <v>151</v>
      </c>
      <c r="EM755" s="31" t="s">
        <v>151</v>
      </c>
      <c r="EN755" s="31" t="s">
        <v>151</v>
      </c>
      <c r="EO755" s="31" t="s">
        <v>151</v>
      </c>
      <c r="EP755" s="30" t="s">
        <v>151</v>
      </c>
      <c r="EQ755" s="29" t="s">
        <v>151</v>
      </c>
      <c r="ER755" s="29" t="s">
        <v>151</v>
      </c>
      <c r="ES755" s="4">
        <f>HYPERLINK("https://my.pitchbook.com?c=438863-05","View Company Online")</f>
      </c>
    </row>
    <row r="756">
      <c r="A756" s="17" t="s">
        <v>15440</v>
      </c>
      <c r="B756" s="17" t="s">
        <v>15441</v>
      </c>
      <c r="C756" s="18" t="s">
        <v>151</v>
      </c>
      <c r="D756" s="17" t="s">
        <v>151</v>
      </c>
      <c r="E756" s="17" t="s">
        <v>151</v>
      </c>
      <c r="F756" s="17" t="s">
        <v>15442</v>
      </c>
      <c r="G756" s="17" t="s">
        <v>151</v>
      </c>
      <c r="H756" s="17" t="s">
        <v>151</v>
      </c>
      <c r="I756" s="17" t="s">
        <v>15443</v>
      </c>
      <c r="J756" s="17" t="s">
        <v>15440</v>
      </c>
      <c r="K756" s="17" t="s">
        <v>15444</v>
      </c>
      <c r="L756" s="17" t="s">
        <v>205</v>
      </c>
      <c r="M756" s="17" t="s">
        <v>206</v>
      </c>
      <c r="N756" s="17" t="s">
        <v>1268</v>
      </c>
      <c r="O756" s="17" t="s">
        <v>15445</v>
      </c>
      <c r="P756" s="17" t="s">
        <v>9432</v>
      </c>
      <c r="Q756" s="17" t="s">
        <v>15446</v>
      </c>
      <c r="R756" s="17" t="s">
        <v>151</v>
      </c>
      <c r="S756" s="17" t="s">
        <v>162</v>
      </c>
      <c r="T756" s="24">
        <v>8</v>
      </c>
      <c r="U756" s="17" t="s">
        <v>163</v>
      </c>
      <c r="V756" s="17" t="s">
        <v>164</v>
      </c>
      <c r="W756" s="17" t="s">
        <v>165</v>
      </c>
      <c r="X756" s="15" t="s">
        <v>15447</v>
      </c>
      <c r="Y756" s="15" t="s">
        <v>15448</v>
      </c>
      <c r="Z756" s="27">
        <v>22</v>
      </c>
      <c r="AA756" s="17" t="s">
        <v>15449</v>
      </c>
      <c r="AB756" s="17" t="s">
        <v>151</v>
      </c>
      <c r="AC756" s="17" t="s">
        <v>151</v>
      </c>
      <c r="AD756" s="26">
        <v>2020</v>
      </c>
      <c r="AE756" s="17" t="s">
        <v>151</v>
      </c>
      <c r="AF756" s="22">
        <v>45337</v>
      </c>
      <c r="AG756" s="17" t="s">
        <v>151</v>
      </c>
      <c r="AH756" s="17" t="s">
        <v>151</v>
      </c>
      <c r="AI756" s="25" t="s">
        <v>151</v>
      </c>
      <c r="AJ756" s="19" t="s">
        <v>151</v>
      </c>
      <c r="AK756" s="25" t="s">
        <v>151</v>
      </c>
      <c r="AL756" s="25" t="s">
        <v>151</v>
      </c>
      <c r="AM756" s="25" t="s">
        <v>151</v>
      </c>
      <c r="AN756" s="25" t="s">
        <v>151</v>
      </c>
      <c r="AO756" s="25" t="s">
        <v>151</v>
      </c>
      <c r="AP756" s="25" t="s">
        <v>151</v>
      </c>
      <c r="AQ756" s="25" t="s">
        <v>151</v>
      </c>
      <c r="AR756" s="16" t="s">
        <v>151</v>
      </c>
      <c r="AS756" s="17" t="s">
        <v>15450</v>
      </c>
      <c r="AT756" s="17" t="s">
        <v>15451</v>
      </c>
      <c r="AU756" s="18">
        <v>7</v>
      </c>
      <c r="AV756" s="17" t="s">
        <v>151</v>
      </c>
      <c r="AW756" s="17" t="s">
        <v>151</v>
      </c>
      <c r="AX756" s="17" t="s">
        <v>151</v>
      </c>
      <c r="AY756" s="17" t="s">
        <v>15452</v>
      </c>
      <c r="AZ756" s="17" t="s">
        <v>151</v>
      </c>
      <c r="BA756" s="17" t="s">
        <v>151</v>
      </c>
      <c r="BB756" s="17" t="s">
        <v>151</v>
      </c>
      <c r="BC756" s="17" t="s">
        <v>151</v>
      </c>
      <c r="BD756" s="17" t="s">
        <v>15453</v>
      </c>
      <c r="BE756" s="17" t="s">
        <v>15454</v>
      </c>
      <c r="BF756" s="17" t="s">
        <v>15455</v>
      </c>
      <c r="BG756" s="17" t="s">
        <v>15456</v>
      </c>
      <c r="BH756" s="17" t="s">
        <v>15457</v>
      </c>
      <c r="BI756" s="17" t="s">
        <v>906</v>
      </c>
      <c r="BJ756" s="17" t="s">
        <v>15458</v>
      </c>
      <c r="BK756" s="17" t="s">
        <v>15459</v>
      </c>
      <c r="BL756" s="17" t="s">
        <v>259</v>
      </c>
      <c r="BM756" s="17" t="s">
        <v>259</v>
      </c>
      <c r="BN756" s="16" t="s">
        <v>15460</v>
      </c>
      <c r="BO756" s="17" t="s">
        <v>186</v>
      </c>
      <c r="BP756" s="16" t="s">
        <v>15457</v>
      </c>
      <c r="BQ756" s="16" t="s">
        <v>151</v>
      </c>
      <c r="BR756" s="17" t="s">
        <v>15461</v>
      </c>
      <c r="BS756" s="17" t="s">
        <v>187</v>
      </c>
      <c r="BT756" s="17" t="s">
        <v>188</v>
      </c>
      <c r="BU756" s="22">
        <v>44424</v>
      </c>
      <c r="BV756" s="24">
        <v>8</v>
      </c>
      <c r="BW756" s="17" t="s">
        <v>192</v>
      </c>
      <c r="BX756" s="24" t="s">
        <v>151</v>
      </c>
      <c r="BY756" s="17" t="s">
        <v>151</v>
      </c>
      <c r="BZ756" s="17" t="s">
        <v>231</v>
      </c>
      <c r="CA756" s="17" t="s">
        <v>232</v>
      </c>
      <c r="CB756" s="17" t="s">
        <v>151</v>
      </c>
      <c r="CC756" s="17" t="s">
        <v>165</v>
      </c>
      <c r="CD756" s="17" t="s">
        <v>151</v>
      </c>
      <c r="CE756" s="17" t="s">
        <v>191</v>
      </c>
      <c r="CF756" s="22">
        <v>45323</v>
      </c>
      <c r="CG756" s="24" t="s">
        <v>151</v>
      </c>
      <c r="CH756" s="17" t="s">
        <v>151</v>
      </c>
      <c r="CI756" s="24" t="s">
        <v>151</v>
      </c>
      <c r="CJ756" s="17" t="s">
        <v>151</v>
      </c>
      <c r="CK756" s="16" t="s">
        <v>151</v>
      </c>
      <c r="CL756" s="17" t="s">
        <v>231</v>
      </c>
      <c r="CM756" s="17" t="s">
        <v>151</v>
      </c>
      <c r="CN756" s="17" t="s">
        <v>151</v>
      </c>
      <c r="CO756" s="17" t="s">
        <v>165</v>
      </c>
      <c r="CP756" s="22">
        <v>45323</v>
      </c>
      <c r="CQ756" s="24" t="s">
        <v>151</v>
      </c>
      <c r="CR756" s="17" t="s">
        <v>151</v>
      </c>
      <c r="CS756" s="17" t="s">
        <v>191</v>
      </c>
      <c r="CT756" s="16">
        <v>92</v>
      </c>
      <c r="CU756" s="17" t="s">
        <v>196</v>
      </c>
      <c r="CV756" s="19">
        <v>84</v>
      </c>
      <c r="CW756" s="19">
        <v>16</v>
      </c>
      <c r="CX756" s="17" t="s">
        <v>294</v>
      </c>
      <c r="CY756" s="19">
        <v>1</v>
      </c>
      <c r="CZ756" s="19">
        <v>83</v>
      </c>
      <c r="DA756" s="24" t="s">
        <v>151</v>
      </c>
      <c r="DB756" s="22" t="s">
        <v>151</v>
      </c>
      <c r="DC756" s="17" t="s">
        <v>151</v>
      </c>
      <c r="DD756" s="16" t="s">
        <v>151</v>
      </c>
      <c r="DE756" s="19">
        <v>0.04</v>
      </c>
      <c r="DF756" s="21">
        <v>90</v>
      </c>
      <c r="DG756" s="19">
        <v>0</v>
      </c>
      <c r="DH756" s="19">
        <v>0</v>
      </c>
      <c r="DI756" s="19">
        <v>0.09</v>
      </c>
      <c r="DJ756" s="21">
        <v>92</v>
      </c>
      <c r="DK756" s="19" t="s">
        <v>151</v>
      </c>
      <c r="DL756" s="21" t="s">
        <v>151</v>
      </c>
      <c r="DM756" s="19">
        <v>0.09</v>
      </c>
      <c r="DN756" s="21">
        <v>93</v>
      </c>
      <c r="DO756" s="23">
        <v>5.03</v>
      </c>
      <c r="DP756" s="21">
        <v>82</v>
      </c>
      <c r="DQ756" s="23">
        <v>0</v>
      </c>
      <c r="DR756" s="19">
        <v>0</v>
      </c>
      <c r="DS756" s="23">
        <v>8.37</v>
      </c>
      <c r="DT756" s="21">
        <v>88</v>
      </c>
      <c r="DU756" s="23" t="s">
        <v>151</v>
      </c>
      <c r="DV756" s="21" t="s">
        <v>151</v>
      </c>
      <c r="DW756" s="23">
        <v>8.37</v>
      </c>
      <c r="DX756" s="21">
        <v>88</v>
      </c>
      <c r="DY756" s="18" t="s">
        <v>151</v>
      </c>
      <c r="DZ756" s="22" t="s">
        <v>151</v>
      </c>
      <c r="EA756" s="22" t="s">
        <v>151</v>
      </c>
      <c r="EB756" s="21">
        <v>1649</v>
      </c>
      <c r="EC756" s="20">
        <v>-24</v>
      </c>
      <c r="ED756" s="19">
        <v>-1.43</v>
      </c>
      <c r="EE756" s="21">
        <v>159</v>
      </c>
      <c r="EF756" s="20">
        <v>0</v>
      </c>
      <c r="EG756" s="19">
        <v>0</v>
      </c>
      <c r="EH756" s="16" t="s">
        <v>198</v>
      </c>
      <c r="EI756" s="17" t="s">
        <v>151</v>
      </c>
      <c r="EJ756" s="17" t="s">
        <v>151</v>
      </c>
      <c r="EK756" s="18" t="s">
        <v>151</v>
      </c>
      <c r="EL756" s="18" t="s">
        <v>151</v>
      </c>
      <c r="EM756" s="18" t="s">
        <v>151</v>
      </c>
      <c r="EN756" s="18" t="s">
        <v>151</v>
      </c>
      <c r="EO756" s="18" t="s">
        <v>151</v>
      </c>
      <c r="EP756" s="17" t="s">
        <v>151</v>
      </c>
      <c r="EQ756" s="16" t="s">
        <v>151</v>
      </c>
      <c r="ER756" s="16" t="s">
        <v>151</v>
      </c>
      <c r="ES756" s="3">
        <f>HYPERLINK("https://my.pitchbook.com?c=471351-34","View Company Online")</f>
      </c>
    </row>
    <row r="757">
      <c r="A757" s="30" t="s">
        <v>15462</v>
      </c>
      <c r="B757" s="30" t="s">
        <v>15463</v>
      </c>
      <c r="C757" s="31" t="s">
        <v>151</v>
      </c>
      <c r="D757" s="30" t="s">
        <v>151</v>
      </c>
      <c r="E757" s="30" t="s">
        <v>151</v>
      </c>
      <c r="F757" s="30" t="s">
        <v>15464</v>
      </c>
      <c r="G757" s="30" t="s">
        <v>151</v>
      </c>
      <c r="H757" s="30" t="s">
        <v>151</v>
      </c>
      <c r="I757" s="30" t="s">
        <v>15465</v>
      </c>
      <c r="J757" s="30" t="s">
        <v>15462</v>
      </c>
      <c r="K757" s="30" t="s">
        <v>15466</v>
      </c>
      <c r="L757" s="30" t="s">
        <v>205</v>
      </c>
      <c r="M757" s="30" t="s">
        <v>206</v>
      </c>
      <c r="N757" s="30" t="s">
        <v>269</v>
      </c>
      <c r="O757" s="30" t="s">
        <v>1420</v>
      </c>
      <c r="P757" s="30" t="s">
        <v>15467</v>
      </c>
      <c r="Q757" s="30" t="s">
        <v>15468</v>
      </c>
      <c r="R757" s="30" t="s">
        <v>151</v>
      </c>
      <c r="S757" s="30" t="s">
        <v>162</v>
      </c>
      <c r="T757" s="37">
        <v>1.59</v>
      </c>
      <c r="U757" s="30" t="s">
        <v>163</v>
      </c>
      <c r="V757" s="30" t="s">
        <v>164</v>
      </c>
      <c r="W757" s="30" t="s">
        <v>165</v>
      </c>
      <c r="X757" s="28" t="s">
        <v>15469</v>
      </c>
      <c r="Y757" s="28" t="s">
        <v>15470</v>
      </c>
      <c r="Z757" s="40">
        <v>11</v>
      </c>
      <c r="AA757" s="30" t="s">
        <v>15471</v>
      </c>
      <c r="AB757" s="30" t="s">
        <v>151</v>
      </c>
      <c r="AC757" s="30" t="s">
        <v>151</v>
      </c>
      <c r="AD757" s="39">
        <v>2014</v>
      </c>
      <c r="AE757" s="30" t="s">
        <v>151</v>
      </c>
      <c r="AF757" s="35">
        <v>45601</v>
      </c>
      <c r="AG757" s="30" t="s">
        <v>151</v>
      </c>
      <c r="AH757" s="30" t="s">
        <v>151</v>
      </c>
      <c r="AI757" s="38" t="s">
        <v>151</v>
      </c>
      <c r="AJ757" s="32" t="s">
        <v>151</v>
      </c>
      <c r="AK757" s="38" t="s">
        <v>151</v>
      </c>
      <c r="AL757" s="38" t="s">
        <v>151</v>
      </c>
      <c r="AM757" s="38" t="s">
        <v>151</v>
      </c>
      <c r="AN757" s="38" t="s">
        <v>151</v>
      </c>
      <c r="AO757" s="38" t="s">
        <v>151</v>
      </c>
      <c r="AP757" s="38" t="s">
        <v>151</v>
      </c>
      <c r="AQ757" s="38" t="s">
        <v>151</v>
      </c>
      <c r="AR757" s="29" t="s">
        <v>151</v>
      </c>
      <c r="AS757" s="30" t="s">
        <v>15472</v>
      </c>
      <c r="AT757" s="30" t="s">
        <v>15473</v>
      </c>
      <c r="AU757" s="31">
        <v>12</v>
      </c>
      <c r="AV757" s="30" t="s">
        <v>151</v>
      </c>
      <c r="AW757" s="30" t="s">
        <v>4564</v>
      </c>
      <c r="AX757" s="30" t="s">
        <v>151</v>
      </c>
      <c r="AY757" s="30" t="s">
        <v>15474</v>
      </c>
      <c r="AZ757" s="30" t="s">
        <v>4566</v>
      </c>
      <c r="BA757" s="30" t="s">
        <v>151</v>
      </c>
      <c r="BB757" s="30" t="s">
        <v>151</v>
      </c>
      <c r="BC757" s="30" t="s">
        <v>462</v>
      </c>
      <c r="BD757" s="30" t="s">
        <v>15475</v>
      </c>
      <c r="BE757" s="30" t="s">
        <v>15476</v>
      </c>
      <c r="BF757" s="30" t="s">
        <v>2115</v>
      </c>
      <c r="BG757" s="30" t="s">
        <v>15477</v>
      </c>
      <c r="BH757" s="30" t="s">
        <v>15478</v>
      </c>
      <c r="BI757" s="30" t="s">
        <v>906</v>
      </c>
      <c r="BJ757" s="30" t="s">
        <v>15479</v>
      </c>
      <c r="BK757" s="30" t="s">
        <v>523</v>
      </c>
      <c r="BL757" s="30" t="s">
        <v>259</v>
      </c>
      <c r="BM757" s="30" t="s">
        <v>259</v>
      </c>
      <c r="BN757" s="29" t="s">
        <v>4140</v>
      </c>
      <c r="BO757" s="30" t="s">
        <v>186</v>
      </c>
      <c r="BP757" s="29" t="s">
        <v>15480</v>
      </c>
      <c r="BQ757" s="29" t="s">
        <v>151</v>
      </c>
      <c r="BR757" s="30" t="s">
        <v>151</v>
      </c>
      <c r="BS757" s="30" t="s">
        <v>187</v>
      </c>
      <c r="BT757" s="30" t="s">
        <v>188</v>
      </c>
      <c r="BU757" s="35">
        <v>42439</v>
      </c>
      <c r="BV757" s="37" t="s">
        <v>151</v>
      </c>
      <c r="BW757" s="30" t="s">
        <v>151</v>
      </c>
      <c r="BX757" s="37" t="s">
        <v>151</v>
      </c>
      <c r="BY757" s="30" t="s">
        <v>151</v>
      </c>
      <c r="BZ757" s="30" t="s">
        <v>189</v>
      </c>
      <c r="CA757" s="30" t="s">
        <v>151</v>
      </c>
      <c r="CB757" s="30" t="s">
        <v>151</v>
      </c>
      <c r="CC757" s="30" t="s">
        <v>190</v>
      </c>
      <c r="CD757" s="30" t="s">
        <v>151</v>
      </c>
      <c r="CE757" s="30" t="s">
        <v>191</v>
      </c>
      <c r="CF757" s="35">
        <v>44880</v>
      </c>
      <c r="CG757" s="37" t="s">
        <v>151</v>
      </c>
      <c r="CH757" s="30" t="s">
        <v>151</v>
      </c>
      <c r="CI757" s="37" t="s">
        <v>151</v>
      </c>
      <c r="CJ757" s="30" t="s">
        <v>151</v>
      </c>
      <c r="CK757" s="29" t="s">
        <v>151</v>
      </c>
      <c r="CL757" s="30" t="s">
        <v>194</v>
      </c>
      <c r="CM757" s="30" t="s">
        <v>151</v>
      </c>
      <c r="CN757" s="30" t="s">
        <v>151</v>
      </c>
      <c r="CO757" s="30" t="s">
        <v>165</v>
      </c>
      <c r="CP757" s="35">
        <v>44880</v>
      </c>
      <c r="CQ757" s="37" t="s">
        <v>151</v>
      </c>
      <c r="CR757" s="30" t="s">
        <v>355</v>
      </c>
      <c r="CS757" s="30" t="s">
        <v>191</v>
      </c>
      <c r="CT757" s="29">
        <v>50</v>
      </c>
      <c r="CU757" s="30" t="s">
        <v>263</v>
      </c>
      <c r="CV757" s="32">
        <v>48</v>
      </c>
      <c r="CW757" s="32">
        <v>52</v>
      </c>
      <c r="CX757" s="30" t="s">
        <v>263</v>
      </c>
      <c r="CY757" s="32">
        <v>1</v>
      </c>
      <c r="CZ757" s="32">
        <v>47</v>
      </c>
      <c r="DA757" s="37">
        <v>5.47</v>
      </c>
      <c r="DB757" s="35">
        <v>43966</v>
      </c>
      <c r="DC757" s="30" t="s">
        <v>293</v>
      </c>
      <c r="DD757" s="29" t="s">
        <v>151</v>
      </c>
      <c r="DE757" s="32" t="s">
        <v>151</v>
      </c>
      <c r="DF757" s="34" t="s">
        <v>151</v>
      </c>
      <c r="DG757" s="32" t="s">
        <v>151</v>
      </c>
      <c r="DH757" s="32" t="s">
        <v>151</v>
      </c>
      <c r="DI757" s="32" t="s">
        <v>151</v>
      </c>
      <c r="DJ757" s="34" t="s">
        <v>151</v>
      </c>
      <c r="DK757" s="32" t="s">
        <v>151</v>
      </c>
      <c r="DL757" s="34" t="s">
        <v>151</v>
      </c>
      <c r="DM757" s="32" t="s">
        <v>151</v>
      </c>
      <c r="DN757" s="34" t="s">
        <v>151</v>
      </c>
      <c r="DO757" s="36" t="s">
        <v>151</v>
      </c>
      <c r="DP757" s="34" t="s">
        <v>151</v>
      </c>
      <c r="DQ757" s="36" t="s">
        <v>151</v>
      </c>
      <c r="DR757" s="32" t="s">
        <v>151</v>
      </c>
      <c r="DS757" s="36" t="s">
        <v>151</v>
      </c>
      <c r="DT757" s="34" t="s">
        <v>151</v>
      </c>
      <c r="DU757" s="36" t="s">
        <v>151</v>
      </c>
      <c r="DV757" s="34" t="s">
        <v>151</v>
      </c>
      <c r="DW757" s="36" t="s">
        <v>151</v>
      </c>
      <c r="DX757" s="34" t="s">
        <v>151</v>
      </c>
      <c r="DY757" s="31" t="s">
        <v>151</v>
      </c>
      <c r="DZ757" s="35" t="s">
        <v>151</v>
      </c>
      <c r="EA757" s="35" t="s">
        <v>151</v>
      </c>
      <c r="EB757" s="34" t="s">
        <v>151</v>
      </c>
      <c r="EC757" s="33" t="s">
        <v>151</v>
      </c>
      <c r="ED757" s="32" t="s">
        <v>151</v>
      </c>
      <c r="EE757" s="34" t="s">
        <v>151</v>
      </c>
      <c r="EF757" s="33" t="s">
        <v>151</v>
      </c>
      <c r="EG757" s="32" t="s">
        <v>151</v>
      </c>
      <c r="EH757" s="29" t="s">
        <v>198</v>
      </c>
      <c r="EI757" s="30" t="s">
        <v>151</v>
      </c>
      <c r="EJ757" s="30" t="s">
        <v>151</v>
      </c>
      <c r="EK757" s="31" t="s">
        <v>151</v>
      </c>
      <c r="EL757" s="31" t="s">
        <v>151</v>
      </c>
      <c r="EM757" s="31" t="s">
        <v>151</v>
      </c>
      <c r="EN757" s="31" t="s">
        <v>151</v>
      </c>
      <c r="EO757" s="31" t="s">
        <v>151</v>
      </c>
      <c r="EP757" s="30" t="s">
        <v>151</v>
      </c>
      <c r="EQ757" s="29" t="s">
        <v>151</v>
      </c>
      <c r="ER757" s="29" t="s">
        <v>151</v>
      </c>
      <c r="ES757" s="4">
        <f>HYPERLINK("https://my.pitchbook.com?c=228025-54","View Company Online")</f>
      </c>
    </row>
    <row r="758">
      <c r="A758" s="17" t="s">
        <v>15481</v>
      </c>
      <c r="B758" s="17" t="s">
        <v>15482</v>
      </c>
      <c r="C758" s="18" t="s">
        <v>151</v>
      </c>
      <c r="D758" s="17" t="s">
        <v>151</v>
      </c>
      <c r="E758" s="17" t="s">
        <v>15483</v>
      </c>
      <c r="F758" s="17" t="s">
        <v>15484</v>
      </c>
      <c r="G758" s="17" t="s">
        <v>151</v>
      </c>
      <c r="H758" s="17" t="s">
        <v>151</v>
      </c>
      <c r="I758" s="17" t="s">
        <v>15485</v>
      </c>
      <c r="J758" s="17" t="s">
        <v>15481</v>
      </c>
      <c r="K758" s="17" t="s">
        <v>15486</v>
      </c>
      <c r="L758" s="17" t="s">
        <v>205</v>
      </c>
      <c r="M758" s="17" t="s">
        <v>206</v>
      </c>
      <c r="N758" s="17" t="s">
        <v>269</v>
      </c>
      <c r="O758" s="17" t="s">
        <v>2965</v>
      </c>
      <c r="P758" s="17" t="s">
        <v>1153</v>
      </c>
      <c r="Q758" s="17" t="s">
        <v>15487</v>
      </c>
      <c r="R758" s="17" t="s">
        <v>151</v>
      </c>
      <c r="S758" s="17" t="s">
        <v>162</v>
      </c>
      <c r="T758" s="24">
        <v>3.1</v>
      </c>
      <c r="U758" s="17" t="s">
        <v>163</v>
      </c>
      <c r="V758" s="17" t="s">
        <v>164</v>
      </c>
      <c r="W758" s="17" t="s">
        <v>165</v>
      </c>
      <c r="X758" s="15" t="s">
        <v>15488</v>
      </c>
      <c r="Y758" s="15" t="s">
        <v>15489</v>
      </c>
      <c r="Z758" s="27">
        <v>10</v>
      </c>
      <c r="AA758" s="17" t="s">
        <v>15490</v>
      </c>
      <c r="AB758" s="17" t="s">
        <v>151</v>
      </c>
      <c r="AC758" s="17" t="s">
        <v>151</v>
      </c>
      <c r="AD758" s="26">
        <v>2021</v>
      </c>
      <c r="AE758" s="17" t="s">
        <v>151</v>
      </c>
      <c r="AF758" s="22">
        <v>45548</v>
      </c>
      <c r="AG758" s="17" t="s">
        <v>151</v>
      </c>
      <c r="AH758" s="17" t="s">
        <v>15491</v>
      </c>
      <c r="AI758" s="25" t="s">
        <v>151</v>
      </c>
      <c r="AJ758" s="19" t="s">
        <v>151</v>
      </c>
      <c r="AK758" s="25" t="s">
        <v>151</v>
      </c>
      <c r="AL758" s="25" t="s">
        <v>151</v>
      </c>
      <c r="AM758" s="25" t="s">
        <v>151</v>
      </c>
      <c r="AN758" s="25" t="s">
        <v>151</v>
      </c>
      <c r="AO758" s="25" t="s">
        <v>151</v>
      </c>
      <c r="AP758" s="25" t="s">
        <v>151</v>
      </c>
      <c r="AQ758" s="25" t="s">
        <v>151</v>
      </c>
      <c r="AR758" s="16" t="s">
        <v>151</v>
      </c>
      <c r="AS758" s="17" t="s">
        <v>15492</v>
      </c>
      <c r="AT758" s="17" t="s">
        <v>15493</v>
      </c>
      <c r="AU758" s="18">
        <v>2</v>
      </c>
      <c r="AV758" s="17" t="s">
        <v>151</v>
      </c>
      <c r="AW758" s="17" t="s">
        <v>151</v>
      </c>
      <c r="AX758" s="17" t="s">
        <v>151</v>
      </c>
      <c r="AY758" s="17" t="s">
        <v>15494</v>
      </c>
      <c r="AZ758" s="17" t="s">
        <v>151</v>
      </c>
      <c r="BA758" s="17" t="s">
        <v>151</v>
      </c>
      <c r="BB758" s="17" t="s">
        <v>151</v>
      </c>
      <c r="BC758" s="17" t="s">
        <v>15495</v>
      </c>
      <c r="BD758" s="17" t="s">
        <v>15496</v>
      </c>
      <c r="BE758" s="17" t="s">
        <v>15497</v>
      </c>
      <c r="BF758" s="17" t="s">
        <v>221</v>
      </c>
      <c r="BG758" s="17" t="s">
        <v>15498</v>
      </c>
      <c r="BH758" s="17" t="s">
        <v>15499</v>
      </c>
      <c r="BI758" s="17" t="s">
        <v>7768</v>
      </c>
      <c r="BJ758" s="17" t="s">
        <v>15500</v>
      </c>
      <c r="BK758" s="17" t="s">
        <v>1597</v>
      </c>
      <c r="BL758" s="17" t="s">
        <v>7771</v>
      </c>
      <c r="BM758" s="17" t="s">
        <v>525</v>
      </c>
      <c r="BN758" s="16" t="s">
        <v>15501</v>
      </c>
      <c r="BO758" s="17" t="s">
        <v>186</v>
      </c>
      <c r="BP758" s="16" t="s">
        <v>15499</v>
      </c>
      <c r="BQ758" s="16" t="s">
        <v>151</v>
      </c>
      <c r="BR758" s="17" t="s">
        <v>15502</v>
      </c>
      <c r="BS758" s="17" t="s">
        <v>187</v>
      </c>
      <c r="BT758" s="17" t="s">
        <v>188</v>
      </c>
      <c r="BU758" s="22">
        <v>44544</v>
      </c>
      <c r="BV758" s="24">
        <v>2</v>
      </c>
      <c r="BW758" s="17" t="s">
        <v>192</v>
      </c>
      <c r="BX758" s="24">
        <v>7</v>
      </c>
      <c r="BY758" s="17" t="s">
        <v>192</v>
      </c>
      <c r="BZ758" s="17" t="s">
        <v>293</v>
      </c>
      <c r="CA758" s="17" t="s">
        <v>293</v>
      </c>
      <c r="CB758" s="17" t="s">
        <v>151</v>
      </c>
      <c r="CC758" s="17" t="s">
        <v>165</v>
      </c>
      <c r="CD758" s="17" t="s">
        <v>151</v>
      </c>
      <c r="CE758" s="17" t="s">
        <v>191</v>
      </c>
      <c r="CF758" s="22">
        <v>45470</v>
      </c>
      <c r="CG758" s="24">
        <v>1.1</v>
      </c>
      <c r="CH758" s="17" t="s">
        <v>192</v>
      </c>
      <c r="CI758" s="24" t="s">
        <v>151</v>
      </c>
      <c r="CJ758" s="17" t="s">
        <v>151</v>
      </c>
      <c r="CK758" s="16" t="s">
        <v>151</v>
      </c>
      <c r="CL758" s="17" t="s">
        <v>231</v>
      </c>
      <c r="CM758" s="17" t="s">
        <v>151</v>
      </c>
      <c r="CN758" s="17" t="s">
        <v>151</v>
      </c>
      <c r="CO758" s="17" t="s">
        <v>165</v>
      </c>
      <c r="CP758" s="22">
        <v>45470</v>
      </c>
      <c r="CQ758" s="24" t="s">
        <v>151</v>
      </c>
      <c r="CR758" s="17" t="s">
        <v>151</v>
      </c>
      <c r="CS758" s="17" t="s">
        <v>191</v>
      </c>
      <c r="CT758" s="16">
        <v>68</v>
      </c>
      <c r="CU758" s="17" t="s">
        <v>196</v>
      </c>
      <c r="CV758" s="19">
        <v>64</v>
      </c>
      <c r="CW758" s="19">
        <v>36</v>
      </c>
      <c r="CX758" s="17" t="s">
        <v>294</v>
      </c>
      <c r="CY758" s="19">
        <v>1</v>
      </c>
      <c r="CZ758" s="19">
        <v>63</v>
      </c>
      <c r="DA758" s="24">
        <v>7</v>
      </c>
      <c r="DB758" s="22">
        <v>44544</v>
      </c>
      <c r="DC758" s="17" t="s">
        <v>293</v>
      </c>
      <c r="DD758" s="16" t="s">
        <v>151</v>
      </c>
      <c r="DE758" s="19">
        <v>0.69</v>
      </c>
      <c r="DF758" s="21">
        <v>95</v>
      </c>
      <c r="DG758" s="19">
        <v>0</v>
      </c>
      <c r="DH758" s="19">
        <v>0</v>
      </c>
      <c r="DI758" s="19">
        <v>0</v>
      </c>
      <c r="DJ758" s="21">
        <v>10</v>
      </c>
      <c r="DK758" s="19" t="s">
        <v>151</v>
      </c>
      <c r="DL758" s="21" t="s">
        <v>151</v>
      </c>
      <c r="DM758" s="19">
        <v>0</v>
      </c>
      <c r="DN758" s="21">
        <v>10</v>
      </c>
      <c r="DO758" s="23">
        <v>1.36</v>
      </c>
      <c r="DP758" s="21">
        <v>57</v>
      </c>
      <c r="DQ758" s="23">
        <v>0</v>
      </c>
      <c r="DR758" s="19">
        <v>0</v>
      </c>
      <c r="DS758" s="23">
        <v>1.95</v>
      </c>
      <c r="DT758" s="21">
        <v>65</v>
      </c>
      <c r="DU758" s="23" t="s">
        <v>151</v>
      </c>
      <c r="DV758" s="21" t="s">
        <v>151</v>
      </c>
      <c r="DW758" s="23">
        <v>1.95</v>
      </c>
      <c r="DX758" s="21">
        <v>65</v>
      </c>
      <c r="DY758" s="18" t="s">
        <v>151</v>
      </c>
      <c r="DZ758" s="22" t="s">
        <v>151</v>
      </c>
      <c r="EA758" s="22" t="s">
        <v>151</v>
      </c>
      <c r="EB758" s="21">
        <v>1260</v>
      </c>
      <c r="EC758" s="20">
        <v>167</v>
      </c>
      <c r="ED758" s="19">
        <v>15.28</v>
      </c>
      <c r="EE758" s="21">
        <v>37</v>
      </c>
      <c r="EF758" s="20">
        <v>1</v>
      </c>
      <c r="EG758" s="19">
        <v>2.78</v>
      </c>
      <c r="EH758" s="16" t="s">
        <v>198</v>
      </c>
      <c r="EI758" s="17" t="s">
        <v>151</v>
      </c>
      <c r="EJ758" s="17" t="s">
        <v>151</v>
      </c>
      <c r="EK758" s="18" t="s">
        <v>151</v>
      </c>
      <c r="EL758" s="18" t="s">
        <v>151</v>
      </c>
      <c r="EM758" s="18" t="s">
        <v>151</v>
      </c>
      <c r="EN758" s="18" t="s">
        <v>151</v>
      </c>
      <c r="EO758" s="18" t="s">
        <v>151</v>
      </c>
      <c r="EP758" s="17" t="s">
        <v>151</v>
      </c>
      <c r="EQ758" s="16" t="s">
        <v>151</v>
      </c>
      <c r="ER758" s="16" t="s">
        <v>151</v>
      </c>
      <c r="ES758" s="3">
        <f>HYPERLINK("https://my.pitchbook.com?c=489054-97","View Company Online")</f>
      </c>
    </row>
    <row r="759">
      <c r="A759" s="30" t="s">
        <v>15503</v>
      </c>
      <c r="B759" s="30" t="s">
        <v>15504</v>
      </c>
      <c r="C759" s="31" t="s">
        <v>151</v>
      </c>
      <c r="D759" s="30" t="s">
        <v>151</v>
      </c>
      <c r="E759" s="30" t="s">
        <v>151</v>
      </c>
      <c r="F759" s="30" t="s">
        <v>151</v>
      </c>
      <c r="G759" s="30" t="s">
        <v>151</v>
      </c>
      <c r="H759" s="30" t="s">
        <v>151</v>
      </c>
      <c r="I759" s="30" t="s">
        <v>151</v>
      </c>
      <c r="J759" s="30" t="s">
        <v>15503</v>
      </c>
      <c r="K759" s="30" t="s">
        <v>15505</v>
      </c>
      <c r="L759" s="30" t="s">
        <v>205</v>
      </c>
      <c r="M759" s="30" t="s">
        <v>206</v>
      </c>
      <c r="N759" s="30" t="s">
        <v>269</v>
      </c>
      <c r="O759" s="30" t="s">
        <v>563</v>
      </c>
      <c r="P759" s="30" t="s">
        <v>1153</v>
      </c>
      <c r="Q759" s="30" t="s">
        <v>15506</v>
      </c>
      <c r="R759" s="30" t="s">
        <v>151</v>
      </c>
      <c r="S759" s="30" t="s">
        <v>162</v>
      </c>
      <c r="T759" s="37">
        <v>1.3</v>
      </c>
      <c r="U759" s="30" t="s">
        <v>4045</v>
      </c>
      <c r="V759" s="30" t="s">
        <v>164</v>
      </c>
      <c r="W759" s="30" t="s">
        <v>11417</v>
      </c>
      <c r="X759" s="28" t="s">
        <v>15507</v>
      </c>
      <c r="Y759" s="28" t="s">
        <v>15508</v>
      </c>
      <c r="Z759" s="40">
        <v>10</v>
      </c>
      <c r="AA759" s="30" t="s">
        <v>6643</v>
      </c>
      <c r="AB759" s="30" t="s">
        <v>151</v>
      </c>
      <c r="AC759" s="30" t="s">
        <v>151</v>
      </c>
      <c r="AD759" s="39">
        <v>2023</v>
      </c>
      <c r="AE759" s="30" t="s">
        <v>151</v>
      </c>
      <c r="AF759" s="35">
        <v>45489</v>
      </c>
      <c r="AG759" s="30" t="s">
        <v>151</v>
      </c>
      <c r="AH759" s="30" t="s">
        <v>151</v>
      </c>
      <c r="AI759" s="38" t="s">
        <v>151</v>
      </c>
      <c r="AJ759" s="32" t="s">
        <v>151</v>
      </c>
      <c r="AK759" s="38" t="s">
        <v>151</v>
      </c>
      <c r="AL759" s="38" t="s">
        <v>151</v>
      </c>
      <c r="AM759" s="38" t="s">
        <v>151</v>
      </c>
      <c r="AN759" s="38" t="s">
        <v>151</v>
      </c>
      <c r="AO759" s="38" t="s">
        <v>151</v>
      </c>
      <c r="AP759" s="38" t="s">
        <v>151</v>
      </c>
      <c r="AQ759" s="38" t="s">
        <v>151</v>
      </c>
      <c r="AR759" s="29" t="s">
        <v>151</v>
      </c>
      <c r="AS759" s="30" t="s">
        <v>15509</v>
      </c>
      <c r="AT759" s="30" t="s">
        <v>15510</v>
      </c>
      <c r="AU759" s="31">
        <v>2</v>
      </c>
      <c r="AV759" s="30" t="s">
        <v>151</v>
      </c>
      <c r="AW759" s="30" t="s">
        <v>151</v>
      </c>
      <c r="AX759" s="30" t="s">
        <v>151</v>
      </c>
      <c r="AY759" s="30" t="s">
        <v>15511</v>
      </c>
      <c r="AZ759" s="30" t="s">
        <v>151</v>
      </c>
      <c r="BA759" s="30" t="s">
        <v>151</v>
      </c>
      <c r="BB759" s="30" t="s">
        <v>151</v>
      </c>
      <c r="BC759" s="30" t="s">
        <v>151</v>
      </c>
      <c r="BD759" s="30" t="s">
        <v>15512</v>
      </c>
      <c r="BE759" s="30" t="s">
        <v>15513</v>
      </c>
      <c r="BF759" s="30" t="s">
        <v>1780</v>
      </c>
      <c r="BG759" s="30" t="s">
        <v>151</v>
      </c>
      <c r="BH759" s="30" t="s">
        <v>15514</v>
      </c>
      <c r="BI759" s="30" t="s">
        <v>578</v>
      </c>
      <c r="BJ759" s="30" t="s">
        <v>151</v>
      </c>
      <c r="BK759" s="30" t="s">
        <v>151</v>
      </c>
      <c r="BL759" s="30" t="s">
        <v>581</v>
      </c>
      <c r="BM759" s="30" t="s">
        <v>582</v>
      </c>
      <c r="BN759" s="29" t="s">
        <v>151</v>
      </c>
      <c r="BO759" s="30" t="s">
        <v>186</v>
      </c>
      <c r="BP759" s="29" t="s">
        <v>151</v>
      </c>
      <c r="BQ759" s="29" t="s">
        <v>151</v>
      </c>
      <c r="BR759" s="30" t="s">
        <v>15515</v>
      </c>
      <c r="BS759" s="30" t="s">
        <v>187</v>
      </c>
      <c r="BT759" s="30" t="s">
        <v>188</v>
      </c>
      <c r="BU759" s="35">
        <v>44927</v>
      </c>
      <c r="BV759" s="37">
        <v>0.1</v>
      </c>
      <c r="BW759" s="30" t="s">
        <v>193</v>
      </c>
      <c r="BX759" s="37" t="s">
        <v>151</v>
      </c>
      <c r="BY759" s="30" t="s">
        <v>151</v>
      </c>
      <c r="BZ759" s="30" t="s">
        <v>189</v>
      </c>
      <c r="CA759" s="30" t="s">
        <v>151</v>
      </c>
      <c r="CB759" s="30" t="s">
        <v>151</v>
      </c>
      <c r="CC759" s="30" t="s">
        <v>190</v>
      </c>
      <c r="CD759" s="30" t="s">
        <v>151</v>
      </c>
      <c r="CE759" s="30" t="s">
        <v>191</v>
      </c>
      <c r="CF759" s="35">
        <v>45118</v>
      </c>
      <c r="CG759" s="37">
        <v>1.2</v>
      </c>
      <c r="CH759" s="30" t="s">
        <v>192</v>
      </c>
      <c r="CI759" s="37" t="s">
        <v>151</v>
      </c>
      <c r="CJ759" s="30" t="s">
        <v>151</v>
      </c>
      <c r="CK759" s="29" t="s">
        <v>151</v>
      </c>
      <c r="CL759" s="30" t="s">
        <v>293</v>
      </c>
      <c r="CM759" s="30" t="s">
        <v>293</v>
      </c>
      <c r="CN759" s="30" t="s">
        <v>151</v>
      </c>
      <c r="CO759" s="30" t="s">
        <v>165</v>
      </c>
      <c r="CP759" s="35">
        <v>45118</v>
      </c>
      <c r="CQ759" s="37" t="s">
        <v>151</v>
      </c>
      <c r="CR759" s="30" t="s">
        <v>151</v>
      </c>
      <c r="CS759" s="30" t="s">
        <v>191</v>
      </c>
      <c r="CT759" s="29" t="s">
        <v>151</v>
      </c>
      <c r="CU759" s="30" t="s">
        <v>151</v>
      </c>
      <c r="CV759" s="32" t="s">
        <v>151</v>
      </c>
      <c r="CW759" s="32" t="s">
        <v>151</v>
      </c>
      <c r="CX759" s="30" t="s">
        <v>151</v>
      </c>
      <c r="CY759" s="32" t="s">
        <v>151</v>
      </c>
      <c r="CZ759" s="32" t="s">
        <v>151</v>
      </c>
      <c r="DA759" s="37" t="s">
        <v>151</v>
      </c>
      <c r="DB759" s="35" t="s">
        <v>151</v>
      </c>
      <c r="DC759" s="30" t="s">
        <v>151</v>
      </c>
      <c r="DD759" s="29" t="s">
        <v>151</v>
      </c>
      <c r="DE759" s="32">
        <v>0.69</v>
      </c>
      <c r="DF759" s="34">
        <v>95</v>
      </c>
      <c r="DG759" s="32">
        <v>0</v>
      </c>
      <c r="DH759" s="32">
        <v>0</v>
      </c>
      <c r="DI759" s="32">
        <v>0</v>
      </c>
      <c r="DJ759" s="34">
        <v>10</v>
      </c>
      <c r="DK759" s="32" t="s">
        <v>151</v>
      </c>
      <c r="DL759" s="34" t="s">
        <v>151</v>
      </c>
      <c r="DM759" s="32">
        <v>0</v>
      </c>
      <c r="DN759" s="34">
        <v>10</v>
      </c>
      <c r="DO759" s="36">
        <v>1.52</v>
      </c>
      <c r="DP759" s="34">
        <v>60</v>
      </c>
      <c r="DQ759" s="36">
        <v>0</v>
      </c>
      <c r="DR759" s="32">
        <v>0</v>
      </c>
      <c r="DS759" s="36">
        <v>2.26</v>
      </c>
      <c r="DT759" s="34">
        <v>69</v>
      </c>
      <c r="DU759" s="36" t="s">
        <v>151</v>
      </c>
      <c r="DV759" s="34" t="s">
        <v>151</v>
      </c>
      <c r="DW759" s="36">
        <v>2.26</v>
      </c>
      <c r="DX759" s="34">
        <v>68</v>
      </c>
      <c r="DY759" s="31" t="s">
        <v>151</v>
      </c>
      <c r="DZ759" s="35" t="s">
        <v>151</v>
      </c>
      <c r="EA759" s="35" t="s">
        <v>151</v>
      </c>
      <c r="EB759" s="34">
        <v>312</v>
      </c>
      <c r="EC759" s="33">
        <v>-52</v>
      </c>
      <c r="ED759" s="32">
        <v>-14.29</v>
      </c>
      <c r="EE759" s="34">
        <v>43</v>
      </c>
      <c r="EF759" s="33">
        <v>0</v>
      </c>
      <c r="EG759" s="32">
        <v>0</v>
      </c>
      <c r="EH759" s="29" t="s">
        <v>198</v>
      </c>
      <c r="EI759" s="30" t="s">
        <v>151</v>
      </c>
      <c r="EJ759" s="30" t="s">
        <v>151</v>
      </c>
      <c r="EK759" s="31" t="s">
        <v>151</v>
      </c>
      <c r="EL759" s="31" t="s">
        <v>151</v>
      </c>
      <c r="EM759" s="31" t="s">
        <v>151</v>
      </c>
      <c r="EN759" s="31" t="s">
        <v>151</v>
      </c>
      <c r="EO759" s="31" t="s">
        <v>151</v>
      </c>
      <c r="EP759" s="30" t="s">
        <v>151</v>
      </c>
      <c r="EQ759" s="29" t="s">
        <v>151</v>
      </c>
      <c r="ER759" s="29" t="s">
        <v>151</v>
      </c>
      <c r="ES759" s="4">
        <f>HYPERLINK("https://my.pitchbook.com?c=530600-68","View Company Online")</f>
      </c>
    </row>
    <row r="760">
      <c r="A760" s="17" t="s">
        <v>15516</v>
      </c>
      <c r="B760" s="17" t="s">
        <v>15517</v>
      </c>
      <c r="C760" s="18" t="s">
        <v>151</v>
      </c>
      <c r="D760" s="17" t="s">
        <v>151</v>
      </c>
      <c r="E760" s="17" t="s">
        <v>151</v>
      </c>
      <c r="F760" s="17" t="s">
        <v>15518</v>
      </c>
      <c r="G760" s="17" t="s">
        <v>151</v>
      </c>
      <c r="H760" s="17" t="s">
        <v>151</v>
      </c>
      <c r="I760" s="17" t="s">
        <v>15519</v>
      </c>
      <c r="J760" s="17" t="s">
        <v>15516</v>
      </c>
      <c r="K760" s="17" t="s">
        <v>15520</v>
      </c>
      <c r="L760" s="17" t="s">
        <v>205</v>
      </c>
      <c r="M760" s="17" t="s">
        <v>206</v>
      </c>
      <c r="N760" s="17" t="s">
        <v>269</v>
      </c>
      <c r="O760" s="17" t="s">
        <v>15521</v>
      </c>
      <c r="P760" s="17" t="s">
        <v>15522</v>
      </c>
      <c r="Q760" s="17" t="s">
        <v>15523</v>
      </c>
      <c r="R760" s="17" t="s">
        <v>151</v>
      </c>
      <c r="S760" s="17" t="s">
        <v>162</v>
      </c>
      <c r="T760" s="24">
        <v>1.55</v>
      </c>
      <c r="U760" s="17" t="s">
        <v>163</v>
      </c>
      <c r="V760" s="17" t="s">
        <v>164</v>
      </c>
      <c r="W760" s="17" t="s">
        <v>165</v>
      </c>
      <c r="X760" s="15" t="s">
        <v>15524</v>
      </c>
      <c r="Y760" s="15" t="s">
        <v>15525</v>
      </c>
      <c r="Z760" s="27">
        <v>4</v>
      </c>
      <c r="AA760" s="17" t="s">
        <v>15526</v>
      </c>
      <c r="AB760" s="17" t="s">
        <v>151</v>
      </c>
      <c r="AC760" s="17" t="s">
        <v>151</v>
      </c>
      <c r="AD760" s="26">
        <v>2021</v>
      </c>
      <c r="AE760" s="17" t="s">
        <v>151</v>
      </c>
      <c r="AF760" s="22">
        <v>45601</v>
      </c>
      <c r="AG760" s="17" t="s">
        <v>151</v>
      </c>
      <c r="AH760" s="17" t="s">
        <v>151</v>
      </c>
      <c r="AI760" s="25" t="s">
        <v>151</v>
      </c>
      <c r="AJ760" s="19" t="s">
        <v>151</v>
      </c>
      <c r="AK760" s="25" t="s">
        <v>151</v>
      </c>
      <c r="AL760" s="25" t="s">
        <v>151</v>
      </c>
      <c r="AM760" s="25" t="s">
        <v>151</v>
      </c>
      <c r="AN760" s="25" t="s">
        <v>151</v>
      </c>
      <c r="AO760" s="25" t="s">
        <v>151</v>
      </c>
      <c r="AP760" s="25" t="s">
        <v>151</v>
      </c>
      <c r="AQ760" s="25" t="s">
        <v>151</v>
      </c>
      <c r="AR760" s="16" t="s">
        <v>151</v>
      </c>
      <c r="AS760" s="17" t="s">
        <v>15527</v>
      </c>
      <c r="AT760" s="17" t="s">
        <v>15528</v>
      </c>
      <c r="AU760" s="18">
        <v>4</v>
      </c>
      <c r="AV760" s="17" t="s">
        <v>151</v>
      </c>
      <c r="AW760" s="17" t="s">
        <v>15529</v>
      </c>
      <c r="AX760" s="17" t="s">
        <v>151</v>
      </c>
      <c r="AY760" s="17" t="s">
        <v>15530</v>
      </c>
      <c r="AZ760" s="17" t="s">
        <v>15531</v>
      </c>
      <c r="BA760" s="17" t="s">
        <v>151</v>
      </c>
      <c r="BB760" s="17" t="s">
        <v>15532</v>
      </c>
      <c r="BC760" s="17" t="s">
        <v>15533</v>
      </c>
      <c r="BD760" s="17" t="s">
        <v>15534</v>
      </c>
      <c r="BE760" s="17" t="s">
        <v>15535</v>
      </c>
      <c r="BF760" s="17" t="s">
        <v>282</v>
      </c>
      <c r="BG760" s="17" t="s">
        <v>15536</v>
      </c>
      <c r="BH760" s="17" t="s">
        <v>15537</v>
      </c>
      <c r="BI760" s="17" t="s">
        <v>906</v>
      </c>
      <c r="BJ760" s="17" t="s">
        <v>15538</v>
      </c>
      <c r="BK760" s="17" t="s">
        <v>15539</v>
      </c>
      <c r="BL760" s="17" t="s">
        <v>259</v>
      </c>
      <c r="BM760" s="17" t="s">
        <v>259</v>
      </c>
      <c r="BN760" s="16" t="s">
        <v>5051</v>
      </c>
      <c r="BO760" s="17" t="s">
        <v>186</v>
      </c>
      <c r="BP760" s="16" t="s">
        <v>15537</v>
      </c>
      <c r="BQ760" s="16" t="s">
        <v>151</v>
      </c>
      <c r="BR760" s="17" t="s">
        <v>151</v>
      </c>
      <c r="BS760" s="17" t="s">
        <v>187</v>
      </c>
      <c r="BT760" s="17" t="s">
        <v>188</v>
      </c>
      <c r="BU760" s="22">
        <v>44509</v>
      </c>
      <c r="BV760" s="24">
        <v>0.05</v>
      </c>
      <c r="BW760" s="17" t="s">
        <v>192</v>
      </c>
      <c r="BX760" s="24">
        <v>10</v>
      </c>
      <c r="BY760" s="17" t="s">
        <v>192</v>
      </c>
      <c r="BZ760" s="17" t="s">
        <v>1075</v>
      </c>
      <c r="CA760" s="17" t="s">
        <v>1075</v>
      </c>
      <c r="CB760" s="17" t="s">
        <v>151</v>
      </c>
      <c r="CC760" s="17" t="s">
        <v>585</v>
      </c>
      <c r="CD760" s="17" t="s">
        <v>151</v>
      </c>
      <c r="CE760" s="17" t="s">
        <v>191</v>
      </c>
      <c r="CF760" s="22" t="s">
        <v>151</v>
      </c>
      <c r="CG760" s="24">
        <v>3</v>
      </c>
      <c r="CH760" s="17" t="s">
        <v>192</v>
      </c>
      <c r="CI760" s="24" t="s">
        <v>151</v>
      </c>
      <c r="CJ760" s="17" t="s">
        <v>151</v>
      </c>
      <c r="CK760" s="16">
        <v>0.85</v>
      </c>
      <c r="CL760" s="17" t="s">
        <v>231</v>
      </c>
      <c r="CM760" s="17" t="s">
        <v>661</v>
      </c>
      <c r="CN760" s="17" t="s">
        <v>151</v>
      </c>
      <c r="CO760" s="17" t="s">
        <v>165</v>
      </c>
      <c r="CP760" s="22" t="s">
        <v>151</v>
      </c>
      <c r="CQ760" s="24" t="s">
        <v>151</v>
      </c>
      <c r="CR760" s="17" t="s">
        <v>151</v>
      </c>
      <c r="CS760" s="17" t="s">
        <v>15540</v>
      </c>
      <c r="CT760" s="16">
        <v>30</v>
      </c>
      <c r="CU760" s="17" t="s">
        <v>263</v>
      </c>
      <c r="CV760" s="19">
        <v>30</v>
      </c>
      <c r="CW760" s="19">
        <v>70</v>
      </c>
      <c r="CX760" s="17" t="s">
        <v>263</v>
      </c>
      <c r="CY760" s="19">
        <v>1</v>
      </c>
      <c r="CZ760" s="19">
        <v>29</v>
      </c>
      <c r="DA760" s="24">
        <v>10</v>
      </c>
      <c r="DB760" s="22">
        <v>44673</v>
      </c>
      <c r="DC760" s="17" t="s">
        <v>293</v>
      </c>
      <c r="DD760" s="16">
        <v>0.85</v>
      </c>
      <c r="DE760" s="19">
        <v>0</v>
      </c>
      <c r="DF760" s="21">
        <v>11</v>
      </c>
      <c r="DG760" s="19">
        <v>0</v>
      </c>
      <c r="DH760" s="19">
        <v>0</v>
      </c>
      <c r="DI760" s="19">
        <v>0</v>
      </c>
      <c r="DJ760" s="21">
        <v>10</v>
      </c>
      <c r="DK760" s="19">
        <v>0</v>
      </c>
      <c r="DL760" s="21">
        <v>11</v>
      </c>
      <c r="DM760" s="19">
        <v>0</v>
      </c>
      <c r="DN760" s="21">
        <v>10</v>
      </c>
      <c r="DO760" s="23">
        <v>0.62</v>
      </c>
      <c r="DP760" s="21">
        <v>38</v>
      </c>
      <c r="DQ760" s="23">
        <v>0</v>
      </c>
      <c r="DR760" s="19">
        <v>0</v>
      </c>
      <c r="DS760" s="23">
        <v>0.62</v>
      </c>
      <c r="DT760" s="21">
        <v>39</v>
      </c>
      <c r="DU760" s="23">
        <v>0.51</v>
      </c>
      <c r="DV760" s="21">
        <v>34</v>
      </c>
      <c r="DW760" s="23">
        <v>0.74</v>
      </c>
      <c r="DX760" s="21">
        <v>42</v>
      </c>
      <c r="DY760" s="18" t="s">
        <v>151</v>
      </c>
      <c r="DZ760" s="22" t="s">
        <v>151</v>
      </c>
      <c r="EA760" s="22" t="s">
        <v>151</v>
      </c>
      <c r="EB760" s="21">
        <v>0</v>
      </c>
      <c r="EC760" s="20">
        <v>0</v>
      </c>
      <c r="ED760" s="19">
        <v>0</v>
      </c>
      <c r="EE760" s="21">
        <v>14</v>
      </c>
      <c r="EF760" s="20">
        <v>1</v>
      </c>
      <c r="EG760" s="19">
        <v>7.69</v>
      </c>
      <c r="EH760" s="16" t="s">
        <v>198</v>
      </c>
      <c r="EI760" s="17" t="s">
        <v>151</v>
      </c>
      <c r="EJ760" s="17" t="s">
        <v>151</v>
      </c>
      <c r="EK760" s="18" t="s">
        <v>151</v>
      </c>
      <c r="EL760" s="18" t="s">
        <v>151</v>
      </c>
      <c r="EM760" s="18" t="s">
        <v>151</v>
      </c>
      <c r="EN760" s="18" t="s">
        <v>151</v>
      </c>
      <c r="EO760" s="18" t="s">
        <v>151</v>
      </c>
      <c r="EP760" s="17" t="s">
        <v>151</v>
      </c>
      <c r="EQ760" s="16" t="s">
        <v>151</v>
      </c>
      <c r="ER760" s="16" t="s">
        <v>151</v>
      </c>
      <c r="ES760" s="3">
        <f>HYPERLINK("https://my.pitchbook.com?c=483667-21","View Company Online")</f>
      </c>
    </row>
    <row r="761">
      <c r="A761" s="30" t="s">
        <v>15541</v>
      </c>
      <c r="B761" s="30" t="s">
        <v>15542</v>
      </c>
      <c r="C761" s="31" t="s">
        <v>151</v>
      </c>
      <c r="D761" s="30" t="s">
        <v>15543</v>
      </c>
      <c r="E761" s="30" t="s">
        <v>15544</v>
      </c>
      <c r="F761" s="30" t="s">
        <v>15545</v>
      </c>
      <c r="G761" s="30" t="s">
        <v>151</v>
      </c>
      <c r="H761" s="30" t="s">
        <v>151</v>
      </c>
      <c r="I761" s="30" t="s">
        <v>15546</v>
      </c>
      <c r="J761" s="30" t="s">
        <v>15541</v>
      </c>
      <c r="K761" s="30" t="s">
        <v>15547</v>
      </c>
      <c r="L761" s="30" t="s">
        <v>205</v>
      </c>
      <c r="M761" s="30" t="s">
        <v>206</v>
      </c>
      <c r="N761" s="30" t="s">
        <v>1082</v>
      </c>
      <c r="O761" s="30" t="s">
        <v>1607</v>
      </c>
      <c r="P761" s="30" t="s">
        <v>2149</v>
      </c>
      <c r="Q761" s="30" t="s">
        <v>15548</v>
      </c>
      <c r="R761" s="30" t="s">
        <v>15549</v>
      </c>
      <c r="S761" s="30" t="s">
        <v>162</v>
      </c>
      <c r="T761" s="37">
        <v>15.11</v>
      </c>
      <c r="U761" s="30" t="s">
        <v>163</v>
      </c>
      <c r="V761" s="30" t="s">
        <v>164</v>
      </c>
      <c r="W761" s="30" t="s">
        <v>165</v>
      </c>
      <c r="X761" s="28" t="s">
        <v>15550</v>
      </c>
      <c r="Y761" s="28" t="s">
        <v>15551</v>
      </c>
      <c r="Z761" s="40">
        <v>30</v>
      </c>
      <c r="AA761" s="30" t="s">
        <v>15552</v>
      </c>
      <c r="AB761" s="30" t="s">
        <v>151</v>
      </c>
      <c r="AC761" s="30" t="s">
        <v>151</v>
      </c>
      <c r="AD761" s="39">
        <v>2021</v>
      </c>
      <c r="AE761" s="30" t="s">
        <v>151</v>
      </c>
      <c r="AF761" s="35">
        <v>45589</v>
      </c>
      <c r="AG761" s="30" t="s">
        <v>151</v>
      </c>
      <c r="AH761" s="30" t="s">
        <v>151</v>
      </c>
      <c r="AI761" s="38" t="s">
        <v>151</v>
      </c>
      <c r="AJ761" s="32" t="s">
        <v>151</v>
      </c>
      <c r="AK761" s="38" t="s">
        <v>151</v>
      </c>
      <c r="AL761" s="38" t="s">
        <v>151</v>
      </c>
      <c r="AM761" s="38" t="s">
        <v>151</v>
      </c>
      <c r="AN761" s="38" t="s">
        <v>151</v>
      </c>
      <c r="AO761" s="38" t="s">
        <v>151</v>
      </c>
      <c r="AP761" s="38" t="s">
        <v>151</v>
      </c>
      <c r="AQ761" s="38" t="s">
        <v>151</v>
      </c>
      <c r="AR761" s="29" t="s">
        <v>151</v>
      </c>
      <c r="AS761" s="30" t="s">
        <v>15553</v>
      </c>
      <c r="AT761" s="30" t="s">
        <v>15554</v>
      </c>
      <c r="AU761" s="31">
        <v>5</v>
      </c>
      <c r="AV761" s="30" t="s">
        <v>151</v>
      </c>
      <c r="AW761" s="30" t="s">
        <v>151</v>
      </c>
      <c r="AX761" s="30" t="s">
        <v>151</v>
      </c>
      <c r="AY761" s="30" t="s">
        <v>15555</v>
      </c>
      <c r="AZ761" s="30" t="s">
        <v>151</v>
      </c>
      <c r="BA761" s="30" t="s">
        <v>151</v>
      </c>
      <c r="BB761" s="30" t="s">
        <v>151</v>
      </c>
      <c r="BC761" s="30" t="s">
        <v>462</v>
      </c>
      <c r="BD761" s="30" t="s">
        <v>15556</v>
      </c>
      <c r="BE761" s="30" t="s">
        <v>15557</v>
      </c>
      <c r="BF761" s="30" t="s">
        <v>493</v>
      </c>
      <c r="BG761" s="30" t="s">
        <v>15558</v>
      </c>
      <c r="BH761" s="30" t="s">
        <v>15559</v>
      </c>
      <c r="BI761" s="30" t="s">
        <v>764</v>
      </c>
      <c r="BJ761" s="30" t="s">
        <v>15560</v>
      </c>
      <c r="BK761" s="30" t="s">
        <v>15561</v>
      </c>
      <c r="BL761" s="30" t="s">
        <v>767</v>
      </c>
      <c r="BM761" s="30" t="s">
        <v>184</v>
      </c>
      <c r="BN761" s="29" t="s">
        <v>15562</v>
      </c>
      <c r="BO761" s="30" t="s">
        <v>186</v>
      </c>
      <c r="BP761" s="29" t="s">
        <v>15559</v>
      </c>
      <c r="BQ761" s="29" t="s">
        <v>151</v>
      </c>
      <c r="BR761" s="30" t="s">
        <v>15563</v>
      </c>
      <c r="BS761" s="30" t="s">
        <v>187</v>
      </c>
      <c r="BT761" s="30" t="s">
        <v>188</v>
      </c>
      <c r="BU761" s="35">
        <v>44572</v>
      </c>
      <c r="BV761" s="37">
        <v>5.72</v>
      </c>
      <c r="BW761" s="30" t="s">
        <v>192</v>
      </c>
      <c r="BX761" s="37">
        <v>17.72</v>
      </c>
      <c r="BY761" s="30" t="s">
        <v>192</v>
      </c>
      <c r="BZ761" s="30" t="s">
        <v>293</v>
      </c>
      <c r="CA761" s="30" t="s">
        <v>293</v>
      </c>
      <c r="CB761" s="30" t="s">
        <v>151</v>
      </c>
      <c r="CC761" s="30" t="s">
        <v>165</v>
      </c>
      <c r="CD761" s="30" t="s">
        <v>151</v>
      </c>
      <c r="CE761" s="30" t="s">
        <v>191</v>
      </c>
      <c r="CF761" s="35">
        <v>45583</v>
      </c>
      <c r="CG761" s="37">
        <v>2.5</v>
      </c>
      <c r="CH761" s="30" t="s">
        <v>192</v>
      </c>
      <c r="CI761" s="37">
        <v>49.5</v>
      </c>
      <c r="CJ761" s="30" t="s">
        <v>192</v>
      </c>
      <c r="CK761" s="29">
        <v>1.27</v>
      </c>
      <c r="CL761" s="30" t="s">
        <v>231</v>
      </c>
      <c r="CM761" s="30" t="s">
        <v>1239</v>
      </c>
      <c r="CN761" s="30" t="s">
        <v>151</v>
      </c>
      <c r="CO761" s="30" t="s">
        <v>165</v>
      </c>
      <c r="CP761" s="35">
        <v>45583</v>
      </c>
      <c r="CQ761" s="37" t="s">
        <v>151</v>
      </c>
      <c r="CR761" s="30" t="s">
        <v>151</v>
      </c>
      <c r="CS761" s="30" t="s">
        <v>191</v>
      </c>
      <c r="CT761" s="29">
        <v>88</v>
      </c>
      <c r="CU761" s="30" t="s">
        <v>196</v>
      </c>
      <c r="CV761" s="32">
        <v>80</v>
      </c>
      <c r="CW761" s="32">
        <v>20</v>
      </c>
      <c r="CX761" s="30" t="s">
        <v>294</v>
      </c>
      <c r="CY761" s="32">
        <v>1</v>
      </c>
      <c r="CZ761" s="32">
        <v>79</v>
      </c>
      <c r="DA761" s="37">
        <v>49.5</v>
      </c>
      <c r="DB761" s="35">
        <v>45583</v>
      </c>
      <c r="DC761" s="30" t="s">
        <v>231</v>
      </c>
      <c r="DD761" s="29">
        <v>1.27</v>
      </c>
      <c r="DE761" s="32">
        <v>-0.09</v>
      </c>
      <c r="DF761" s="34">
        <v>11</v>
      </c>
      <c r="DG761" s="32">
        <v>0</v>
      </c>
      <c r="DH761" s="32">
        <v>0</v>
      </c>
      <c r="DI761" s="32">
        <v>0.22</v>
      </c>
      <c r="DJ761" s="34">
        <v>93</v>
      </c>
      <c r="DK761" s="32" t="s">
        <v>151</v>
      </c>
      <c r="DL761" s="34" t="s">
        <v>151</v>
      </c>
      <c r="DM761" s="32">
        <v>0.22</v>
      </c>
      <c r="DN761" s="34">
        <v>93</v>
      </c>
      <c r="DO761" s="36">
        <v>4.55</v>
      </c>
      <c r="DP761" s="34">
        <v>81</v>
      </c>
      <c r="DQ761" s="36">
        <v>0</v>
      </c>
      <c r="DR761" s="32">
        <v>0</v>
      </c>
      <c r="DS761" s="36">
        <v>6.79</v>
      </c>
      <c r="DT761" s="34">
        <v>86</v>
      </c>
      <c r="DU761" s="36" t="s">
        <v>151</v>
      </c>
      <c r="DV761" s="34" t="s">
        <v>151</v>
      </c>
      <c r="DW761" s="36">
        <v>6.79</v>
      </c>
      <c r="DX761" s="34">
        <v>86</v>
      </c>
      <c r="DY761" s="31" t="s">
        <v>151</v>
      </c>
      <c r="DZ761" s="35" t="s">
        <v>151</v>
      </c>
      <c r="EA761" s="35" t="s">
        <v>151</v>
      </c>
      <c r="EB761" s="34">
        <v>1430</v>
      </c>
      <c r="EC761" s="33">
        <v>48</v>
      </c>
      <c r="ED761" s="32">
        <v>3.47</v>
      </c>
      <c r="EE761" s="34">
        <v>129</v>
      </c>
      <c r="EF761" s="33">
        <v>2</v>
      </c>
      <c r="EG761" s="32">
        <v>1.57</v>
      </c>
      <c r="EH761" s="29" t="s">
        <v>198</v>
      </c>
      <c r="EI761" s="30" t="s">
        <v>151</v>
      </c>
      <c r="EJ761" s="30" t="s">
        <v>151</v>
      </c>
      <c r="EK761" s="31" t="s">
        <v>151</v>
      </c>
      <c r="EL761" s="31" t="s">
        <v>151</v>
      </c>
      <c r="EM761" s="31" t="s">
        <v>151</v>
      </c>
      <c r="EN761" s="31" t="s">
        <v>151</v>
      </c>
      <c r="EO761" s="31" t="s">
        <v>151</v>
      </c>
      <c r="EP761" s="30" t="s">
        <v>151</v>
      </c>
      <c r="EQ761" s="29" t="s">
        <v>151</v>
      </c>
      <c r="ER761" s="29" t="s">
        <v>151</v>
      </c>
      <c r="ES761" s="4">
        <f>HYPERLINK("https://my.pitchbook.com?c=483350-59","View Company Online")</f>
      </c>
    </row>
    <row r="762">
      <c r="A762" s="17" t="s">
        <v>15564</v>
      </c>
      <c r="B762" s="17" t="s">
        <v>15565</v>
      </c>
      <c r="C762" s="18" t="s">
        <v>151</v>
      </c>
      <c r="D762" s="17" t="s">
        <v>151</v>
      </c>
      <c r="E762" s="17" t="s">
        <v>151</v>
      </c>
      <c r="F762" s="17" t="s">
        <v>15566</v>
      </c>
      <c r="G762" s="17" t="s">
        <v>151</v>
      </c>
      <c r="H762" s="17" t="s">
        <v>151</v>
      </c>
      <c r="I762" s="17" t="s">
        <v>151</v>
      </c>
      <c r="J762" s="17" t="s">
        <v>15564</v>
      </c>
      <c r="K762" s="17" t="s">
        <v>15567</v>
      </c>
      <c r="L762" s="17" t="s">
        <v>616</v>
      </c>
      <c r="M762" s="17" t="s">
        <v>970</v>
      </c>
      <c r="N762" s="17" t="s">
        <v>15568</v>
      </c>
      <c r="O762" s="17" t="s">
        <v>15569</v>
      </c>
      <c r="P762" s="17" t="s">
        <v>15570</v>
      </c>
      <c r="Q762" s="17" t="s">
        <v>15571</v>
      </c>
      <c r="R762" s="17" t="s">
        <v>151</v>
      </c>
      <c r="S762" s="17" t="s">
        <v>162</v>
      </c>
      <c r="T762" s="24">
        <v>1.03</v>
      </c>
      <c r="U762" s="17" t="s">
        <v>163</v>
      </c>
      <c r="V762" s="17" t="s">
        <v>164</v>
      </c>
      <c r="W762" s="17" t="s">
        <v>165</v>
      </c>
      <c r="X762" s="15" t="s">
        <v>15572</v>
      </c>
      <c r="Y762" s="15" t="s">
        <v>15573</v>
      </c>
      <c r="Z762" s="27">
        <v>10</v>
      </c>
      <c r="AA762" s="17" t="s">
        <v>15574</v>
      </c>
      <c r="AB762" s="17" t="s">
        <v>151</v>
      </c>
      <c r="AC762" s="17" t="s">
        <v>151</v>
      </c>
      <c r="AD762" s="26">
        <v>2020</v>
      </c>
      <c r="AE762" s="17" t="s">
        <v>151</v>
      </c>
      <c r="AF762" s="22">
        <v>45617</v>
      </c>
      <c r="AG762" s="17" t="s">
        <v>151</v>
      </c>
      <c r="AH762" s="17" t="s">
        <v>151</v>
      </c>
      <c r="AI762" s="25" t="s">
        <v>151</v>
      </c>
      <c r="AJ762" s="19" t="s">
        <v>151</v>
      </c>
      <c r="AK762" s="25" t="s">
        <v>151</v>
      </c>
      <c r="AL762" s="25" t="s">
        <v>151</v>
      </c>
      <c r="AM762" s="25" t="s">
        <v>151</v>
      </c>
      <c r="AN762" s="25" t="s">
        <v>151</v>
      </c>
      <c r="AO762" s="25" t="s">
        <v>151</v>
      </c>
      <c r="AP762" s="25" t="s">
        <v>151</v>
      </c>
      <c r="AQ762" s="25" t="s">
        <v>151</v>
      </c>
      <c r="AR762" s="16" t="s">
        <v>151</v>
      </c>
      <c r="AS762" s="17" t="s">
        <v>15575</v>
      </c>
      <c r="AT762" s="17" t="s">
        <v>15576</v>
      </c>
      <c r="AU762" s="18">
        <v>2</v>
      </c>
      <c r="AV762" s="17" t="s">
        <v>151</v>
      </c>
      <c r="AW762" s="17" t="s">
        <v>151</v>
      </c>
      <c r="AX762" s="17" t="s">
        <v>151</v>
      </c>
      <c r="AY762" s="17" t="s">
        <v>15577</v>
      </c>
      <c r="AZ762" s="17" t="s">
        <v>151</v>
      </c>
      <c r="BA762" s="17" t="s">
        <v>151</v>
      </c>
      <c r="BB762" s="17" t="s">
        <v>151</v>
      </c>
      <c r="BC762" s="17" t="s">
        <v>151</v>
      </c>
      <c r="BD762" s="17" t="s">
        <v>15578</v>
      </c>
      <c r="BE762" s="17" t="s">
        <v>15579</v>
      </c>
      <c r="BF762" s="17" t="s">
        <v>546</v>
      </c>
      <c r="BG762" s="17" t="s">
        <v>15580</v>
      </c>
      <c r="BH762" s="17" t="s">
        <v>15581</v>
      </c>
      <c r="BI762" s="17" t="s">
        <v>10468</v>
      </c>
      <c r="BJ762" s="17" t="s">
        <v>15582</v>
      </c>
      <c r="BK762" s="17" t="s">
        <v>151</v>
      </c>
      <c r="BL762" s="17" t="s">
        <v>10470</v>
      </c>
      <c r="BM762" s="17" t="s">
        <v>9081</v>
      </c>
      <c r="BN762" s="16" t="s">
        <v>15583</v>
      </c>
      <c r="BO762" s="17" t="s">
        <v>186</v>
      </c>
      <c r="BP762" s="16" t="s">
        <v>15581</v>
      </c>
      <c r="BQ762" s="16" t="s">
        <v>151</v>
      </c>
      <c r="BR762" s="17" t="s">
        <v>151</v>
      </c>
      <c r="BS762" s="17" t="s">
        <v>187</v>
      </c>
      <c r="BT762" s="17" t="s">
        <v>188</v>
      </c>
      <c r="BU762" s="22">
        <v>44397</v>
      </c>
      <c r="BV762" s="24">
        <v>0.06</v>
      </c>
      <c r="BW762" s="17" t="s">
        <v>192</v>
      </c>
      <c r="BX762" s="24" t="s">
        <v>151</v>
      </c>
      <c r="BY762" s="17" t="s">
        <v>151</v>
      </c>
      <c r="BZ762" s="17" t="s">
        <v>1075</v>
      </c>
      <c r="CA762" s="17" t="s">
        <v>1075</v>
      </c>
      <c r="CB762" s="17" t="s">
        <v>151</v>
      </c>
      <c r="CC762" s="17" t="s">
        <v>585</v>
      </c>
      <c r="CD762" s="17" t="s">
        <v>151</v>
      </c>
      <c r="CE762" s="17" t="s">
        <v>191</v>
      </c>
      <c r="CF762" s="22">
        <v>45615</v>
      </c>
      <c r="CG762" s="24">
        <v>0.7</v>
      </c>
      <c r="CH762" s="17" t="s">
        <v>192</v>
      </c>
      <c r="CI762" s="24" t="s">
        <v>151</v>
      </c>
      <c r="CJ762" s="17" t="s">
        <v>151</v>
      </c>
      <c r="CK762" s="16" t="s">
        <v>151</v>
      </c>
      <c r="CL762" s="17" t="s">
        <v>231</v>
      </c>
      <c r="CM762" s="17" t="s">
        <v>151</v>
      </c>
      <c r="CN762" s="17" t="s">
        <v>151</v>
      </c>
      <c r="CO762" s="17" t="s">
        <v>165</v>
      </c>
      <c r="CP762" s="22">
        <v>45615</v>
      </c>
      <c r="CQ762" s="24" t="s">
        <v>151</v>
      </c>
      <c r="CR762" s="17" t="s">
        <v>151</v>
      </c>
      <c r="CS762" s="17" t="s">
        <v>191</v>
      </c>
      <c r="CT762" s="16">
        <v>56</v>
      </c>
      <c r="CU762" s="17" t="s">
        <v>196</v>
      </c>
      <c r="CV762" s="19">
        <v>53</v>
      </c>
      <c r="CW762" s="19">
        <v>47</v>
      </c>
      <c r="CX762" s="17" t="s">
        <v>294</v>
      </c>
      <c r="CY762" s="19">
        <v>2</v>
      </c>
      <c r="CZ762" s="19">
        <v>51</v>
      </c>
      <c r="DA762" s="24" t="s">
        <v>151</v>
      </c>
      <c r="DB762" s="22" t="s">
        <v>151</v>
      </c>
      <c r="DC762" s="17" t="s">
        <v>151</v>
      </c>
      <c r="DD762" s="16" t="s">
        <v>151</v>
      </c>
      <c r="DE762" s="19">
        <v>0</v>
      </c>
      <c r="DF762" s="21">
        <v>11</v>
      </c>
      <c r="DG762" s="19">
        <v>0</v>
      </c>
      <c r="DH762" s="19">
        <v>0</v>
      </c>
      <c r="DI762" s="19">
        <v>0</v>
      </c>
      <c r="DJ762" s="21">
        <v>10</v>
      </c>
      <c r="DK762" s="19" t="s">
        <v>151</v>
      </c>
      <c r="DL762" s="21" t="s">
        <v>151</v>
      </c>
      <c r="DM762" s="19">
        <v>0</v>
      </c>
      <c r="DN762" s="21">
        <v>10</v>
      </c>
      <c r="DO762" s="23">
        <v>4</v>
      </c>
      <c r="DP762" s="21">
        <v>79</v>
      </c>
      <c r="DQ762" s="23">
        <v>0</v>
      </c>
      <c r="DR762" s="19">
        <v>0</v>
      </c>
      <c r="DS762" s="23">
        <v>4</v>
      </c>
      <c r="DT762" s="21">
        <v>79</v>
      </c>
      <c r="DU762" s="23" t="s">
        <v>151</v>
      </c>
      <c r="DV762" s="21" t="s">
        <v>151</v>
      </c>
      <c r="DW762" s="23">
        <v>4</v>
      </c>
      <c r="DX762" s="21">
        <v>79</v>
      </c>
      <c r="DY762" s="18" t="s">
        <v>151</v>
      </c>
      <c r="DZ762" s="22" t="s">
        <v>151</v>
      </c>
      <c r="EA762" s="22" t="s">
        <v>151</v>
      </c>
      <c r="EB762" s="21">
        <v>420</v>
      </c>
      <c r="EC762" s="20">
        <v>65</v>
      </c>
      <c r="ED762" s="19">
        <v>18.31</v>
      </c>
      <c r="EE762" s="21">
        <v>76</v>
      </c>
      <c r="EF762" s="20">
        <v>0</v>
      </c>
      <c r="EG762" s="19">
        <v>0</v>
      </c>
      <c r="EH762" s="16" t="s">
        <v>198</v>
      </c>
      <c r="EI762" s="17" t="s">
        <v>151</v>
      </c>
      <c r="EJ762" s="17" t="s">
        <v>151</v>
      </c>
      <c r="EK762" s="18" t="s">
        <v>151</v>
      </c>
      <c r="EL762" s="18" t="s">
        <v>151</v>
      </c>
      <c r="EM762" s="18" t="s">
        <v>151</v>
      </c>
      <c r="EN762" s="18" t="s">
        <v>151</v>
      </c>
      <c r="EO762" s="18" t="s">
        <v>151</v>
      </c>
      <c r="EP762" s="17" t="s">
        <v>151</v>
      </c>
      <c r="EQ762" s="16" t="s">
        <v>151</v>
      </c>
      <c r="ER762" s="16" t="s">
        <v>151</v>
      </c>
      <c r="ES762" s="3">
        <f>HYPERLINK("https://my.pitchbook.com?c=470543-68","View Company Online")</f>
      </c>
    </row>
    <row r="763">
      <c r="A763" s="30" t="s">
        <v>15584</v>
      </c>
      <c r="B763" s="30" t="s">
        <v>15585</v>
      </c>
      <c r="C763" s="31" t="s">
        <v>151</v>
      </c>
      <c r="D763" s="30" t="s">
        <v>15586</v>
      </c>
      <c r="E763" s="30" t="s">
        <v>151</v>
      </c>
      <c r="F763" s="30" t="s">
        <v>15587</v>
      </c>
      <c r="G763" s="30" t="s">
        <v>151</v>
      </c>
      <c r="H763" s="30" t="s">
        <v>151</v>
      </c>
      <c r="I763" s="30" t="s">
        <v>151</v>
      </c>
      <c r="J763" s="30" t="s">
        <v>15584</v>
      </c>
      <c r="K763" s="30" t="s">
        <v>15588</v>
      </c>
      <c r="L763" s="30" t="s">
        <v>205</v>
      </c>
      <c r="M763" s="30" t="s">
        <v>8566</v>
      </c>
      <c r="N763" s="30" t="s">
        <v>8567</v>
      </c>
      <c r="O763" s="30" t="s">
        <v>15589</v>
      </c>
      <c r="P763" s="30" t="s">
        <v>151</v>
      </c>
      <c r="Q763" s="30" t="s">
        <v>15590</v>
      </c>
      <c r="R763" s="30" t="s">
        <v>151</v>
      </c>
      <c r="S763" s="30" t="s">
        <v>162</v>
      </c>
      <c r="T763" s="37">
        <v>60</v>
      </c>
      <c r="U763" s="30" t="s">
        <v>163</v>
      </c>
      <c r="V763" s="30" t="s">
        <v>164</v>
      </c>
      <c r="W763" s="30" t="s">
        <v>165</v>
      </c>
      <c r="X763" s="28" t="s">
        <v>15591</v>
      </c>
      <c r="Y763" s="28" t="s">
        <v>15592</v>
      </c>
      <c r="Z763" s="40">
        <v>300</v>
      </c>
      <c r="AA763" s="30" t="s">
        <v>15593</v>
      </c>
      <c r="AB763" s="30" t="s">
        <v>151</v>
      </c>
      <c r="AC763" s="30" t="s">
        <v>151</v>
      </c>
      <c r="AD763" s="39">
        <v>2018</v>
      </c>
      <c r="AE763" s="30" t="s">
        <v>151</v>
      </c>
      <c r="AF763" s="35">
        <v>45579</v>
      </c>
      <c r="AG763" s="30" t="s">
        <v>151</v>
      </c>
      <c r="AH763" s="30" t="s">
        <v>151</v>
      </c>
      <c r="AI763" s="38">
        <v>100</v>
      </c>
      <c r="AJ763" s="32" t="s">
        <v>151</v>
      </c>
      <c r="AK763" s="38" t="s">
        <v>151</v>
      </c>
      <c r="AL763" s="38" t="s">
        <v>151</v>
      </c>
      <c r="AM763" s="38" t="s">
        <v>151</v>
      </c>
      <c r="AN763" s="38" t="s">
        <v>151</v>
      </c>
      <c r="AO763" s="38" t="s">
        <v>151</v>
      </c>
      <c r="AP763" s="38" t="s">
        <v>151</v>
      </c>
      <c r="AQ763" s="38" t="s">
        <v>151</v>
      </c>
      <c r="AR763" s="29" t="s">
        <v>841</v>
      </c>
      <c r="AS763" s="30" t="s">
        <v>15594</v>
      </c>
      <c r="AT763" s="30" t="s">
        <v>15595</v>
      </c>
      <c r="AU763" s="31">
        <v>1</v>
      </c>
      <c r="AV763" s="30" t="s">
        <v>151</v>
      </c>
      <c r="AW763" s="30" t="s">
        <v>151</v>
      </c>
      <c r="AX763" s="30" t="s">
        <v>151</v>
      </c>
      <c r="AY763" s="30" t="s">
        <v>15596</v>
      </c>
      <c r="AZ763" s="30" t="s">
        <v>151</v>
      </c>
      <c r="BA763" s="30" t="s">
        <v>151</v>
      </c>
      <c r="BB763" s="30" t="s">
        <v>151</v>
      </c>
      <c r="BC763" s="30" t="s">
        <v>15597</v>
      </c>
      <c r="BD763" s="30" t="s">
        <v>15598</v>
      </c>
      <c r="BE763" s="30" t="s">
        <v>15599</v>
      </c>
      <c r="BF763" s="30" t="s">
        <v>403</v>
      </c>
      <c r="BG763" s="30" t="s">
        <v>15600</v>
      </c>
      <c r="BH763" s="30" t="s">
        <v>15601</v>
      </c>
      <c r="BI763" s="30" t="s">
        <v>15602</v>
      </c>
      <c r="BJ763" s="30" t="s">
        <v>15603</v>
      </c>
      <c r="BK763" s="30" t="s">
        <v>3506</v>
      </c>
      <c r="BL763" s="30" t="s">
        <v>15604</v>
      </c>
      <c r="BM763" s="30" t="s">
        <v>525</v>
      </c>
      <c r="BN763" s="29" t="s">
        <v>15605</v>
      </c>
      <c r="BO763" s="30" t="s">
        <v>186</v>
      </c>
      <c r="BP763" s="29" t="s">
        <v>15606</v>
      </c>
      <c r="BQ763" s="29" t="s">
        <v>151</v>
      </c>
      <c r="BR763" s="30" t="s">
        <v>15607</v>
      </c>
      <c r="BS763" s="30" t="s">
        <v>187</v>
      </c>
      <c r="BT763" s="30" t="s">
        <v>188</v>
      </c>
      <c r="BU763" s="35">
        <v>45392</v>
      </c>
      <c r="BV763" s="37">
        <v>60</v>
      </c>
      <c r="BW763" s="30" t="s">
        <v>192</v>
      </c>
      <c r="BX763" s="37" t="s">
        <v>151</v>
      </c>
      <c r="BY763" s="30" t="s">
        <v>151</v>
      </c>
      <c r="BZ763" s="30" t="s">
        <v>194</v>
      </c>
      <c r="CA763" s="30" t="s">
        <v>151</v>
      </c>
      <c r="CB763" s="30" t="s">
        <v>151</v>
      </c>
      <c r="CC763" s="30" t="s">
        <v>165</v>
      </c>
      <c r="CD763" s="30" t="s">
        <v>151</v>
      </c>
      <c r="CE763" s="30" t="s">
        <v>191</v>
      </c>
      <c r="CF763" s="35">
        <v>45392</v>
      </c>
      <c r="CG763" s="37">
        <v>60</v>
      </c>
      <c r="CH763" s="30" t="s">
        <v>192</v>
      </c>
      <c r="CI763" s="37" t="s">
        <v>151</v>
      </c>
      <c r="CJ763" s="30" t="s">
        <v>151</v>
      </c>
      <c r="CK763" s="29" t="s">
        <v>151</v>
      </c>
      <c r="CL763" s="30" t="s">
        <v>194</v>
      </c>
      <c r="CM763" s="30" t="s">
        <v>151</v>
      </c>
      <c r="CN763" s="30" t="s">
        <v>151</v>
      </c>
      <c r="CO763" s="30" t="s">
        <v>165</v>
      </c>
      <c r="CP763" s="35">
        <v>45392</v>
      </c>
      <c r="CQ763" s="37" t="s">
        <v>151</v>
      </c>
      <c r="CR763" s="30" t="s">
        <v>151</v>
      </c>
      <c r="CS763" s="30" t="s">
        <v>191</v>
      </c>
      <c r="CT763" s="29" t="s">
        <v>151</v>
      </c>
      <c r="CU763" s="30" t="s">
        <v>151</v>
      </c>
      <c r="CV763" s="32" t="s">
        <v>151</v>
      </c>
      <c r="CW763" s="32" t="s">
        <v>151</v>
      </c>
      <c r="CX763" s="30" t="s">
        <v>151</v>
      </c>
      <c r="CY763" s="32" t="s">
        <v>151</v>
      </c>
      <c r="CZ763" s="32" t="s">
        <v>151</v>
      </c>
      <c r="DA763" s="37" t="s">
        <v>151</v>
      </c>
      <c r="DB763" s="35" t="s">
        <v>151</v>
      </c>
      <c r="DC763" s="30" t="s">
        <v>151</v>
      </c>
      <c r="DD763" s="29" t="s">
        <v>151</v>
      </c>
      <c r="DE763" s="32">
        <v>1.91</v>
      </c>
      <c r="DF763" s="34">
        <v>98</v>
      </c>
      <c r="DG763" s="32">
        <v>0</v>
      </c>
      <c r="DH763" s="32">
        <v>0</v>
      </c>
      <c r="DI763" s="32">
        <v>3.18</v>
      </c>
      <c r="DJ763" s="34">
        <v>99</v>
      </c>
      <c r="DK763" s="32" t="s">
        <v>151</v>
      </c>
      <c r="DL763" s="34" t="s">
        <v>151</v>
      </c>
      <c r="DM763" s="32">
        <v>3.18</v>
      </c>
      <c r="DN763" s="34">
        <v>99</v>
      </c>
      <c r="DO763" s="36">
        <v>19.51</v>
      </c>
      <c r="DP763" s="34">
        <v>95</v>
      </c>
      <c r="DQ763" s="36">
        <v>0</v>
      </c>
      <c r="DR763" s="32">
        <v>0</v>
      </c>
      <c r="DS763" s="36">
        <v>15.95</v>
      </c>
      <c r="DT763" s="34">
        <v>94</v>
      </c>
      <c r="DU763" s="36" t="s">
        <v>151</v>
      </c>
      <c r="DV763" s="34" t="s">
        <v>151</v>
      </c>
      <c r="DW763" s="36">
        <v>15.95</v>
      </c>
      <c r="DX763" s="34">
        <v>93</v>
      </c>
      <c r="DY763" s="31">
        <v>2</v>
      </c>
      <c r="DZ763" s="35">
        <v>45230</v>
      </c>
      <c r="EA763" s="35" t="s">
        <v>15608</v>
      </c>
      <c r="EB763" s="34">
        <v>1195</v>
      </c>
      <c r="EC763" s="33">
        <v>55</v>
      </c>
      <c r="ED763" s="32">
        <v>4.82</v>
      </c>
      <c r="EE763" s="34">
        <v>303</v>
      </c>
      <c r="EF763" s="33">
        <v>5</v>
      </c>
      <c r="EG763" s="32">
        <v>1.68</v>
      </c>
      <c r="EH763" s="29" t="s">
        <v>198</v>
      </c>
      <c r="EI763" s="30" t="s">
        <v>151</v>
      </c>
      <c r="EJ763" s="30" t="s">
        <v>151</v>
      </c>
      <c r="EK763" s="31" t="s">
        <v>151</v>
      </c>
      <c r="EL763" s="31" t="s">
        <v>151</v>
      </c>
      <c r="EM763" s="31" t="s">
        <v>151</v>
      </c>
      <c r="EN763" s="31" t="s">
        <v>151</v>
      </c>
      <c r="EO763" s="31" t="s">
        <v>151</v>
      </c>
      <c r="EP763" s="30" t="s">
        <v>151</v>
      </c>
      <c r="EQ763" s="29" t="s">
        <v>151</v>
      </c>
      <c r="ER763" s="29" t="s">
        <v>151</v>
      </c>
      <c r="ES763" s="4">
        <f>HYPERLINK("https://my.pitchbook.com?c=460275-67","View Company Online")</f>
      </c>
    </row>
    <row r="764">
      <c r="A764" s="17" t="s">
        <v>15609</v>
      </c>
      <c r="B764" s="17" t="s">
        <v>15610</v>
      </c>
      <c r="C764" s="18" t="s">
        <v>151</v>
      </c>
      <c r="D764" s="17" t="s">
        <v>151</v>
      </c>
      <c r="E764" s="17" t="s">
        <v>15611</v>
      </c>
      <c r="F764" s="17" t="s">
        <v>15612</v>
      </c>
      <c r="G764" s="17" t="s">
        <v>151</v>
      </c>
      <c r="H764" s="17" t="s">
        <v>151</v>
      </c>
      <c r="I764" s="17" t="s">
        <v>15613</v>
      </c>
      <c r="J764" s="17" t="s">
        <v>15609</v>
      </c>
      <c r="K764" s="17" t="s">
        <v>15614</v>
      </c>
      <c r="L764" s="17" t="s">
        <v>205</v>
      </c>
      <c r="M764" s="17" t="s">
        <v>8566</v>
      </c>
      <c r="N764" s="17" t="s">
        <v>8567</v>
      </c>
      <c r="O764" s="17" t="s">
        <v>15615</v>
      </c>
      <c r="P764" s="17" t="s">
        <v>15616</v>
      </c>
      <c r="Q764" s="17" t="s">
        <v>15617</v>
      </c>
      <c r="R764" s="17" t="s">
        <v>151</v>
      </c>
      <c r="S764" s="17" t="s">
        <v>162</v>
      </c>
      <c r="T764" s="24">
        <v>14</v>
      </c>
      <c r="U764" s="17" t="s">
        <v>163</v>
      </c>
      <c r="V764" s="17" t="s">
        <v>164</v>
      </c>
      <c r="W764" s="17" t="s">
        <v>165</v>
      </c>
      <c r="X764" s="15" t="s">
        <v>15618</v>
      </c>
      <c r="Y764" s="15" t="s">
        <v>15619</v>
      </c>
      <c r="Z764" s="27">
        <v>114</v>
      </c>
      <c r="AA764" s="17" t="s">
        <v>15620</v>
      </c>
      <c r="AB764" s="17" t="s">
        <v>151</v>
      </c>
      <c r="AC764" s="17" t="s">
        <v>151</v>
      </c>
      <c r="AD764" s="26">
        <v>1998</v>
      </c>
      <c r="AE764" s="17" t="s">
        <v>151</v>
      </c>
      <c r="AF764" s="22">
        <v>45544</v>
      </c>
      <c r="AG764" s="17" t="s">
        <v>151</v>
      </c>
      <c r="AH764" s="17" t="s">
        <v>151</v>
      </c>
      <c r="AI764" s="25">
        <v>11.73</v>
      </c>
      <c r="AJ764" s="19">
        <v>9.57</v>
      </c>
      <c r="AK764" s="25" t="s">
        <v>151</v>
      </c>
      <c r="AL764" s="25" t="s">
        <v>151</v>
      </c>
      <c r="AM764" s="25" t="s">
        <v>151</v>
      </c>
      <c r="AN764" s="25" t="s">
        <v>151</v>
      </c>
      <c r="AO764" s="25" t="s">
        <v>151</v>
      </c>
      <c r="AP764" s="25" t="s">
        <v>151</v>
      </c>
      <c r="AQ764" s="25" t="s">
        <v>151</v>
      </c>
      <c r="AR764" s="16" t="s">
        <v>15621</v>
      </c>
      <c r="AS764" s="17" t="s">
        <v>15622</v>
      </c>
      <c r="AT764" s="17" t="s">
        <v>15623</v>
      </c>
      <c r="AU764" s="18">
        <v>5</v>
      </c>
      <c r="AV764" s="17" t="s">
        <v>151</v>
      </c>
      <c r="AW764" s="17" t="s">
        <v>151</v>
      </c>
      <c r="AX764" s="17" t="s">
        <v>151</v>
      </c>
      <c r="AY764" s="17" t="s">
        <v>15624</v>
      </c>
      <c r="AZ764" s="17" t="s">
        <v>151</v>
      </c>
      <c r="BA764" s="17" t="s">
        <v>151</v>
      </c>
      <c r="BB764" s="17" t="s">
        <v>151</v>
      </c>
      <c r="BC764" s="17" t="s">
        <v>151</v>
      </c>
      <c r="BD764" s="17" t="s">
        <v>15625</v>
      </c>
      <c r="BE764" s="17" t="s">
        <v>15626</v>
      </c>
      <c r="BF764" s="17" t="s">
        <v>15627</v>
      </c>
      <c r="BG764" s="17" t="s">
        <v>15628</v>
      </c>
      <c r="BH764" s="17" t="s">
        <v>151</v>
      </c>
      <c r="BI764" s="17" t="s">
        <v>15629</v>
      </c>
      <c r="BJ764" s="17" t="s">
        <v>15630</v>
      </c>
      <c r="BK764" s="17" t="s">
        <v>151</v>
      </c>
      <c r="BL764" s="17" t="s">
        <v>15631</v>
      </c>
      <c r="BM764" s="17" t="s">
        <v>5724</v>
      </c>
      <c r="BN764" s="16" t="s">
        <v>15632</v>
      </c>
      <c r="BO764" s="17" t="s">
        <v>186</v>
      </c>
      <c r="BP764" s="16" t="s">
        <v>151</v>
      </c>
      <c r="BQ764" s="16" t="s">
        <v>151</v>
      </c>
      <c r="BR764" s="17" t="s">
        <v>15633</v>
      </c>
      <c r="BS764" s="17" t="s">
        <v>187</v>
      </c>
      <c r="BT764" s="17" t="s">
        <v>188</v>
      </c>
      <c r="BU764" s="22">
        <v>44181</v>
      </c>
      <c r="BV764" s="24">
        <v>3</v>
      </c>
      <c r="BW764" s="17" t="s">
        <v>192</v>
      </c>
      <c r="BX764" s="24">
        <v>10</v>
      </c>
      <c r="BY764" s="17" t="s">
        <v>192</v>
      </c>
      <c r="BZ764" s="17" t="s">
        <v>194</v>
      </c>
      <c r="CA764" s="17" t="s">
        <v>232</v>
      </c>
      <c r="CB764" s="17" t="s">
        <v>151</v>
      </c>
      <c r="CC764" s="17" t="s">
        <v>165</v>
      </c>
      <c r="CD764" s="17" t="s">
        <v>151</v>
      </c>
      <c r="CE764" s="17" t="s">
        <v>191</v>
      </c>
      <c r="CF764" s="22">
        <v>44694</v>
      </c>
      <c r="CG764" s="24">
        <v>11</v>
      </c>
      <c r="CH764" s="17" t="s">
        <v>192</v>
      </c>
      <c r="CI764" s="24">
        <v>51</v>
      </c>
      <c r="CJ764" s="17" t="s">
        <v>192</v>
      </c>
      <c r="CK764" s="16">
        <v>4</v>
      </c>
      <c r="CL764" s="17" t="s">
        <v>194</v>
      </c>
      <c r="CM764" s="17" t="s">
        <v>326</v>
      </c>
      <c r="CN764" s="17" t="s">
        <v>151</v>
      </c>
      <c r="CO764" s="17" t="s">
        <v>165</v>
      </c>
      <c r="CP764" s="22">
        <v>44694</v>
      </c>
      <c r="CQ764" s="24" t="s">
        <v>151</v>
      </c>
      <c r="CR764" s="17" t="s">
        <v>151</v>
      </c>
      <c r="CS764" s="17" t="s">
        <v>191</v>
      </c>
      <c r="CT764" s="16">
        <v>82</v>
      </c>
      <c r="CU764" s="17" t="s">
        <v>196</v>
      </c>
      <c r="CV764" s="19">
        <v>90</v>
      </c>
      <c r="CW764" s="19">
        <v>10</v>
      </c>
      <c r="CX764" s="17" t="s">
        <v>294</v>
      </c>
      <c r="CY764" s="19">
        <v>1</v>
      </c>
      <c r="CZ764" s="19">
        <v>89</v>
      </c>
      <c r="DA764" s="24">
        <v>51</v>
      </c>
      <c r="DB764" s="22">
        <v>44694</v>
      </c>
      <c r="DC764" s="17" t="s">
        <v>194</v>
      </c>
      <c r="DD764" s="16">
        <v>4</v>
      </c>
      <c r="DE764" s="19">
        <v>0.23</v>
      </c>
      <c r="DF764" s="21">
        <v>92</v>
      </c>
      <c r="DG764" s="19">
        <v>0</v>
      </c>
      <c r="DH764" s="19">
        <v>0</v>
      </c>
      <c r="DI764" s="19">
        <v>0.23</v>
      </c>
      <c r="DJ764" s="21">
        <v>93</v>
      </c>
      <c r="DK764" s="19" t="s">
        <v>151</v>
      </c>
      <c r="DL764" s="21" t="s">
        <v>151</v>
      </c>
      <c r="DM764" s="19">
        <v>0.23</v>
      </c>
      <c r="DN764" s="21">
        <v>94</v>
      </c>
      <c r="DO764" s="23">
        <v>14.58</v>
      </c>
      <c r="DP764" s="21">
        <v>93</v>
      </c>
      <c r="DQ764" s="23">
        <v>0</v>
      </c>
      <c r="DR764" s="19">
        <v>0</v>
      </c>
      <c r="DS764" s="23">
        <v>14.58</v>
      </c>
      <c r="DT764" s="21">
        <v>93</v>
      </c>
      <c r="DU764" s="23" t="s">
        <v>151</v>
      </c>
      <c r="DV764" s="21" t="s">
        <v>151</v>
      </c>
      <c r="DW764" s="23">
        <v>14.58</v>
      </c>
      <c r="DX764" s="21">
        <v>93</v>
      </c>
      <c r="DY764" s="18" t="s">
        <v>151</v>
      </c>
      <c r="DZ764" s="22" t="s">
        <v>151</v>
      </c>
      <c r="EA764" s="22" t="s">
        <v>151</v>
      </c>
      <c r="EB764" s="21">
        <v>570</v>
      </c>
      <c r="EC764" s="20">
        <v>-98</v>
      </c>
      <c r="ED764" s="19">
        <v>-14.67</v>
      </c>
      <c r="EE764" s="21">
        <v>277</v>
      </c>
      <c r="EF764" s="20">
        <v>0</v>
      </c>
      <c r="EG764" s="19">
        <v>0</v>
      </c>
      <c r="EH764" s="16" t="s">
        <v>198</v>
      </c>
      <c r="EI764" s="17" t="s">
        <v>151</v>
      </c>
      <c r="EJ764" s="17" t="s">
        <v>151</v>
      </c>
      <c r="EK764" s="18" t="s">
        <v>151</v>
      </c>
      <c r="EL764" s="18" t="s">
        <v>151</v>
      </c>
      <c r="EM764" s="18" t="s">
        <v>151</v>
      </c>
      <c r="EN764" s="18" t="s">
        <v>151</v>
      </c>
      <c r="EO764" s="18" t="s">
        <v>151</v>
      </c>
      <c r="EP764" s="17" t="s">
        <v>151</v>
      </c>
      <c r="EQ764" s="16" t="s">
        <v>151</v>
      </c>
      <c r="ER764" s="16" t="s">
        <v>151</v>
      </c>
      <c r="ES764" s="3">
        <f>HYPERLINK("https://my.pitchbook.com?c=118537-12","View Company Online")</f>
      </c>
    </row>
    <row r="765">
      <c r="A765" s="30" t="s">
        <v>15634</v>
      </c>
      <c r="B765" s="30" t="s">
        <v>15635</v>
      </c>
      <c r="C765" s="31" t="s">
        <v>151</v>
      </c>
      <c r="D765" s="30" t="s">
        <v>151</v>
      </c>
      <c r="E765" s="30" t="s">
        <v>151</v>
      </c>
      <c r="F765" s="30" t="s">
        <v>15636</v>
      </c>
      <c r="G765" s="30" t="s">
        <v>151</v>
      </c>
      <c r="H765" s="30" t="s">
        <v>151</v>
      </c>
      <c r="I765" s="30" t="s">
        <v>15637</v>
      </c>
      <c r="J765" s="30" t="s">
        <v>15634</v>
      </c>
      <c r="K765" s="30" t="s">
        <v>15638</v>
      </c>
      <c r="L765" s="30" t="s">
        <v>1178</v>
      </c>
      <c r="M765" s="30" t="s">
        <v>1179</v>
      </c>
      <c r="N765" s="30" t="s">
        <v>1179</v>
      </c>
      <c r="O765" s="30" t="s">
        <v>15639</v>
      </c>
      <c r="P765" s="30" t="s">
        <v>2130</v>
      </c>
      <c r="Q765" s="30" t="s">
        <v>15640</v>
      </c>
      <c r="R765" s="30" t="s">
        <v>151</v>
      </c>
      <c r="S765" s="30" t="s">
        <v>162</v>
      </c>
      <c r="T765" s="37">
        <v>2.96</v>
      </c>
      <c r="U765" s="30" t="s">
        <v>163</v>
      </c>
      <c r="V765" s="30" t="s">
        <v>164</v>
      </c>
      <c r="W765" s="30" t="s">
        <v>165</v>
      </c>
      <c r="X765" s="28" t="s">
        <v>15641</v>
      </c>
      <c r="Y765" s="28" t="s">
        <v>15642</v>
      </c>
      <c r="Z765" s="40">
        <v>9</v>
      </c>
      <c r="AA765" s="30" t="s">
        <v>15643</v>
      </c>
      <c r="AB765" s="30" t="s">
        <v>151</v>
      </c>
      <c r="AC765" s="30" t="s">
        <v>151</v>
      </c>
      <c r="AD765" s="39">
        <v>2018</v>
      </c>
      <c r="AE765" s="30" t="s">
        <v>151</v>
      </c>
      <c r="AF765" s="35">
        <v>45617</v>
      </c>
      <c r="AG765" s="30" t="s">
        <v>15644</v>
      </c>
      <c r="AH765" s="30" t="s">
        <v>15644</v>
      </c>
      <c r="AI765" s="38">
        <v>0.26</v>
      </c>
      <c r="AJ765" s="32">
        <v>1847.08</v>
      </c>
      <c r="AK765" s="38" t="s">
        <v>151</v>
      </c>
      <c r="AL765" s="38">
        <v>-0.93</v>
      </c>
      <c r="AM765" s="38" t="s">
        <v>151</v>
      </c>
      <c r="AN765" s="38" t="s">
        <v>151</v>
      </c>
      <c r="AO765" s="38" t="s">
        <v>151</v>
      </c>
      <c r="AP765" s="38" t="s">
        <v>151</v>
      </c>
      <c r="AQ765" s="38" t="s">
        <v>151</v>
      </c>
      <c r="AR765" s="29" t="s">
        <v>810</v>
      </c>
      <c r="AS765" s="30" t="s">
        <v>15645</v>
      </c>
      <c r="AT765" s="30" t="s">
        <v>15646</v>
      </c>
      <c r="AU765" s="31">
        <v>8</v>
      </c>
      <c r="AV765" s="30" t="s">
        <v>151</v>
      </c>
      <c r="AW765" s="30" t="s">
        <v>151</v>
      </c>
      <c r="AX765" s="30" t="s">
        <v>151</v>
      </c>
      <c r="AY765" s="30" t="s">
        <v>15647</v>
      </c>
      <c r="AZ765" s="30" t="s">
        <v>151</v>
      </c>
      <c r="BA765" s="30" t="s">
        <v>151</v>
      </c>
      <c r="BB765" s="30" t="s">
        <v>15648</v>
      </c>
      <c r="BC765" s="30" t="s">
        <v>2626</v>
      </c>
      <c r="BD765" s="30" t="s">
        <v>15649</v>
      </c>
      <c r="BE765" s="30" t="s">
        <v>15650</v>
      </c>
      <c r="BF765" s="30" t="s">
        <v>15651</v>
      </c>
      <c r="BG765" s="30" t="s">
        <v>15652</v>
      </c>
      <c r="BH765" s="30" t="s">
        <v>15653</v>
      </c>
      <c r="BI765" s="30" t="s">
        <v>4262</v>
      </c>
      <c r="BJ765" s="30" t="s">
        <v>4263</v>
      </c>
      <c r="BK765" s="30" t="s">
        <v>151</v>
      </c>
      <c r="BL765" s="30" t="s">
        <v>4264</v>
      </c>
      <c r="BM765" s="30" t="s">
        <v>1576</v>
      </c>
      <c r="BN765" s="29" t="s">
        <v>4265</v>
      </c>
      <c r="BO765" s="30" t="s">
        <v>186</v>
      </c>
      <c r="BP765" s="29" t="s">
        <v>15653</v>
      </c>
      <c r="BQ765" s="29" t="s">
        <v>151</v>
      </c>
      <c r="BR765" s="30" t="s">
        <v>15654</v>
      </c>
      <c r="BS765" s="30" t="s">
        <v>187</v>
      </c>
      <c r="BT765" s="30" t="s">
        <v>188</v>
      </c>
      <c r="BU765" s="35">
        <v>43213</v>
      </c>
      <c r="BV765" s="37">
        <v>0.03</v>
      </c>
      <c r="BW765" s="30" t="s">
        <v>192</v>
      </c>
      <c r="BX765" s="37" t="s">
        <v>151</v>
      </c>
      <c r="BY765" s="30" t="s">
        <v>151</v>
      </c>
      <c r="BZ765" s="30" t="s">
        <v>501</v>
      </c>
      <c r="CA765" s="30" t="s">
        <v>151</v>
      </c>
      <c r="CB765" s="30" t="s">
        <v>151</v>
      </c>
      <c r="CC765" s="30" t="s">
        <v>190</v>
      </c>
      <c r="CD765" s="30" t="s">
        <v>151</v>
      </c>
      <c r="CE765" s="30" t="s">
        <v>191</v>
      </c>
      <c r="CF765" s="35">
        <v>45108</v>
      </c>
      <c r="CG765" s="37">
        <v>0.12</v>
      </c>
      <c r="CH765" s="30" t="s">
        <v>192</v>
      </c>
      <c r="CI765" s="37" t="s">
        <v>151</v>
      </c>
      <c r="CJ765" s="30" t="s">
        <v>151</v>
      </c>
      <c r="CK765" s="29" t="s">
        <v>151</v>
      </c>
      <c r="CL765" s="30" t="s">
        <v>1363</v>
      </c>
      <c r="CM765" s="30" t="s">
        <v>151</v>
      </c>
      <c r="CN765" s="30" t="s">
        <v>151</v>
      </c>
      <c r="CO765" s="30" t="s">
        <v>585</v>
      </c>
      <c r="CP765" s="35">
        <v>45108</v>
      </c>
      <c r="CQ765" s="37" t="s">
        <v>151</v>
      </c>
      <c r="CR765" s="30" t="s">
        <v>151</v>
      </c>
      <c r="CS765" s="30" t="s">
        <v>191</v>
      </c>
      <c r="CT765" s="29">
        <v>24</v>
      </c>
      <c r="CU765" s="30" t="s">
        <v>263</v>
      </c>
      <c r="CV765" s="32">
        <v>25</v>
      </c>
      <c r="CW765" s="32">
        <v>75</v>
      </c>
      <c r="CX765" s="30" t="s">
        <v>263</v>
      </c>
      <c r="CY765" s="32">
        <v>1</v>
      </c>
      <c r="CZ765" s="32">
        <v>24</v>
      </c>
      <c r="DA765" s="37">
        <v>0.33</v>
      </c>
      <c r="DB765" s="35">
        <v>44279</v>
      </c>
      <c r="DC765" s="30" t="s">
        <v>189</v>
      </c>
      <c r="DD765" s="29" t="s">
        <v>151</v>
      </c>
      <c r="DE765" s="32">
        <v>2.71</v>
      </c>
      <c r="DF765" s="34">
        <v>99</v>
      </c>
      <c r="DG765" s="32">
        <v>0</v>
      </c>
      <c r="DH765" s="32">
        <v>0</v>
      </c>
      <c r="DI765" s="32">
        <v>2.71</v>
      </c>
      <c r="DJ765" s="34">
        <v>99</v>
      </c>
      <c r="DK765" s="32" t="s">
        <v>151</v>
      </c>
      <c r="DL765" s="34" t="s">
        <v>151</v>
      </c>
      <c r="DM765" s="32">
        <v>2.71</v>
      </c>
      <c r="DN765" s="34">
        <v>99</v>
      </c>
      <c r="DO765" s="36">
        <v>16.16</v>
      </c>
      <c r="DP765" s="34">
        <v>94</v>
      </c>
      <c r="DQ765" s="36">
        <v>0</v>
      </c>
      <c r="DR765" s="32">
        <v>0</v>
      </c>
      <c r="DS765" s="36">
        <v>16.16</v>
      </c>
      <c r="DT765" s="34">
        <v>94</v>
      </c>
      <c r="DU765" s="36" t="s">
        <v>151</v>
      </c>
      <c r="DV765" s="34" t="s">
        <v>151</v>
      </c>
      <c r="DW765" s="36">
        <v>16.16</v>
      </c>
      <c r="DX765" s="34">
        <v>94</v>
      </c>
      <c r="DY765" s="31" t="s">
        <v>151</v>
      </c>
      <c r="DZ765" s="35" t="s">
        <v>151</v>
      </c>
      <c r="EA765" s="35" t="s">
        <v>151</v>
      </c>
      <c r="EB765" s="34">
        <v>1710</v>
      </c>
      <c r="EC765" s="33">
        <v>206</v>
      </c>
      <c r="ED765" s="32">
        <v>13.7</v>
      </c>
      <c r="EE765" s="34">
        <v>307</v>
      </c>
      <c r="EF765" s="33">
        <v>4</v>
      </c>
      <c r="EG765" s="32">
        <v>1.32</v>
      </c>
      <c r="EH765" s="29" t="s">
        <v>198</v>
      </c>
      <c r="EI765" s="30" t="s">
        <v>151</v>
      </c>
      <c r="EJ765" s="30" t="s">
        <v>151</v>
      </c>
      <c r="EK765" s="31" t="s">
        <v>151</v>
      </c>
      <c r="EL765" s="31" t="s">
        <v>151</v>
      </c>
      <c r="EM765" s="31" t="s">
        <v>151</v>
      </c>
      <c r="EN765" s="31" t="s">
        <v>151</v>
      </c>
      <c r="EO765" s="31" t="s">
        <v>151</v>
      </c>
      <c r="EP765" s="30" t="s">
        <v>151</v>
      </c>
      <c r="EQ765" s="29" t="s">
        <v>151</v>
      </c>
      <c r="ER765" s="29" t="s">
        <v>151</v>
      </c>
      <c r="ES765" s="4">
        <f>HYPERLINK("https://my.pitchbook.com?c=327309-94","View Company Online")</f>
      </c>
    </row>
    <row r="766">
      <c r="A766" s="17" t="s">
        <v>15655</v>
      </c>
      <c r="B766" s="17" t="s">
        <v>15656</v>
      </c>
      <c r="C766" s="18" t="s">
        <v>151</v>
      </c>
      <c r="D766" s="17" t="s">
        <v>151</v>
      </c>
      <c r="E766" s="17" t="s">
        <v>15657</v>
      </c>
      <c r="F766" s="17" t="s">
        <v>15658</v>
      </c>
      <c r="G766" s="17" t="s">
        <v>151</v>
      </c>
      <c r="H766" s="17" t="s">
        <v>151</v>
      </c>
      <c r="I766" s="17" t="s">
        <v>15659</v>
      </c>
      <c r="J766" s="17" t="s">
        <v>15655</v>
      </c>
      <c r="K766" s="17" t="s">
        <v>15660</v>
      </c>
      <c r="L766" s="17" t="s">
        <v>205</v>
      </c>
      <c r="M766" s="17" t="s">
        <v>448</v>
      </c>
      <c r="N766" s="17" t="s">
        <v>449</v>
      </c>
      <c r="O766" s="17" t="s">
        <v>15661</v>
      </c>
      <c r="P766" s="17" t="s">
        <v>15662</v>
      </c>
      <c r="Q766" s="17" t="s">
        <v>15663</v>
      </c>
      <c r="R766" s="17" t="s">
        <v>151</v>
      </c>
      <c r="S766" s="17" t="s">
        <v>162</v>
      </c>
      <c r="T766" s="24">
        <v>54.17</v>
      </c>
      <c r="U766" s="17" t="s">
        <v>163</v>
      </c>
      <c r="V766" s="17" t="s">
        <v>164</v>
      </c>
      <c r="W766" s="17" t="s">
        <v>420</v>
      </c>
      <c r="X766" s="15" t="s">
        <v>15664</v>
      </c>
      <c r="Y766" s="15" t="s">
        <v>15665</v>
      </c>
      <c r="Z766" s="27">
        <v>59</v>
      </c>
      <c r="AA766" s="17" t="s">
        <v>15666</v>
      </c>
      <c r="AB766" s="17" t="s">
        <v>151</v>
      </c>
      <c r="AC766" s="17" t="s">
        <v>151</v>
      </c>
      <c r="AD766" s="26">
        <v>2019</v>
      </c>
      <c r="AE766" s="17" t="s">
        <v>151</v>
      </c>
      <c r="AF766" s="22">
        <v>45615</v>
      </c>
      <c r="AG766" s="17" t="s">
        <v>151</v>
      </c>
      <c r="AH766" s="17" t="s">
        <v>151</v>
      </c>
      <c r="AI766" s="25" t="s">
        <v>151</v>
      </c>
      <c r="AJ766" s="19" t="s">
        <v>151</v>
      </c>
      <c r="AK766" s="25" t="s">
        <v>151</v>
      </c>
      <c r="AL766" s="25" t="s">
        <v>151</v>
      </c>
      <c r="AM766" s="25" t="s">
        <v>151</v>
      </c>
      <c r="AN766" s="25" t="s">
        <v>151</v>
      </c>
      <c r="AO766" s="25" t="s">
        <v>151</v>
      </c>
      <c r="AP766" s="25" t="s">
        <v>151</v>
      </c>
      <c r="AQ766" s="25" t="s">
        <v>151</v>
      </c>
      <c r="AR766" s="16" t="s">
        <v>151</v>
      </c>
      <c r="AS766" s="17" t="s">
        <v>15667</v>
      </c>
      <c r="AT766" s="17" t="s">
        <v>15668</v>
      </c>
      <c r="AU766" s="18">
        <v>9</v>
      </c>
      <c r="AV766" s="17" t="s">
        <v>151</v>
      </c>
      <c r="AW766" s="17" t="s">
        <v>15669</v>
      </c>
      <c r="AX766" s="17" t="s">
        <v>151</v>
      </c>
      <c r="AY766" s="17" t="s">
        <v>15670</v>
      </c>
      <c r="AZ766" s="17" t="s">
        <v>15671</v>
      </c>
      <c r="BA766" s="17" t="s">
        <v>151</v>
      </c>
      <c r="BB766" s="17" t="s">
        <v>151</v>
      </c>
      <c r="BC766" s="17" t="s">
        <v>15672</v>
      </c>
      <c r="BD766" s="17" t="s">
        <v>15673</v>
      </c>
      <c r="BE766" s="17" t="s">
        <v>15674</v>
      </c>
      <c r="BF766" s="17" t="s">
        <v>178</v>
      </c>
      <c r="BG766" s="17" t="s">
        <v>15675</v>
      </c>
      <c r="BH766" s="17" t="s">
        <v>15676</v>
      </c>
      <c r="BI766" s="17" t="s">
        <v>764</v>
      </c>
      <c r="BJ766" s="17" t="s">
        <v>15677</v>
      </c>
      <c r="BK766" s="17" t="s">
        <v>12783</v>
      </c>
      <c r="BL766" s="17" t="s">
        <v>767</v>
      </c>
      <c r="BM766" s="17" t="s">
        <v>184</v>
      </c>
      <c r="BN766" s="16" t="s">
        <v>1260</v>
      </c>
      <c r="BO766" s="17" t="s">
        <v>186</v>
      </c>
      <c r="BP766" s="16" t="s">
        <v>15676</v>
      </c>
      <c r="BQ766" s="16" t="s">
        <v>151</v>
      </c>
      <c r="BR766" s="17" t="s">
        <v>15678</v>
      </c>
      <c r="BS766" s="17" t="s">
        <v>187</v>
      </c>
      <c r="BT766" s="17" t="s">
        <v>188</v>
      </c>
      <c r="BU766" s="22">
        <v>44153</v>
      </c>
      <c r="BV766" s="24">
        <v>5.47</v>
      </c>
      <c r="BW766" s="17" t="s">
        <v>192</v>
      </c>
      <c r="BX766" s="24">
        <v>13.47</v>
      </c>
      <c r="BY766" s="17" t="s">
        <v>192</v>
      </c>
      <c r="BZ766" s="17" t="s">
        <v>293</v>
      </c>
      <c r="CA766" s="17" t="s">
        <v>293</v>
      </c>
      <c r="CB766" s="17" t="s">
        <v>151</v>
      </c>
      <c r="CC766" s="17" t="s">
        <v>165</v>
      </c>
      <c r="CD766" s="17" t="s">
        <v>151</v>
      </c>
      <c r="CE766" s="17" t="s">
        <v>191</v>
      </c>
      <c r="CF766" s="22">
        <v>44426</v>
      </c>
      <c r="CG766" s="24">
        <v>36.7</v>
      </c>
      <c r="CH766" s="17" t="s">
        <v>192</v>
      </c>
      <c r="CI766" s="24">
        <v>193.7</v>
      </c>
      <c r="CJ766" s="17" t="s">
        <v>192</v>
      </c>
      <c r="CK766" s="16">
        <v>3.92</v>
      </c>
      <c r="CL766" s="17" t="s">
        <v>231</v>
      </c>
      <c r="CM766" s="17" t="s">
        <v>326</v>
      </c>
      <c r="CN766" s="17" t="s">
        <v>151</v>
      </c>
      <c r="CO766" s="17" t="s">
        <v>165</v>
      </c>
      <c r="CP766" s="22">
        <v>44426</v>
      </c>
      <c r="CQ766" s="24" t="s">
        <v>151</v>
      </c>
      <c r="CR766" s="17" t="s">
        <v>151</v>
      </c>
      <c r="CS766" s="17" t="s">
        <v>191</v>
      </c>
      <c r="CT766" s="16">
        <v>81</v>
      </c>
      <c r="CU766" s="17" t="s">
        <v>196</v>
      </c>
      <c r="CV766" s="19">
        <v>89</v>
      </c>
      <c r="CW766" s="19">
        <v>11</v>
      </c>
      <c r="CX766" s="17" t="s">
        <v>294</v>
      </c>
      <c r="CY766" s="19">
        <v>5</v>
      </c>
      <c r="CZ766" s="19">
        <v>84</v>
      </c>
      <c r="DA766" s="24">
        <v>193.7</v>
      </c>
      <c r="DB766" s="22">
        <v>44426</v>
      </c>
      <c r="DC766" s="17" t="s">
        <v>231</v>
      </c>
      <c r="DD766" s="16">
        <v>3.92</v>
      </c>
      <c r="DE766" s="19">
        <v>-0.3</v>
      </c>
      <c r="DF766" s="21">
        <v>9</v>
      </c>
      <c r="DG766" s="19">
        <v>0</v>
      </c>
      <c r="DH766" s="19">
        <v>0</v>
      </c>
      <c r="DI766" s="19">
        <v>-0.3</v>
      </c>
      <c r="DJ766" s="21">
        <v>8</v>
      </c>
      <c r="DK766" s="19" t="s">
        <v>151</v>
      </c>
      <c r="DL766" s="21" t="s">
        <v>151</v>
      </c>
      <c r="DM766" s="19">
        <v>-0.3</v>
      </c>
      <c r="DN766" s="21">
        <v>8</v>
      </c>
      <c r="DO766" s="23">
        <v>8.63</v>
      </c>
      <c r="DP766" s="21">
        <v>89</v>
      </c>
      <c r="DQ766" s="23">
        <v>0</v>
      </c>
      <c r="DR766" s="19">
        <v>0</v>
      </c>
      <c r="DS766" s="23">
        <v>8.63</v>
      </c>
      <c r="DT766" s="21">
        <v>89</v>
      </c>
      <c r="DU766" s="23" t="s">
        <v>151</v>
      </c>
      <c r="DV766" s="21" t="s">
        <v>151</v>
      </c>
      <c r="DW766" s="23">
        <v>8.63</v>
      </c>
      <c r="DX766" s="21">
        <v>88</v>
      </c>
      <c r="DY766" s="18">
        <v>2</v>
      </c>
      <c r="DZ766" s="22">
        <v>44574</v>
      </c>
      <c r="EA766" s="22" t="s">
        <v>151</v>
      </c>
      <c r="EB766" s="21">
        <v>1504</v>
      </c>
      <c r="EC766" s="20">
        <v>-59</v>
      </c>
      <c r="ED766" s="19">
        <v>-3.77</v>
      </c>
      <c r="EE766" s="21">
        <v>164</v>
      </c>
      <c r="EF766" s="20">
        <v>0</v>
      </c>
      <c r="EG766" s="19">
        <v>0</v>
      </c>
      <c r="EH766" s="16" t="s">
        <v>198</v>
      </c>
      <c r="EI766" s="17" t="s">
        <v>151</v>
      </c>
      <c r="EJ766" s="17" t="s">
        <v>151</v>
      </c>
      <c r="EK766" s="18" t="s">
        <v>151</v>
      </c>
      <c r="EL766" s="18" t="s">
        <v>151</v>
      </c>
      <c r="EM766" s="18" t="s">
        <v>151</v>
      </c>
      <c r="EN766" s="18" t="s">
        <v>151</v>
      </c>
      <c r="EO766" s="18" t="s">
        <v>151</v>
      </c>
      <c r="EP766" s="17" t="s">
        <v>151</v>
      </c>
      <c r="EQ766" s="16" t="s">
        <v>151</v>
      </c>
      <c r="ER766" s="16" t="s">
        <v>151</v>
      </c>
      <c r="ES766" s="3">
        <f>HYPERLINK("https://my.pitchbook.com?c=433091-44","View Company Online")</f>
      </c>
    </row>
    <row r="767">
      <c r="A767" s="30" t="s">
        <v>15679</v>
      </c>
      <c r="B767" s="30" t="s">
        <v>15680</v>
      </c>
      <c r="C767" s="31" t="s">
        <v>151</v>
      </c>
      <c r="D767" s="30" t="s">
        <v>151</v>
      </c>
      <c r="E767" s="30" t="s">
        <v>15681</v>
      </c>
      <c r="F767" s="30" t="s">
        <v>15682</v>
      </c>
      <c r="G767" s="30" t="s">
        <v>151</v>
      </c>
      <c r="H767" s="30" t="s">
        <v>151</v>
      </c>
      <c r="I767" s="30" t="s">
        <v>151</v>
      </c>
      <c r="J767" s="30" t="s">
        <v>15679</v>
      </c>
      <c r="K767" s="30" t="s">
        <v>15683</v>
      </c>
      <c r="L767" s="30" t="s">
        <v>155</v>
      </c>
      <c r="M767" s="30" t="s">
        <v>361</v>
      </c>
      <c r="N767" s="30" t="s">
        <v>9685</v>
      </c>
      <c r="O767" s="30" t="s">
        <v>15684</v>
      </c>
      <c r="P767" s="30" t="s">
        <v>15685</v>
      </c>
      <c r="Q767" s="30" t="s">
        <v>15686</v>
      </c>
      <c r="R767" s="30" t="s">
        <v>151</v>
      </c>
      <c r="S767" s="30" t="s">
        <v>162</v>
      </c>
      <c r="T767" s="37">
        <v>2.21</v>
      </c>
      <c r="U767" s="30" t="s">
        <v>163</v>
      </c>
      <c r="V767" s="30" t="s">
        <v>164</v>
      </c>
      <c r="W767" s="30" t="s">
        <v>165</v>
      </c>
      <c r="X767" s="28" t="s">
        <v>15687</v>
      </c>
      <c r="Y767" s="28" t="s">
        <v>15688</v>
      </c>
      <c r="Z767" s="40">
        <v>18</v>
      </c>
      <c r="AA767" s="30" t="s">
        <v>15689</v>
      </c>
      <c r="AB767" s="30" t="s">
        <v>151</v>
      </c>
      <c r="AC767" s="30" t="s">
        <v>151</v>
      </c>
      <c r="AD767" s="39">
        <v>2022</v>
      </c>
      <c r="AE767" s="30" t="s">
        <v>151</v>
      </c>
      <c r="AF767" s="35">
        <v>45559</v>
      </c>
      <c r="AG767" s="30" t="s">
        <v>151</v>
      </c>
      <c r="AH767" s="30" t="s">
        <v>151</v>
      </c>
      <c r="AI767" s="38" t="s">
        <v>151</v>
      </c>
      <c r="AJ767" s="32" t="s">
        <v>151</v>
      </c>
      <c r="AK767" s="38" t="s">
        <v>151</v>
      </c>
      <c r="AL767" s="38" t="s">
        <v>151</v>
      </c>
      <c r="AM767" s="38" t="s">
        <v>151</v>
      </c>
      <c r="AN767" s="38" t="s">
        <v>151</v>
      </c>
      <c r="AO767" s="38" t="s">
        <v>151</v>
      </c>
      <c r="AP767" s="38" t="s">
        <v>151</v>
      </c>
      <c r="AQ767" s="38" t="s">
        <v>151</v>
      </c>
      <c r="AR767" s="29" t="s">
        <v>151</v>
      </c>
      <c r="AS767" s="30" t="s">
        <v>15690</v>
      </c>
      <c r="AT767" s="30" t="s">
        <v>15691</v>
      </c>
      <c r="AU767" s="31">
        <v>8</v>
      </c>
      <c r="AV767" s="30" t="s">
        <v>151</v>
      </c>
      <c r="AW767" s="30" t="s">
        <v>151</v>
      </c>
      <c r="AX767" s="30" t="s">
        <v>151</v>
      </c>
      <c r="AY767" s="30" t="s">
        <v>15692</v>
      </c>
      <c r="AZ767" s="30" t="s">
        <v>151</v>
      </c>
      <c r="BA767" s="30" t="s">
        <v>151</v>
      </c>
      <c r="BB767" s="30" t="s">
        <v>151</v>
      </c>
      <c r="BC767" s="30" t="s">
        <v>151</v>
      </c>
      <c r="BD767" s="30" t="s">
        <v>15693</v>
      </c>
      <c r="BE767" s="30" t="s">
        <v>15694</v>
      </c>
      <c r="BF767" s="30" t="s">
        <v>282</v>
      </c>
      <c r="BG767" s="30" t="s">
        <v>15695</v>
      </c>
      <c r="BH767" s="30" t="s">
        <v>15696</v>
      </c>
      <c r="BI767" s="30" t="s">
        <v>467</v>
      </c>
      <c r="BJ767" s="30" t="s">
        <v>15697</v>
      </c>
      <c r="BK767" s="30" t="s">
        <v>15698</v>
      </c>
      <c r="BL767" s="30" t="s">
        <v>469</v>
      </c>
      <c r="BM767" s="30" t="s">
        <v>470</v>
      </c>
      <c r="BN767" s="29" t="s">
        <v>471</v>
      </c>
      <c r="BO767" s="30" t="s">
        <v>186</v>
      </c>
      <c r="BP767" s="29" t="s">
        <v>15696</v>
      </c>
      <c r="BQ767" s="29" t="s">
        <v>151</v>
      </c>
      <c r="BR767" s="30" t="s">
        <v>15699</v>
      </c>
      <c r="BS767" s="30" t="s">
        <v>187</v>
      </c>
      <c r="BT767" s="30" t="s">
        <v>188</v>
      </c>
      <c r="BU767" s="35">
        <v>44562</v>
      </c>
      <c r="BV767" s="37">
        <v>1</v>
      </c>
      <c r="BW767" s="30" t="s">
        <v>192</v>
      </c>
      <c r="BX767" s="37" t="s">
        <v>151</v>
      </c>
      <c r="BY767" s="30" t="s">
        <v>151</v>
      </c>
      <c r="BZ767" s="30" t="s">
        <v>1075</v>
      </c>
      <c r="CA767" s="30" t="s">
        <v>1075</v>
      </c>
      <c r="CB767" s="30" t="s">
        <v>151</v>
      </c>
      <c r="CC767" s="30" t="s">
        <v>585</v>
      </c>
      <c r="CD767" s="30" t="s">
        <v>151</v>
      </c>
      <c r="CE767" s="30" t="s">
        <v>191</v>
      </c>
      <c r="CF767" s="35">
        <v>45152</v>
      </c>
      <c r="CG767" s="37">
        <v>1.1</v>
      </c>
      <c r="CH767" s="30" t="s">
        <v>192</v>
      </c>
      <c r="CI767" s="37" t="s">
        <v>151</v>
      </c>
      <c r="CJ767" s="30" t="s">
        <v>151</v>
      </c>
      <c r="CK767" s="29" t="s">
        <v>151</v>
      </c>
      <c r="CL767" s="30" t="s">
        <v>293</v>
      </c>
      <c r="CM767" s="30" t="s">
        <v>293</v>
      </c>
      <c r="CN767" s="30" t="s">
        <v>151</v>
      </c>
      <c r="CO767" s="30" t="s">
        <v>165</v>
      </c>
      <c r="CP767" s="35">
        <v>45152</v>
      </c>
      <c r="CQ767" s="37" t="s">
        <v>151</v>
      </c>
      <c r="CR767" s="30" t="s">
        <v>151</v>
      </c>
      <c r="CS767" s="30" t="s">
        <v>191</v>
      </c>
      <c r="CT767" s="29">
        <v>34</v>
      </c>
      <c r="CU767" s="30" t="s">
        <v>263</v>
      </c>
      <c r="CV767" s="32">
        <v>34</v>
      </c>
      <c r="CW767" s="32">
        <v>66</v>
      </c>
      <c r="CX767" s="30" t="s">
        <v>263</v>
      </c>
      <c r="CY767" s="32">
        <v>1</v>
      </c>
      <c r="CZ767" s="32">
        <v>33</v>
      </c>
      <c r="DA767" s="37" t="s">
        <v>151</v>
      </c>
      <c r="DB767" s="35" t="s">
        <v>151</v>
      </c>
      <c r="DC767" s="30" t="s">
        <v>151</v>
      </c>
      <c r="DD767" s="29" t="s">
        <v>151</v>
      </c>
      <c r="DE767" s="32">
        <v>0.04</v>
      </c>
      <c r="DF767" s="34">
        <v>90</v>
      </c>
      <c r="DG767" s="32">
        <v>0</v>
      </c>
      <c r="DH767" s="32">
        <v>0</v>
      </c>
      <c r="DI767" s="32">
        <v>0.73</v>
      </c>
      <c r="DJ767" s="34">
        <v>96</v>
      </c>
      <c r="DK767" s="32" t="s">
        <v>151</v>
      </c>
      <c r="DL767" s="34" t="s">
        <v>151</v>
      </c>
      <c r="DM767" s="32">
        <v>0.73</v>
      </c>
      <c r="DN767" s="34">
        <v>96</v>
      </c>
      <c r="DO767" s="36">
        <v>3.48</v>
      </c>
      <c r="DP767" s="34">
        <v>77</v>
      </c>
      <c r="DQ767" s="36">
        <v>0</v>
      </c>
      <c r="DR767" s="32">
        <v>0</v>
      </c>
      <c r="DS767" s="36">
        <v>5.58</v>
      </c>
      <c r="DT767" s="34">
        <v>83</v>
      </c>
      <c r="DU767" s="36" t="s">
        <v>151</v>
      </c>
      <c r="DV767" s="34" t="s">
        <v>151</v>
      </c>
      <c r="DW767" s="36">
        <v>5.58</v>
      </c>
      <c r="DX767" s="34">
        <v>83</v>
      </c>
      <c r="DY767" s="31" t="s">
        <v>151</v>
      </c>
      <c r="DZ767" s="35" t="s">
        <v>151</v>
      </c>
      <c r="EA767" s="35" t="s">
        <v>151</v>
      </c>
      <c r="EB767" s="34">
        <v>725</v>
      </c>
      <c r="EC767" s="33">
        <v>-225</v>
      </c>
      <c r="ED767" s="32">
        <v>-23.68</v>
      </c>
      <c r="EE767" s="34">
        <v>106</v>
      </c>
      <c r="EF767" s="33">
        <v>1</v>
      </c>
      <c r="EG767" s="32">
        <v>0.95</v>
      </c>
      <c r="EH767" s="29" t="s">
        <v>198</v>
      </c>
      <c r="EI767" s="30" t="s">
        <v>151</v>
      </c>
      <c r="EJ767" s="30" t="s">
        <v>151</v>
      </c>
      <c r="EK767" s="31" t="s">
        <v>151</v>
      </c>
      <c r="EL767" s="31" t="s">
        <v>151</v>
      </c>
      <c r="EM767" s="31" t="s">
        <v>151</v>
      </c>
      <c r="EN767" s="31" t="s">
        <v>151</v>
      </c>
      <c r="EO767" s="31" t="s">
        <v>151</v>
      </c>
      <c r="EP767" s="30" t="s">
        <v>151</v>
      </c>
      <c r="EQ767" s="29" t="s">
        <v>151</v>
      </c>
      <c r="ER767" s="29" t="s">
        <v>151</v>
      </c>
      <c r="ES767" s="4">
        <f>HYPERLINK("https://my.pitchbook.com?c=522438-04","View Company Online")</f>
      </c>
    </row>
    <row r="768">
      <c r="A768" s="17" t="s">
        <v>15700</v>
      </c>
      <c r="B768" s="17" t="s">
        <v>15701</v>
      </c>
      <c r="C768" s="18" t="s">
        <v>151</v>
      </c>
      <c r="D768" s="17" t="s">
        <v>151</v>
      </c>
      <c r="E768" s="17" t="s">
        <v>151</v>
      </c>
      <c r="F768" s="17" t="s">
        <v>151</v>
      </c>
      <c r="G768" s="17" t="s">
        <v>151</v>
      </c>
      <c r="H768" s="17" t="s">
        <v>151</v>
      </c>
      <c r="I768" s="17" t="s">
        <v>15702</v>
      </c>
      <c r="J768" s="17" t="s">
        <v>15700</v>
      </c>
      <c r="K768" s="17" t="s">
        <v>15703</v>
      </c>
      <c r="L768" s="17" t="s">
        <v>15704</v>
      </c>
      <c r="M768" s="17" t="s">
        <v>15705</v>
      </c>
      <c r="N768" s="17" t="s">
        <v>15706</v>
      </c>
      <c r="O768" s="17" t="s">
        <v>15707</v>
      </c>
      <c r="P768" s="17" t="s">
        <v>15708</v>
      </c>
      <c r="Q768" s="17" t="s">
        <v>15709</v>
      </c>
      <c r="R768" s="17" t="s">
        <v>15710</v>
      </c>
      <c r="S768" s="17" t="s">
        <v>162</v>
      </c>
      <c r="T768" s="24">
        <v>6.25</v>
      </c>
      <c r="U768" s="17" t="s">
        <v>163</v>
      </c>
      <c r="V768" s="17" t="s">
        <v>164</v>
      </c>
      <c r="W768" s="17" t="s">
        <v>165</v>
      </c>
      <c r="X768" s="15" t="s">
        <v>15711</v>
      </c>
      <c r="Y768" s="15" t="s">
        <v>15712</v>
      </c>
      <c r="Z768" s="27">
        <v>22</v>
      </c>
      <c r="AA768" s="17" t="s">
        <v>15713</v>
      </c>
      <c r="AB768" s="17" t="s">
        <v>151</v>
      </c>
      <c r="AC768" s="17" t="s">
        <v>151</v>
      </c>
      <c r="AD768" s="26">
        <v>2020</v>
      </c>
      <c r="AE768" s="17" t="s">
        <v>151</v>
      </c>
      <c r="AF768" s="22">
        <v>45559</v>
      </c>
      <c r="AG768" s="17" t="s">
        <v>151</v>
      </c>
      <c r="AH768" s="17" t="s">
        <v>151</v>
      </c>
      <c r="AI768" s="25" t="s">
        <v>151</v>
      </c>
      <c r="AJ768" s="19" t="s">
        <v>151</v>
      </c>
      <c r="AK768" s="25" t="s">
        <v>151</v>
      </c>
      <c r="AL768" s="25" t="s">
        <v>151</v>
      </c>
      <c r="AM768" s="25" t="s">
        <v>151</v>
      </c>
      <c r="AN768" s="25" t="s">
        <v>151</v>
      </c>
      <c r="AO768" s="25" t="s">
        <v>151</v>
      </c>
      <c r="AP768" s="25" t="s">
        <v>151</v>
      </c>
      <c r="AQ768" s="25" t="s">
        <v>151</v>
      </c>
      <c r="AR768" s="16" t="s">
        <v>151</v>
      </c>
      <c r="AS768" s="17" t="s">
        <v>15714</v>
      </c>
      <c r="AT768" s="17" t="s">
        <v>15715</v>
      </c>
      <c r="AU768" s="18">
        <v>4</v>
      </c>
      <c r="AV768" s="17" t="s">
        <v>151</v>
      </c>
      <c r="AW768" s="17" t="s">
        <v>151</v>
      </c>
      <c r="AX768" s="17" t="s">
        <v>151</v>
      </c>
      <c r="AY768" s="17" t="s">
        <v>15716</v>
      </c>
      <c r="AZ768" s="17" t="s">
        <v>151</v>
      </c>
      <c r="BA768" s="17" t="s">
        <v>151</v>
      </c>
      <c r="BB768" s="17" t="s">
        <v>15717</v>
      </c>
      <c r="BC768" s="17" t="s">
        <v>15718</v>
      </c>
      <c r="BD768" s="17" t="s">
        <v>15719</v>
      </c>
      <c r="BE768" s="17" t="s">
        <v>15720</v>
      </c>
      <c r="BF768" s="17" t="s">
        <v>221</v>
      </c>
      <c r="BG768" s="17" t="s">
        <v>15721</v>
      </c>
      <c r="BH768" s="17" t="s">
        <v>15722</v>
      </c>
      <c r="BI768" s="17" t="s">
        <v>906</v>
      </c>
      <c r="BJ768" s="17" t="s">
        <v>15723</v>
      </c>
      <c r="BK768" s="17" t="s">
        <v>15724</v>
      </c>
      <c r="BL768" s="17" t="s">
        <v>259</v>
      </c>
      <c r="BM768" s="17" t="s">
        <v>259</v>
      </c>
      <c r="BN768" s="16" t="s">
        <v>15725</v>
      </c>
      <c r="BO768" s="17" t="s">
        <v>186</v>
      </c>
      <c r="BP768" s="16" t="s">
        <v>15722</v>
      </c>
      <c r="BQ768" s="16" t="s">
        <v>151</v>
      </c>
      <c r="BR768" s="17" t="s">
        <v>15726</v>
      </c>
      <c r="BS768" s="17" t="s">
        <v>187</v>
      </c>
      <c r="BT768" s="17" t="s">
        <v>188</v>
      </c>
      <c r="BU768" s="22">
        <v>44316</v>
      </c>
      <c r="BV768" s="24">
        <v>1.05</v>
      </c>
      <c r="BW768" s="17" t="s">
        <v>192</v>
      </c>
      <c r="BX768" s="24">
        <v>6</v>
      </c>
      <c r="BY768" s="17" t="s">
        <v>192</v>
      </c>
      <c r="BZ768" s="17" t="s">
        <v>293</v>
      </c>
      <c r="CA768" s="17" t="s">
        <v>293</v>
      </c>
      <c r="CB768" s="17" t="s">
        <v>151</v>
      </c>
      <c r="CC768" s="17" t="s">
        <v>165</v>
      </c>
      <c r="CD768" s="17" t="s">
        <v>151</v>
      </c>
      <c r="CE768" s="17" t="s">
        <v>191</v>
      </c>
      <c r="CF768" s="22">
        <v>45260</v>
      </c>
      <c r="CG768" s="24" t="s">
        <v>151</v>
      </c>
      <c r="CH768" s="17" t="s">
        <v>151</v>
      </c>
      <c r="CI768" s="24" t="s">
        <v>151</v>
      </c>
      <c r="CJ768" s="17" t="s">
        <v>151</v>
      </c>
      <c r="CK768" s="16" t="s">
        <v>151</v>
      </c>
      <c r="CL768" s="17" t="s">
        <v>293</v>
      </c>
      <c r="CM768" s="17" t="s">
        <v>293</v>
      </c>
      <c r="CN768" s="17" t="s">
        <v>151</v>
      </c>
      <c r="CO768" s="17" t="s">
        <v>165</v>
      </c>
      <c r="CP768" s="22">
        <v>45260</v>
      </c>
      <c r="CQ768" s="24" t="s">
        <v>151</v>
      </c>
      <c r="CR768" s="17" t="s">
        <v>151</v>
      </c>
      <c r="CS768" s="17" t="s">
        <v>191</v>
      </c>
      <c r="CT768" s="16">
        <v>89</v>
      </c>
      <c r="CU768" s="17" t="s">
        <v>196</v>
      </c>
      <c r="CV768" s="19">
        <v>80</v>
      </c>
      <c r="CW768" s="19">
        <v>20</v>
      </c>
      <c r="CX768" s="17" t="s">
        <v>294</v>
      </c>
      <c r="CY768" s="19">
        <v>3</v>
      </c>
      <c r="CZ768" s="19">
        <v>77</v>
      </c>
      <c r="DA768" s="24">
        <v>23.4</v>
      </c>
      <c r="DB768" s="22">
        <v>44926</v>
      </c>
      <c r="DC768" s="17" t="s">
        <v>293</v>
      </c>
      <c r="DD768" s="16">
        <v>1.33</v>
      </c>
      <c r="DE768" s="19">
        <v>0.3</v>
      </c>
      <c r="DF768" s="21">
        <v>92</v>
      </c>
      <c r="DG768" s="19">
        <v>0</v>
      </c>
      <c r="DH768" s="19">
        <v>0</v>
      </c>
      <c r="DI768" s="19">
        <v>0</v>
      </c>
      <c r="DJ768" s="21">
        <v>10</v>
      </c>
      <c r="DK768" s="19" t="s">
        <v>151</v>
      </c>
      <c r="DL768" s="21" t="s">
        <v>151</v>
      </c>
      <c r="DM768" s="19">
        <v>0</v>
      </c>
      <c r="DN768" s="21">
        <v>10</v>
      </c>
      <c r="DO768" s="23">
        <v>3</v>
      </c>
      <c r="DP768" s="21">
        <v>74</v>
      </c>
      <c r="DQ768" s="23">
        <v>0</v>
      </c>
      <c r="DR768" s="19">
        <v>0</v>
      </c>
      <c r="DS768" s="23">
        <v>4.32</v>
      </c>
      <c r="DT768" s="21">
        <v>80</v>
      </c>
      <c r="DU768" s="23" t="s">
        <v>151</v>
      </c>
      <c r="DV768" s="21" t="s">
        <v>151</v>
      </c>
      <c r="DW768" s="23">
        <v>4.32</v>
      </c>
      <c r="DX768" s="21">
        <v>80</v>
      </c>
      <c r="DY768" s="18" t="s">
        <v>151</v>
      </c>
      <c r="DZ768" s="22" t="s">
        <v>151</v>
      </c>
      <c r="EA768" s="22" t="s">
        <v>151</v>
      </c>
      <c r="EB768" s="21">
        <v>104</v>
      </c>
      <c r="EC768" s="20">
        <v>-34</v>
      </c>
      <c r="ED768" s="19">
        <v>-24.64</v>
      </c>
      <c r="EE768" s="21">
        <v>82</v>
      </c>
      <c r="EF768" s="20">
        <v>6</v>
      </c>
      <c r="EG768" s="19">
        <v>7.89</v>
      </c>
      <c r="EH768" s="16" t="s">
        <v>198</v>
      </c>
      <c r="EI768" s="17" t="s">
        <v>151</v>
      </c>
      <c r="EJ768" s="17" t="s">
        <v>151</v>
      </c>
      <c r="EK768" s="18" t="s">
        <v>151</v>
      </c>
      <c r="EL768" s="18" t="s">
        <v>151</v>
      </c>
      <c r="EM768" s="18" t="s">
        <v>151</v>
      </c>
      <c r="EN768" s="18" t="s">
        <v>151</v>
      </c>
      <c r="EO768" s="18" t="s">
        <v>151</v>
      </c>
      <c r="EP768" s="17" t="s">
        <v>151</v>
      </c>
      <c r="EQ768" s="16" t="s">
        <v>151</v>
      </c>
      <c r="ER768" s="16" t="s">
        <v>151</v>
      </c>
      <c r="ES768" s="3">
        <f>HYPERLINK("https://my.pitchbook.com?c=452799-91","View Company Online")</f>
      </c>
    </row>
    <row r="769">
      <c r="A769" s="30" t="s">
        <v>15727</v>
      </c>
      <c r="B769" s="30" t="s">
        <v>15728</v>
      </c>
      <c r="C769" s="31" t="s">
        <v>151</v>
      </c>
      <c r="D769" s="30" t="s">
        <v>151</v>
      </c>
      <c r="E769" s="30" t="s">
        <v>15729</v>
      </c>
      <c r="F769" s="30" t="s">
        <v>15730</v>
      </c>
      <c r="G769" s="30" t="s">
        <v>151</v>
      </c>
      <c r="H769" s="30" t="s">
        <v>151</v>
      </c>
      <c r="I769" s="30" t="s">
        <v>15731</v>
      </c>
      <c r="J769" s="30" t="s">
        <v>15727</v>
      </c>
      <c r="K769" s="30" t="s">
        <v>15732</v>
      </c>
      <c r="L769" s="30" t="s">
        <v>205</v>
      </c>
      <c r="M769" s="30" t="s">
        <v>206</v>
      </c>
      <c r="N769" s="30" t="s">
        <v>269</v>
      </c>
      <c r="O769" s="30" t="s">
        <v>15733</v>
      </c>
      <c r="P769" s="30" t="s">
        <v>1132</v>
      </c>
      <c r="Q769" s="30" t="s">
        <v>15734</v>
      </c>
      <c r="R769" s="30" t="s">
        <v>151</v>
      </c>
      <c r="S769" s="30" t="s">
        <v>6286</v>
      </c>
      <c r="T769" s="37">
        <v>33.9</v>
      </c>
      <c r="U769" s="30" t="s">
        <v>163</v>
      </c>
      <c r="V769" s="30" t="s">
        <v>164</v>
      </c>
      <c r="W769" s="30" t="s">
        <v>1318</v>
      </c>
      <c r="X769" s="28" t="s">
        <v>15735</v>
      </c>
      <c r="Y769" s="28" t="s">
        <v>15736</v>
      </c>
      <c r="Z769" s="40">
        <v>26</v>
      </c>
      <c r="AA769" s="30" t="s">
        <v>15737</v>
      </c>
      <c r="AB769" s="30" t="s">
        <v>151</v>
      </c>
      <c r="AC769" s="30" t="s">
        <v>151</v>
      </c>
      <c r="AD769" s="39">
        <v>2020</v>
      </c>
      <c r="AE769" s="30" t="s">
        <v>151</v>
      </c>
      <c r="AF769" s="35">
        <v>45575</v>
      </c>
      <c r="AG769" s="30" t="s">
        <v>151</v>
      </c>
      <c r="AH769" s="30" t="s">
        <v>151</v>
      </c>
      <c r="AI769" s="38" t="s">
        <v>151</v>
      </c>
      <c r="AJ769" s="32" t="s">
        <v>151</v>
      </c>
      <c r="AK769" s="38" t="s">
        <v>151</v>
      </c>
      <c r="AL769" s="38" t="s">
        <v>151</v>
      </c>
      <c r="AM769" s="38" t="s">
        <v>151</v>
      </c>
      <c r="AN769" s="38" t="s">
        <v>151</v>
      </c>
      <c r="AO769" s="38" t="s">
        <v>151</v>
      </c>
      <c r="AP769" s="38" t="s">
        <v>151</v>
      </c>
      <c r="AQ769" s="38" t="s">
        <v>151</v>
      </c>
      <c r="AR769" s="29" t="s">
        <v>151</v>
      </c>
      <c r="AS769" s="30" t="s">
        <v>15738</v>
      </c>
      <c r="AT769" s="30" t="s">
        <v>15739</v>
      </c>
      <c r="AU769" s="31">
        <v>12</v>
      </c>
      <c r="AV769" s="30" t="s">
        <v>151</v>
      </c>
      <c r="AW769" s="30" t="s">
        <v>151</v>
      </c>
      <c r="AX769" s="30" t="s">
        <v>151</v>
      </c>
      <c r="AY769" s="30" t="s">
        <v>15740</v>
      </c>
      <c r="AZ769" s="30" t="s">
        <v>151</v>
      </c>
      <c r="BA769" s="30" t="s">
        <v>151</v>
      </c>
      <c r="BB769" s="30" t="s">
        <v>15741</v>
      </c>
      <c r="BC769" s="30" t="s">
        <v>490</v>
      </c>
      <c r="BD769" s="30" t="s">
        <v>15742</v>
      </c>
      <c r="BE769" s="30" t="s">
        <v>15743</v>
      </c>
      <c r="BF769" s="30" t="s">
        <v>221</v>
      </c>
      <c r="BG769" s="30" t="s">
        <v>15744</v>
      </c>
      <c r="BH769" s="30" t="s">
        <v>151</v>
      </c>
      <c r="BI769" s="30" t="s">
        <v>5623</v>
      </c>
      <c r="BJ769" s="30" t="s">
        <v>5624</v>
      </c>
      <c r="BK769" s="30" t="s">
        <v>15745</v>
      </c>
      <c r="BL769" s="30" t="s">
        <v>5626</v>
      </c>
      <c r="BM769" s="30" t="s">
        <v>184</v>
      </c>
      <c r="BN769" s="29" t="s">
        <v>5627</v>
      </c>
      <c r="BO769" s="30" t="s">
        <v>186</v>
      </c>
      <c r="BP769" s="29" t="s">
        <v>151</v>
      </c>
      <c r="BQ769" s="29" t="s">
        <v>151</v>
      </c>
      <c r="BR769" s="30" t="s">
        <v>15746</v>
      </c>
      <c r="BS769" s="30" t="s">
        <v>187</v>
      </c>
      <c r="BT769" s="30" t="s">
        <v>188</v>
      </c>
      <c r="BU769" s="35">
        <v>44239</v>
      </c>
      <c r="BV769" s="37">
        <v>4.9</v>
      </c>
      <c r="BW769" s="30" t="s">
        <v>192</v>
      </c>
      <c r="BX769" s="37">
        <v>19.9</v>
      </c>
      <c r="BY769" s="30" t="s">
        <v>192</v>
      </c>
      <c r="BZ769" s="30" t="s">
        <v>293</v>
      </c>
      <c r="CA769" s="30" t="s">
        <v>293</v>
      </c>
      <c r="CB769" s="30" t="s">
        <v>151</v>
      </c>
      <c r="CC769" s="30" t="s">
        <v>165</v>
      </c>
      <c r="CD769" s="30" t="s">
        <v>151</v>
      </c>
      <c r="CE769" s="30" t="s">
        <v>191</v>
      </c>
      <c r="CF769" s="35" t="s">
        <v>151</v>
      </c>
      <c r="CG769" s="37" t="s">
        <v>151</v>
      </c>
      <c r="CH769" s="30" t="s">
        <v>151</v>
      </c>
      <c r="CI769" s="37" t="s">
        <v>151</v>
      </c>
      <c r="CJ769" s="30" t="s">
        <v>151</v>
      </c>
      <c r="CK769" s="29">
        <v>5.03</v>
      </c>
      <c r="CL769" s="30" t="s">
        <v>7002</v>
      </c>
      <c r="CM769" s="30" t="s">
        <v>151</v>
      </c>
      <c r="CN769" s="30" t="s">
        <v>151</v>
      </c>
      <c r="CO769" s="30" t="s">
        <v>6304</v>
      </c>
      <c r="CP769" s="35" t="s">
        <v>151</v>
      </c>
      <c r="CQ769" s="37" t="s">
        <v>151</v>
      </c>
      <c r="CR769" s="30" t="s">
        <v>151</v>
      </c>
      <c r="CS769" s="30" t="s">
        <v>191</v>
      </c>
      <c r="CT769" s="29">
        <v>44</v>
      </c>
      <c r="CU769" s="30" t="s">
        <v>196</v>
      </c>
      <c r="CV769" s="32">
        <v>87</v>
      </c>
      <c r="CW769" s="32">
        <v>13</v>
      </c>
      <c r="CX769" s="30" t="s">
        <v>294</v>
      </c>
      <c r="CY769" s="32">
        <v>5</v>
      </c>
      <c r="CZ769" s="32">
        <v>82</v>
      </c>
      <c r="DA769" s="37">
        <v>124</v>
      </c>
      <c r="DB769" s="35">
        <v>44656</v>
      </c>
      <c r="DC769" s="30" t="s">
        <v>231</v>
      </c>
      <c r="DD769" s="29">
        <v>5.03</v>
      </c>
      <c r="DE769" s="32">
        <v>0.14</v>
      </c>
      <c r="DF769" s="34">
        <v>91</v>
      </c>
      <c r="DG769" s="32">
        <v>0</v>
      </c>
      <c r="DH769" s="32">
        <v>0</v>
      </c>
      <c r="DI769" s="32">
        <v>-0.21</v>
      </c>
      <c r="DJ769" s="34">
        <v>9</v>
      </c>
      <c r="DK769" s="32" t="s">
        <v>151</v>
      </c>
      <c r="DL769" s="34" t="s">
        <v>151</v>
      </c>
      <c r="DM769" s="32">
        <v>-0.21</v>
      </c>
      <c r="DN769" s="34">
        <v>9</v>
      </c>
      <c r="DO769" s="36">
        <v>7.05</v>
      </c>
      <c r="DP769" s="34">
        <v>87</v>
      </c>
      <c r="DQ769" s="36">
        <v>0</v>
      </c>
      <c r="DR769" s="32">
        <v>0</v>
      </c>
      <c r="DS769" s="36">
        <v>12.11</v>
      </c>
      <c r="DT769" s="34">
        <v>92</v>
      </c>
      <c r="DU769" s="36" t="s">
        <v>151</v>
      </c>
      <c r="DV769" s="34" t="s">
        <v>151</v>
      </c>
      <c r="DW769" s="36">
        <v>12.11</v>
      </c>
      <c r="DX769" s="34">
        <v>91</v>
      </c>
      <c r="DY769" s="31" t="s">
        <v>151</v>
      </c>
      <c r="DZ769" s="35" t="s">
        <v>151</v>
      </c>
      <c r="EA769" s="35" t="s">
        <v>151</v>
      </c>
      <c r="EB769" s="34">
        <v>2462</v>
      </c>
      <c r="EC769" s="33">
        <v>-179</v>
      </c>
      <c r="ED769" s="32">
        <v>-6.78</v>
      </c>
      <c r="EE769" s="34">
        <v>230</v>
      </c>
      <c r="EF769" s="33">
        <v>0</v>
      </c>
      <c r="EG769" s="32">
        <v>0</v>
      </c>
      <c r="EH769" s="29" t="s">
        <v>198</v>
      </c>
      <c r="EI769" s="30" t="s">
        <v>151</v>
      </c>
      <c r="EJ769" s="30" t="s">
        <v>151</v>
      </c>
      <c r="EK769" s="31" t="s">
        <v>151</v>
      </c>
      <c r="EL769" s="31" t="s">
        <v>151</v>
      </c>
      <c r="EM769" s="31" t="s">
        <v>151</v>
      </c>
      <c r="EN769" s="31" t="s">
        <v>151</v>
      </c>
      <c r="EO769" s="31" t="s">
        <v>151</v>
      </c>
      <c r="EP769" s="30" t="s">
        <v>151</v>
      </c>
      <c r="EQ769" s="29" t="s">
        <v>151</v>
      </c>
      <c r="ER769" s="29" t="s">
        <v>151</v>
      </c>
      <c r="ES769" s="4">
        <f>HYPERLINK("https://my.pitchbook.com?c=467212-24","View Company Online")</f>
      </c>
    </row>
    <row r="770">
      <c r="A770" s="17" t="s">
        <v>15747</v>
      </c>
      <c r="B770" s="17" t="s">
        <v>15748</v>
      </c>
      <c r="C770" s="18" t="s">
        <v>151</v>
      </c>
      <c r="D770" s="17" t="s">
        <v>151</v>
      </c>
      <c r="E770" s="17" t="s">
        <v>151</v>
      </c>
      <c r="F770" s="17" t="s">
        <v>15749</v>
      </c>
      <c r="G770" s="17" t="s">
        <v>151</v>
      </c>
      <c r="H770" s="17" t="s">
        <v>151</v>
      </c>
      <c r="I770" s="17" t="s">
        <v>15750</v>
      </c>
      <c r="J770" s="17" t="s">
        <v>15747</v>
      </c>
      <c r="K770" s="17" t="s">
        <v>15751</v>
      </c>
      <c r="L770" s="17" t="s">
        <v>155</v>
      </c>
      <c r="M770" s="17" t="s">
        <v>361</v>
      </c>
      <c r="N770" s="17" t="s">
        <v>6493</v>
      </c>
      <c r="O770" s="17" t="s">
        <v>6494</v>
      </c>
      <c r="P770" s="17" t="s">
        <v>2966</v>
      </c>
      <c r="Q770" s="17" t="s">
        <v>15752</v>
      </c>
      <c r="R770" s="17" t="s">
        <v>151</v>
      </c>
      <c r="S770" s="17" t="s">
        <v>162</v>
      </c>
      <c r="T770" s="24">
        <v>34.16</v>
      </c>
      <c r="U770" s="17" t="s">
        <v>163</v>
      </c>
      <c r="V770" s="17" t="s">
        <v>164</v>
      </c>
      <c r="W770" s="17" t="s">
        <v>420</v>
      </c>
      <c r="X770" s="15" t="s">
        <v>15753</v>
      </c>
      <c r="Y770" s="15" t="s">
        <v>15754</v>
      </c>
      <c r="Z770" s="27">
        <v>49</v>
      </c>
      <c r="AA770" s="17" t="s">
        <v>15755</v>
      </c>
      <c r="AB770" s="17" t="s">
        <v>151</v>
      </c>
      <c r="AC770" s="17" t="s">
        <v>151</v>
      </c>
      <c r="AD770" s="26">
        <v>2019</v>
      </c>
      <c r="AE770" s="17" t="s">
        <v>151</v>
      </c>
      <c r="AF770" s="22">
        <v>45616</v>
      </c>
      <c r="AG770" s="17" t="s">
        <v>151</v>
      </c>
      <c r="AH770" s="17" t="s">
        <v>151</v>
      </c>
      <c r="AI770" s="25" t="s">
        <v>151</v>
      </c>
      <c r="AJ770" s="19" t="s">
        <v>151</v>
      </c>
      <c r="AK770" s="25" t="s">
        <v>151</v>
      </c>
      <c r="AL770" s="25" t="s">
        <v>151</v>
      </c>
      <c r="AM770" s="25" t="s">
        <v>151</v>
      </c>
      <c r="AN770" s="25" t="s">
        <v>151</v>
      </c>
      <c r="AO770" s="25" t="s">
        <v>151</v>
      </c>
      <c r="AP770" s="25" t="s">
        <v>151</v>
      </c>
      <c r="AQ770" s="25" t="s">
        <v>151</v>
      </c>
      <c r="AR770" s="16" t="s">
        <v>151</v>
      </c>
      <c r="AS770" s="17" t="s">
        <v>15756</v>
      </c>
      <c r="AT770" s="17" t="s">
        <v>15757</v>
      </c>
      <c r="AU770" s="18">
        <v>19</v>
      </c>
      <c r="AV770" s="17" t="s">
        <v>151</v>
      </c>
      <c r="AW770" s="17" t="s">
        <v>151</v>
      </c>
      <c r="AX770" s="17" t="s">
        <v>151</v>
      </c>
      <c r="AY770" s="17" t="s">
        <v>15758</v>
      </c>
      <c r="AZ770" s="17" t="s">
        <v>151</v>
      </c>
      <c r="BA770" s="17" t="s">
        <v>151</v>
      </c>
      <c r="BB770" s="17" t="s">
        <v>151</v>
      </c>
      <c r="BC770" s="17" t="s">
        <v>9934</v>
      </c>
      <c r="BD770" s="17" t="s">
        <v>15759</v>
      </c>
      <c r="BE770" s="17" t="s">
        <v>15760</v>
      </c>
      <c r="BF770" s="17" t="s">
        <v>282</v>
      </c>
      <c r="BG770" s="17" t="s">
        <v>15761</v>
      </c>
      <c r="BH770" s="17" t="s">
        <v>10591</v>
      </c>
      <c r="BI770" s="17" t="s">
        <v>906</v>
      </c>
      <c r="BJ770" s="17" t="s">
        <v>15762</v>
      </c>
      <c r="BK770" s="17" t="s">
        <v>1832</v>
      </c>
      <c r="BL770" s="17" t="s">
        <v>259</v>
      </c>
      <c r="BM770" s="17" t="s">
        <v>259</v>
      </c>
      <c r="BN770" s="16" t="s">
        <v>1123</v>
      </c>
      <c r="BO770" s="17" t="s">
        <v>186</v>
      </c>
      <c r="BP770" s="16" t="s">
        <v>10591</v>
      </c>
      <c r="BQ770" s="16" t="s">
        <v>151</v>
      </c>
      <c r="BR770" s="17" t="s">
        <v>15763</v>
      </c>
      <c r="BS770" s="17" t="s">
        <v>187</v>
      </c>
      <c r="BT770" s="17" t="s">
        <v>188</v>
      </c>
      <c r="BU770" s="22">
        <v>44089</v>
      </c>
      <c r="BV770" s="24">
        <v>2.95</v>
      </c>
      <c r="BW770" s="17" t="s">
        <v>192</v>
      </c>
      <c r="BX770" s="24">
        <v>8.95</v>
      </c>
      <c r="BY770" s="17" t="s">
        <v>192</v>
      </c>
      <c r="BZ770" s="17" t="s">
        <v>293</v>
      </c>
      <c r="CA770" s="17" t="s">
        <v>293</v>
      </c>
      <c r="CB770" s="17" t="s">
        <v>151</v>
      </c>
      <c r="CC770" s="17" t="s">
        <v>165</v>
      </c>
      <c r="CD770" s="17" t="s">
        <v>151</v>
      </c>
      <c r="CE770" s="17" t="s">
        <v>191</v>
      </c>
      <c r="CF770" s="22">
        <v>45202</v>
      </c>
      <c r="CG770" s="24">
        <v>9.71</v>
      </c>
      <c r="CH770" s="17" t="s">
        <v>192</v>
      </c>
      <c r="CI770" s="24">
        <v>80</v>
      </c>
      <c r="CJ770" s="17" t="s">
        <v>192</v>
      </c>
      <c r="CK770" s="16">
        <v>1.09</v>
      </c>
      <c r="CL770" s="17" t="s">
        <v>231</v>
      </c>
      <c r="CM770" s="17" t="s">
        <v>11790</v>
      </c>
      <c r="CN770" s="17" t="s">
        <v>151</v>
      </c>
      <c r="CO770" s="17" t="s">
        <v>165</v>
      </c>
      <c r="CP770" s="22">
        <v>45202</v>
      </c>
      <c r="CQ770" s="24" t="s">
        <v>151</v>
      </c>
      <c r="CR770" s="17" t="s">
        <v>151</v>
      </c>
      <c r="CS770" s="17" t="s">
        <v>191</v>
      </c>
      <c r="CT770" s="16">
        <v>88</v>
      </c>
      <c r="CU770" s="17" t="s">
        <v>196</v>
      </c>
      <c r="CV770" s="19">
        <v>80</v>
      </c>
      <c r="CW770" s="19">
        <v>20</v>
      </c>
      <c r="CX770" s="17" t="s">
        <v>294</v>
      </c>
      <c r="CY770" s="19">
        <v>2</v>
      </c>
      <c r="CZ770" s="19">
        <v>78</v>
      </c>
      <c r="DA770" s="24">
        <v>80</v>
      </c>
      <c r="DB770" s="22">
        <v>45202</v>
      </c>
      <c r="DC770" s="17" t="s">
        <v>231</v>
      </c>
      <c r="DD770" s="16">
        <v>1.09</v>
      </c>
      <c r="DE770" s="19">
        <v>0.14</v>
      </c>
      <c r="DF770" s="21">
        <v>91</v>
      </c>
      <c r="DG770" s="19">
        <v>0</v>
      </c>
      <c r="DH770" s="19">
        <v>0</v>
      </c>
      <c r="DI770" s="19">
        <v>0.14</v>
      </c>
      <c r="DJ770" s="21">
        <v>93</v>
      </c>
      <c r="DK770" s="19" t="s">
        <v>151</v>
      </c>
      <c r="DL770" s="21" t="s">
        <v>151</v>
      </c>
      <c r="DM770" s="19">
        <v>0.14</v>
      </c>
      <c r="DN770" s="21">
        <v>93</v>
      </c>
      <c r="DO770" s="23">
        <v>14.05</v>
      </c>
      <c r="DP770" s="21">
        <v>93</v>
      </c>
      <c r="DQ770" s="23">
        <v>0</v>
      </c>
      <c r="DR770" s="19">
        <v>0</v>
      </c>
      <c r="DS770" s="23">
        <v>14.05</v>
      </c>
      <c r="DT770" s="21">
        <v>93</v>
      </c>
      <c r="DU770" s="23" t="s">
        <v>151</v>
      </c>
      <c r="DV770" s="21" t="s">
        <v>151</v>
      </c>
      <c r="DW770" s="23">
        <v>14.05</v>
      </c>
      <c r="DX770" s="21">
        <v>93</v>
      </c>
      <c r="DY770" s="18">
        <v>1</v>
      </c>
      <c r="DZ770" s="22">
        <v>44953</v>
      </c>
      <c r="EA770" s="22" t="s">
        <v>151</v>
      </c>
      <c r="EB770" s="21">
        <v>6648</v>
      </c>
      <c r="EC770" s="20">
        <v>439</v>
      </c>
      <c r="ED770" s="19">
        <v>7.07</v>
      </c>
      <c r="EE770" s="21">
        <v>267</v>
      </c>
      <c r="EF770" s="20">
        <v>-1</v>
      </c>
      <c r="EG770" s="19">
        <v>-0.37</v>
      </c>
      <c r="EH770" s="16" t="s">
        <v>198</v>
      </c>
      <c r="EI770" s="17" t="s">
        <v>151</v>
      </c>
      <c r="EJ770" s="17" t="s">
        <v>151</v>
      </c>
      <c r="EK770" s="18" t="s">
        <v>151</v>
      </c>
      <c r="EL770" s="18" t="s">
        <v>151</v>
      </c>
      <c r="EM770" s="18" t="s">
        <v>151</v>
      </c>
      <c r="EN770" s="18" t="s">
        <v>151</v>
      </c>
      <c r="EO770" s="18" t="s">
        <v>151</v>
      </c>
      <c r="EP770" s="17" t="s">
        <v>151</v>
      </c>
      <c r="EQ770" s="16" t="s">
        <v>151</v>
      </c>
      <c r="ER770" s="16" t="s">
        <v>151</v>
      </c>
      <c r="ES770" s="3">
        <f>HYPERLINK("https://my.pitchbook.com?c=437615-02","View Company Online")</f>
      </c>
    </row>
    <row r="771">
      <c r="A771" s="30" t="s">
        <v>15764</v>
      </c>
      <c r="B771" s="30" t="s">
        <v>15765</v>
      </c>
      <c r="C771" s="31" t="s">
        <v>151</v>
      </c>
      <c r="D771" s="30" t="s">
        <v>15766</v>
      </c>
      <c r="E771" s="30" t="s">
        <v>15767</v>
      </c>
      <c r="F771" s="30" t="s">
        <v>15768</v>
      </c>
      <c r="G771" s="30" t="s">
        <v>151</v>
      </c>
      <c r="H771" s="30" t="s">
        <v>151</v>
      </c>
      <c r="I771" s="30" t="s">
        <v>151</v>
      </c>
      <c r="J771" s="30" t="s">
        <v>15764</v>
      </c>
      <c r="K771" s="30" t="s">
        <v>15769</v>
      </c>
      <c r="L771" s="30" t="s">
        <v>155</v>
      </c>
      <c r="M771" s="30" t="s">
        <v>2320</v>
      </c>
      <c r="N771" s="30" t="s">
        <v>2321</v>
      </c>
      <c r="O771" s="30" t="s">
        <v>2322</v>
      </c>
      <c r="P771" s="30" t="s">
        <v>6578</v>
      </c>
      <c r="Q771" s="30" t="s">
        <v>15770</v>
      </c>
      <c r="R771" s="30" t="s">
        <v>151</v>
      </c>
      <c r="S771" s="30" t="s">
        <v>162</v>
      </c>
      <c r="T771" s="37">
        <v>7.92</v>
      </c>
      <c r="U771" s="30" t="s">
        <v>163</v>
      </c>
      <c r="V771" s="30" t="s">
        <v>164</v>
      </c>
      <c r="W771" s="30" t="s">
        <v>165</v>
      </c>
      <c r="X771" s="28" t="s">
        <v>15771</v>
      </c>
      <c r="Y771" s="28" t="s">
        <v>15772</v>
      </c>
      <c r="Z771" s="40">
        <v>20</v>
      </c>
      <c r="AA771" s="30" t="s">
        <v>15773</v>
      </c>
      <c r="AB771" s="30" t="s">
        <v>151</v>
      </c>
      <c r="AC771" s="30" t="s">
        <v>151</v>
      </c>
      <c r="AD771" s="39">
        <v>2017</v>
      </c>
      <c r="AE771" s="30" t="s">
        <v>151</v>
      </c>
      <c r="AF771" s="35">
        <v>45356</v>
      </c>
      <c r="AG771" s="30" t="s">
        <v>151</v>
      </c>
      <c r="AH771" s="30" t="s">
        <v>151</v>
      </c>
      <c r="AI771" s="38" t="s">
        <v>151</v>
      </c>
      <c r="AJ771" s="32" t="s">
        <v>151</v>
      </c>
      <c r="AK771" s="38" t="s">
        <v>151</v>
      </c>
      <c r="AL771" s="38" t="s">
        <v>151</v>
      </c>
      <c r="AM771" s="38" t="s">
        <v>151</v>
      </c>
      <c r="AN771" s="38" t="s">
        <v>151</v>
      </c>
      <c r="AO771" s="38" t="s">
        <v>151</v>
      </c>
      <c r="AP771" s="38" t="s">
        <v>151</v>
      </c>
      <c r="AQ771" s="38" t="s">
        <v>151</v>
      </c>
      <c r="AR771" s="29" t="s">
        <v>151</v>
      </c>
      <c r="AS771" s="30" t="s">
        <v>15774</v>
      </c>
      <c r="AT771" s="30" t="s">
        <v>15775</v>
      </c>
      <c r="AU771" s="31">
        <v>23</v>
      </c>
      <c r="AV771" s="30" t="s">
        <v>151</v>
      </c>
      <c r="AW771" s="30" t="s">
        <v>151</v>
      </c>
      <c r="AX771" s="30" t="s">
        <v>151</v>
      </c>
      <c r="AY771" s="30" t="s">
        <v>15776</v>
      </c>
      <c r="AZ771" s="30" t="s">
        <v>151</v>
      </c>
      <c r="BA771" s="30" t="s">
        <v>151</v>
      </c>
      <c r="BB771" s="30" t="s">
        <v>151</v>
      </c>
      <c r="BC771" s="30" t="s">
        <v>1115</v>
      </c>
      <c r="BD771" s="30" t="s">
        <v>15777</v>
      </c>
      <c r="BE771" s="30" t="s">
        <v>15778</v>
      </c>
      <c r="BF771" s="30" t="s">
        <v>282</v>
      </c>
      <c r="BG771" s="30" t="s">
        <v>15779</v>
      </c>
      <c r="BH771" s="30" t="s">
        <v>15780</v>
      </c>
      <c r="BI771" s="30" t="s">
        <v>906</v>
      </c>
      <c r="BJ771" s="30" t="s">
        <v>15781</v>
      </c>
      <c r="BK771" s="30" t="s">
        <v>151</v>
      </c>
      <c r="BL771" s="30" t="s">
        <v>259</v>
      </c>
      <c r="BM771" s="30" t="s">
        <v>259</v>
      </c>
      <c r="BN771" s="29" t="s">
        <v>1306</v>
      </c>
      <c r="BO771" s="30" t="s">
        <v>186</v>
      </c>
      <c r="BP771" s="29" t="s">
        <v>15780</v>
      </c>
      <c r="BQ771" s="29" t="s">
        <v>151</v>
      </c>
      <c r="BR771" s="30" t="s">
        <v>15782</v>
      </c>
      <c r="BS771" s="30" t="s">
        <v>187</v>
      </c>
      <c r="BT771" s="30" t="s">
        <v>188</v>
      </c>
      <c r="BU771" s="35">
        <v>44295</v>
      </c>
      <c r="BV771" s="37">
        <v>4.68</v>
      </c>
      <c r="BW771" s="30" t="s">
        <v>192</v>
      </c>
      <c r="BX771" s="37">
        <v>10.68</v>
      </c>
      <c r="BY771" s="30" t="s">
        <v>192</v>
      </c>
      <c r="BZ771" s="30" t="s">
        <v>293</v>
      </c>
      <c r="CA771" s="30" t="s">
        <v>293</v>
      </c>
      <c r="CB771" s="30" t="s">
        <v>151</v>
      </c>
      <c r="CC771" s="30" t="s">
        <v>165</v>
      </c>
      <c r="CD771" s="30" t="s">
        <v>151</v>
      </c>
      <c r="CE771" s="30" t="s">
        <v>191</v>
      </c>
      <c r="CF771" s="35">
        <v>44686</v>
      </c>
      <c r="CG771" s="37">
        <v>3.24</v>
      </c>
      <c r="CH771" s="30" t="s">
        <v>192</v>
      </c>
      <c r="CI771" s="37">
        <v>30.24</v>
      </c>
      <c r="CJ771" s="30" t="s">
        <v>192</v>
      </c>
      <c r="CK771" s="29">
        <v>2.53</v>
      </c>
      <c r="CL771" s="30" t="s">
        <v>293</v>
      </c>
      <c r="CM771" s="30" t="s">
        <v>293</v>
      </c>
      <c r="CN771" s="30" t="s">
        <v>151</v>
      </c>
      <c r="CO771" s="30" t="s">
        <v>165</v>
      </c>
      <c r="CP771" s="35">
        <v>44686</v>
      </c>
      <c r="CQ771" s="37" t="s">
        <v>151</v>
      </c>
      <c r="CR771" s="30" t="s">
        <v>151</v>
      </c>
      <c r="CS771" s="30" t="s">
        <v>191</v>
      </c>
      <c r="CT771" s="29">
        <v>71</v>
      </c>
      <c r="CU771" s="30" t="s">
        <v>196</v>
      </c>
      <c r="CV771" s="32">
        <v>66</v>
      </c>
      <c r="CW771" s="32">
        <v>34</v>
      </c>
      <c r="CX771" s="30" t="s">
        <v>294</v>
      </c>
      <c r="CY771" s="32">
        <v>1</v>
      </c>
      <c r="CZ771" s="32">
        <v>65</v>
      </c>
      <c r="DA771" s="37">
        <v>30.24</v>
      </c>
      <c r="DB771" s="35">
        <v>44686</v>
      </c>
      <c r="DC771" s="30" t="s">
        <v>293</v>
      </c>
      <c r="DD771" s="29">
        <v>2.53</v>
      </c>
      <c r="DE771" s="32">
        <v>1.1</v>
      </c>
      <c r="DF771" s="34">
        <v>96</v>
      </c>
      <c r="DG771" s="32">
        <v>-0.02</v>
      </c>
      <c r="DH771" s="32">
        <v>-1.52</v>
      </c>
      <c r="DI771" s="32">
        <v>1.97</v>
      </c>
      <c r="DJ771" s="34">
        <v>98</v>
      </c>
      <c r="DK771" s="32" t="s">
        <v>151</v>
      </c>
      <c r="DL771" s="34" t="s">
        <v>151</v>
      </c>
      <c r="DM771" s="32">
        <v>1.97</v>
      </c>
      <c r="DN771" s="34">
        <v>98</v>
      </c>
      <c r="DO771" s="36">
        <v>11.99</v>
      </c>
      <c r="DP771" s="34">
        <v>92</v>
      </c>
      <c r="DQ771" s="36">
        <v>0.02</v>
      </c>
      <c r="DR771" s="32">
        <v>0.14</v>
      </c>
      <c r="DS771" s="36">
        <v>10.63</v>
      </c>
      <c r="DT771" s="34">
        <v>90</v>
      </c>
      <c r="DU771" s="36" t="s">
        <v>151</v>
      </c>
      <c r="DV771" s="34" t="s">
        <v>151</v>
      </c>
      <c r="DW771" s="36">
        <v>10.63</v>
      </c>
      <c r="DX771" s="34">
        <v>90</v>
      </c>
      <c r="DY771" s="31" t="s">
        <v>151</v>
      </c>
      <c r="DZ771" s="35" t="s">
        <v>151</v>
      </c>
      <c r="EA771" s="35" t="s">
        <v>151</v>
      </c>
      <c r="EB771" s="34">
        <v>3409</v>
      </c>
      <c r="EC771" s="33">
        <v>67</v>
      </c>
      <c r="ED771" s="32">
        <v>2</v>
      </c>
      <c r="EE771" s="34">
        <v>202</v>
      </c>
      <c r="EF771" s="33">
        <v>1</v>
      </c>
      <c r="EG771" s="32">
        <v>0.5</v>
      </c>
      <c r="EH771" s="29" t="s">
        <v>198</v>
      </c>
      <c r="EI771" s="30" t="s">
        <v>151</v>
      </c>
      <c r="EJ771" s="30" t="s">
        <v>151</v>
      </c>
      <c r="EK771" s="31" t="s">
        <v>151</v>
      </c>
      <c r="EL771" s="31" t="s">
        <v>151</v>
      </c>
      <c r="EM771" s="31" t="s">
        <v>151</v>
      </c>
      <c r="EN771" s="31" t="s">
        <v>151</v>
      </c>
      <c r="EO771" s="31" t="s">
        <v>151</v>
      </c>
      <c r="EP771" s="30" t="s">
        <v>151</v>
      </c>
      <c r="EQ771" s="29" t="s">
        <v>151</v>
      </c>
      <c r="ER771" s="29" t="s">
        <v>151</v>
      </c>
      <c r="ES771" s="4">
        <f>HYPERLINK("https://my.pitchbook.com?c=398920-15","View Company Online")</f>
      </c>
    </row>
    <row r="772">
      <c r="A772" s="17" t="s">
        <v>15783</v>
      </c>
      <c r="B772" s="17" t="s">
        <v>15784</v>
      </c>
      <c r="C772" s="18" t="s">
        <v>151</v>
      </c>
      <c r="D772" s="17" t="s">
        <v>15785</v>
      </c>
      <c r="E772" s="17" t="s">
        <v>151</v>
      </c>
      <c r="F772" s="17" t="s">
        <v>15786</v>
      </c>
      <c r="G772" s="17" t="s">
        <v>151</v>
      </c>
      <c r="H772" s="17" t="s">
        <v>151</v>
      </c>
      <c r="I772" s="17" t="s">
        <v>15787</v>
      </c>
      <c r="J772" s="17" t="s">
        <v>15783</v>
      </c>
      <c r="K772" s="17" t="s">
        <v>15788</v>
      </c>
      <c r="L772" s="17" t="s">
        <v>155</v>
      </c>
      <c r="M772" s="17" t="s">
        <v>2320</v>
      </c>
      <c r="N772" s="17" t="s">
        <v>15789</v>
      </c>
      <c r="O772" s="17" t="s">
        <v>15790</v>
      </c>
      <c r="P772" s="17" t="s">
        <v>2640</v>
      </c>
      <c r="Q772" s="17" t="s">
        <v>15791</v>
      </c>
      <c r="R772" s="17" t="s">
        <v>151</v>
      </c>
      <c r="S772" s="17" t="s">
        <v>162</v>
      </c>
      <c r="T772" s="24">
        <v>29.64</v>
      </c>
      <c r="U772" s="17" t="s">
        <v>163</v>
      </c>
      <c r="V772" s="17" t="s">
        <v>164</v>
      </c>
      <c r="W772" s="17" t="s">
        <v>165</v>
      </c>
      <c r="X772" s="15" t="s">
        <v>15792</v>
      </c>
      <c r="Y772" s="15" t="s">
        <v>15793</v>
      </c>
      <c r="Z772" s="27">
        <v>56</v>
      </c>
      <c r="AA772" s="17" t="s">
        <v>15794</v>
      </c>
      <c r="AB772" s="17" t="s">
        <v>151</v>
      </c>
      <c r="AC772" s="17" t="s">
        <v>151</v>
      </c>
      <c r="AD772" s="26">
        <v>2012</v>
      </c>
      <c r="AE772" s="17" t="s">
        <v>151</v>
      </c>
      <c r="AF772" s="22">
        <v>45608</v>
      </c>
      <c r="AG772" s="17" t="s">
        <v>151</v>
      </c>
      <c r="AH772" s="17" t="s">
        <v>151</v>
      </c>
      <c r="AI772" s="25" t="s">
        <v>151</v>
      </c>
      <c r="AJ772" s="19" t="s">
        <v>151</v>
      </c>
      <c r="AK772" s="25" t="s">
        <v>151</v>
      </c>
      <c r="AL772" s="25" t="s">
        <v>151</v>
      </c>
      <c r="AM772" s="25" t="s">
        <v>151</v>
      </c>
      <c r="AN772" s="25" t="s">
        <v>151</v>
      </c>
      <c r="AO772" s="25" t="s">
        <v>151</v>
      </c>
      <c r="AP772" s="25" t="s">
        <v>151</v>
      </c>
      <c r="AQ772" s="25" t="s">
        <v>151</v>
      </c>
      <c r="AR772" s="16" t="s">
        <v>151</v>
      </c>
      <c r="AS772" s="17" t="s">
        <v>15795</v>
      </c>
      <c r="AT772" s="17" t="s">
        <v>15796</v>
      </c>
      <c r="AU772" s="18">
        <v>31</v>
      </c>
      <c r="AV772" s="17" t="s">
        <v>151</v>
      </c>
      <c r="AW772" s="17" t="s">
        <v>15797</v>
      </c>
      <c r="AX772" s="17" t="s">
        <v>151</v>
      </c>
      <c r="AY772" s="17" t="s">
        <v>15798</v>
      </c>
      <c r="AZ772" s="17" t="s">
        <v>15799</v>
      </c>
      <c r="BA772" s="17" t="s">
        <v>151</v>
      </c>
      <c r="BB772" s="17" t="s">
        <v>1115</v>
      </c>
      <c r="BC772" s="17" t="s">
        <v>15800</v>
      </c>
      <c r="BD772" s="17" t="s">
        <v>15801</v>
      </c>
      <c r="BE772" s="17" t="s">
        <v>15802</v>
      </c>
      <c r="BF772" s="17" t="s">
        <v>3548</v>
      </c>
      <c r="BG772" s="17" t="s">
        <v>15803</v>
      </c>
      <c r="BH772" s="17" t="s">
        <v>151</v>
      </c>
      <c r="BI772" s="17" t="s">
        <v>906</v>
      </c>
      <c r="BJ772" s="17" t="s">
        <v>15804</v>
      </c>
      <c r="BK772" s="17" t="s">
        <v>151</v>
      </c>
      <c r="BL772" s="17" t="s">
        <v>259</v>
      </c>
      <c r="BM772" s="17" t="s">
        <v>259</v>
      </c>
      <c r="BN772" s="16" t="s">
        <v>1643</v>
      </c>
      <c r="BO772" s="17" t="s">
        <v>186</v>
      </c>
      <c r="BP772" s="16" t="s">
        <v>151</v>
      </c>
      <c r="BQ772" s="16" t="s">
        <v>151</v>
      </c>
      <c r="BR772" s="17" t="s">
        <v>151</v>
      </c>
      <c r="BS772" s="17" t="s">
        <v>187</v>
      </c>
      <c r="BT772" s="17" t="s">
        <v>188</v>
      </c>
      <c r="BU772" s="22">
        <v>40969</v>
      </c>
      <c r="BV772" s="24">
        <v>0.14</v>
      </c>
      <c r="BW772" s="17" t="s">
        <v>193</v>
      </c>
      <c r="BX772" s="24" t="s">
        <v>151</v>
      </c>
      <c r="BY772" s="17" t="s">
        <v>151</v>
      </c>
      <c r="BZ772" s="17" t="s">
        <v>189</v>
      </c>
      <c r="CA772" s="17" t="s">
        <v>151</v>
      </c>
      <c r="CB772" s="17" t="s">
        <v>151</v>
      </c>
      <c r="CC772" s="17" t="s">
        <v>190</v>
      </c>
      <c r="CD772" s="17" t="s">
        <v>151</v>
      </c>
      <c r="CE772" s="17" t="s">
        <v>191</v>
      </c>
      <c r="CF772" s="22">
        <v>45201</v>
      </c>
      <c r="CG772" s="24">
        <v>8</v>
      </c>
      <c r="CH772" s="17" t="s">
        <v>192</v>
      </c>
      <c r="CI772" s="24">
        <v>38</v>
      </c>
      <c r="CJ772" s="17" t="s">
        <v>192</v>
      </c>
      <c r="CK772" s="16" t="s">
        <v>151</v>
      </c>
      <c r="CL772" s="17" t="s">
        <v>194</v>
      </c>
      <c r="CM772" s="17" t="s">
        <v>232</v>
      </c>
      <c r="CN772" s="17" t="s">
        <v>151</v>
      </c>
      <c r="CO772" s="17" t="s">
        <v>165</v>
      </c>
      <c r="CP772" s="22">
        <v>45201</v>
      </c>
      <c r="CQ772" s="24" t="s">
        <v>151</v>
      </c>
      <c r="CR772" s="17" t="s">
        <v>151</v>
      </c>
      <c r="CS772" s="17" t="s">
        <v>191</v>
      </c>
      <c r="CT772" s="16">
        <v>81</v>
      </c>
      <c r="CU772" s="17" t="s">
        <v>196</v>
      </c>
      <c r="CV772" s="19">
        <v>74</v>
      </c>
      <c r="CW772" s="19">
        <v>26</v>
      </c>
      <c r="CX772" s="17" t="s">
        <v>294</v>
      </c>
      <c r="CY772" s="19">
        <v>1</v>
      </c>
      <c r="CZ772" s="19">
        <v>73</v>
      </c>
      <c r="DA772" s="24">
        <v>38</v>
      </c>
      <c r="DB772" s="22">
        <v>45201</v>
      </c>
      <c r="DC772" s="17" t="s">
        <v>194</v>
      </c>
      <c r="DD772" s="16" t="s">
        <v>151</v>
      </c>
      <c r="DE772" s="19">
        <v>0.06</v>
      </c>
      <c r="DF772" s="21">
        <v>90</v>
      </c>
      <c r="DG772" s="19">
        <v>0.01</v>
      </c>
      <c r="DH772" s="19">
        <v>24.69</v>
      </c>
      <c r="DI772" s="19">
        <v>0.03</v>
      </c>
      <c r="DJ772" s="21">
        <v>92</v>
      </c>
      <c r="DK772" s="19">
        <v>-0.09</v>
      </c>
      <c r="DL772" s="21">
        <v>11</v>
      </c>
      <c r="DM772" s="19">
        <v>0.14</v>
      </c>
      <c r="DN772" s="21">
        <v>93</v>
      </c>
      <c r="DO772" s="23">
        <v>29.19</v>
      </c>
      <c r="DP772" s="21">
        <v>97</v>
      </c>
      <c r="DQ772" s="23">
        <v>0.03</v>
      </c>
      <c r="DR772" s="19">
        <v>0.12</v>
      </c>
      <c r="DS772" s="23">
        <v>41.04</v>
      </c>
      <c r="DT772" s="21">
        <v>98</v>
      </c>
      <c r="DU772" s="23">
        <v>22.03</v>
      </c>
      <c r="DV772" s="21">
        <v>91</v>
      </c>
      <c r="DW772" s="23">
        <v>60.05</v>
      </c>
      <c r="DX772" s="21">
        <v>99</v>
      </c>
      <c r="DY772" s="18" t="s">
        <v>151</v>
      </c>
      <c r="DZ772" s="22" t="s">
        <v>151</v>
      </c>
      <c r="EA772" s="22" t="s">
        <v>151</v>
      </c>
      <c r="EB772" s="21">
        <v>4504</v>
      </c>
      <c r="EC772" s="20">
        <v>103</v>
      </c>
      <c r="ED772" s="19">
        <v>2.34</v>
      </c>
      <c r="EE772" s="21">
        <v>1141</v>
      </c>
      <c r="EF772" s="20">
        <v>1</v>
      </c>
      <c r="EG772" s="19">
        <v>0.09</v>
      </c>
      <c r="EH772" s="16" t="s">
        <v>198</v>
      </c>
      <c r="EI772" s="17" t="s">
        <v>151</v>
      </c>
      <c r="EJ772" s="17" t="s">
        <v>151</v>
      </c>
      <c r="EK772" s="18" t="s">
        <v>151</v>
      </c>
      <c r="EL772" s="18" t="s">
        <v>151</v>
      </c>
      <c r="EM772" s="18" t="s">
        <v>151</v>
      </c>
      <c r="EN772" s="18" t="s">
        <v>151</v>
      </c>
      <c r="EO772" s="18" t="s">
        <v>151</v>
      </c>
      <c r="EP772" s="17" t="s">
        <v>151</v>
      </c>
      <c r="EQ772" s="16" t="s">
        <v>151</v>
      </c>
      <c r="ER772" s="16" t="s">
        <v>151</v>
      </c>
      <c r="ES772" s="3">
        <f>HYPERLINK("https://my.pitchbook.com?c=54459-55","View Company Online")</f>
      </c>
    </row>
    <row r="773">
      <c r="A773" s="30" t="s">
        <v>15805</v>
      </c>
      <c r="B773" s="30" t="s">
        <v>15806</v>
      </c>
      <c r="C773" s="31" t="s">
        <v>151</v>
      </c>
      <c r="D773" s="30" t="s">
        <v>151</v>
      </c>
      <c r="E773" s="30" t="s">
        <v>15807</v>
      </c>
      <c r="F773" s="30" t="s">
        <v>15808</v>
      </c>
      <c r="G773" s="30" t="s">
        <v>151</v>
      </c>
      <c r="H773" s="30" t="s">
        <v>151</v>
      </c>
      <c r="I773" s="30" t="s">
        <v>151</v>
      </c>
      <c r="J773" s="30" t="s">
        <v>15805</v>
      </c>
      <c r="K773" s="30" t="s">
        <v>15809</v>
      </c>
      <c r="L773" s="30" t="s">
        <v>616</v>
      </c>
      <c r="M773" s="30" t="s">
        <v>12505</v>
      </c>
      <c r="N773" s="30" t="s">
        <v>12506</v>
      </c>
      <c r="O773" s="30" t="s">
        <v>15810</v>
      </c>
      <c r="P773" s="30" t="s">
        <v>15811</v>
      </c>
      <c r="Q773" s="30" t="s">
        <v>15812</v>
      </c>
      <c r="R773" s="30" t="s">
        <v>2798</v>
      </c>
      <c r="S773" s="30" t="s">
        <v>162</v>
      </c>
      <c r="T773" s="37">
        <v>2.78</v>
      </c>
      <c r="U773" s="30" t="s">
        <v>163</v>
      </c>
      <c r="V773" s="30" t="s">
        <v>164</v>
      </c>
      <c r="W773" s="30" t="s">
        <v>165</v>
      </c>
      <c r="X773" s="28" t="s">
        <v>15813</v>
      </c>
      <c r="Y773" s="28" t="s">
        <v>15814</v>
      </c>
      <c r="Z773" s="40">
        <v>10</v>
      </c>
      <c r="AA773" s="30" t="s">
        <v>15815</v>
      </c>
      <c r="AB773" s="30" t="s">
        <v>151</v>
      </c>
      <c r="AC773" s="30" t="s">
        <v>151</v>
      </c>
      <c r="AD773" s="39">
        <v>2019</v>
      </c>
      <c r="AE773" s="30" t="s">
        <v>151</v>
      </c>
      <c r="AF773" s="35">
        <v>45561</v>
      </c>
      <c r="AG773" s="30" t="s">
        <v>151</v>
      </c>
      <c r="AH773" s="30" t="s">
        <v>151</v>
      </c>
      <c r="AI773" s="38" t="s">
        <v>151</v>
      </c>
      <c r="AJ773" s="32" t="s">
        <v>151</v>
      </c>
      <c r="AK773" s="38" t="s">
        <v>151</v>
      </c>
      <c r="AL773" s="38" t="s">
        <v>151</v>
      </c>
      <c r="AM773" s="38" t="s">
        <v>151</v>
      </c>
      <c r="AN773" s="38" t="s">
        <v>151</v>
      </c>
      <c r="AO773" s="38" t="s">
        <v>151</v>
      </c>
      <c r="AP773" s="38" t="s">
        <v>151</v>
      </c>
      <c r="AQ773" s="38" t="s">
        <v>151</v>
      </c>
      <c r="AR773" s="29" t="s">
        <v>151</v>
      </c>
      <c r="AS773" s="30" t="s">
        <v>15816</v>
      </c>
      <c r="AT773" s="30" t="s">
        <v>15817</v>
      </c>
      <c r="AU773" s="31">
        <v>8</v>
      </c>
      <c r="AV773" s="30" t="s">
        <v>151</v>
      </c>
      <c r="AW773" s="30" t="s">
        <v>151</v>
      </c>
      <c r="AX773" s="30" t="s">
        <v>151</v>
      </c>
      <c r="AY773" s="30" t="s">
        <v>15818</v>
      </c>
      <c r="AZ773" s="30" t="s">
        <v>151</v>
      </c>
      <c r="BA773" s="30" t="s">
        <v>151</v>
      </c>
      <c r="BB773" s="30" t="s">
        <v>151</v>
      </c>
      <c r="BC773" s="30" t="s">
        <v>2424</v>
      </c>
      <c r="BD773" s="30" t="s">
        <v>15819</v>
      </c>
      <c r="BE773" s="30" t="s">
        <v>15820</v>
      </c>
      <c r="BF773" s="30" t="s">
        <v>221</v>
      </c>
      <c r="BG773" s="30" t="s">
        <v>15821</v>
      </c>
      <c r="BH773" s="30" t="s">
        <v>151</v>
      </c>
      <c r="BI773" s="30" t="s">
        <v>6763</v>
      </c>
      <c r="BJ773" s="30" t="s">
        <v>15822</v>
      </c>
      <c r="BK773" s="30" t="s">
        <v>151</v>
      </c>
      <c r="BL773" s="30" t="s">
        <v>6766</v>
      </c>
      <c r="BM773" s="30" t="s">
        <v>184</v>
      </c>
      <c r="BN773" s="29" t="s">
        <v>15823</v>
      </c>
      <c r="BO773" s="30" t="s">
        <v>186</v>
      </c>
      <c r="BP773" s="29" t="s">
        <v>151</v>
      </c>
      <c r="BQ773" s="29" t="s">
        <v>151</v>
      </c>
      <c r="BR773" s="30" t="s">
        <v>15824</v>
      </c>
      <c r="BS773" s="30" t="s">
        <v>187</v>
      </c>
      <c r="BT773" s="30" t="s">
        <v>188</v>
      </c>
      <c r="BU773" s="35">
        <v>44390</v>
      </c>
      <c r="BV773" s="37">
        <v>0.2</v>
      </c>
      <c r="BW773" s="30" t="s">
        <v>192</v>
      </c>
      <c r="BX773" s="37">
        <v>1.15</v>
      </c>
      <c r="BY773" s="30" t="s">
        <v>192</v>
      </c>
      <c r="BZ773" s="30" t="s">
        <v>293</v>
      </c>
      <c r="CA773" s="30" t="s">
        <v>293</v>
      </c>
      <c r="CB773" s="30" t="s">
        <v>151</v>
      </c>
      <c r="CC773" s="30" t="s">
        <v>165</v>
      </c>
      <c r="CD773" s="30" t="s">
        <v>1478</v>
      </c>
      <c r="CE773" s="30" t="s">
        <v>191</v>
      </c>
      <c r="CF773" s="35">
        <v>45322</v>
      </c>
      <c r="CG773" s="37">
        <v>2.46</v>
      </c>
      <c r="CH773" s="30" t="s">
        <v>192</v>
      </c>
      <c r="CI773" s="37">
        <v>10.46</v>
      </c>
      <c r="CJ773" s="30" t="s">
        <v>193</v>
      </c>
      <c r="CK773" s="29" t="s">
        <v>151</v>
      </c>
      <c r="CL773" s="30" t="s">
        <v>293</v>
      </c>
      <c r="CM773" s="30" t="s">
        <v>293</v>
      </c>
      <c r="CN773" s="30" t="s">
        <v>151</v>
      </c>
      <c r="CO773" s="30" t="s">
        <v>165</v>
      </c>
      <c r="CP773" s="35">
        <v>45322</v>
      </c>
      <c r="CQ773" s="37" t="s">
        <v>151</v>
      </c>
      <c r="CR773" s="30" t="s">
        <v>151</v>
      </c>
      <c r="CS773" s="30" t="s">
        <v>191</v>
      </c>
      <c r="CT773" s="29">
        <v>49</v>
      </c>
      <c r="CU773" s="30" t="s">
        <v>263</v>
      </c>
      <c r="CV773" s="32">
        <v>46</v>
      </c>
      <c r="CW773" s="32">
        <v>54</v>
      </c>
      <c r="CX773" s="30" t="s">
        <v>263</v>
      </c>
      <c r="CY773" s="32">
        <v>3</v>
      </c>
      <c r="CZ773" s="32">
        <v>43</v>
      </c>
      <c r="DA773" s="37">
        <v>10.46</v>
      </c>
      <c r="DB773" s="35">
        <v>45322</v>
      </c>
      <c r="DC773" s="30" t="s">
        <v>293</v>
      </c>
      <c r="DD773" s="29" t="s">
        <v>151</v>
      </c>
      <c r="DE773" s="32">
        <v>0</v>
      </c>
      <c r="DF773" s="34">
        <v>11</v>
      </c>
      <c r="DG773" s="32">
        <v>0</v>
      </c>
      <c r="DH773" s="32">
        <v>0</v>
      </c>
      <c r="DI773" s="32">
        <v>0</v>
      </c>
      <c r="DJ773" s="34">
        <v>10</v>
      </c>
      <c r="DK773" s="32" t="s">
        <v>151</v>
      </c>
      <c r="DL773" s="34" t="s">
        <v>151</v>
      </c>
      <c r="DM773" s="32">
        <v>0</v>
      </c>
      <c r="DN773" s="34">
        <v>10</v>
      </c>
      <c r="DO773" s="36">
        <v>1.47</v>
      </c>
      <c r="DP773" s="34">
        <v>59</v>
      </c>
      <c r="DQ773" s="36">
        <v>0</v>
      </c>
      <c r="DR773" s="32">
        <v>0</v>
      </c>
      <c r="DS773" s="36">
        <v>1.47</v>
      </c>
      <c r="DT773" s="34">
        <v>59</v>
      </c>
      <c r="DU773" s="36" t="s">
        <v>151</v>
      </c>
      <c r="DV773" s="34" t="s">
        <v>151</v>
      </c>
      <c r="DW773" s="36">
        <v>1.47</v>
      </c>
      <c r="DX773" s="34">
        <v>58</v>
      </c>
      <c r="DY773" s="31" t="s">
        <v>151</v>
      </c>
      <c r="DZ773" s="35" t="s">
        <v>151</v>
      </c>
      <c r="EA773" s="35" t="s">
        <v>151</v>
      </c>
      <c r="EB773" s="34">
        <v>723</v>
      </c>
      <c r="EC773" s="33">
        <v>51</v>
      </c>
      <c r="ED773" s="32">
        <v>7.59</v>
      </c>
      <c r="EE773" s="34">
        <v>28</v>
      </c>
      <c r="EF773" s="33">
        <v>0</v>
      </c>
      <c r="EG773" s="32">
        <v>0</v>
      </c>
      <c r="EH773" s="29" t="s">
        <v>198</v>
      </c>
      <c r="EI773" s="30" t="s">
        <v>151</v>
      </c>
      <c r="EJ773" s="30" t="s">
        <v>151</v>
      </c>
      <c r="EK773" s="31" t="s">
        <v>151</v>
      </c>
      <c r="EL773" s="31" t="s">
        <v>151</v>
      </c>
      <c r="EM773" s="31" t="s">
        <v>151</v>
      </c>
      <c r="EN773" s="31" t="s">
        <v>151</v>
      </c>
      <c r="EO773" s="31" t="s">
        <v>151</v>
      </c>
      <c r="EP773" s="30" t="s">
        <v>151</v>
      </c>
      <c r="EQ773" s="29" t="s">
        <v>151</v>
      </c>
      <c r="ER773" s="29" t="s">
        <v>151</v>
      </c>
      <c r="ES773" s="4">
        <f>HYPERLINK("https://my.pitchbook.com?c=470632-96","View Company Online")</f>
      </c>
    </row>
    <row r="774">
      <c r="A774" s="17" t="s">
        <v>15825</v>
      </c>
      <c r="B774" s="17" t="s">
        <v>15826</v>
      </c>
      <c r="C774" s="18" t="s">
        <v>151</v>
      </c>
      <c r="D774" s="17" t="s">
        <v>151</v>
      </c>
      <c r="E774" s="17" t="s">
        <v>15827</v>
      </c>
      <c r="F774" s="17" t="s">
        <v>15828</v>
      </c>
      <c r="G774" s="17" t="s">
        <v>151</v>
      </c>
      <c r="H774" s="17" t="s">
        <v>151</v>
      </c>
      <c r="I774" s="17" t="s">
        <v>15829</v>
      </c>
      <c r="J774" s="17" t="s">
        <v>15825</v>
      </c>
      <c r="K774" s="17" t="s">
        <v>15830</v>
      </c>
      <c r="L774" s="17" t="s">
        <v>205</v>
      </c>
      <c r="M774" s="17" t="s">
        <v>206</v>
      </c>
      <c r="N774" s="17" t="s">
        <v>269</v>
      </c>
      <c r="O774" s="17" t="s">
        <v>563</v>
      </c>
      <c r="P774" s="17" t="s">
        <v>15831</v>
      </c>
      <c r="Q774" s="17" t="s">
        <v>15832</v>
      </c>
      <c r="R774" s="17" t="s">
        <v>151</v>
      </c>
      <c r="S774" s="17" t="s">
        <v>162</v>
      </c>
      <c r="T774" s="24">
        <v>12</v>
      </c>
      <c r="U774" s="17" t="s">
        <v>163</v>
      </c>
      <c r="V774" s="17" t="s">
        <v>164</v>
      </c>
      <c r="W774" s="17" t="s">
        <v>165</v>
      </c>
      <c r="X774" s="15" t="s">
        <v>15833</v>
      </c>
      <c r="Y774" s="15" t="s">
        <v>15834</v>
      </c>
      <c r="Z774" s="27">
        <v>18</v>
      </c>
      <c r="AA774" s="17" t="s">
        <v>15835</v>
      </c>
      <c r="AB774" s="17" t="s">
        <v>151</v>
      </c>
      <c r="AC774" s="17" t="s">
        <v>151</v>
      </c>
      <c r="AD774" s="26">
        <v>2022</v>
      </c>
      <c r="AE774" s="17" t="s">
        <v>151</v>
      </c>
      <c r="AF774" s="22">
        <v>45553</v>
      </c>
      <c r="AG774" s="17" t="s">
        <v>151</v>
      </c>
      <c r="AH774" s="17" t="s">
        <v>151</v>
      </c>
      <c r="AI774" s="25" t="s">
        <v>151</v>
      </c>
      <c r="AJ774" s="19" t="s">
        <v>151</v>
      </c>
      <c r="AK774" s="25" t="s">
        <v>151</v>
      </c>
      <c r="AL774" s="25" t="s">
        <v>151</v>
      </c>
      <c r="AM774" s="25" t="s">
        <v>151</v>
      </c>
      <c r="AN774" s="25" t="s">
        <v>151</v>
      </c>
      <c r="AO774" s="25" t="s">
        <v>151</v>
      </c>
      <c r="AP774" s="25" t="s">
        <v>151</v>
      </c>
      <c r="AQ774" s="25" t="s">
        <v>151</v>
      </c>
      <c r="AR774" s="16" t="s">
        <v>151</v>
      </c>
      <c r="AS774" s="17" t="s">
        <v>15836</v>
      </c>
      <c r="AT774" s="17" t="s">
        <v>15837</v>
      </c>
      <c r="AU774" s="18">
        <v>9</v>
      </c>
      <c r="AV774" s="17" t="s">
        <v>151</v>
      </c>
      <c r="AW774" s="17" t="s">
        <v>151</v>
      </c>
      <c r="AX774" s="17" t="s">
        <v>151</v>
      </c>
      <c r="AY774" s="17" t="s">
        <v>15838</v>
      </c>
      <c r="AZ774" s="17" t="s">
        <v>151</v>
      </c>
      <c r="BA774" s="17" t="s">
        <v>151</v>
      </c>
      <c r="BB774" s="17" t="s">
        <v>151</v>
      </c>
      <c r="BC774" s="17" t="s">
        <v>151</v>
      </c>
      <c r="BD774" s="17" t="s">
        <v>15839</v>
      </c>
      <c r="BE774" s="17" t="s">
        <v>15840</v>
      </c>
      <c r="BF774" s="17" t="s">
        <v>403</v>
      </c>
      <c r="BG774" s="17" t="s">
        <v>151</v>
      </c>
      <c r="BH774" s="17" t="s">
        <v>151</v>
      </c>
      <c r="BI774" s="17" t="s">
        <v>764</v>
      </c>
      <c r="BJ774" s="17" t="s">
        <v>15841</v>
      </c>
      <c r="BK774" s="17" t="s">
        <v>320</v>
      </c>
      <c r="BL774" s="17" t="s">
        <v>767</v>
      </c>
      <c r="BM774" s="17" t="s">
        <v>184</v>
      </c>
      <c r="BN774" s="16" t="s">
        <v>1260</v>
      </c>
      <c r="BO774" s="17" t="s">
        <v>186</v>
      </c>
      <c r="BP774" s="16" t="s">
        <v>151</v>
      </c>
      <c r="BQ774" s="16" t="s">
        <v>151</v>
      </c>
      <c r="BR774" s="17" t="s">
        <v>151</v>
      </c>
      <c r="BS774" s="17" t="s">
        <v>187</v>
      </c>
      <c r="BT774" s="17" t="s">
        <v>188</v>
      </c>
      <c r="BU774" s="22">
        <v>45309</v>
      </c>
      <c r="BV774" s="24">
        <v>12</v>
      </c>
      <c r="BW774" s="17" t="s">
        <v>192</v>
      </c>
      <c r="BX774" s="24" t="s">
        <v>151</v>
      </c>
      <c r="BY774" s="17" t="s">
        <v>151</v>
      </c>
      <c r="BZ774" s="17" t="s">
        <v>231</v>
      </c>
      <c r="CA774" s="17" t="s">
        <v>232</v>
      </c>
      <c r="CB774" s="17" t="s">
        <v>151</v>
      </c>
      <c r="CC774" s="17" t="s">
        <v>165</v>
      </c>
      <c r="CD774" s="17" t="s">
        <v>151</v>
      </c>
      <c r="CE774" s="17" t="s">
        <v>191</v>
      </c>
      <c r="CF774" s="22" t="s">
        <v>151</v>
      </c>
      <c r="CG774" s="24" t="s">
        <v>151</v>
      </c>
      <c r="CH774" s="17" t="s">
        <v>151</v>
      </c>
      <c r="CI774" s="24" t="s">
        <v>151</v>
      </c>
      <c r="CJ774" s="17" t="s">
        <v>151</v>
      </c>
      <c r="CK774" s="16" t="s">
        <v>151</v>
      </c>
      <c r="CL774" s="17" t="s">
        <v>189</v>
      </c>
      <c r="CM774" s="17" t="s">
        <v>151</v>
      </c>
      <c r="CN774" s="17" t="s">
        <v>151</v>
      </c>
      <c r="CO774" s="17" t="s">
        <v>190</v>
      </c>
      <c r="CP774" s="22" t="s">
        <v>151</v>
      </c>
      <c r="CQ774" s="24" t="s">
        <v>151</v>
      </c>
      <c r="CR774" s="17" t="s">
        <v>151</v>
      </c>
      <c r="CS774" s="17" t="s">
        <v>191</v>
      </c>
      <c r="CT774" s="16" t="s">
        <v>151</v>
      </c>
      <c r="CU774" s="17" t="s">
        <v>151</v>
      </c>
      <c r="CV774" s="19" t="s">
        <v>151</v>
      </c>
      <c r="CW774" s="19" t="s">
        <v>151</v>
      </c>
      <c r="CX774" s="17" t="s">
        <v>151</v>
      </c>
      <c r="CY774" s="19" t="s">
        <v>151</v>
      </c>
      <c r="CZ774" s="19" t="s">
        <v>151</v>
      </c>
      <c r="DA774" s="24" t="s">
        <v>151</v>
      </c>
      <c r="DB774" s="22" t="s">
        <v>151</v>
      </c>
      <c r="DC774" s="17" t="s">
        <v>151</v>
      </c>
      <c r="DD774" s="16" t="s">
        <v>151</v>
      </c>
      <c r="DE774" s="19">
        <v>1.13</v>
      </c>
      <c r="DF774" s="21">
        <v>96</v>
      </c>
      <c r="DG774" s="19">
        <v>0</v>
      </c>
      <c r="DH774" s="19">
        <v>0</v>
      </c>
      <c r="DI774" s="19">
        <v>0.74</v>
      </c>
      <c r="DJ774" s="21">
        <v>96</v>
      </c>
      <c r="DK774" s="19" t="s">
        <v>151</v>
      </c>
      <c r="DL774" s="21" t="s">
        <v>151</v>
      </c>
      <c r="DM774" s="19">
        <v>0.74</v>
      </c>
      <c r="DN774" s="21">
        <v>96</v>
      </c>
      <c r="DO774" s="23">
        <v>27.38</v>
      </c>
      <c r="DP774" s="21">
        <v>96</v>
      </c>
      <c r="DQ774" s="23">
        <v>0</v>
      </c>
      <c r="DR774" s="19">
        <v>0</v>
      </c>
      <c r="DS774" s="23">
        <v>53.37</v>
      </c>
      <c r="DT774" s="21">
        <v>98</v>
      </c>
      <c r="DU774" s="23" t="s">
        <v>151</v>
      </c>
      <c r="DV774" s="21" t="s">
        <v>151</v>
      </c>
      <c r="DW774" s="23">
        <v>53.37</v>
      </c>
      <c r="DX774" s="21">
        <v>98</v>
      </c>
      <c r="DY774" s="18" t="s">
        <v>151</v>
      </c>
      <c r="DZ774" s="22" t="s">
        <v>151</v>
      </c>
      <c r="EA774" s="22" t="s">
        <v>151</v>
      </c>
      <c r="EB774" s="21">
        <v>129314</v>
      </c>
      <c r="EC774" s="20">
        <v>4791</v>
      </c>
      <c r="ED774" s="19">
        <v>3.85</v>
      </c>
      <c r="EE774" s="21">
        <v>1014</v>
      </c>
      <c r="EF774" s="20">
        <v>3</v>
      </c>
      <c r="EG774" s="19">
        <v>0.3</v>
      </c>
      <c r="EH774" s="16" t="s">
        <v>198</v>
      </c>
      <c r="EI774" s="17" t="s">
        <v>151</v>
      </c>
      <c r="EJ774" s="17" t="s">
        <v>151</v>
      </c>
      <c r="EK774" s="18" t="s">
        <v>151</v>
      </c>
      <c r="EL774" s="18" t="s">
        <v>151</v>
      </c>
      <c r="EM774" s="18" t="s">
        <v>151</v>
      </c>
      <c r="EN774" s="18" t="s">
        <v>151</v>
      </c>
      <c r="EO774" s="18" t="s">
        <v>151</v>
      </c>
      <c r="EP774" s="17" t="s">
        <v>151</v>
      </c>
      <c r="EQ774" s="16" t="s">
        <v>151</v>
      </c>
      <c r="ER774" s="16" t="s">
        <v>151</v>
      </c>
      <c r="ES774" s="3">
        <f>HYPERLINK("https://my.pitchbook.com?c=539853-49","View Company Online")</f>
      </c>
    </row>
    <row r="775">
      <c r="A775" s="30" t="s">
        <v>15842</v>
      </c>
      <c r="B775" s="30" t="s">
        <v>15843</v>
      </c>
      <c r="C775" s="31" t="s">
        <v>151</v>
      </c>
      <c r="D775" s="30" t="s">
        <v>15844</v>
      </c>
      <c r="E775" s="30" t="s">
        <v>151</v>
      </c>
      <c r="F775" s="30" t="s">
        <v>15845</v>
      </c>
      <c r="G775" s="30" t="s">
        <v>151</v>
      </c>
      <c r="H775" s="30" t="s">
        <v>151</v>
      </c>
      <c r="I775" s="30" t="s">
        <v>151</v>
      </c>
      <c r="J775" s="30" t="s">
        <v>15842</v>
      </c>
      <c r="K775" s="30" t="s">
        <v>15846</v>
      </c>
      <c r="L775" s="30" t="s">
        <v>205</v>
      </c>
      <c r="M775" s="30" t="s">
        <v>206</v>
      </c>
      <c r="N775" s="30" t="s">
        <v>269</v>
      </c>
      <c r="O775" s="30" t="s">
        <v>865</v>
      </c>
      <c r="P775" s="30" t="s">
        <v>10655</v>
      </c>
      <c r="Q775" s="30" t="s">
        <v>15847</v>
      </c>
      <c r="R775" s="30" t="s">
        <v>211</v>
      </c>
      <c r="S775" s="30" t="s">
        <v>162</v>
      </c>
      <c r="T775" s="37">
        <v>2.6</v>
      </c>
      <c r="U775" s="30" t="s">
        <v>163</v>
      </c>
      <c r="V775" s="30" t="s">
        <v>164</v>
      </c>
      <c r="W775" s="30" t="s">
        <v>165</v>
      </c>
      <c r="X775" s="28" t="s">
        <v>15848</v>
      </c>
      <c r="Y775" s="28" t="s">
        <v>15849</v>
      </c>
      <c r="Z775" s="40">
        <v>2</v>
      </c>
      <c r="AA775" s="30" t="s">
        <v>15850</v>
      </c>
      <c r="AB775" s="30" t="s">
        <v>151</v>
      </c>
      <c r="AC775" s="30" t="s">
        <v>151</v>
      </c>
      <c r="AD775" s="39">
        <v>2016</v>
      </c>
      <c r="AE775" s="30" t="s">
        <v>151</v>
      </c>
      <c r="AF775" s="35">
        <v>45219</v>
      </c>
      <c r="AG775" s="30" t="s">
        <v>151</v>
      </c>
      <c r="AH775" s="30" t="s">
        <v>151</v>
      </c>
      <c r="AI775" s="38" t="s">
        <v>151</v>
      </c>
      <c r="AJ775" s="32" t="s">
        <v>151</v>
      </c>
      <c r="AK775" s="38" t="s">
        <v>151</v>
      </c>
      <c r="AL775" s="38" t="s">
        <v>151</v>
      </c>
      <c r="AM775" s="38" t="s">
        <v>151</v>
      </c>
      <c r="AN775" s="38" t="s">
        <v>151</v>
      </c>
      <c r="AO775" s="38" t="s">
        <v>151</v>
      </c>
      <c r="AP775" s="38" t="s">
        <v>151</v>
      </c>
      <c r="AQ775" s="38" t="s">
        <v>151</v>
      </c>
      <c r="AR775" s="29" t="s">
        <v>151</v>
      </c>
      <c r="AS775" s="30" t="s">
        <v>15851</v>
      </c>
      <c r="AT775" s="30" t="s">
        <v>15852</v>
      </c>
      <c r="AU775" s="31">
        <v>3</v>
      </c>
      <c r="AV775" s="30" t="s">
        <v>151</v>
      </c>
      <c r="AW775" s="30" t="s">
        <v>151</v>
      </c>
      <c r="AX775" s="30" t="s">
        <v>151</v>
      </c>
      <c r="AY775" s="30" t="s">
        <v>15853</v>
      </c>
      <c r="AZ775" s="30" t="s">
        <v>151</v>
      </c>
      <c r="BA775" s="30" t="s">
        <v>151</v>
      </c>
      <c r="BB775" s="30" t="s">
        <v>151</v>
      </c>
      <c r="BC775" s="30" t="s">
        <v>151</v>
      </c>
      <c r="BD775" s="30" t="s">
        <v>15854</v>
      </c>
      <c r="BE775" s="30" t="s">
        <v>15855</v>
      </c>
      <c r="BF775" s="30" t="s">
        <v>731</v>
      </c>
      <c r="BG775" s="30" t="s">
        <v>15856</v>
      </c>
      <c r="BH775" s="30" t="s">
        <v>15857</v>
      </c>
      <c r="BI775" s="30" t="s">
        <v>15858</v>
      </c>
      <c r="BJ775" s="30" t="s">
        <v>15859</v>
      </c>
      <c r="BK775" s="30" t="s">
        <v>5005</v>
      </c>
      <c r="BL775" s="30" t="s">
        <v>15860</v>
      </c>
      <c r="BM775" s="30" t="s">
        <v>6425</v>
      </c>
      <c r="BN775" s="29" t="s">
        <v>15861</v>
      </c>
      <c r="BO775" s="30" t="s">
        <v>186</v>
      </c>
      <c r="BP775" s="29" t="s">
        <v>15857</v>
      </c>
      <c r="BQ775" s="29" t="s">
        <v>151</v>
      </c>
      <c r="BR775" s="30" t="s">
        <v>15862</v>
      </c>
      <c r="BS775" s="30" t="s">
        <v>187</v>
      </c>
      <c r="BT775" s="30" t="s">
        <v>188</v>
      </c>
      <c r="BU775" s="35">
        <v>43987</v>
      </c>
      <c r="BV775" s="37">
        <v>0.1</v>
      </c>
      <c r="BW775" s="30" t="s">
        <v>192</v>
      </c>
      <c r="BX775" s="37" t="s">
        <v>151</v>
      </c>
      <c r="BY775" s="30" t="s">
        <v>151</v>
      </c>
      <c r="BZ775" s="30" t="s">
        <v>189</v>
      </c>
      <c r="CA775" s="30" t="s">
        <v>151</v>
      </c>
      <c r="CB775" s="30" t="s">
        <v>151</v>
      </c>
      <c r="CC775" s="30" t="s">
        <v>190</v>
      </c>
      <c r="CD775" s="30" t="s">
        <v>151</v>
      </c>
      <c r="CE775" s="30" t="s">
        <v>191</v>
      </c>
      <c r="CF775" s="35">
        <v>44971</v>
      </c>
      <c r="CG775" s="37">
        <v>1</v>
      </c>
      <c r="CH775" s="30" t="s">
        <v>192</v>
      </c>
      <c r="CI775" s="37" t="s">
        <v>151</v>
      </c>
      <c r="CJ775" s="30" t="s">
        <v>151</v>
      </c>
      <c r="CK775" s="29" t="s">
        <v>151</v>
      </c>
      <c r="CL775" s="30" t="s">
        <v>194</v>
      </c>
      <c r="CM775" s="30" t="s">
        <v>151</v>
      </c>
      <c r="CN775" s="30" t="s">
        <v>151</v>
      </c>
      <c r="CO775" s="30" t="s">
        <v>165</v>
      </c>
      <c r="CP775" s="35">
        <v>44971</v>
      </c>
      <c r="CQ775" s="37" t="s">
        <v>151</v>
      </c>
      <c r="CR775" s="30" t="s">
        <v>355</v>
      </c>
      <c r="CS775" s="30" t="s">
        <v>191</v>
      </c>
      <c r="CT775" s="29">
        <v>31</v>
      </c>
      <c r="CU775" s="30" t="s">
        <v>263</v>
      </c>
      <c r="CV775" s="32">
        <v>31</v>
      </c>
      <c r="CW775" s="32">
        <v>69</v>
      </c>
      <c r="CX775" s="30" t="s">
        <v>263</v>
      </c>
      <c r="CY775" s="32">
        <v>1</v>
      </c>
      <c r="CZ775" s="32">
        <v>30</v>
      </c>
      <c r="DA775" s="37">
        <v>4.5</v>
      </c>
      <c r="DB775" s="35">
        <v>44371</v>
      </c>
      <c r="DC775" s="30" t="s">
        <v>293</v>
      </c>
      <c r="DD775" s="29" t="s">
        <v>151</v>
      </c>
      <c r="DE775" s="32">
        <v>-2.08</v>
      </c>
      <c r="DF775" s="34">
        <v>2</v>
      </c>
      <c r="DG775" s="32">
        <v>0</v>
      </c>
      <c r="DH775" s="32">
        <v>0</v>
      </c>
      <c r="DI775" s="32">
        <v>0</v>
      </c>
      <c r="DJ775" s="34">
        <v>10</v>
      </c>
      <c r="DK775" s="32" t="s">
        <v>151</v>
      </c>
      <c r="DL775" s="34" t="s">
        <v>151</v>
      </c>
      <c r="DM775" s="32">
        <v>0</v>
      </c>
      <c r="DN775" s="34">
        <v>10</v>
      </c>
      <c r="DO775" s="36">
        <v>1.79</v>
      </c>
      <c r="DP775" s="34">
        <v>64</v>
      </c>
      <c r="DQ775" s="36">
        <v>0</v>
      </c>
      <c r="DR775" s="32">
        <v>0</v>
      </c>
      <c r="DS775" s="36">
        <v>3.42</v>
      </c>
      <c r="DT775" s="34">
        <v>76</v>
      </c>
      <c r="DU775" s="36" t="s">
        <v>151</v>
      </c>
      <c r="DV775" s="34" t="s">
        <v>151</v>
      </c>
      <c r="DW775" s="36">
        <v>3.42</v>
      </c>
      <c r="DX775" s="34">
        <v>76</v>
      </c>
      <c r="DY775" s="31" t="s">
        <v>151</v>
      </c>
      <c r="DZ775" s="35" t="s">
        <v>151</v>
      </c>
      <c r="EA775" s="35" t="s">
        <v>151</v>
      </c>
      <c r="EB775" s="34">
        <v>4</v>
      </c>
      <c r="EC775" s="33">
        <v>-21</v>
      </c>
      <c r="ED775" s="32">
        <v>-84</v>
      </c>
      <c r="EE775" s="34">
        <v>65</v>
      </c>
      <c r="EF775" s="33">
        <v>0</v>
      </c>
      <c r="EG775" s="32">
        <v>0</v>
      </c>
      <c r="EH775" s="29" t="s">
        <v>198</v>
      </c>
      <c r="EI775" s="30" t="s">
        <v>151</v>
      </c>
      <c r="EJ775" s="30" t="s">
        <v>151</v>
      </c>
      <c r="EK775" s="31" t="s">
        <v>151</v>
      </c>
      <c r="EL775" s="31" t="s">
        <v>151</v>
      </c>
      <c r="EM775" s="31" t="s">
        <v>151</v>
      </c>
      <c r="EN775" s="31" t="s">
        <v>151</v>
      </c>
      <c r="EO775" s="31" t="s">
        <v>151</v>
      </c>
      <c r="EP775" s="30" t="s">
        <v>151</v>
      </c>
      <c r="EQ775" s="29" t="s">
        <v>151</v>
      </c>
      <c r="ER775" s="29" t="s">
        <v>151</v>
      </c>
      <c r="ES775" s="4">
        <f>HYPERLINK("https://my.pitchbook.com?c=443201-77","View Company Online")</f>
      </c>
    </row>
    <row r="776">
      <c r="A776" s="17" t="s">
        <v>15863</v>
      </c>
      <c r="B776" s="17" t="s">
        <v>15864</v>
      </c>
      <c r="C776" s="18" t="s">
        <v>151</v>
      </c>
      <c r="D776" s="17" t="s">
        <v>151</v>
      </c>
      <c r="E776" s="17" t="s">
        <v>15865</v>
      </c>
      <c r="F776" s="17" t="s">
        <v>15866</v>
      </c>
      <c r="G776" s="17" t="s">
        <v>151</v>
      </c>
      <c r="H776" s="17" t="s">
        <v>151</v>
      </c>
      <c r="I776" s="17" t="s">
        <v>15867</v>
      </c>
      <c r="J776" s="17" t="s">
        <v>15863</v>
      </c>
      <c r="K776" s="17" t="s">
        <v>15868</v>
      </c>
      <c r="L776" s="17" t="s">
        <v>205</v>
      </c>
      <c r="M776" s="17" t="s">
        <v>206</v>
      </c>
      <c r="N776" s="17" t="s">
        <v>269</v>
      </c>
      <c r="O776" s="17" t="s">
        <v>563</v>
      </c>
      <c r="P776" s="17" t="s">
        <v>4727</v>
      </c>
      <c r="Q776" s="17" t="s">
        <v>15869</v>
      </c>
      <c r="R776" s="17" t="s">
        <v>151</v>
      </c>
      <c r="S776" s="17" t="s">
        <v>162</v>
      </c>
      <c r="T776" s="24">
        <v>0.7</v>
      </c>
      <c r="U776" s="17" t="s">
        <v>163</v>
      </c>
      <c r="V776" s="17" t="s">
        <v>164</v>
      </c>
      <c r="W776" s="17" t="s">
        <v>165</v>
      </c>
      <c r="X776" s="15" t="s">
        <v>15870</v>
      </c>
      <c r="Y776" s="15" t="s">
        <v>15871</v>
      </c>
      <c r="Z776" s="27">
        <v>10</v>
      </c>
      <c r="AA776" s="17" t="s">
        <v>15872</v>
      </c>
      <c r="AB776" s="17" t="s">
        <v>151</v>
      </c>
      <c r="AC776" s="17" t="s">
        <v>151</v>
      </c>
      <c r="AD776" s="26">
        <v>2021</v>
      </c>
      <c r="AE776" s="17" t="s">
        <v>151</v>
      </c>
      <c r="AF776" s="22">
        <v>45322</v>
      </c>
      <c r="AG776" s="17" t="s">
        <v>151</v>
      </c>
      <c r="AH776" s="17" t="s">
        <v>151</v>
      </c>
      <c r="AI776" s="25" t="s">
        <v>151</v>
      </c>
      <c r="AJ776" s="19" t="s">
        <v>151</v>
      </c>
      <c r="AK776" s="25" t="s">
        <v>151</v>
      </c>
      <c r="AL776" s="25" t="s">
        <v>151</v>
      </c>
      <c r="AM776" s="25" t="s">
        <v>151</v>
      </c>
      <c r="AN776" s="25" t="s">
        <v>151</v>
      </c>
      <c r="AO776" s="25" t="s">
        <v>151</v>
      </c>
      <c r="AP776" s="25" t="s">
        <v>151</v>
      </c>
      <c r="AQ776" s="25" t="s">
        <v>151</v>
      </c>
      <c r="AR776" s="16" t="s">
        <v>151</v>
      </c>
      <c r="AS776" s="17" t="s">
        <v>15873</v>
      </c>
      <c r="AT776" s="17" t="s">
        <v>15874</v>
      </c>
      <c r="AU776" s="18">
        <v>7</v>
      </c>
      <c r="AV776" s="17" t="s">
        <v>151</v>
      </c>
      <c r="AW776" s="17" t="s">
        <v>151</v>
      </c>
      <c r="AX776" s="17" t="s">
        <v>151</v>
      </c>
      <c r="AY776" s="17" t="s">
        <v>15875</v>
      </c>
      <c r="AZ776" s="17" t="s">
        <v>151</v>
      </c>
      <c r="BA776" s="17" t="s">
        <v>151</v>
      </c>
      <c r="BB776" s="17" t="s">
        <v>15876</v>
      </c>
      <c r="BC776" s="17" t="s">
        <v>151</v>
      </c>
      <c r="BD776" s="17" t="s">
        <v>15877</v>
      </c>
      <c r="BE776" s="17" t="s">
        <v>15878</v>
      </c>
      <c r="BF776" s="17" t="s">
        <v>221</v>
      </c>
      <c r="BG776" s="17" t="s">
        <v>15879</v>
      </c>
      <c r="BH776" s="17" t="s">
        <v>15880</v>
      </c>
      <c r="BI776" s="17" t="s">
        <v>15881</v>
      </c>
      <c r="BJ776" s="17" t="s">
        <v>15882</v>
      </c>
      <c r="BK776" s="17" t="s">
        <v>151</v>
      </c>
      <c r="BL776" s="17" t="s">
        <v>15883</v>
      </c>
      <c r="BM776" s="17" t="s">
        <v>2591</v>
      </c>
      <c r="BN776" s="16" t="s">
        <v>15884</v>
      </c>
      <c r="BO776" s="17" t="s">
        <v>186</v>
      </c>
      <c r="BP776" s="16" t="s">
        <v>15880</v>
      </c>
      <c r="BQ776" s="16" t="s">
        <v>151</v>
      </c>
      <c r="BR776" s="17" t="s">
        <v>151</v>
      </c>
      <c r="BS776" s="17" t="s">
        <v>187</v>
      </c>
      <c r="BT776" s="17" t="s">
        <v>188</v>
      </c>
      <c r="BU776" s="22">
        <v>44439</v>
      </c>
      <c r="BV776" s="24" t="s">
        <v>151</v>
      </c>
      <c r="BW776" s="17" t="s">
        <v>151</v>
      </c>
      <c r="BX776" s="24" t="s">
        <v>151</v>
      </c>
      <c r="BY776" s="17" t="s">
        <v>151</v>
      </c>
      <c r="BZ776" s="17" t="s">
        <v>189</v>
      </c>
      <c r="CA776" s="17" t="s">
        <v>151</v>
      </c>
      <c r="CB776" s="17" t="s">
        <v>151</v>
      </c>
      <c r="CC776" s="17" t="s">
        <v>190</v>
      </c>
      <c r="CD776" s="17" t="s">
        <v>151</v>
      </c>
      <c r="CE776" s="17" t="s">
        <v>191</v>
      </c>
      <c r="CF776" s="22">
        <v>44805</v>
      </c>
      <c r="CG776" s="24">
        <v>0.6</v>
      </c>
      <c r="CH776" s="17" t="s">
        <v>192</v>
      </c>
      <c r="CI776" s="24" t="s">
        <v>151</v>
      </c>
      <c r="CJ776" s="17" t="s">
        <v>151</v>
      </c>
      <c r="CK776" s="16" t="s">
        <v>151</v>
      </c>
      <c r="CL776" s="17" t="s">
        <v>231</v>
      </c>
      <c r="CM776" s="17" t="s">
        <v>151</v>
      </c>
      <c r="CN776" s="17" t="s">
        <v>151</v>
      </c>
      <c r="CO776" s="17" t="s">
        <v>165</v>
      </c>
      <c r="CP776" s="22">
        <v>44805</v>
      </c>
      <c r="CQ776" s="24" t="s">
        <v>151</v>
      </c>
      <c r="CR776" s="17" t="s">
        <v>151</v>
      </c>
      <c r="CS776" s="17" t="s">
        <v>191</v>
      </c>
      <c r="CT776" s="16">
        <v>68</v>
      </c>
      <c r="CU776" s="17" t="s">
        <v>196</v>
      </c>
      <c r="CV776" s="19">
        <v>63</v>
      </c>
      <c r="CW776" s="19">
        <v>37</v>
      </c>
      <c r="CX776" s="17" t="s">
        <v>294</v>
      </c>
      <c r="CY776" s="19">
        <v>2</v>
      </c>
      <c r="CZ776" s="19">
        <v>61</v>
      </c>
      <c r="DA776" s="24">
        <v>5</v>
      </c>
      <c r="DB776" s="22" t="s">
        <v>151</v>
      </c>
      <c r="DC776" s="17" t="s">
        <v>1075</v>
      </c>
      <c r="DD776" s="16" t="s">
        <v>151</v>
      </c>
      <c r="DE776" s="19">
        <v>0</v>
      </c>
      <c r="DF776" s="21">
        <v>11</v>
      </c>
      <c r="DG776" s="19">
        <v>0</v>
      </c>
      <c r="DH776" s="19">
        <v>0</v>
      </c>
      <c r="DI776" s="19" t="s">
        <v>151</v>
      </c>
      <c r="DJ776" s="21" t="s">
        <v>151</v>
      </c>
      <c r="DK776" s="19" t="s">
        <v>151</v>
      </c>
      <c r="DL776" s="21" t="s">
        <v>151</v>
      </c>
      <c r="DM776" s="19" t="s">
        <v>151</v>
      </c>
      <c r="DN776" s="21" t="s">
        <v>151</v>
      </c>
      <c r="DO776" s="23">
        <v>0.77</v>
      </c>
      <c r="DP776" s="21">
        <v>44</v>
      </c>
      <c r="DQ776" s="23">
        <v>0</v>
      </c>
      <c r="DR776" s="19">
        <v>0</v>
      </c>
      <c r="DS776" s="23" t="s">
        <v>151</v>
      </c>
      <c r="DT776" s="21" t="s">
        <v>151</v>
      </c>
      <c r="DU776" s="23" t="s">
        <v>151</v>
      </c>
      <c r="DV776" s="21" t="s">
        <v>151</v>
      </c>
      <c r="DW776" s="23" t="s">
        <v>151</v>
      </c>
      <c r="DX776" s="21" t="s">
        <v>151</v>
      </c>
      <c r="DY776" s="18" t="s">
        <v>151</v>
      </c>
      <c r="DZ776" s="22" t="s">
        <v>151</v>
      </c>
      <c r="EA776" s="22" t="s">
        <v>151</v>
      </c>
      <c r="EB776" s="21">
        <v>1886</v>
      </c>
      <c r="EC776" s="20">
        <v>72</v>
      </c>
      <c r="ED776" s="19">
        <v>3.97</v>
      </c>
      <c r="EE776" s="21" t="s">
        <v>151</v>
      </c>
      <c r="EF776" s="20" t="s">
        <v>151</v>
      </c>
      <c r="EG776" s="19" t="s">
        <v>151</v>
      </c>
      <c r="EH776" s="16" t="s">
        <v>198</v>
      </c>
      <c r="EI776" s="17" t="s">
        <v>151</v>
      </c>
      <c r="EJ776" s="17" t="s">
        <v>151</v>
      </c>
      <c r="EK776" s="18" t="s">
        <v>151</v>
      </c>
      <c r="EL776" s="18" t="s">
        <v>151</v>
      </c>
      <c r="EM776" s="18" t="s">
        <v>151</v>
      </c>
      <c r="EN776" s="18" t="s">
        <v>151</v>
      </c>
      <c r="EO776" s="18" t="s">
        <v>151</v>
      </c>
      <c r="EP776" s="17" t="s">
        <v>151</v>
      </c>
      <c r="EQ776" s="16" t="s">
        <v>151</v>
      </c>
      <c r="ER776" s="16" t="s">
        <v>151</v>
      </c>
      <c r="ES776" s="3">
        <f>HYPERLINK("https://my.pitchbook.com?c=481849-84","View Company Online")</f>
      </c>
    </row>
    <row r="777">
      <c r="A777" s="30" t="s">
        <v>15885</v>
      </c>
      <c r="B777" s="30" t="s">
        <v>15886</v>
      </c>
      <c r="C777" s="31" t="s">
        <v>151</v>
      </c>
      <c r="D777" s="30" t="s">
        <v>151</v>
      </c>
      <c r="E777" s="30" t="s">
        <v>151</v>
      </c>
      <c r="F777" s="30" t="s">
        <v>15887</v>
      </c>
      <c r="G777" s="30" t="s">
        <v>151</v>
      </c>
      <c r="H777" s="30" t="s">
        <v>151</v>
      </c>
      <c r="I777" s="30" t="s">
        <v>151</v>
      </c>
      <c r="J777" s="30" t="s">
        <v>15885</v>
      </c>
      <c r="K777" s="30" t="s">
        <v>15888</v>
      </c>
      <c r="L777" s="30" t="s">
        <v>1792</v>
      </c>
      <c r="M777" s="30" t="s">
        <v>5329</v>
      </c>
      <c r="N777" s="30" t="s">
        <v>5330</v>
      </c>
      <c r="O777" s="30" t="s">
        <v>5331</v>
      </c>
      <c r="P777" s="30" t="s">
        <v>15889</v>
      </c>
      <c r="Q777" s="30" t="s">
        <v>15890</v>
      </c>
      <c r="R777" s="30" t="s">
        <v>151</v>
      </c>
      <c r="S777" s="30" t="s">
        <v>162</v>
      </c>
      <c r="T777" s="37">
        <v>2.8</v>
      </c>
      <c r="U777" s="30" t="s">
        <v>163</v>
      </c>
      <c r="V777" s="30" t="s">
        <v>164</v>
      </c>
      <c r="W777" s="30" t="s">
        <v>165</v>
      </c>
      <c r="X777" s="28" t="s">
        <v>15891</v>
      </c>
      <c r="Y777" s="28" t="s">
        <v>15892</v>
      </c>
      <c r="Z777" s="40">
        <v>7</v>
      </c>
      <c r="AA777" s="30" t="s">
        <v>15893</v>
      </c>
      <c r="AB777" s="30" t="s">
        <v>151</v>
      </c>
      <c r="AC777" s="30" t="s">
        <v>151</v>
      </c>
      <c r="AD777" s="39">
        <v>2020</v>
      </c>
      <c r="AE777" s="30" t="s">
        <v>151</v>
      </c>
      <c r="AF777" s="35">
        <v>45511</v>
      </c>
      <c r="AG777" s="30" t="s">
        <v>151</v>
      </c>
      <c r="AH777" s="30" t="s">
        <v>151</v>
      </c>
      <c r="AI777" s="38">
        <v>0.01</v>
      </c>
      <c r="AJ777" s="32">
        <v>-25</v>
      </c>
      <c r="AK777" s="38" t="s">
        <v>151</v>
      </c>
      <c r="AL777" s="38" t="s">
        <v>151</v>
      </c>
      <c r="AM777" s="38" t="s">
        <v>151</v>
      </c>
      <c r="AN777" s="38" t="s">
        <v>151</v>
      </c>
      <c r="AO777" s="38" t="s">
        <v>151</v>
      </c>
      <c r="AP777" s="38" t="s">
        <v>151</v>
      </c>
      <c r="AQ777" s="38" t="s">
        <v>151</v>
      </c>
      <c r="AR777" s="29" t="s">
        <v>841</v>
      </c>
      <c r="AS777" s="30" t="s">
        <v>15894</v>
      </c>
      <c r="AT777" s="30" t="s">
        <v>15895</v>
      </c>
      <c r="AU777" s="31">
        <v>1</v>
      </c>
      <c r="AV777" s="30" t="s">
        <v>151</v>
      </c>
      <c r="AW777" s="30" t="s">
        <v>151</v>
      </c>
      <c r="AX777" s="30" t="s">
        <v>151</v>
      </c>
      <c r="AY777" s="30" t="s">
        <v>15896</v>
      </c>
      <c r="AZ777" s="30" t="s">
        <v>151</v>
      </c>
      <c r="BA777" s="30" t="s">
        <v>151</v>
      </c>
      <c r="BB777" s="30" t="s">
        <v>151</v>
      </c>
      <c r="BC777" s="30" t="s">
        <v>601</v>
      </c>
      <c r="BD777" s="30" t="s">
        <v>15897</v>
      </c>
      <c r="BE777" s="30" t="s">
        <v>15898</v>
      </c>
      <c r="BF777" s="30" t="s">
        <v>2427</v>
      </c>
      <c r="BG777" s="30" t="s">
        <v>15899</v>
      </c>
      <c r="BH777" s="30" t="s">
        <v>15900</v>
      </c>
      <c r="BI777" s="30" t="s">
        <v>4669</v>
      </c>
      <c r="BJ777" s="30" t="s">
        <v>15901</v>
      </c>
      <c r="BK777" s="30" t="s">
        <v>15902</v>
      </c>
      <c r="BL777" s="30" t="s">
        <v>4671</v>
      </c>
      <c r="BM777" s="30" t="s">
        <v>4672</v>
      </c>
      <c r="BN777" s="29" t="s">
        <v>15903</v>
      </c>
      <c r="BO777" s="30" t="s">
        <v>186</v>
      </c>
      <c r="BP777" s="29" t="s">
        <v>151</v>
      </c>
      <c r="BQ777" s="29" t="s">
        <v>151</v>
      </c>
      <c r="BR777" s="30" t="s">
        <v>151</v>
      </c>
      <c r="BS777" s="30" t="s">
        <v>187</v>
      </c>
      <c r="BT777" s="30" t="s">
        <v>188</v>
      </c>
      <c r="BU777" s="35">
        <v>44713</v>
      </c>
      <c r="BV777" s="37">
        <v>1.4</v>
      </c>
      <c r="BW777" s="30" t="s">
        <v>192</v>
      </c>
      <c r="BX777" s="37">
        <v>6.35</v>
      </c>
      <c r="BY777" s="30" t="s">
        <v>192</v>
      </c>
      <c r="BZ777" s="30" t="s">
        <v>231</v>
      </c>
      <c r="CA777" s="30" t="s">
        <v>151</v>
      </c>
      <c r="CB777" s="30" t="s">
        <v>151</v>
      </c>
      <c r="CC777" s="30" t="s">
        <v>165</v>
      </c>
      <c r="CD777" s="30" t="s">
        <v>151</v>
      </c>
      <c r="CE777" s="30" t="s">
        <v>191</v>
      </c>
      <c r="CF777" s="35">
        <v>45065</v>
      </c>
      <c r="CG777" s="37">
        <v>1.4</v>
      </c>
      <c r="CH777" s="30" t="s">
        <v>192</v>
      </c>
      <c r="CI777" s="37" t="s">
        <v>151</v>
      </c>
      <c r="CJ777" s="30" t="s">
        <v>151</v>
      </c>
      <c r="CK777" s="29" t="s">
        <v>151</v>
      </c>
      <c r="CL777" s="30" t="s">
        <v>293</v>
      </c>
      <c r="CM777" s="30" t="s">
        <v>293</v>
      </c>
      <c r="CN777" s="30" t="s">
        <v>151</v>
      </c>
      <c r="CO777" s="30" t="s">
        <v>165</v>
      </c>
      <c r="CP777" s="35">
        <v>45065</v>
      </c>
      <c r="CQ777" s="37" t="s">
        <v>151</v>
      </c>
      <c r="CR777" s="30" t="s">
        <v>151</v>
      </c>
      <c r="CS777" s="30" t="s">
        <v>191</v>
      </c>
      <c r="CT777" s="29">
        <v>21</v>
      </c>
      <c r="CU777" s="30" t="s">
        <v>263</v>
      </c>
      <c r="CV777" s="32">
        <v>23</v>
      </c>
      <c r="CW777" s="32">
        <v>77</v>
      </c>
      <c r="CX777" s="30" t="s">
        <v>263</v>
      </c>
      <c r="CY777" s="32">
        <v>1</v>
      </c>
      <c r="CZ777" s="32">
        <v>22</v>
      </c>
      <c r="DA777" s="37">
        <v>6.35</v>
      </c>
      <c r="DB777" s="35">
        <v>44713</v>
      </c>
      <c r="DC777" s="30" t="s">
        <v>231</v>
      </c>
      <c r="DD777" s="29" t="s">
        <v>151</v>
      </c>
      <c r="DE777" s="32">
        <v>1.04</v>
      </c>
      <c r="DF777" s="34">
        <v>96</v>
      </c>
      <c r="DG777" s="32">
        <v>0</v>
      </c>
      <c r="DH777" s="32">
        <v>0</v>
      </c>
      <c r="DI777" s="32">
        <v>3.65</v>
      </c>
      <c r="DJ777" s="34">
        <v>100</v>
      </c>
      <c r="DK777" s="32" t="s">
        <v>151</v>
      </c>
      <c r="DL777" s="34" t="s">
        <v>151</v>
      </c>
      <c r="DM777" s="32">
        <v>3.65</v>
      </c>
      <c r="DN777" s="34">
        <v>100</v>
      </c>
      <c r="DO777" s="36">
        <v>3.77</v>
      </c>
      <c r="DP777" s="34">
        <v>78</v>
      </c>
      <c r="DQ777" s="36">
        <v>0</v>
      </c>
      <c r="DR777" s="32">
        <v>0</v>
      </c>
      <c r="DS777" s="36">
        <v>7</v>
      </c>
      <c r="DT777" s="34">
        <v>86</v>
      </c>
      <c r="DU777" s="36" t="s">
        <v>151</v>
      </c>
      <c r="DV777" s="34" t="s">
        <v>151</v>
      </c>
      <c r="DW777" s="36">
        <v>7</v>
      </c>
      <c r="DX777" s="34">
        <v>86</v>
      </c>
      <c r="DY777" s="31" t="s">
        <v>151</v>
      </c>
      <c r="DZ777" s="35" t="s">
        <v>151</v>
      </c>
      <c r="EA777" s="35" t="s">
        <v>151</v>
      </c>
      <c r="EB777" s="34">
        <v>15</v>
      </c>
      <c r="EC777" s="33">
        <v>-77</v>
      </c>
      <c r="ED777" s="32">
        <v>-83.7</v>
      </c>
      <c r="EE777" s="34">
        <v>133</v>
      </c>
      <c r="EF777" s="33">
        <v>3</v>
      </c>
      <c r="EG777" s="32">
        <v>2.31</v>
      </c>
      <c r="EH777" s="29" t="s">
        <v>198</v>
      </c>
      <c r="EI777" s="30" t="s">
        <v>151</v>
      </c>
      <c r="EJ777" s="30" t="s">
        <v>151</v>
      </c>
      <c r="EK777" s="31" t="s">
        <v>151</v>
      </c>
      <c r="EL777" s="31" t="s">
        <v>151</v>
      </c>
      <c r="EM777" s="31" t="s">
        <v>151</v>
      </c>
      <c r="EN777" s="31" t="s">
        <v>151</v>
      </c>
      <c r="EO777" s="31" t="s">
        <v>151</v>
      </c>
      <c r="EP777" s="30" t="s">
        <v>151</v>
      </c>
      <c r="EQ777" s="29" t="s">
        <v>151</v>
      </c>
      <c r="ER777" s="29" t="s">
        <v>151</v>
      </c>
      <c r="ES777" s="4">
        <f>HYPERLINK("https://my.pitchbook.com?c=484488-82","View Company Online")</f>
      </c>
    </row>
    <row r="778">
      <c r="A778" s="17" t="s">
        <v>15904</v>
      </c>
      <c r="B778" s="17" t="s">
        <v>15905</v>
      </c>
      <c r="C778" s="18" t="s">
        <v>151</v>
      </c>
      <c r="D778" s="17" t="s">
        <v>151</v>
      </c>
      <c r="E778" s="17" t="s">
        <v>15906</v>
      </c>
      <c r="F778" s="17" t="s">
        <v>15907</v>
      </c>
      <c r="G778" s="17" t="s">
        <v>151</v>
      </c>
      <c r="H778" s="17" t="s">
        <v>151</v>
      </c>
      <c r="I778" s="17" t="s">
        <v>151</v>
      </c>
      <c r="J778" s="17" t="s">
        <v>15904</v>
      </c>
      <c r="K778" s="17" t="s">
        <v>15908</v>
      </c>
      <c r="L778" s="17" t="s">
        <v>205</v>
      </c>
      <c r="M778" s="17" t="s">
        <v>206</v>
      </c>
      <c r="N778" s="17" t="s">
        <v>269</v>
      </c>
      <c r="O778" s="17" t="s">
        <v>1819</v>
      </c>
      <c r="P778" s="17" t="s">
        <v>7208</v>
      </c>
      <c r="Q778" s="17" t="s">
        <v>15909</v>
      </c>
      <c r="R778" s="17" t="s">
        <v>151</v>
      </c>
      <c r="S778" s="17" t="s">
        <v>162</v>
      </c>
      <c r="T778" s="24">
        <v>2.58</v>
      </c>
      <c r="U778" s="17" t="s">
        <v>163</v>
      </c>
      <c r="V778" s="17" t="s">
        <v>164</v>
      </c>
      <c r="W778" s="17" t="s">
        <v>165</v>
      </c>
      <c r="X778" s="15" t="s">
        <v>15910</v>
      </c>
      <c r="Y778" s="15" t="s">
        <v>15911</v>
      </c>
      <c r="Z778" s="27">
        <v>5</v>
      </c>
      <c r="AA778" s="17" t="s">
        <v>15912</v>
      </c>
      <c r="AB778" s="17" t="s">
        <v>151</v>
      </c>
      <c r="AC778" s="17" t="s">
        <v>151</v>
      </c>
      <c r="AD778" s="26">
        <v>2022</v>
      </c>
      <c r="AE778" s="17" t="s">
        <v>151</v>
      </c>
      <c r="AF778" s="22">
        <v>45548</v>
      </c>
      <c r="AG778" s="17" t="s">
        <v>151</v>
      </c>
      <c r="AH778" s="17" t="s">
        <v>151</v>
      </c>
      <c r="AI778" s="25" t="s">
        <v>151</v>
      </c>
      <c r="AJ778" s="19" t="s">
        <v>151</v>
      </c>
      <c r="AK778" s="25" t="s">
        <v>151</v>
      </c>
      <c r="AL778" s="25" t="s">
        <v>151</v>
      </c>
      <c r="AM778" s="25" t="s">
        <v>151</v>
      </c>
      <c r="AN778" s="25" t="s">
        <v>151</v>
      </c>
      <c r="AO778" s="25" t="s">
        <v>151</v>
      </c>
      <c r="AP778" s="25" t="s">
        <v>151</v>
      </c>
      <c r="AQ778" s="25" t="s">
        <v>151</v>
      </c>
      <c r="AR778" s="16" t="s">
        <v>151</v>
      </c>
      <c r="AS778" s="17" t="s">
        <v>15913</v>
      </c>
      <c r="AT778" s="17" t="s">
        <v>15914</v>
      </c>
      <c r="AU778" s="18">
        <v>1</v>
      </c>
      <c r="AV778" s="17" t="s">
        <v>151</v>
      </c>
      <c r="AW778" s="17" t="s">
        <v>151</v>
      </c>
      <c r="AX778" s="17" t="s">
        <v>151</v>
      </c>
      <c r="AY778" s="17" t="s">
        <v>15915</v>
      </c>
      <c r="AZ778" s="17" t="s">
        <v>151</v>
      </c>
      <c r="BA778" s="17" t="s">
        <v>151</v>
      </c>
      <c r="BB778" s="17" t="s">
        <v>151</v>
      </c>
      <c r="BC778" s="17" t="s">
        <v>151</v>
      </c>
      <c r="BD778" s="17" t="s">
        <v>15916</v>
      </c>
      <c r="BE778" s="17" t="s">
        <v>15917</v>
      </c>
      <c r="BF778" s="17" t="s">
        <v>221</v>
      </c>
      <c r="BG778" s="17" t="s">
        <v>15918</v>
      </c>
      <c r="BH778" s="17" t="s">
        <v>15919</v>
      </c>
      <c r="BI778" s="17" t="s">
        <v>15920</v>
      </c>
      <c r="BJ778" s="17" t="s">
        <v>15921</v>
      </c>
      <c r="BK778" s="17" t="s">
        <v>151</v>
      </c>
      <c r="BL778" s="17" t="s">
        <v>15922</v>
      </c>
      <c r="BM778" s="17" t="s">
        <v>15923</v>
      </c>
      <c r="BN778" s="16" t="s">
        <v>15924</v>
      </c>
      <c r="BO778" s="17" t="s">
        <v>186</v>
      </c>
      <c r="BP778" s="16" t="s">
        <v>15919</v>
      </c>
      <c r="BQ778" s="16" t="s">
        <v>151</v>
      </c>
      <c r="BR778" s="17" t="s">
        <v>15925</v>
      </c>
      <c r="BS778" s="17" t="s">
        <v>187</v>
      </c>
      <c r="BT778" s="17" t="s">
        <v>188</v>
      </c>
      <c r="BU778" s="22">
        <v>44866</v>
      </c>
      <c r="BV778" s="24">
        <v>2.58</v>
      </c>
      <c r="BW778" s="17" t="s">
        <v>193</v>
      </c>
      <c r="BX778" s="24">
        <v>10.48</v>
      </c>
      <c r="BY778" s="17" t="s">
        <v>193</v>
      </c>
      <c r="BZ778" s="17" t="s">
        <v>293</v>
      </c>
      <c r="CA778" s="17" t="s">
        <v>293</v>
      </c>
      <c r="CB778" s="17" t="s">
        <v>151</v>
      </c>
      <c r="CC778" s="17" t="s">
        <v>165</v>
      </c>
      <c r="CD778" s="17" t="s">
        <v>151</v>
      </c>
      <c r="CE778" s="17" t="s">
        <v>191</v>
      </c>
      <c r="CF778" s="22">
        <v>44866</v>
      </c>
      <c r="CG778" s="24">
        <v>2.58</v>
      </c>
      <c r="CH778" s="17" t="s">
        <v>193</v>
      </c>
      <c r="CI778" s="24">
        <v>10.48</v>
      </c>
      <c r="CJ778" s="17" t="s">
        <v>193</v>
      </c>
      <c r="CK778" s="16" t="s">
        <v>151</v>
      </c>
      <c r="CL778" s="17" t="s">
        <v>293</v>
      </c>
      <c r="CM778" s="17" t="s">
        <v>293</v>
      </c>
      <c r="CN778" s="17" t="s">
        <v>151</v>
      </c>
      <c r="CO778" s="17" t="s">
        <v>165</v>
      </c>
      <c r="CP778" s="22">
        <v>44866</v>
      </c>
      <c r="CQ778" s="24" t="s">
        <v>151</v>
      </c>
      <c r="CR778" s="17" t="s">
        <v>151</v>
      </c>
      <c r="CS778" s="17" t="s">
        <v>191</v>
      </c>
      <c r="CT778" s="16" t="s">
        <v>151</v>
      </c>
      <c r="CU778" s="17" t="s">
        <v>151</v>
      </c>
      <c r="CV778" s="19" t="s">
        <v>151</v>
      </c>
      <c r="CW778" s="19" t="s">
        <v>151</v>
      </c>
      <c r="CX778" s="17" t="s">
        <v>151</v>
      </c>
      <c r="CY778" s="19" t="s">
        <v>151</v>
      </c>
      <c r="CZ778" s="19" t="s">
        <v>151</v>
      </c>
      <c r="DA778" s="24">
        <v>10.48</v>
      </c>
      <c r="DB778" s="22">
        <v>44866</v>
      </c>
      <c r="DC778" s="17" t="s">
        <v>293</v>
      </c>
      <c r="DD778" s="16" t="s">
        <v>151</v>
      </c>
      <c r="DE778" s="19">
        <v>0</v>
      </c>
      <c r="DF778" s="21">
        <v>11</v>
      </c>
      <c r="DG778" s="19">
        <v>0</v>
      </c>
      <c r="DH778" s="19">
        <v>0</v>
      </c>
      <c r="DI778" s="19" t="s">
        <v>151</v>
      </c>
      <c r="DJ778" s="21" t="s">
        <v>151</v>
      </c>
      <c r="DK778" s="19" t="s">
        <v>151</v>
      </c>
      <c r="DL778" s="21" t="s">
        <v>151</v>
      </c>
      <c r="DM778" s="19" t="s">
        <v>151</v>
      </c>
      <c r="DN778" s="21" t="s">
        <v>151</v>
      </c>
      <c r="DO778" s="23">
        <v>0.38</v>
      </c>
      <c r="DP778" s="21">
        <v>27</v>
      </c>
      <c r="DQ778" s="23">
        <v>0</v>
      </c>
      <c r="DR778" s="19">
        <v>0</v>
      </c>
      <c r="DS778" s="23" t="s">
        <v>151</v>
      </c>
      <c r="DT778" s="21" t="s">
        <v>151</v>
      </c>
      <c r="DU778" s="23" t="s">
        <v>151</v>
      </c>
      <c r="DV778" s="21" t="s">
        <v>151</v>
      </c>
      <c r="DW778" s="23" t="s">
        <v>151</v>
      </c>
      <c r="DX778" s="21" t="s">
        <v>151</v>
      </c>
      <c r="DY778" s="18" t="s">
        <v>151</v>
      </c>
      <c r="DZ778" s="22" t="s">
        <v>151</v>
      </c>
      <c r="EA778" s="22" t="s">
        <v>151</v>
      </c>
      <c r="EB778" s="21">
        <v>302</v>
      </c>
      <c r="EC778" s="20">
        <v>52</v>
      </c>
      <c r="ED778" s="19">
        <v>20.8</v>
      </c>
      <c r="EE778" s="21" t="s">
        <v>151</v>
      </c>
      <c r="EF778" s="20" t="s">
        <v>151</v>
      </c>
      <c r="EG778" s="19" t="s">
        <v>151</v>
      </c>
      <c r="EH778" s="16" t="s">
        <v>198</v>
      </c>
      <c r="EI778" s="17" t="s">
        <v>151</v>
      </c>
      <c r="EJ778" s="17" t="s">
        <v>151</v>
      </c>
      <c r="EK778" s="18" t="s">
        <v>151</v>
      </c>
      <c r="EL778" s="18" t="s">
        <v>151</v>
      </c>
      <c r="EM778" s="18" t="s">
        <v>151</v>
      </c>
      <c r="EN778" s="18" t="s">
        <v>151</v>
      </c>
      <c r="EO778" s="18" t="s">
        <v>151</v>
      </c>
      <c r="EP778" s="17" t="s">
        <v>151</v>
      </c>
      <c r="EQ778" s="16" t="s">
        <v>151</v>
      </c>
      <c r="ER778" s="16" t="s">
        <v>151</v>
      </c>
      <c r="ES778" s="3">
        <f>HYPERLINK("https://my.pitchbook.com?c=519418-00","View Company Online")</f>
      </c>
    </row>
    <row r="779">
      <c r="A779" s="30" t="s">
        <v>15926</v>
      </c>
      <c r="B779" s="30" t="s">
        <v>15927</v>
      </c>
      <c r="C779" s="31" t="s">
        <v>151</v>
      </c>
      <c r="D779" s="30" t="s">
        <v>151</v>
      </c>
      <c r="E779" s="30" t="s">
        <v>15928</v>
      </c>
      <c r="F779" s="30" t="s">
        <v>151</v>
      </c>
      <c r="G779" s="30" t="s">
        <v>151</v>
      </c>
      <c r="H779" s="30" t="s">
        <v>151</v>
      </c>
      <c r="I779" s="30" t="s">
        <v>151</v>
      </c>
      <c r="J779" s="30" t="s">
        <v>15926</v>
      </c>
      <c r="K779" s="30" t="s">
        <v>15929</v>
      </c>
      <c r="L779" s="30" t="s">
        <v>205</v>
      </c>
      <c r="M779" s="30" t="s">
        <v>206</v>
      </c>
      <c r="N779" s="30" t="s">
        <v>269</v>
      </c>
      <c r="O779" s="30" t="s">
        <v>1819</v>
      </c>
      <c r="P779" s="30" t="s">
        <v>1153</v>
      </c>
      <c r="Q779" s="30" t="s">
        <v>15930</v>
      </c>
      <c r="R779" s="30" t="s">
        <v>780</v>
      </c>
      <c r="S779" s="30" t="s">
        <v>162</v>
      </c>
      <c r="T779" s="37">
        <v>1.7</v>
      </c>
      <c r="U779" s="30" t="s">
        <v>163</v>
      </c>
      <c r="V779" s="30" t="s">
        <v>164</v>
      </c>
      <c r="W779" s="30" t="s">
        <v>165</v>
      </c>
      <c r="X779" s="28" t="s">
        <v>15931</v>
      </c>
      <c r="Y779" s="28" t="s">
        <v>15932</v>
      </c>
      <c r="Z779" s="40">
        <v>2</v>
      </c>
      <c r="AA779" s="30" t="s">
        <v>6077</v>
      </c>
      <c r="AB779" s="30" t="s">
        <v>151</v>
      </c>
      <c r="AC779" s="30" t="s">
        <v>151</v>
      </c>
      <c r="AD779" s="39">
        <v>2024</v>
      </c>
      <c r="AE779" s="30" t="s">
        <v>151</v>
      </c>
      <c r="AF779" s="35">
        <v>45400</v>
      </c>
      <c r="AG779" s="30" t="s">
        <v>151</v>
      </c>
      <c r="AH779" s="30" t="s">
        <v>151</v>
      </c>
      <c r="AI779" s="38" t="s">
        <v>151</v>
      </c>
      <c r="AJ779" s="32" t="s">
        <v>151</v>
      </c>
      <c r="AK779" s="38" t="s">
        <v>151</v>
      </c>
      <c r="AL779" s="38" t="s">
        <v>151</v>
      </c>
      <c r="AM779" s="38" t="s">
        <v>151</v>
      </c>
      <c r="AN779" s="38" t="s">
        <v>151</v>
      </c>
      <c r="AO779" s="38" t="s">
        <v>151</v>
      </c>
      <c r="AP779" s="38" t="s">
        <v>151</v>
      </c>
      <c r="AQ779" s="38" t="s">
        <v>151</v>
      </c>
      <c r="AR779" s="29" t="s">
        <v>151</v>
      </c>
      <c r="AS779" s="30" t="s">
        <v>15933</v>
      </c>
      <c r="AT779" s="30" t="s">
        <v>15934</v>
      </c>
      <c r="AU779" s="31">
        <v>1</v>
      </c>
      <c r="AV779" s="30" t="s">
        <v>151</v>
      </c>
      <c r="AW779" s="30" t="s">
        <v>151</v>
      </c>
      <c r="AX779" s="30" t="s">
        <v>151</v>
      </c>
      <c r="AY779" s="30" t="s">
        <v>15935</v>
      </c>
      <c r="AZ779" s="30" t="s">
        <v>151</v>
      </c>
      <c r="BA779" s="30" t="s">
        <v>151</v>
      </c>
      <c r="BB779" s="30" t="s">
        <v>151</v>
      </c>
      <c r="BC779" s="30" t="s">
        <v>1115</v>
      </c>
      <c r="BD779" s="30" t="s">
        <v>15936</v>
      </c>
      <c r="BE779" s="30" t="s">
        <v>15937</v>
      </c>
      <c r="BF779" s="30" t="s">
        <v>221</v>
      </c>
      <c r="BG779" s="30" t="s">
        <v>151</v>
      </c>
      <c r="BH779" s="30" t="s">
        <v>151</v>
      </c>
      <c r="BI779" s="30" t="s">
        <v>906</v>
      </c>
      <c r="BJ779" s="30" t="s">
        <v>151</v>
      </c>
      <c r="BK779" s="30" t="s">
        <v>151</v>
      </c>
      <c r="BL779" s="30" t="s">
        <v>259</v>
      </c>
      <c r="BM779" s="30" t="s">
        <v>259</v>
      </c>
      <c r="BN779" s="29" t="s">
        <v>151</v>
      </c>
      <c r="BO779" s="30" t="s">
        <v>186</v>
      </c>
      <c r="BP779" s="29" t="s">
        <v>151</v>
      </c>
      <c r="BQ779" s="29" t="s">
        <v>151</v>
      </c>
      <c r="BR779" s="30" t="s">
        <v>151</v>
      </c>
      <c r="BS779" s="30" t="s">
        <v>187</v>
      </c>
      <c r="BT779" s="30" t="s">
        <v>188</v>
      </c>
      <c r="BU779" s="35">
        <v>45352</v>
      </c>
      <c r="BV779" s="37">
        <v>1.7</v>
      </c>
      <c r="BW779" s="30" t="s">
        <v>192</v>
      </c>
      <c r="BX779" s="37" t="s">
        <v>151</v>
      </c>
      <c r="BY779" s="30" t="s">
        <v>151</v>
      </c>
      <c r="BZ779" s="30" t="s">
        <v>231</v>
      </c>
      <c r="CA779" s="30" t="s">
        <v>151</v>
      </c>
      <c r="CB779" s="30" t="s">
        <v>151</v>
      </c>
      <c r="CC779" s="30" t="s">
        <v>165</v>
      </c>
      <c r="CD779" s="30" t="s">
        <v>151</v>
      </c>
      <c r="CE779" s="30" t="s">
        <v>191</v>
      </c>
      <c r="CF779" s="35">
        <v>45352</v>
      </c>
      <c r="CG779" s="37">
        <v>1.7</v>
      </c>
      <c r="CH779" s="30" t="s">
        <v>192</v>
      </c>
      <c r="CI779" s="37" t="s">
        <v>151</v>
      </c>
      <c r="CJ779" s="30" t="s">
        <v>151</v>
      </c>
      <c r="CK779" s="29" t="s">
        <v>151</v>
      </c>
      <c r="CL779" s="30" t="s">
        <v>231</v>
      </c>
      <c r="CM779" s="30" t="s">
        <v>151</v>
      </c>
      <c r="CN779" s="30" t="s">
        <v>151</v>
      </c>
      <c r="CO779" s="30" t="s">
        <v>165</v>
      </c>
      <c r="CP779" s="35">
        <v>45352</v>
      </c>
      <c r="CQ779" s="37" t="s">
        <v>151</v>
      </c>
      <c r="CR779" s="30" t="s">
        <v>151</v>
      </c>
      <c r="CS779" s="30" t="s">
        <v>191</v>
      </c>
      <c r="CT779" s="29" t="s">
        <v>151</v>
      </c>
      <c r="CU779" s="30" t="s">
        <v>151</v>
      </c>
      <c r="CV779" s="32" t="s">
        <v>151</v>
      </c>
      <c r="CW779" s="32" t="s">
        <v>151</v>
      </c>
      <c r="CX779" s="30" t="s">
        <v>151</v>
      </c>
      <c r="CY779" s="32" t="s">
        <v>151</v>
      </c>
      <c r="CZ779" s="32" t="s">
        <v>151</v>
      </c>
      <c r="DA779" s="37" t="s">
        <v>151</v>
      </c>
      <c r="DB779" s="35" t="s">
        <v>151</v>
      </c>
      <c r="DC779" s="30" t="s">
        <v>151</v>
      </c>
      <c r="DD779" s="29" t="s">
        <v>151</v>
      </c>
      <c r="DE779" s="32">
        <v>0</v>
      </c>
      <c r="DF779" s="34">
        <v>11</v>
      </c>
      <c r="DG779" s="32">
        <v>0</v>
      </c>
      <c r="DH779" s="32">
        <v>0</v>
      </c>
      <c r="DI779" s="32">
        <v>0</v>
      </c>
      <c r="DJ779" s="34">
        <v>10</v>
      </c>
      <c r="DK779" s="32" t="s">
        <v>151</v>
      </c>
      <c r="DL779" s="34" t="s">
        <v>151</v>
      </c>
      <c r="DM779" s="32">
        <v>0</v>
      </c>
      <c r="DN779" s="34">
        <v>10</v>
      </c>
      <c r="DO779" s="36">
        <v>0.29</v>
      </c>
      <c r="DP779" s="34">
        <v>21</v>
      </c>
      <c r="DQ779" s="36">
        <v>0</v>
      </c>
      <c r="DR779" s="32">
        <v>0</v>
      </c>
      <c r="DS779" s="36">
        <v>0.42</v>
      </c>
      <c r="DT779" s="34">
        <v>29</v>
      </c>
      <c r="DU779" s="36" t="s">
        <v>151</v>
      </c>
      <c r="DV779" s="34" t="s">
        <v>151</v>
      </c>
      <c r="DW779" s="36">
        <v>0.42</v>
      </c>
      <c r="DX779" s="34">
        <v>29</v>
      </c>
      <c r="DY779" s="31" t="s">
        <v>151</v>
      </c>
      <c r="DZ779" s="35" t="s">
        <v>151</v>
      </c>
      <c r="EA779" s="35" t="s">
        <v>151</v>
      </c>
      <c r="EB779" s="34">
        <v>1325</v>
      </c>
      <c r="EC779" s="33">
        <v>-224</v>
      </c>
      <c r="ED779" s="32">
        <v>-14.46</v>
      </c>
      <c r="EE779" s="34">
        <v>8</v>
      </c>
      <c r="EF779" s="33">
        <v>0</v>
      </c>
      <c r="EG779" s="32">
        <v>0</v>
      </c>
      <c r="EH779" s="29" t="s">
        <v>198</v>
      </c>
      <c r="EI779" s="30" t="s">
        <v>151</v>
      </c>
      <c r="EJ779" s="30" t="s">
        <v>151</v>
      </c>
      <c r="EK779" s="31" t="s">
        <v>151</v>
      </c>
      <c r="EL779" s="31" t="s">
        <v>151</v>
      </c>
      <c r="EM779" s="31" t="s">
        <v>151</v>
      </c>
      <c r="EN779" s="31" t="s">
        <v>151</v>
      </c>
      <c r="EO779" s="31" t="s">
        <v>151</v>
      </c>
      <c r="EP779" s="30" t="s">
        <v>151</v>
      </c>
      <c r="EQ779" s="29" t="s">
        <v>151</v>
      </c>
      <c r="ER779" s="29" t="s">
        <v>151</v>
      </c>
      <c r="ES779" s="4">
        <f>HYPERLINK("https://my.pitchbook.com?c=589571-74","View Company Online")</f>
      </c>
    </row>
    <row r="780">
      <c r="A780" s="17" t="s">
        <v>15938</v>
      </c>
      <c r="B780" s="17" t="s">
        <v>15939</v>
      </c>
      <c r="C780" s="18" t="s">
        <v>151</v>
      </c>
      <c r="D780" s="17" t="s">
        <v>151</v>
      </c>
      <c r="E780" s="17" t="s">
        <v>151</v>
      </c>
      <c r="F780" s="17" t="s">
        <v>151</v>
      </c>
      <c r="G780" s="17" t="s">
        <v>151</v>
      </c>
      <c r="H780" s="17" t="s">
        <v>151</v>
      </c>
      <c r="I780" s="17" t="s">
        <v>151</v>
      </c>
      <c r="J780" s="17" t="s">
        <v>15938</v>
      </c>
      <c r="K780" s="17" t="s">
        <v>15940</v>
      </c>
      <c r="L780" s="17" t="s">
        <v>205</v>
      </c>
      <c r="M780" s="17" t="s">
        <v>206</v>
      </c>
      <c r="N780" s="17" t="s">
        <v>269</v>
      </c>
      <c r="O780" s="17" t="s">
        <v>1819</v>
      </c>
      <c r="P780" s="17" t="s">
        <v>15941</v>
      </c>
      <c r="Q780" s="17" t="s">
        <v>15942</v>
      </c>
      <c r="R780" s="17" t="s">
        <v>151</v>
      </c>
      <c r="S780" s="17" t="s">
        <v>162</v>
      </c>
      <c r="T780" s="24">
        <v>0.6</v>
      </c>
      <c r="U780" s="17" t="s">
        <v>163</v>
      </c>
      <c r="V780" s="17" t="s">
        <v>164</v>
      </c>
      <c r="W780" s="17" t="s">
        <v>165</v>
      </c>
      <c r="X780" s="15" t="s">
        <v>15943</v>
      </c>
      <c r="Y780" s="15" t="s">
        <v>15944</v>
      </c>
      <c r="Z780" s="27">
        <v>26</v>
      </c>
      <c r="AA780" s="17" t="s">
        <v>15945</v>
      </c>
      <c r="AB780" s="17" t="s">
        <v>151</v>
      </c>
      <c r="AC780" s="17" t="s">
        <v>151</v>
      </c>
      <c r="AD780" s="26">
        <v>2021</v>
      </c>
      <c r="AE780" s="17" t="s">
        <v>151</v>
      </c>
      <c r="AF780" s="22">
        <v>45470</v>
      </c>
      <c r="AG780" s="17" t="s">
        <v>151</v>
      </c>
      <c r="AH780" s="17" t="s">
        <v>151</v>
      </c>
      <c r="AI780" s="25" t="s">
        <v>151</v>
      </c>
      <c r="AJ780" s="19" t="s">
        <v>151</v>
      </c>
      <c r="AK780" s="25" t="s">
        <v>151</v>
      </c>
      <c r="AL780" s="25" t="s">
        <v>151</v>
      </c>
      <c r="AM780" s="25" t="s">
        <v>151</v>
      </c>
      <c r="AN780" s="25" t="s">
        <v>151</v>
      </c>
      <c r="AO780" s="25" t="s">
        <v>151</v>
      </c>
      <c r="AP780" s="25" t="s">
        <v>151</v>
      </c>
      <c r="AQ780" s="25" t="s">
        <v>151</v>
      </c>
      <c r="AR780" s="16" t="s">
        <v>151</v>
      </c>
      <c r="AS780" s="17" t="s">
        <v>15946</v>
      </c>
      <c r="AT780" s="17" t="s">
        <v>15947</v>
      </c>
      <c r="AU780" s="18">
        <v>3</v>
      </c>
      <c r="AV780" s="17" t="s">
        <v>151</v>
      </c>
      <c r="AW780" s="17" t="s">
        <v>151</v>
      </c>
      <c r="AX780" s="17" t="s">
        <v>151</v>
      </c>
      <c r="AY780" s="17" t="s">
        <v>15948</v>
      </c>
      <c r="AZ780" s="17" t="s">
        <v>151</v>
      </c>
      <c r="BA780" s="17" t="s">
        <v>151</v>
      </c>
      <c r="BB780" s="17" t="s">
        <v>151</v>
      </c>
      <c r="BC780" s="17" t="s">
        <v>151</v>
      </c>
      <c r="BD780" s="17" t="s">
        <v>15949</v>
      </c>
      <c r="BE780" s="17" t="s">
        <v>15950</v>
      </c>
      <c r="BF780" s="17" t="s">
        <v>221</v>
      </c>
      <c r="BG780" s="17" t="s">
        <v>15951</v>
      </c>
      <c r="BH780" s="17" t="s">
        <v>151</v>
      </c>
      <c r="BI780" s="17" t="s">
        <v>906</v>
      </c>
      <c r="BJ780" s="17" t="s">
        <v>151</v>
      </c>
      <c r="BK780" s="17" t="s">
        <v>151</v>
      </c>
      <c r="BL780" s="17" t="s">
        <v>259</v>
      </c>
      <c r="BM780" s="17" t="s">
        <v>259</v>
      </c>
      <c r="BN780" s="16" t="s">
        <v>151</v>
      </c>
      <c r="BO780" s="17" t="s">
        <v>186</v>
      </c>
      <c r="BP780" s="16" t="s">
        <v>151</v>
      </c>
      <c r="BQ780" s="16" t="s">
        <v>151</v>
      </c>
      <c r="BR780" s="17" t="s">
        <v>151</v>
      </c>
      <c r="BS780" s="17" t="s">
        <v>187</v>
      </c>
      <c r="BT780" s="17" t="s">
        <v>188</v>
      </c>
      <c r="BU780" s="22">
        <v>44409</v>
      </c>
      <c r="BV780" s="24">
        <v>0.6</v>
      </c>
      <c r="BW780" s="17" t="s">
        <v>192</v>
      </c>
      <c r="BX780" s="24" t="s">
        <v>151</v>
      </c>
      <c r="BY780" s="17" t="s">
        <v>151</v>
      </c>
      <c r="BZ780" s="17" t="s">
        <v>293</v>
      </c>
      <c r="CA780" s="17" t="s">
        <v>293</v>
      </c>
      <c r="CB780" s="17" t="s">
        <v>151</v>
      </c>
      <c r="CC780" s="17" t="s">
        <v>165</v>
      </c>
      <c r="CD780" s="17" t="s">
        <v>151</v>
      </c>
      <c r="CE780" s="17" t="s">
        <v>191</v>
      </c>
      <c r="CF780" s="22">
        <v>44409</v>
      </c>
      <c r="CG780" s="24">
        <v>0.6</v>
      </c>
      <c r="CH780" s="17" t="s">
        <v>192</v>
      </c>
      <c r="CI780" s="24" t="s">
        <v>151</v>
      </c>
      <c r="CJ780" s="17" t="s">
        <v>151</v>
      </c>
      <c r="CK780" s="16" t="s">
        <v>151</v>
      </c>
      <c r="CL780" s="17" t="s">
        <v>293</v>
      </c>
      <c r="CM780" s="17" t="s">
        <v>293</v>
      </c>
      <c r="CN780" s="17" t="s">
        <v>151</v>
      </c>
      <c r="CO780" s="17" t="s">
        <v>165</v>
      </c>
      <c r="CP780" s="22">
        <v>44409</v>
      </c>
      <c r="CQ780" s="24" t="s">
        <v>151</v>
      </c>
      <c r="CR780" s="17" t="s">
        <v>151</v>
      </c>
      <c r="CS780" s="17" t="s">
        <v>191</v>
      </c>
      <c r="CT780" s="16" t="s">
        <v>151</v>
      </c>
      <c r="CU780" s="17" t="s">
        <v>151</v>
      </c>
      <c r="CV780" s="19" t="s">
        <v>151</v>
      </c>
      <c r="CW780" s="19" t="s">
        <v>151</v>
      </c>
      <c r="CX780" s="17" t="s">
        <v>151</v>
      </c>
      <c r="CY780" s="19" t="s">
        <v>151</v>
      </c>
      <c r="CZ780" s="19" t="s">
        <v>151</v>
      </c>
      <c r="DA780" s="24" t="s">
        <v>151</v>
      </c>
      <c r="DB780" s="22" t="s">
        <v>151</v>
      </c>
      <c r="DC780" s="17" t="s">
        <v>151</v>
      </c>
      <c r="DD780" s="16" t="s">
        <v>151</v>
      </c>
      <c r="DE780" s="19">
        <v>-0.23</v>
      </c>
      <c r="DF780" s="21">
        <v>9</v>
      </c>
      <c r="DG780" s="19">
        <v>0</v>
      </c>
      <c r="DH780" s="19">
        <v>0</v>
      </c>
      <c r="DI780" s="19">
        <v>0</v>
      </c>
      <c r="DJ780" s="21">
        <v>10</v>
      </c>
      <c r="DK780" s="19" t="s">
        <v>151</v>
      </c>
      <c r="DL780" s="21" t="s">
        <v>151</v>
      </c>
      <c r="DM780" s="19">
        <v>0</v>
      </c>
      <c r="DN780" s="21">
        <v>10</v>
      </c>
      <c r="DO780" s="23">
        <v>1.21</v>
      </c>
      <c r="DP780" s="21">
        <v>54</v>
      </c>
      <c r="DQ780" s="23">
        <v>0</v>
      </c>
      <c r="DR780" s="19">
        <v>0</v>
      </c>
      <c r="DS780" s="23">
        <v>0.42</v>
      </c>
      <c r="DT780" s="21">
        <v>29</v>
      </c>
      <c r="DU780" s="23" t="s">
        <v>151</v>
      </c>
      <c r="DV780" s="21" t="s">
        <v>151</v>
      </c>
      <c r="DW780" s="23">
        <v>0.42</v>
      </c>
      <c r="DX780" s="21">
        <v>29</v>
      </c>
      <c r="DY780" s="18" t="s">
        <v>151</v>
      </c>
      <c r="DZ780" s="22" t="s">
        <v>151</v>
      </c>
      <c r="EA780" s="22" t="s">
        <v>151</v>
      </c>
      <c r="EB780" s="21">
        <v>292</v>
      </c>
      <c r="EC780" s="20">
        <v>19</v>
      </c>
      <c r="ED780" s="19">
        <v>6.96</v>
      </c>
      <c r="EE780" s="21">
        <v>8</v>
      </c>
      <c r="EF780" s="20">
        <v>0</v>
      </c>
      <c r="EG780" s="19">
        <v>0</v>
      </c>
      <c r="EH780" s="16" t="s">
        <v>198</v>
      </c>
      <c r="EI780" s="17" t="s">
        <v>151</v>
      </c>
      <c r="EJ780" s="17" t="s">
        <v>151</v>
      </c>
      <c r="EK780" s="18" t="s">
        <v>151</v>
      </c>
      <c r="EL780" s="18" t="s">
        <v>151</v>
      </c>
      <c r="EM780" s="18" t="s">
        <v>151</v>
      </c>
      <c r="EN780" s="18" t="s">
        <v>151</v>
      </c>
      <c r="EO780" s="18" t="s">
        <v>151</v>
      </c>
      <c r="EP780" s="17" t="s">
        <v>151</v>
      </c>
      <c r="EQ780" s="16" t="s">
        <v>151</v>
      </c>
      <c r="ER780" s="16" t="s">
        <v>151</v>
      </c>
      <c r="ES780" s="3">
        <f>HYPERLINK("https://my.pitchbook.com?c=510241-24","View Company Online")</f>
      </c>
    </row>
    <row r="781">
      <c r="A781" s="30" t="s">
        <v>15952</v>
      </c>
      <c r="B781" s="30" t="s">
        <v>15953</v>
      </c>
      <c r="C781" s="31" t="s">
        <v>151</v>
      </c>
      <c r="D781" s="30" t="s">
        <v>15954</v>
      </c>
      <c r="E781" s="30" t="s">
        <v>151</v>
      </c>
      <c r="F781" s="30" t="s">
        <v>15955</v>
      </c>
      <c r="G781" s="30" t="s">
        <v>151</v>
      </c>
      <c r="H781" s="30" t="s">
        <v>151</v>
      </c>
      <c r="I781" s="30" t="s">
        <v>15956</v>
      </c>
      <c r="J781" s="30" t="s">
        <v>15952</v>
      </c>
      <c r="K781" s="30" t="s">
        <v>15957</v>
      </c>
      <c r="L781" s="30" t="s">
        <v>205</v>
      </c>
      <c r="M781" s="30" t="s">
        <v>206</v>
      </c>
      <c r="N781" s="30" t="s">
        <v>269</v>
      </c>
      <c r="O781" s="30" t="s">
        <v>1651</v>
      </c>
      <c r="P781" s="30" t="s">
        <v>15958</v>
      </c>
      <c r="Q781" s="30" t="s">
        <v>15959</v>
      </c>
      <c r="R781" s="30" t="s">
        <v>151</v>
      </c>
      <c r="S781" s="30" t="s">
        <v>162</v>
      </c>
      <c r="T781" s="37">
        <v>3.5</v>
      </c>
      <c r="U781" s="30" t="s">
        <v>163</v>
      </c>
      <c r="V781" s="30" t="s">
        <v>164</v>
      </c>
      <c r="W781" s="30" t="s">
        <v>806</v>
      </c>
      <c r="X781" s="28" t="s">
        <v>15960</v>
      </c>
      <c r="Y781" s="28" t="s">
        <v>15961</v>
      </c>
      <c r="Z781" s="40">
        <v>12</v>
      </c>
      <c r="AA781" s="30" t="s">
        <v>15962</v>
      </c>
      <c r="AB781" s="30" t="s">
        <v>151</v>
      </c>
      <c r="AC781" s="30" t="s">
        <v>151</v>
      </c>
      <c r="AD781" s="39">
        <v>2016</v>
      </c>
      <c r="AE781" s="30" t="s">
        <v>151</v>
      </c>
      <c r="AF781" s="35">
        <v>45510</v>
      </c>
      <c r="AG781" s="30" t="s">
        <v>151</v>
      </c>
      <c r="AH781" s="30" t="s">
        <v>151</v>
      </c>
      <c r="AI781" s="38" t="s">
        <v>151</v>
      </c>
      <c r="AJ781" s="32" t="s">
        <v>151</v>
      </c>
      <c r="AK781" s="38" t="s">
        <v>151</v>
      </c>
      <c r="AL781" s="38" t="s">
        <v>151</v>
      </c>
      <c r="AM781" s="38" t="s">
        <v>151</v>
      </c>
      <c r="AN781" s="38" t="s">
        <v>151</v>
      </c>
      <c r="AO781" s="38" t="s">
        <v>151</v>
      </c>
      <c r="AP781" s="38" t="s">
        <v>151</v>
      </c>
      <c r="AQ781" s="38" t="s">
        <v>151</v>
      </c>
      <c r="AR781" s="29" t="s">
        <v>151</v>
      </c>
      <c r="AS781" s="30" t="s">
        <v>15963</v>
      </c>
      <c r="AT781" s="30" t="s">
        <v>15964</v>
      </c>
      <c r="AU781" s="31">
        <v>3</v>
      </c>
      <c r="AV781" s="30" t="s">
        <v>151</v>
      </c>
      <c r="AW781" s="30" t="s">
        <v>151</v>
      </c>
      <c r="AX781" s="30" t="s">
        <v>151</v>
      </c>
      <c r="AY781" s="30" t="s">
        <v>15965</v>
      </c>
      <c r="AZ781" s="30" t="s">
        <v>151</v>
      </c>
      <c r="BA781" s="30" t="s">
        <v>151</v>
      </c>
      <c r="BB781" s="30" t="s">
        <v>15966</v>
      </c>
      <c r="BC781" s="30" t="s">
        <v>4213</v>
      </c>
      <c r="BD781" s="30" t="s">
        <v>15967</v>
      </c>
      <c r="BE781" s="30" t="s">
        <v>15968</v>
      </c>
      <c r="BF781" s="30" t="s">
        <v>3909</v>
      </c>
      <c r="BG781" s="30" t="s">
        <v>15969</v>
      </c>
      <c r="BH781" s="30" t="s">
        <v>15970</v>
      </c>
      <c r="BI781" s="30" t="s">
        <v>1144</v>
      </c>
      <c r="BJ781" s="30" t="s">
        <v>15971</v>
      </c>
      <c r="BK781" s="30" t="s">
        <v>15972</v>
      </c>
      <c r="BL781" s="30" t="s">
        <v>1145</v>
      </c>
      <c r="BM781" s="30" t="s">
        <v>184</v>
      </c>
      <c r="BN781" s="29" t="s">
        <v>7452</v>
      </c>
      <c r="BO781" s="30" t="s">
        <v>186</v>
      </c>
      <c r="BP781" s="29" t="s">
        <v>15970</v>
      </c>
      <c r="BQ781" s="29" t="s">
        <v>151</v>
      </c>
      <c r="BR781" s="30" t="s">
        <v>15973</v>
      </c>
      <c r="BS781" s="30" t="s">
        <v>187</v>
      </c>
      <c r="BT781" s="30" t="s">
        <v>188</v>
      </c>
      <c r="BU781" s="35">
        <v>43467</v>
      </c>
      <c r="BV781" s="37">
        <v>0.25</v>
      </c>
      <c r="BW781" s="30" t="s">
        <v>192</v>
      </c>
      <c r="BX781" s="37" t="s">
        <v>151</v>
      </c>
      <c r="BY781" s="30" t="s">
        <v>151</v>
      </c>
      <c r="BZ781" s="30" t="s">
        <v>385</v>
      </c>
      <c r="CA781" s="30" t="s">
        <v>385</v>
      </c>
      <c r="CB781" s="30" t="s">
        <v>151</v>
      </c>
      <c r="CC781" s="30" t="s">
        <v>385</v>
      </c>
      <c r="CD781" s="30" t="s">
        <v>151</v>
      </c>
      <c r="CE781" s="30" t="s">
        <v>191</v>
      </c>
      <c r="CF781" s="35">
        <v>43889</v>
      </c>
      <c r="CG781" s="37">
        <v>3</v>
      </c>
      <c r="CH781" s="30" t="s">
        <v>192</v>
      </c>
      <c r="CI781" s="37">
        <v>15</v>
      </c>
      <c r="CJ781" s="30" t="s">
        <v>192</v>
      </c>
      <c r="CK781" s="29" t="s">
        <v>151</v>
      </c>
      <c r="CL781" s="30" t="s">
        <v>293</v>
      </c>
      <c r="CM781" s="30" t="s">
        <v>293</v>
      </c>
      <c r="CN781" s="30" t="s">
        <v>151</v>
      </c>
      <c r="CO781" s="30" t="s">
        <v>165</v>
      </c>
      <c r="CP781" s="35">
        <v>43889</v>
      </c>
      <c r="CQ781" s="37" t="s">
        <v>151</v>
      </c>
      <c r="CR781" s="30" t="s">
        <v>151</v>
      </c>
      <c r="CS781" s="30" t="s">
        <v>191</v>
      </c>
      <c r="CT781" s="29">
        <v>7</v>
      </c>
      <c r="CU781" s="30" t="s">
        <v>263</v>
      </c>
      <c r="CV781" s="32">
        <v>7</v>
      </c>
      <c r="CW781" s="32">
        <v>93</v>
      </c>
      <c r="CX781" s="30" t="s">
        <v>263</v>
      </c>
      <c r="CY781" s="32">
        <v>1</v>
      </c>
      <c r="CZ781" s="32">
        <v>6</v>
      </c>
      <c r="DA781" s="37">
        <v>15</v>
      </c>
      <c r="DB781" s="35">
        <v>43889</v>
      </c>
      <c r="DC781" s="30" t="s">
        <v>293</v>
      </c>
      <c r="DD781" s="29" t="s">
        <v>151</v>
      </c>
      <c r="DE781" s="32">
        <v>0</v>
      </c>
      <c r="DF781" s="34">
        <v>11</v>
      </c>
      <c r="DG781" s="32">
        <v>0</v>
      </c>
      <c r="DH781" s="32">
        <v>0</v>
      </c>
      <c r="DI781" s="32">
        <v>0</v>
      </c>
      <c r="DJ781" s="34">
        <v>10</v>
      </c>
      <c r="DK781" s="32" t="s">
        <v>151</v>
      </c>
      <c r="DL781" s="34" t="s">
        <v>151</v>
      </c>
      <c r="DM781" s="32">
        <v>0</v>
      </c>
      <c r="DN781" s="34">
        <v>10</v>
      </c>
      <c r="DO781" s="36">
        <v>0.75</v>
      </c>
      <c r="DP781" s="34">
        <v>43</v>
      </c>
      <c r="DQ781" s="36">
        <v>0</v>
      </c>
      <c r="DR781" s="32">
        <v>0</v>
      </c>
      <c r="DS781" s="36">
        <v>1.42</v>
      </c>
      <c r="DT781" s="34">
        <v>58</v>
      </c>
      <c r="DU781" s="36" t="s">
        <v>151</v>
      </c>
      <c r="DV781" s="34" t="s">
        <v>151</v>
      </c>
      <c r="DW781" s="36">
        <v>1.42</v>
      </c>
      <c r="DX781" s="34">
        <v>57</v>
      </c>
      <c r="DY781" s="31" t="s">
        <v>151</v>
      </c>
      <c r="DZ781" s="35" t="s">
        <v>151</v>
      </c>
      <c r="EA781" s="35" t="s">
        <v>151</v>
      </c>
      <c r="EB781" s="34">
        <v>0</v>
      </c>
      <c r="EC781" s="33">
        <v>0</v>
      </c>
      <c r="ED781" s="32">
        <v>0</v>
      </c>
      <c r="EE781" s="34">
        <v>27</v>
      </c>
      <c r="EF781" s="33">
        <v>0</v>
      </c>
      <c r="EG781" s="32">
        <v>0</v>
      </c>
      <c r="EH781" s="29" t="s">
        <v>198</v>
      </c>
      <c r="EI781" s="30" t="s">
        <v>151</v>
      </c>
      <c r="EJ781" s="30" t="s">
        <v>151</v>
      </c>
      <c r="EK781" s="31" t="s">
        <v>151</v>
      </c>
      <c r="EL781" s="31" t="s">
        <v>151</v>
      </c>
      <c r="EM781" s="31" t="s">
        <v>151</v>
      </c>
      <c r="EN781" s="31" t="s">
        <v>151</v>
      </c>
      <c r="EO781" s="31" t="s">
        <v>151</v>
      </c>
      <c r="EP781" s="30" t="s">
        <v>151</v>
      </c>
      <c r="EQ781" s="29" t="s">
        <v>151</v>
      </c>
      <c r="ER781" s="29" t="s">
        <v>151</v>
      </c>
      <c r="ES781" s="4">
        <f>HYPERLINK("https://my.pitchbook.com?c=279647-92","View Company Online")</f>
      </c>
    </row>
    <row r="782">
      <c r="A782" s="17" t="s">
        <v>15974</v>
      </c>
      <c r="B782" s="17" t="s">
        <v>15975</v>
      </c>
      <c r="C782" s="18" t="s">
        <v>151</v>
      </c>
      <c r="D782" s="17" t="s">
        <v>151</v>
      </c>
      <c r="E782" s="17" t="s">
        <v>151</v>
      </c>
      <c r="F782" s="17" t="s">
        <v>15976</v>
      </c>
      <c r="G782" s="17" t="s">
        <v>151</v>
      </c>
      <c r="H782" s="17" t="s">
        <v>151</v>
      </c>
      <c r="I782" s="17" t="s">
        <v>15977</v>
      </c>
      <c r="J782" s="17" t="s">
        <v>15974</v>
      </c>
      <c r="K782" s="17" t="s">
        <v>15978</v>
      </c>
      <c r="L782" s="17" t="s">
        <v>205</v>
      </c>
      <c r="M782" s="17" t="s">
        <v>206</v>
      </c>
      <c r="N782" s="17" t="s">
        <v>269</v>
      </c>
      <c r="O782" s="17" t="s">
        <v>563</v>
      </c>
      <c r="P782" s="17" t="s">
        <v>1153</v>
      </c>
      <c r="Q782" s="17" t="s">
        <v>15979</v>
      </c>
      <c r="R782" s="17" t="s">
        <v>151</v>
      </c>
      <c r="S782" s="17" t="s">
        <v>162</v>
      </c>
      <c r="T782" s="24">
        <v>2</v>
      </c>
      <c r="U782" s="17" t="s">
        <v>163</v>
      </c>
      <c r="V782" s="17" t="s">
        <v>164</v>
      </c>
      <c r="W782" s="17" t="s">
        <v>165</v>
      </c>
      <c r="X782" s="15" t="s">
        <v>15980</v>
      </c>
      <c r="Y782" s="15" t="s">
        <v>15981</v>
      </c>
      <c r="Z782" s="27">
        <v>8</v>
      </c>
      <c r="AA782" s="17" t="s">
        <v>9632</v>
      </c>
      <c r="AB782" s="17" t="s">
        <v>151</v>
      </c>
      <c r="AC782" s="17" t="s">
        <v>151</v>
      </c>
      <c r="AD782" s="26">
        <v>2023</v>
      </c>
      <c r="AE782" s="17" t="s">
        <v>151</v>
      </c>
      <c r="AF782" s="22">
        <v>45601</v>
      </c>
      <c r="AG782" s="17" t="s">
        <v>151</v>
      </c>
      <c r="AH782" s="17" t="s">
        <v>151</v>
      </c>
      <c r="AI782" s="25" t="s">
        <v>151</v>
      </c>
      <c r="AJ782" s="19" t="s">
        <v>151</v>
      </c>
      <c r="AK782" s="25" t="s">
        <v>151</v>
      </c>
      <c r="AL782" s="25" t="s">
        <v>151</v>
      </c>
      <c r="AM782" s="25" t="s">
        <v>151</v>
      </c>
      <c r="AN782" s="25" t="s">
        <v>151</v>
      </c>
      <c r="AO782" s="25" t="s">
        <v>151</v>
      </c>
      <c r="AP782" s="25" t="s">
        <v>151</v>
      </c>
      <c r="AQ782" s="25" t="s">
        <v>151</v>
      </c>
      <c r="AR782" s="16" t="s">
        <v>151</v>
      </c>
      <c r="AS782" s="17" t="s">
        <v>15982</v>
      </c>
      <c r="AT782" s="17" t="s">
        <v>15983</v>
      </c>
      <c r="AU782" s="18">
        <v>5</v>
      </c>
      <c r="AV782" s="17" t="s">
        <v>151</v>
      </c>
      <c r="AW782" s="17" t="s">
        <v>151</v>
      </c>
      <c r="AX782" s="17" t="s">
        <v>151</v>
      </c>
      <c r="AY782" s="17" t="s">
        <v>15984</v>
      </c>
      <c r="AZ782" s="17" t="s">
        <v>151</v>
      </c>
      <c r="BA782" s="17" t="s">
        <v>151</v>
      </c>
      <c r="BB782" s="17" t="s">
        <v>151</v>
      </c>
      <c r="BC782" s="17" t="s">
        <v>151</v>
      </c>
      <c r="BD782" s="17" t="s">
        <v>15985</v>
      </c>
      <c r="BE782" s="17" t="s">
        <v>15986</v>
      </c>
      <c r="BF782" s="17" t="s">
        <v>15987</v>
      </c>
      <c r="BG782" s="17" t="s">
        <v>151</v>
      </c>
      <c r="BH782" s="17" t="s">
        <v>151</v>
      </c>
      <c r="BI782" s="17" t="s">
        <v>15988</v>
      </c>
      <c r="BJ782" s="17" t="s">
        <v>15989</v>
      </c>
      <c r="BK782" s="17" t="s">
        <v>151</v>
      </c>
      <c r="BL782" s="17" t="s">
        <v>15990</v>
      </c>
      <c r="BM782" s="17" t="s">
        <v>9081</v>
      </c>
      <c r="BN782" s="16" t="s">
        <v>15991</v>
      </c>
      <c r="BO782" s="17" t="s">
        <v>186</v>
      </c>
      <c r="BP782" s="16" t="s">
        <v>151</v>
      </c>
      <c r="BQ782" s="16" t="s">
        <v>151</v>
      </c>
      <c r="BR782" s="17" t="s">
        <v>151</v>
      </c>
      <c r="BS782" s="17" t="s">
        <v>187</v>
      </c>
      <c r="BT782" s="17" t="s">
        <v>188</v>
      </c>
      <c r="BU782" s="22">
        <v>45586</v>
      </c>
      <c r="BV782" s="24">
        <v>2</v>
      </c>
      <c r="BW782" s="17" t="s">
        <v>192</v>
      </c>
      <c r="BX782" s="24" t="s">
        <v>151</v>
      </c>
      <c r="BY782" s="17" t="s">
        <v>151</v>
      </c>
      <c r="BZ782" s="17" t="s">
        <v>293</v>
      </c>
      <c r="CA782" s="17" t="s">
        <v>293</v>
      </c>
      <c r="CB782" s="17" t="s">
        <v>151</v>
      </c>
      <c r="CC782" s="17" t="s">
        <v>165</v>
      </c>
      <c r="CD782" s="17" t="s">
        <v>151</v>
      </c>
      <c r="CE782" s="17" t="s">
        <v>191</v>
      </c>
      <c r="CF782" s="22">
        <v>45586</v>
      </c>
      <c r="CG782" s="24">
        <v>2</v>
      </c>
      <c r="CH782" s="17" t="s">
        <v>192</v>
      </c>
      <c r="CI782" s="24" t="s">
        <v>151</v>
      </c>
      <c r="CJ782" s="17" t="s">
        <v>151</v>
      </c>
      <c r="CK782" s="16" t="s">
        <v>151</v>
      </c>
      <c r="CL782" s="17" t="s">
        <v>293</v>
      </c>
      <c r="CM782" s="17" t="s">
        <v>293</v>
      </c>
      <c r="CN782" s="17" t="s">
        <v>151</v>
      </c>
      <c r="CO782" s="17" t="s">
        <v>165</v>
      </c>
      <c r="CP782" s="22">
        <v>45586</v>
      </c>
      <c r="CQ782" s="24" t="s">
        <v>151</v>
      </c>
      <c r="CR782" s="17" t="s">
        <v>151</v>
      </c>
      <c r="CS782" s="17" t="s">
        <v>191</v>
      </c>
      <c r="CT782" s="16" t="s">
        <v>151</v>
      </c>
      <c r="CU782" s="17" t="s">
        <v>151</v>
      </c>
      <c r="CV782" s="19" t="s">
        <v>151</v>
      </c>
      <c r="CW782" s="19" t="s">
        <v>151</v>
      </c>
      <c r="CX782" s="17" t="s">
        <v>151</v>
      </c>
      <c r="CY782" s="19" t="s">
        <v>151</v>
      </c>
      <c r="CZ782" s="19" t="s">
        <v>151</v>
      </c>
      <c r="DA782" s="24" t="s">
        <v>151</v>
      </c>
      <c r="DB782" s="22" t="s">
        <v>151</v>
      </c>
      <c r="DC782" s="17" t="s">
        <v>151</v>
      </c>
      <c r="DD782" s="16" t="s">
        <v>151</v>
      </c>
      <c r="DE782" s="19" t="s">
        <v>151</v>
      </c>
      <c r="DF782" s="21" t="s">
        <v>151</v>
      </c>
      <c r="DG782" s="19" t="s">
        <v>151</v>
      </c>
      <c r="DH782" s="19" t="s">
        <v>151</v>
      </c>
      <c r="DI782" s="19" t="s">
        <v>151</v>
      </c>
      <c r="DJ782" s="21" t="s">
        <v>151</v>
      </c>
      <c r="DK782" s="19" t="s">
        <v>151</v>
      </c>
      <c r="DL782" s="21" t="s">
        <v>151</v>
      </c>
      <c r="DM782" s="19" t="s">
        <v>151</v>
      </c>
      <c r="DN782" s="21" t="s">
        <v>151</v>
      </c>
      <c r="DO782" s="23" t="s">
        <v>151</v>
      </c>
      <c r="DP782" s="21" t="s">
        <v>151</v>
      </c>
      <c r="DQ782" s="23" t="s">
        <v>151</v>
      </c>
      <c r="DR782" s="19" t="s">
        <v>151</v>
      </c>
      <c r="DS782" s="23" t="s">
        <v>151</v>
      </c>
      <c r="DT782" s="21" t="s">
        <v>151</v>
      </c>
      <c r="DU782" s="23" t="s">
        <v>151</v>
      </c>
      <c r="DV782" s="21" t="s">
        <v>151</v>
      </c>
      <c r="DW782" s="23" t="s">
        <v>151</v>
      </c>
      <c r="DX782" s="21" t="s">
        <v>151</v>
      </c>
      <c r="DY782" s="18" t="s">
        <v>151</v>
      </c>
      <c r="DZ782" s="22" t="s">
        <v>151</v>
      </c>
      <c r="EA782" s="22" t="s">
        <v>151</v>
      </c>
      <c r="EB782" s="21" t="s">
        <v>151</v>
      </c>
      <c r="EC782" s="20" t="s">
        <v>151</v>
      </c>
      <c r="ED782" s="19" t="s">
        <v>151</v>
      </c>
      <c r="EE782" s="21" t="s">
        <v>151</v>
      </c>
      <c r="EF782" s="20" t="s">
        <v>151</v>
      </c>
      <c r="EG782" s="19" t="s">
        <v>151</v>
      </c>
      <c r="EH782" s="16" t="s">
        <v>198</v>
      </c>
      <c r="EI782" s="17" t="s">
        <v>151</v>
      </c>
      <c r="EJ782" s="17" t="s">
        <v>151</v>
      </c>
      <c r="EK782" s="18" t="s">
        <v>151</v>
      </c>
      <c r="EL782" s="18" t="s">
        <v>151</v>
      </c>
      <c r="EM782" s="18" t="s">
        <v>151</v>
      </c>
      <c r="EN782" s="18" t="s">
        <v>151</v>
      </c>
      <c r="EO782" s="18" t="s">
        <v>151</v>
      </c>
      <c r="EP782" s="17" t="s">
        <v>151</v>
      </c>
      <c r="EQ782" s="16" t="s">
        <v>151</v>
      </c>
      <c r="ER782" s="16" t="s">
        <v>151</v>
      </c>
      <c r="ES782" s="3">
        <f>HYPERLINK("https://my.pitchbook.com?c=697182-40","View Company Online")</f>
      </c>
    </row>
    <row r="783">
      <c r="A783" s="30" t="s">
        <v>15992</v>
      </c>
      <c r="B783" s="30" t="s">
        <v>15993</v>
      </c>
      <c r="C783" s="31" t="s">
        <v>151</v>
      </c>
      <c r="D783" s="30" t="s">
        <v>151</v>
      </c>
      <c r="E783" s="30" t="s">
        <v>15994</v>
      </c>
      <c r="F783" s="30" t="s">
        <v>15995</v>
      </c>
      <c r="G783" s="30" t="s">
        <v>151</v>
      </c>
      <c r="H783" s="30" t="s">
        <v>151</v>
      </c>
      <c r="I783" s="30" t="s">
        <v>151</v>
      </c>
      <c r="J783" s="30" t="s">
        <v>15992</v>
      </c>
      <c r="K783" s="30" t="s">
        <v>15996</v>
      </c>
      <c r="L783" s="30" t="s">
        <v>205</v>
      </c>
      <c r="M783" s="30" t="s">
        <v>206</v>
      </c>
      <c r="N783" s="30" t="s">
        <v>917</v>
      </c>
      <c r="O783" s="30" t="s">
        <v>3476</v>
      </c>
      <c r="P783" s="30" t="s">
        <v>304</v>
      </c>
      <c r="Q783" s="30" t="s">
        <v>15997</v>
      </c>
      <c r="R783" s="30" t="s">
        <v>151</v>
      </c>
      <c r="S783" s="30" t="s">
        <v>162</v>
      </c>
      <c r="T783" s="37">
        <v>3.96</v>
      </c>
      <c r="U783" s="30" t="s">
        <v>163</v>
      </c>
      <c r="V783" s="30" t="s">
        <v>164</v>
      </c>
      <c r="W783" s="30" t="s">
        <v>165</v>
      </c>
      <c r="X783" s="28" t="s">
        <v>15998</v>
      </c>
      <c r="Y783" s="28" t="s">
        <v>15999</v>
      </c>
      <c r="Z783" s="40">
        <v>9</v>
      </c>
      <c r="AA783" s="30" t="s">
        <v>16000</v>
      </c>
      <c r="AB783" s="30" t="s">
        <v>151</v>
      </c>
      <c r="AC783" s="30" t="s">
        <v>151</v>
      </c>
      <c r="AD783" s="39">
        <v>2021</v>
      </c>
      <c r="AE783" s="30" t="s">
        <v>151</v>
      </c>
      <c r="AF783" s="35">
        <v>45469</v>
      </c>
      <c r="AG783" s="30" t="s">
        <v>151</v>
      </c>
      <c r="AH783" s="30" t="s">
        <v>151</v>
      </c>
      <c r="AI783" s="38" t="s">
        <v>151</v>
      </c>
      <c r="AJ783" s="32" t="s">
        <v>151</v>
      </c>
      <c r="AK783" s="38" t="s">
        <v>151</v>
      </c>
      <c r="AL783" s="38" t="s">
        <v>151</v>
      </c>
      <c r="AM783" s="38" t="s">
        <v>151</v>
      </c>
      <c r="AN783" s="38" t="s">
        <v>151</v>
      </c>
      <c r="AO783" s="38" t="s">
        <v>151</v>
      </c>
      <c r="AP783" s="38" t="s">
        <v>151</v>
      </c>
      <c r="AQ783" s="38" t="s">
        <v>151</v>
      </c>
      <c r="AR783" s="29" t="s">
        <v>151</v>
      </c>
      <c r="AS783" s="30" t="s">
        <v>16001</v>
      </c>
      <c r="AT783" s="30" t="s">
        <v>16002</v>
      </c>
      <c r="AU783" s="31">
        <v>4</v>
      </c>
      <c r="AV783" s="30" t="s">
        <v>151</v>
      </c>
      <c r="AW783" s="30" t="s">
        <v>151</v>
      </c>
      <c r="AX783" s="30" t="s">
        <v>151</v>
      </c>
      <c r="AY783" s="30" t="s">
        <v>16003</v>
      </c>
      <c r="AZ783" s="30" t="s">
        <v>151</v>
      </c>
      <c r="BA783" s="30" t="s">
        <v>151</v>
      </c>
      <c r="BB783" s="30" t="s">
        <v>151</v>
      </c>
      <c r="BC783" s="30" t="s">
        <v>2424</v>
      </c>
      <c r="BD783" s="30" t="s">
        <v>16004</v>
      </c>
      <c r="BE783" s="30" t="s">
        <v>16005</v>
      </c>
      <c r="BF783" s="30" t="s">
        <v>403</v>
      </c>
      <c r="BG783" s="30" t="s">
        <v>151</v>
      </c>
      <c r="BH783" s="30" t="s">
        <v>151</v>
      </c>
      <c r="BI783" s="30" t="s">
        <v>764</v>
      </c>
      <c r="BJ783" s="30" t="s">
        <v>16006</v>
      </c>
      <c r="BK783" s="30" t="s">
        <v>151</v>
      </c>
      <c r="BL783" s="30" t="s">
        <v>767</v>
      </c>
      <c r="BM783" s="30" t="s">
        <v>184</v>
      </c>
      <c r="BN783" s="29" t="s">
        <v>3049</v>
      </c>
      <c r="BO783" s="30" t="s">
        <v>186</v>
      </c>
      <c r="BP783" s="29" t="s">
        <v>151</v>
      </c>
      <c r="BQ783" s="29" t="s">
        <v>151</v>
      </c>
      <c r="BR783" s="30" t="s">
        <v>16007</v>
      </c>
      <c r="BS783" s="30" t="s">
        <v>187</v>
      </c>
      <c r="BT783" s="30" t="s">
        <v>188</v>
      </c>
      <c r="BU783" s="35">
        <v>45089</v>
      </c>
      <c r="BV783" s="37">
        <v>3.96</v>
      </c>
      <c r="BW783" s="30" t="s">
        <v>192</v>
      </c>
      <c r="BX783" s="37" t="s">
        <v>151</v>
      </c>
      <c r="BY783" s="30" t="s">
        <v>151</v>
      </c>
      <c r="BZ783" s="30" t="s">
        <v>293</v>
      </c>
      <c r="CA783" s="30" t="s">
        <v>293</v>
      </c>
      <c r="CB783" s="30" t="s">
        <v>151</v>
      </c>
      <c r="CC783" s="30" t="s">
        <v>165</v>
      </c>
      <c r="CD783" s="30" t="s">
        <v>151</v>
      </c>
      <c r="CE783" s="30" t="s">
        <v>191</v>
      </c>
      <c r="CF783" s="35">
        <v>45089</v>
      </c>
      <c r="CG783" s="37">
        <v>3.96</v>
      </c>
      <c r="CH783" s="30" t="s">
        <v>192</v>
      </c>
      <c r="CI783" s="37" t="s">
        <v>151</v>
      </c>
      <c r="CJ783" s="30" t="s">
        <v>151</v>
      </c>
      <c r="CK783" s="29" t="s">
        <v>151</v>
      </c>
      <c r="CL783" s="30" t="s">
        <v>293</v>
      </c>
      <c r="CM783" s="30" t="s">
        <v>293</v>
      </c>
      <c r="CN783" s="30" t="s">
        <v>151</v>
      </c>
      <c r="CO783" s="30" t="s">
        <v>165</v>
      </c>
      <c r="CP783" s="35">
        <v>45089</v>
      </c>
      <c r="CQ783" s="37" t="s">
        <v>151</v>
      </c>
      <c r="CR783" s="30" t="s">
        <v>151</v>
      </c>
      <c r="CS783" s="30" t="s">
        <v>191</v>
      </c>
      <c r="CT783" s="29" t="s">
        <v>151</v>
      </c>
      <c r="CU783" s="30" t="s">
        <v>151</v>
      </c>
      <c r="CV783" s="32" t="s">
        <v>151</v>
      </c>
      <c r="CW783" s="32" t="s">
        <v>151</v>
      </c>
      <c r="CX783" s="30" t="s">
        <v>151</v>
      </c>
      <c r="CY783" s="32" t="s">
        <v>151</v>
      </c>
      <c r="CZ783" s="32" t="s">
        <v>151</v>
      </c>
      <c r="DA783" s="37" t="s">
        <v>151</v>
      </c>
      <c r="DB783" s="35" t="s">
        <v>151</v>
      </c>
      <c r="DC783" s="30" t="s">
        <v>151</v>
      </c>
      <c r="DD783" s="29" t="s">
        <v>151</v>
      </c>
      <c r="DE783" s="32">
        <v>0</v>
      </c>
      <c r="DF783" s="34">
        <v>11</v>
      </c>
      <c r="DG783" s="32">
        <v>0</v>
      </c>
      <c r="DH783" s="32">
        <v>0</v>
      </c>
      <c r="DI783" s="32">
        <v>0</v>
      </c>
      <c r="DJ783" s="34">
        <v>10</v>
      </c>
      <c r="DK783" s="32" t="s">
        <v>151</v>
      </c>
      <c r="DL783" s="34" t="s">
        <v>151</v>
      </c>
      <c r="DM783" s="32">
        <v>0</v>
      </c>
      <c r="DN783" s="34">
        <v>10</v>
      </c>
      <c r="DO783" s="36">
        <v>2.11</v>
      </c>
      <c r="DP783" s="34">
        <v>67</v>
      </c>
      <c r="DQ783" s="36">
        <v>0</v>
      </c>
      <c r="DR783" s="32">
        <v>0</v>
      </c>
      <c r="DS783" s="36">
        <v>2.11</v>
      </c>
      <c r="DT783" s="34">
        <v>67</v>
      </c>
      <c r="DU783" s="36" t="s">
        <v>151</v>
      </c>
      <c r="DV783" s="34" t="s">
        <v>151</v>
      </c>
      <c r="DW783" s="36">
        <v>2.11</v>
      </c>
      <c r="DX783" s="34">
        <v>67</v>
      </c>
      <c r="DY783" s="31" t="s">
        <v>151</v>
      </c>
      <c r="DZ783" s="35" t="s">
        <v>151</v>
      </c>
      <c r="EA783" s="35" t="s">
        <v>151</v>
      </c>
      <c r="EB783" s="34">
        <v>1175</v>
      </c>
      <c r="EC783" s="33">
        <v>129</v>
      </c>
      <c r="ED783" s="32">
        <v>12.33</v>
      </c>
      <c r="EE783" s="34">
        <v>40</v>
      </c>
      <c r="EF783" s="33">
        <v>0</v>
      </c>
      <c r="EG783" s="32">
        <v>0</v>
      </c>
      <c r="EH783" s="29" t="s">
        <v>198</v>
      </c>
      <c r="EI783" s="30" t="s">
        <v>151</v>
      </c>
      <c r="EJ783" s="30" t="s">
        <v>151</v>
      </c>
      <c r="EK783" s="31" t="s">
        <v>151</v>
      </c>
      <c r="EL783" s="31" t="s">
        <v>151</v>
      </c>
      <c r="EM783" s="31" t="s">
        <v>151</v>
      </c>
      <c r="EN783" s="31" t="s">
        <v>151</v>
      </c>
      <c r="EO783" s="31" t="s">
        <v>151</v>
      </c>
      <c r="EP783" s="30" t="s">
        <v>151</v>
      </c>
      <c r="EQ783" s="29" t="s">
        <v>151</v>
      </c>
      <c r="ER783" s="29" t="s">
        <v>151</v>
      </c>
      <c r="ES783" s="4">
        <f>HYPERLINK("https://my.pitchbook.com?c=529056-73","View Company Online")</f>
      </c>
    </row>
    <row r="784">
      <c r="A784" s="17" t="s">
        <v>16008</v>
      </c>
      <c r="B784" s="17" t="s">
        <v>16009</v>
      </c>
      <c r="C784" s="18" t="s">
        <v>151</v>
      </c>
      <c r="D784" s="17" t="s">
        <v>151</v>
      </c>
      <c r="E784" s="17" t="s">
        <v>151</v>
      </c>
      <c r="F784" s="17" t="s">
        <v>16010</v>
      </c>
      <c r="G784" s="17" t="s">
        <v>151</v>
      </c>
      <c r="H784" s="17" t="s">
        <v>151</v>
      </c>
      <c r="I784" s="17" t="s">
        <v>151</v>
      </c>
      <c r="J784" s="17" t="s">
        <v>16008</v>
      </c>
      <c r="K784" s="17" t="s">
        <v>16011</v>
      </c>
      <c r="L784" s="17" t="s">
        <v>1178</v>
      </c>
      <c r="M784" s="17" t="s">
        <v>1179</v>
      </c>
      <c r="N784" s="17" t="s">
        <v>1179</v>
      </c>
      <c r="O784" s="17" t="s">
        <v>1180</v>
      </c>
      <c r="P784" s="17" t="s">
        <v>2130</v>
      </c>
      <c r="Q784" s="17" t="s">
        <v>16012</v>
      </c>
      <c r="R784" s="17" t="s">
        <v>151</v>
      </c>
      <c r="S784" s="17" t="s">
        <v>162</v>
      </c>
      <c r="T784" s="24">
        <v>0.25</v>
      </c>
      <c r="U784" s="17" t="s">
        <v>163</v>
      </c>
      <c r="V784" s="17" t="s">
        <v>164</v>
      </c>
      <c r="W784" s="17" t="s">
        <v>165</v>
      </c>
      <c r="X784" s="15" t="s">
        <v>16013</v>
      </c>
      <c r="Y784" s="15" t="s">
        <v>16014</v>
      </c>
      <c r="Z784" s="27">
        <v>6</v>
      </c>
      <c r="AA784" s="17" t="s">
        <v>16015</v>
      </c>
      <c r="AB784" s="17" t="s">
        <v>151</v>
      </c>
      <c r="AC784" s="17" t="s">
        <v>151</v>
      </c>
      <c r="AD784" s="26">
        <v>2023</v>
      </c>
      <c r="AE784" s="17" t="s">
        <v>151</v>
      </c>
      <c r="AF784" s="22">
        <v>45615</v>
      </c>
      <c r="AG784" s="17" t="s">
        <v>151</v>
      </c>
      <c r="AH784" s="17" t="s">
        <v>16016</v>
      </c>
      <c r="AI784" s="25" t="s">
        <v>151</v>
      </c>
      <c r="AJ784" s="19" t="s">
        <v>151</v>
      </c>
      <c r="AK784" s="25" t="s">
        <v>151</v>
      </c>
      <c r="AL784" s="25" t="s">
        <v>151</v>
      </c>
      <c r="AM784" s="25" t="s">
        <v>151</v>
      </c>
      <c r="AN784" s="25" t="s">
        <v>151</v>
      </c>
      <c r="AO784" s="25" t="s">
        <v>151</v>
      </c>
      <c r="AP784" s="25" t="s">
        <v>151</v>
      </c>
      <c r="AQ784" s="25" t="s">
        <v>151</v>
      </c>
      <c r="AR784" s="16" t="s">
        <v>151</v>
      </c>
      <c r="AS784" s="17" t="s">
        <v>16017</v>
      </c>
      <c r="AT784" s="17" t="s">
        <v>16018</v>
      </c>
      <c r="AU784" s="18">
        <v>1</v>
      </c>
      <c r="AV784" s="17" t="s">
        <v>151</v>
      </c>
      <c r="AW784" s="17" t="s">
        <v>151</v>
      </c>
      <c r="AX784" s="17" t="s">
        <v>151</v>
      </c>
      <c r="AY784" s="17" t="s">
        <v>16019</v>
      </c>
      <c r="AZ784" s="17" t="s">
        <v>151</v>
      </c>
      <c r="BA784" s="17" t="s">
        <v>151</v>
      </c>
      <c r="BB784" s="17" t="s">
        <v>151</v>
      </c>
      <c r="BC784" s="17" t="s">
        <v>151</v>
      </c>
      <c r="BD784" s="17" t="s">
        <v>16020</v>
      </c>
      <c r="BE784" s="17" t="s">
        <v>16021</v>
      </c>
      <c r="BF784" s="17" t="s">
        <v>16022</v>
      </c>
      <c r="BG784" s="17" t="s">
        <v>16023</v>
      </c>
      <c r="BH784" s="17" t="s">
        <v>16024</v>
      </c>
      <c r="BI784" s="17" t="s">
        <v>349</v>
      </c>
      <c r="BJ784" s="17" t="s">
        <v>16025</v>
      </c>
      <c r="BK784" s="17" t="s">
        <v>9604</v>
      </c>
      <c r="BL784" s="17" t="s">
        <v>352</v>
      </c>
      <c r="BM784" s="17" t="s">
        <v>353</v>
      </c>
      <c r="BN784" s="16" t="s">
        <v>16026</v>
      </c>
      <c r="BO784" s="17" t="s">
        <v>186</v>
      </c>
      <c r="BP784" s="16" t="s">
        <v>16024</v>
      </c>
      <c r="BQ784" s="16" t="s">
        <v>151</v>
      </c>
      <c r="BR784" s="17" t="s">
        <v>16027</v>
      </c>
      <c r="BS784" s="17" t="s">
        <v>187</v>
      </c>
      <c r="BT784" s="17" t="s">
        <v>188</v>
      </c>
      <c r="BU784" s="22">
        <v>45455</v>
      </c>
      <c r="BV784" s="24">
        <v>0.25</v>
      </c>
      <c r="BW784" s="17" t="s">
        <v>192</v>
      </c>
      <c r="BX784" s="24" t="s">
        <v>151</v>
      </c>
      <c r="BY784" s="17" t="s">
        <v>151</v>
      </c>
      <c r="BZ784" s="17" t="s">
        <v>231</v>
      </c>
      <c r="CA784" s="17" t="s">
        <v>151</v>
      </c>
      <c r="CB784" s="17" t="s">
        <v>151</v>
      </c>
      <c r="CC784" s="17" t="s">
        <v>165</v>
      </c>
      <c r="CD784" s="17" t="s">
        <v>151</v>
      </c>
      <c r="CE784" s="17" t="s">
        <v>191</v>
      </c>
      <c r="CF784" s="22">
        <v>45455</v>
      </c>
      <c r="CG784" s="24">
        <v>0.25</v>
      </c>
      <c r="CH784" s="17" t="s">
        <v>192</v>
      </c>
      <c r="CI784" s="24" t="s">
        <v>151</v>
      </c>
      <c r="CJ784" s="17" t="s">
        <v>151</v>
      </c>
      <c r="CK784" s="16" t="s">
        <v>151</v>
      </c>
      <c r="CL784" s="17" t="s">
        <v>231</v>
      </c>
      <c r="CM784" s="17" t="s">
        <v>151</v>
      </c>
      <c r="CN784" s="17" t="s">
        <v>151</v>
      </c>
      <c r="CO784" s="17" t="s">
        <v>165</v>
      </c>
      <c r="CP784" s="22">
        <v>45455</v>
      </c>
      <c r="CQ784" s="24" t="s">
        <v>151</v>
      </c>
      <c r="CR784" s="17" t="s">
        <v>151</v>
      </c>
      <c r="CS784" s="17" t="s">
        <v>191</v>
      </c>
      <c r="CT784" s="16" t="s">
        <v>151</v>
      </c>
      <c r="CU784" s="17" t="s">
        <v>151</v>
      </c>
      <c r="CV784" s="19" t="s">
        <v>151</v>
      </c>
      <c r="CW784" s="19" t="s">
        <v>151</v>
      </c>
      <c r="CX784" s="17" t="s">
        <v>151</v>
      </c>
      <c r="CY784" s="19" t="s">
        <v>151</v>
      </c>
      <c r="CZ784" s="19" t="s">
        <v>151</v>
      </c>
      <c r="DA784" s="24" t="s">
        <v>151</v>
      </c>
      <c r="DB784" s="22" t="s">
        <v>151</v>
      </c>
      <c r="DC784" s="17" t="s">
        <v>151</v>
      </c>
      <c r="DD784" s="16" t="s">
        <v>151</v>
      </c>
      <c r="DE784" s="19">
        <v>0</v>
      </c>
      <c r="DF784" s="21">
        <v>11</v>
      </c>
      <c r="DG784" s="19">
        <v>0</v>
      </c>
      <c r="DH784" s="19">
        <v>0</v>
      </c>
      <c r="DI784" s="19">
        <v>0</v>
      </c>
      <c r="DJ784" s="21">
        <v>10</v>
      </c>
      <c r="DK784" s="19" t="s">
        <v>151</v>
      </c>
      <c r="DL784" s="21" t="s">
        <v>151</v>
      </c>
      <c r="DM784" s="19">
        <v>0</v>
      </c>
      <c r="DN784" s="21">
        <v>10</v>
      </c>
      <c r="DO784" s="23">
        <v>0.11</v>
      </c>
      <c r="DP784" s="21">
        <v>5</v>
      </c>
      <c r="DQ784" s="23">
        <v>0</v>
      </c>
      <c r="DR784" s="19">
        <v>0</v>
      </c>
      <c r="DS784" s="23">
        <v>0.11</v>
      </c>
      <c r="DT784" s="21">
        <v>5</v>
      </c>
      <c r="DU784" s="23" t="s">
        <v>151</v>
      </c>
      <c r="DV784" s="21" t="s">
        <v>151</v>
      </c>
      <c r="DW784" s="23">
        <v>0.11</v>
      </c>
      <c r="DX784" s="21">
        <v>5</v>
      </c>
      <c r="DY784" s="18" t="s">
        <v>151</v>
      </c>
      <c r="DZ784" s="22" t="s">
        <v>151</v>
      </c>
      <c r="EA784" s="22" t="s">
        <v>151</v>
      </c>
      <c r="EB784" s="21" t="s">
        <v>151</v>
      </c>
      <c r="EC784" s="20" t="s">
        <v>151</v>
      </c>
      <c r="ED784" s="19" t="s">
        <v>151</v>
      </c>
      <c r="EE784" s="21">
        <v>2</v>
      </c>
      <c r="EF784" s="20">
        <v>0</v>
      </c>
      <c r="EG784" s="19">
        <v>0</v>
      </c>
      <c r="EH784" s="16" t="s">
        <v>198</v>
      </c>
      <c r="EI784" s="17" t="s">
        <v>151</v>
      </c>
      <c r="EJ784" s="17" t="s">
        <v>151</v>
      </c>
      <c r="EK784" s="18" t="s">
        <v>151</v>
      </c>
      <c r="EL784" s="18" t="s">
        <v>151</v>
      </c>
      <c r="EM784" s="18" t="s">
        <v>151</v>
      </c>
      <c r="EN784" s="18" t="s">
        <v>151</v>
      </c>
      <c r="EO784" s="18" t="s">
        <v>151</v>
      </c>
      <c r="EP784" s="17" t="s">
        <v>151</v>
      </c>
      <c r="EQ784" s="16" t="s">
        <v>151</v>
      </c>
      <c r="ER784" s="16" t="s">
        <v>151</v>
      </c>
      <c r="ES784" s="3">
        <f>HYPERLINK("https://my.pitchbook.com?c=623418-76","View Company Online")</f>
      </c>
    </row>
    <row r="785">
      <c r="A785" s="30" t="s">
        <v>16028</v>
      </c>
      <c r="B785" s="30" t="s">
        <v>16029</v>
      </c>
      <c r="C785" s="31" t="s">
        <v>151</v>
      </c>
      <c r="D785" s="30" t="s">
        <v>151</v>
      </c>
      <c r="E785" s="30" t="s">
        <v>16030</v>
      </c>
      <c r="F785" s="30" t="s">
        <v>16031</v>
      </c>
      <c r="G785" s="30" t="s">
        <v>151</v>
      </c>
      <c r="H785" s="30" t="s">
        <v>151</v>
      </c>
      <c r="I785" s="30" t="s">
        <v>151</v>
      </c>
      <c r="J785" s="30" t="s">
        <v>16028</v>
      </c>
      <c r="K785" s="30" t="s">
        <v>16032</v>
      </c>
      <c r="L785" s="30" t="s">
        <v>205</v>
      </c>
      <c r="M785" s="30" t="s">
        <v>206</v>
      </c>
      <c r="N785" s="30" t="s">
        <v>269</v>
      </c>
      <c r="O785" s="30" t="s">
        <v>1819</v>
      </c>
      <c r="P785" s="30" t="s">
        <v>304</v>
      </c>
      <c r="Q785" s="30" t="s">
        <v>16033</v>
      </c>
      <c r="R785" s="30" t="s">
        <v>151</v>
      </c>
      <c r="S785" s="30" t="s">
        <v>162</v>
      </c>
      <c r="T785" s="37">
        <v>3.09</v>
      </c>
      <c r="U785" s="30" t="s">
        <v>163</v>
      </c>
      <c r="V785" s="30" t="s">
        <v>164</v>
      </c>
      <c r="W785" s="30" t="s">
        <v>165</v>
      </c>
      <c r="X785" s="28" t="s">
        <v>16034</v>
      </c>
      <c r="Y785" s="28" t="s">
        <v>16035</v>
      </c>
      <c r="Z785" s="40">
        <v>8</v>
      </c>
      <c r="AA785" s="30" t="s">
        <v>10247</v>
      </c>
      <c r="AB785" s="30" t="s">
        <v>151</v>
      </c>
      <c r="AC785" s="30" t="s">
        <v>151</v>
      </c>
      <c r="AD785" s="39">
        <v>2022</v>
      </c>
      <c r="AE785" s="30" t="s">
        <v>151</v>
      </c>
      <c r="AF785" s="35">
        <v>45488</v>
      </c>
      <c r="AG785" s="30" t="s">
        <v>151</v>
      </c>
      <c r="AH785" s="30" t="s">
        <v>151</v>
      </c>
      <c r="AI785" s="38" t="s">
        <v>151</v>
      </c>
      <c r="AJ785" s="32" t="s">
        <v>151</v>
      </c>
      <c r="AK785" s="38" t="s">
        <v>151</v>
      </c>
      <c r="AL785" s="38" t="s">
        <v>151</v>
      </c>
      <c r="AM785" s="38" t="s">
        <v>151</v>
      </c>
      <c r="AN785" s="38" t="s">
        <v>151</v>
      </c>
      <c r="AO785" s="38" t="s">
        <v>151</v>
      </c>
      <c r="AP785" s="38" t="s">
        <v>151</v>
      </c>
      <c r="AQ785" s="38" t="s">
        <v>151</v>
      </c>
      <c r="AR785" s="29" t="s">
        <v>151</v>
      </c>
      <c r="AS785" s="30" t="s">
        <v>16036</v>
      </c>
      <c r="AT785" s="30" t="s">
        <v>16037</v>
      </c>
      <c r="AU785" s="31">
        <v>5</v>
      </c>
      <c r="AV785" s="30" t="s">
        <v>151</v>
      </c>
      <c r="AW785" s="30" t="s">
        <v>151</v>
      </c>
      <c r="AX785" s="30" t="s">
        <v>151</v>
      </c>
      <c r="AY785" s="30" t="s">
        <v>16038</v>
      </c>
      <c r="AZ785" s="30" t="s">
        <v>151</v>
      </c>
      <c r="BA785" s="30" t="s">
        <v>151</v>
      </c>
      <c r="BB785" s="30" t="s">
        <v>151</v>
      </c>
      <c r="BC785" s="30" t="s">
        <v>601</v>
      </c>
      <c r="BD785" s="30" t="s">
        <v>16039</v>
      </c>
      <c r="BE785" s="30" t="s">
        <v>16040</v>
      </c>
      <c r="BF785" s="30" t="s">
        <v>493</v>
      </c>
      <c r="BG785" s="30" t="s">
        <v>16041</v>
      </c>
      <c r="BH785" s="30" t="s">
        <v>16042</v>
      </c>
      <c r="BI785" s="30" t="s">
        <v>764</v>
      </c>
      <c r="BJ785" s="30" t="s">
        <v>16043</v>
      </c>
      <c r="BK785" s="30" t="s">
        <v>16044</v>
      </c>
      <c r="BL785" s="30" t="s">
        <v>767</v>
      </c>
      <c r="BM785" s="30" t="s">
        <v>184</v>
      </c>
      <c r="BN785" s="29" t="s">
        <v>3001</v>
      </c>
      <c r="BO785" s="30" t="s">
        <v>186</v>
      </c>
      <c r="BP785" s="29" t="s">
        <v>16042</v>
      </c>
      <c r="BQ785" s="29" t="s">
        <v>151</v>
      </c>
      <c r="BR785" s="30" t="s">
        <v>16045</v>
      </c>
      <c r="BS785" s="30" t="s">
        <v>187</v>
      </c>
      <c r="BT785" s="30" t="s">
        <v>188</v>
      </c>
      <c r="BU785" s="35">
        <v>45071</v>
      </c>
      <c r="BV785" s="37">
        <v>3.09</v>
      </c>
      <c r="BW785" s="30" t="s">
        <v>192</v>
      </c>
      <c r="BX785" s="37">
        <v>13.09</v>
      </c>
      <c r="BY785" s="30" t="s">
        <v>192</v>
      </c>
      <c r="BZ785" s="30" t="s">
        <v>293</v>
      </c>
      <c r="CA785" s="30" t="s">
        <v>293</v>
      </c>
      <c r="CB785" s="30" t="s">
        <v>151</v>
      </c>
      <c r="CC785" s="30" t="s">
        <v>165</v>
      </c>
      <c r="CD785" s="30" t="s">
        <v>151</v>
      </c>
      <c r="CE785" s="30" t="s">
        <v>191</v>
      </c>
      <c r="CF785" s="35">
        <v>45071</v>
      </c>
      <c r="CG785" s="37">
        <v>3.09</v>
      </c>
      <c r="CH785" s="30" t="s">
        <v>192</v>
      </c>
      <c r="CI785" s="37">
        <v>13.09</v>
      </c>
      <c r="CJ785" s="30" t="s">
        <v>192</v>
      </c>
      <c r="CK785" s="29" t="s">
        <v>151</v>
      </c>
      <c r="CL785" s="30" t="s">
        <v>293</v>
      </c>
      <c r="CM785" s="30" t="s">
        <v>293</v>
      </c>
      <c r="CN785" s="30" t="s">
        <v>151</v>
      </c>
      <c r="CO785" s="30" t="s">
        <v>165</v>
      </c>
      <c r="CP785" s="35">
        <v>45071</v>
      </c>
      <c r="CQ785" s="37" t="s">
        <v>151</v>
      </c>
      <c r="CR785" s="30" t="s">
        <v>151</v>
      </c>
      <c r="CS785" s="30" t="s">
        <v>191</v>
      </c>
      <c r="CT785" s="29" t="s">
        <v>151</v>
      </c>
      <c r="CU785" s="30" t="s">
        <v>151</v>
      </c>
      <c r="CV785" s="32" t="s">
        <v>151</v>
      </c>
      <c r="CW785" s="32" t="s">
        <v>151</v>
      </c>
      <c r="CX785" s="30" t="s">
        <v>151</v>
      </c>
      <c r="CY785" s="32" t="s">
        <v>151</v>
      </c>
      <c r="CZ785" s="32" t="s">
        <v>151</v>
      </c>
      <c r="DA785" s="37">
        <v>13.09</v>
      </c>
      <c r="DB785" s="35">
        <v>45071</v>
      </c>
      <c r="DC785" s="30" t="s">
        <v>293</v>
      </c>
      <c r="DD785" s="29" t="s">
        <v>151</v>
      </c>
      <c r="DE785" s="32">
        <v>0</v>
      </c>
      <c r="DF785" s="34">
        <v>11</v>
      </c>
      <c r="DG785" s="32">
        <v>0</v>
      </c>
      <c r="DH785" s="32">
        <v>0</v>
      </c>
      <c r="DI785" s="32">
        <v>0</v>
      </c>
      <c r="DJ785" s="34">
        <v>10</v>
      </c>
      <c r="DK785" s="32" t="s">
        <v>151</v>
      </c>
      <c r="DL785" s="34" t="s">
        <v>151</v>
      </c>
      <c r="DM785" s="32">
        <v>0</v>
      </c>
      <c r="DN785" s="34">
        <v>10</v>
      </c>
      <c r="DO785" s="36">
        <v>1.2</v>
      </c>
      <c r="DP785" s="34">
        <v>54</v>
      </c>
      <c r="DQ785" s="36">
        <v>0</v>
      </c>
      <c r="DR785" s="32">
        <v>0</v>
      </c>
      <c r="DS785" s="36">
        <v>1.79</v>
      </c>
      <c r="DT785" s="34">
        <v>63</v>
      </c>
      <c r="DU785" s="36" t="s">
        <v>151</v>
      </c>
      <c r="DV785" s="34" t="s">
        <v>151</v>
      </c>
      <c r="DW785" s="36">
        <v>1.79</v>
      </c>
      <c r="DX785" s="34">
        <v>63</v>
      </c>
      <c r="DY785" s="31" t="s">
        <v>151</v>
      </c>
      <c r="DZ785" s="35" t="s">
        <v>151</v>
      </c>
      <c r="EA785" s="35" t="s">
        <v>151</v>
      </c>
      <c r="EB785" s="34">
        <v>2973</v>
      </c>
      <c r="EC785" s="33">
        <v>-70</v>
      </c>
      <c r="ED785" s="32">
        <v>-2.3</v>
      </c>
      <c r="EE785" s="34">
        <v>34</v>
      </c>
      <c r="EF785" s="33">
        <v>0</v>
      </c>
      <c r="EG785" s="32">
        <v>0</v>
      </c>
      <c r="EH785" s="29" t="s">
        <v>198</v>
      </c>
      <c r="EI785" s="30" t="s">
        <v>151</v>
      </c>
      <c r="EJ785" s="30" t="s">
        <v>151</v>
      </c>
      <c r="EK785" s="31" t="s">
        <v>151</v>
      </c>
      <c r="EL785" s="31" t="s">
        <v>151</v>
      </c>
      <c r="EM785" s="31" t="s">
        <v>151</v>
      </c>
      <c r="EN785" s="31" t="s">
        <v>151</v>
      </c>
      <c r="EO785" s="31" t="s">
        <v>151</v>
      </c>
      <c r="EP785" s="30" t="s">
        <v>151</v>
      </c>
      <c r="EQ785" s="29" t="s">
        <v>151</v>
      </c>
      <c r="ER785" s="29" t="s">
        <v>151</v>
      </c>
      <c r="ES785" s="4">
        <f>HYPERLINK("https://my.pitchbook.com?c=528897-34","View Company Online")</f>
      </c>
    </row>
    <row r="786">
      <c r="A786" s="17" t="s">
        <v>16046</v>
      </c>
      <c r="B786" s="17" t="s">
        <v>16047</v>
      </c>
      <c r="C786" s="18" t="s">
        <v>151</v>
      </c>
      <c r="D786" s="17" t="s">
        <v>151</v>
      </c>
      <c r="E786" s="17" t="s">
        <v>151</v>
      </c>
      <c r="F786" s="17" t="s">
        <v>16048</v>
      </c>
      <c r="G786" s="17" t="s">
        <v>151</v>
      </c>
      <c r="H786" s="17" t="s">
        <v>151</v>
      </c>
      <c r="I786" s="17" t="s">
        <v>16049</v>
      </c>
      <c r="J786" s="17" t="s">
        <v>16046</v>
      </c>
      <c r="K786" s="17" t="s">
        <v>16050</v>
      </c>
      <c r="L786" s="17" t="s">
        <v>205</v>
      </c>
      <c r="M786" s="17" t="s">
        <v>206</v>
      </c>
      <c r="N786" s="17" t="s">
        <v>269</v>
      </c>
      <c r="O786" s="17" t="s">
        <v>16051</v>
      </c>
      <c r="P786" s="17" t="s">
        <v>919</v>
      </c>
      <c r="Q786" s="17" t="s">
        <v>16052</v>
      </c>
      <c r="R786" s="17" t="s">
        <v>151</v>
      </c>
      <c r="S786" s="17" t="s">
        <v>162</v>
      </c>
      <c r="T786" s="24">
        <v>6.22</v>
      </c>
      <c r="U786" s="17" t="s">
        <v>163</v>
      </c>
      <c r="V786" s="17" t="s">
        <v>164</v>
      </c>
      <c r="W786" s="17" t="s">
        <v>165</v>
      </c>
      <c r="X786" s="15" t="s">
        <v>16053</v>
      </c>
      <c r="Y786" s="15" t="s">
        <v>16054</v>
      </c>
      <c r="Z786" s="27">
        <v>8</v>
      </c>
      <c r="AA786" s="17" t="s">
        <v>16055</v>
      </c>
      <c r="AB786" s="17" t="s">
        <v>151</v>
      </c>
      <c r="AC786" s="17" t="s">
        <v>151</v>
      </c>
      <c r="AD786" s="26">
        <v>2022</v>
      </c>
      <c r="AE786" s="17" t="s">
        <v>151</v>
      </c>
      <c r="AF786" s="22">
        <v>45517</v>
      </c>
      <c r="AG786" s="17" t="s">
        <v>151</v>
      </c>
      <c r="AH786" s="17" t="s">
        <v>151</v>
      </c>
      <c r="AI786" s="25" t="s">
        <v>151</v>
      </c>
      <c r="AJ786" s="19" t="s">
        <v>151</v>
      </c>
      <c r="AK786" s="25" t="s">
        <v>151</v>
      </c>
      <c r="AL786" s="25" t="s">
        <v>151</v>
      </c>
      <c r="AM786" s="25" t="s">
        <v>151</v>
      </c>
      <c r="AN786" s="25" t="s">
        <v>151</v>
      </c>
      <c r="AO786" s="25" t="s">
        <v>151</v>
      </c>
      <c r="AP786" s="25" t="s">
        <v>151</v>
      </c>
      <c r="AQ786" s="25" t="s">
        <v>151</v>
      </c>
      <c r="AR786" s="16" t="s">
        <v>151</v>
      </c>
      <c r="AS786" s="17" t="s">
        <v>16056</v>
      </c>
      <c r="AT786" s="17" t="s">
        <v>16057</v>
      </c>
      <c r="AU786" s="18">
        <v>10</v>
      </c>
      <c r="AV786" s="17" t="s">
        <v>151</v>
      </c>
      <c r="AW786" s="17" t="s">
        <v>151</v>
      </c>
      <c r="AX786" s="17" t="s">
        <v>151</v>
      </c>
      <c r="AY786" s="17" t="s">
        <v>16058</v>
      </c>
      <c r="AZ786" s="17" t="s">
        <v>151</v>
      </c>
      <c r="BA786" s="17" t="s">
        <v>151</v>
      </c>
      <c r="BB786" s="17" t="s">
        <v>151</v>
      </c>
      <c r="BC786" s="17" t="s">
        <v>151</v>
      </c>
      <c r="BD786" s="17" t="s">
        <v>16059</v>
      </c>
      <c r="BE786" s="17" t="s">
        <v>16060</v>
      </c>
      <c r="BF786" s="17" t="s">
        <v>16061</v>
      </c>
      <c r="BG786" s="17" t="s">
        <v>151</v>
      </c>
      <c r="BH786" s="17" t="s">
        <v>16062</v>
      </c>
      <c r="BI786" s="17" t="s">
        <v>16063</v>
      </c>
      <c r="BJ786" s="17" t="s">
        <v>16064</v>
      </c>
      <c r="BK786" s="17" t="s">
        <v>16065</v>
      </c>
      <c r="BL786" s="17" t="s">
        <v>16066</v>
      </c>
      <c r="BM786" s="17" t="s">
        <v>1576</v>
      </c>
      <c r="BN786" s="16" t="s">
        <v>16067</v>
      </c>
      <c r="BO786" s="17" t="s">
        <v>186</v>
      </c>
      <c r="BP786" s="16" t="s">
        <v>16068</v>
      </c>
      <c r="BQ786" s="16" t="s">
        <v>151</v>
      </c>
      <c r="BR786" s="17" t="s">
        <v>16069</v>
      </c>
      <c r="BS786" s="17" t="s">
        <v>187</v>
      </c>
      <c r="BT786" s="17" t="s">
        <v>188</v>
      </c>
      <c r="BU786" s="22">
        <v>44866</v>
      </c>
      <c r="BV786" s="24">
        <v>1.72</v>
      </c>
      <c r="BW786" s="17" t="s">
        <v>193</v>
      </c>
      <c r="BX786" s="24">
        <v>3.72</v>
      </c>
      <c r="BY786" s="17" t="s">
        <v>193</v>
      </c>
      <c r="BZ786" s="17" t="s">
        <v>293</v>
      </c>
      <c r="CA786" s="17" t="s">
        <v>293</v>
      </c>
      <c r="CB786" s="17" t="s">
        <v>151</v>
      </c>
      <c r="CC786" s="17" t="s">
        <v>165</v>
      </c>
      <c r="CD786" s="17" t="s">
        <v>151</v>
      </c>
      <c r="CE786" s="17" t="s">
        <v>191</v>
      </c>
      <c r="CF786" s="22">
        <v>45415</v>
      </c>
      <c r="CG786" s="24">
        <v>2.5</v>
      </c>
      <c r="CH786" s="17" t="s">
        <v>192</v>
      </c>
      <c r="CI786" s="24">
        <v>14.25</v>
      </c>
      <c r="CJ786" s="17" t="s">
        <v>192</v>
      </c>
      <c r="CK786" s="16">
        <v>1.68</v>
      </c>
      <c r="CL786" s="17" t="s">
        <v>293</v>
      </c>
      <c r="CM786" s="17" t="s">
        <v>293</v>
      </c>
      <c r="CN786" s="17" t="s">
        <v>151</v>
      </c>
      <c r="CO786" s="17" t="s">
        <v>165</v>
      </c>
      <c r="CP786" s="22">
        <v>45415</v>
      </c>
      <c r="CQ786" s="24" t="s">
        <v>151</v>
      </c>
      <c r="CR786" s="17" t="s">
        <v>151</v>
      </c>
      <c r="CS786" s="17" t="s">
        <v>191</v>
      </c>
      <c r="CT786" s="16">
        <v>56</v>
      </c>
      <c r="CU786" s="17" t="s">
        <v>196</v>
      </c>
      <c r="CV786" s="19">
        <v>53</v>
      </c>
      <c r="CW786" s="19">
        <v>47</v>
      </c>
      <c r="CX786" s="17" t="s">
        <v>294</v>
      </c>
      <c r="CY786" s="19">
        <v>1</v>
      </c>
      <c r="CZ786" s="19">
        <v>52</v>
      </c>
      <c r="DA786" s="24">
        <v>14.25</v>
      </c>
      <c r="DB786" s="22">
        <v>45415</v>
      </c>
      <c r="DC786" s="17" t="s">
        <v>293</v>
      </c>
      <c r="DD786" s="16">
        <v>1.68</v>
      </c>
      <c r="DE786" s="19">
        <v>0</v>
      </c>
      <c r="DF786" s="21">
        <v>11</v>
      </c>
      <c r="DG786" s="19">
        <v>0</v>
      </c>
      <c r="DH786" s="19">
        <v>0</v>
      </c>
      <c r="DI786" s="19">
        <v>0</v>
      </c>
      <c r="DJ786" s="21">
        <v>10</v>
      </c>
      <c r="DK786" s="19" t="s">
        <v>151</v>
      </c>
      <c r="DL786" s="21" t="s">
        <v>151</v>
      </c>
      <c r="DM786" s="19">
        <v>0</v>
      </c>
      <c r="DN786" s="21">
        <v>10</v>
      </c>
      <c r="DO786" s="23">
        <v>3.58</v>
      </c>
      <c r="DP786" s="21">
        <v>77</v>
      </c>
      <c r="DQ786" s="23">
        <v>0</v>
      </c>
      <c r="DR786" s="19">
        <v>0</v>
      </c>
      <c r="DS786" s="23">
        <v>3.58</v>
      </c>
      <c r="DT786" s="21">
        <v>77</v>
      </c>
      <c r="DU786" s="23" t="s">
        <v>151</v>
      </c>
      <c r="DV786" s="21" t="s">
        <v>151</v>
      </c>
      <c r="DW786" s="23">
        <v>3.58</v>
      </c>
      <c r="DX786" s="21">
        <v>77</v>
      </c>
      <c r="DY786" s="18" t="s">
        <v>151</v>
      </c>
      <c r="DZ786" s="22" t="s">
        <v>151</v>
      </c>
      <c r="EA786" s="22" t="s">
        <v>151</v>
      </c>
      <c r="EB786" s="21">
        <v>15683</v>
      </c>
      <c r="EC786" s="20">
        <v>1738</v>
      </c>
      <c r="ED786" s="19">
        <v>12.46</v>
      </c>
      <c r="EE786" s="21">
        <v>68</v>
      </c>
      <c r="EF786" s="20">
        <v>0</v>
      </c>
      <c r="EG786" s="19">
        <v>0</v>
      </c>
      <c r="EH786" s="16" t="s">
        <v>198</v>
      </c>
      <c r="EI786" s="17" t="s">
        <v>151</v>
      </c>
      <c r="EJ786" s="17" t="s">
        <v>151</v>
      </c>
      <c r="EK786" s="18" t="s">
        <v>151</v>
      </c>
      <c r="EL786" s="18" t="s">
        <v>151</v>
      </c>
      <c r="EM786" s="18" t="s">
        <v>151</v>
      </c>
      <c r="EN786" s="18" t="s">
        <v>151</v>
      </c>
      <c r="EO786" s="18" t="s">
        <v>151</v>
      </c>
      <c r="EP786" s="17" t="s">
        <v>151</v>
      </c>
      <c r="EQ786" s="16" t="s">
        <v>151</v>
      </c>
      <c r="ER786" s="16" t="s">
        <v>151</v>
      </c>
      <c r="ES786" s="3">
        <f>HYPERLINK("https://my.pitchbook.com?c=512344-90","View Company Online")</f>
      </c>
    </row>
    <row r="787">
      <c r="A787" s="30" t="s">
        <v>16070</v>
      </c>
      <c r="B787" s="30" t="s">
        <v>16071</v>
      </c>
      <c r="C787" s="31" t="s">
        <v>151</v>
      </c>
      <c r="D787" s="30" t="s">
        <v>151</v>
      </c>
      <c r="E787" s="30" t="s">
        <v>16072</v>
      </c>
      <c r="F787" s="30" t="s">
        <v>16073</v>
      </c>
      <c r="G787" s="30" t="s">
        <v>151</v>
      </c>
      <c r="H787" s="30" t="s">
        <v>151</v>
      </c>
      <c r="I787" s="30" t="s">
        <v>151</v>
      </c>
      <c r="J787" s="30" t="s">
        <v>16070</v>
      </c>
      <c r="K787" s="30" t="s">
        <v>16074</v>
      </c>
      <c r="L787" s="30" t="s">
        <v>1792</v>
      </c>
      <c r="M787" s="30" t="s">
        <v>5329</v>
      </c>
      <c r="N787" s="30" t="s">
        <v>5330</v>
      </c>
      <c r="O787" s="30" t="s">
        <v>12931</v>
      </c>
      <c r="P787" s="30" t="s">
        <v>16075</v>
      </c>
      <c r="Q787" s="30" t="s">
        <v>16076</v>
      </c>
      <c r="R787" s="30" t="s">
        <v>151</v>
      </c>
      <c r="S787" s="30" t="s">
        <v>162</v>
      </c>
      <c r="T787" s="37">
        <v>0.17</v>
      </c>
      <c r="U787" s="30" t="s">
        <v>163</v>
      </c>
      <c r="V787" s="30" t="s">
        <v>164</v>
      </c>
      <c r="W787" s="30" t="s">
        <v>165</v>
      </c>
      <c r="X787" s="28" t="s">
        <v>16077</v>
      </c>
      <c r="Y787" s="28" t="s">
        <v>16078</v>
      </c>
      <c r="Z787" s="40">
        <v>3</v>
      </c>
      <c r="AA787" s="30" t="s">
        <v>16079</v>
      </c>
      <c r="AB787" s="30" t="s">
        <v>151</v>
      </c>
      <c r="AC787" s="30" t="s">
        <v>151</v>
      </c>
      <c r="AD787" s="39">
        <v>2023</v>
      </c>
      <c r="AE787" s="30" t="s">
        <v>151</v>
      </c>
      <c r="AF787" s="35">
        <v>45481</v>
      </c>
      <c r="AG787" s="30" t="s">
        <v>151</v>
      </c>
      <c r="AH787" s="30" t="s">
        <v>151</v>
      </c>
      <c r="AI787" s="38" t="s">
        <v>151</v>
      </c>
      <c r="AJ787" s="32" t="s">
        <v>151</v>
      </c>
      <c r="AK787" s="38" t="s">
        <v>151</v>
      </c>
      <c r="AL787" s="38" t="s">
        <v>151</v>
      </c>
      <c r="AM787" s="38" t="s">
        <v>151</v>
      </c>
      <c r="AN787" s="38" t="s">
        <v>151</v>
      </c>
      <c r="AO787" s="38" t="s">
        <v>151</v>
      </c>
      <c r="AP787" s="38" t="s">
        <v>151</v>
      </c>
      <c r="AQ787" s="38" t="s">
        <v>151</v>
      </c>
      <c r="AR787" s="29" t="s">
        <v>151</v>
      </c>
      <c r="AS787" s="30" t="s">
        <v>16080</v>
      </c>
      <c r="AT787" s="30" t="s">
        <v>16081</v>
      </c>
      <c r="AU787" s="31">
        <v>1</v>
      </c>
      <c r="AV787" s="30" t="s">
        <v>151</v>
      </c>
      <c r="AW787" s="30" t="s">
        <v>151</v>
      </c>
      <c r="AX787" s="30" t="s">
        <v>151</v>
      </c>
      <c r="AY787" s="30" t="s">
        <v>16082</v>
      </c>
      <c r="AZ787" s="30" t="s">
        <v>151</v>
      </c>
      <c r="BA787" s="30" t="s">
        <v>151</v>
      </c>
      <c r="BB787" s="30" t="s">
        <v>151</v>
      </c>
      <c r="BC787" s="30" t="s">
        <v>151</v>
      </c>
      <c r="BD787" s="30" t="s">
        <v>16083</v>
      </c>
      <c r="BE787" s="30" t="s">
        <v>16084</v>
      </c>
      <c r="BF787" s="30" t="s">
        <v>282</v>
      </c>
      <c r="BG787" s="30" t="s">
        <v>16085</v>
      </c>
      <c r="BH787" s="30" t="s">
        <v>151</v>
      </c>
      <c r="BI787" s="30" t="s">
        <v>578</v>
      </c>
      <c r="BJ787" s="30" t="s">
        <v>16086</v>
      </c>
      <c r="BK787" s="30" t="s">
        <v>11218</v>
      </c>
      <c r="BL787" s="30" t="s">
        <v>581</v>
      </c>
      <c r="BM787" s="30" t="s">
        <v>582</v>
      </c>
      <c r="BN787" s="29" t="s">
        <v>2743</v>
      </c>
      <c r="BO787" s="30" t="s">
        <v>186</v>
      </c>
      <c r="BP787" s="29" t="s">
        <v>151</v>
      </c>
      <c r="BQ787" s="29" t="s">
        <v>151</v>
      </c>
      <c r="BR787" s="30" t="s">
        <v>151</v>
      </c>
      <c r="BS787" s="30" t="s">
        <v>187</v>
      </c>
      <c r="BT787" s="30" t="s">
        <v>188</v>
      </c>
      <c r="BU787" s="35">
        <v>45292</v>
      </c>
      <c r="BV787" s="37">
        <v>0.17</v>
      </c>
      <c r="BW787" s="30" t="s">
        <v>192</v>
      </c>
      <c r="BX787" s="37" t="s">
        <v>151</v>
      </c>
      <c r="BY787" s="30" t="s">
        <v>151</v>
      </c>
      <c r="BZ787" s="30" t="s">
        <v>231</v>
      </c>
      <c r="CA787" s="30" t="s">
        <v>151</v>
      </c>
      <c r="CB787" s="30" t="s">
        <v>151</v>
      </c>
      <c r="CC787" s="30" t="s">
        <v>165</v>
      </c>
      <c r="CD787" s="30" t="s">
        <v>151</v>
      </c>
      <c r="CE787" s="30" t="s">
        <v>191</v>
      </c>
      <c r="CF787" s="35">
        <v>45292</v>
      </c>
      <c r="CG787" s="37">
        <v>0.17</v>
      </c>
      <c r="CH787" s="30" t="s">
        <v>192</v>
      </c>
      <c r="CI787" s="37" t="s">
        <v>151</v>
      </c>
      <c r="CJ787" s="30" t="s">
        <v>151</v>
      </c>
      <c r="CK787" s="29" t="s">
        <v>151</v>
      </c>
      <c r="CL787" s="30" t="s">
        <v>231</v>
      </c>
      <c r="CM787" s="30" t="s">
        <v>151</v>
      </c>
      <c r="CN787" s="30" t="s">
        <v>151</v>
      </c>
      <c r="CO787" s="30" t="s">
        <v>165</v>
      </c>
      <c r="CP787" s="35">
        <v>45292</v>
      </c>
      <c r="CQ787" s="37" t="s">
        <v>151</v>
      </c>
      <c r="CR787" s="30" t="s">
        <v>151</v>
      </c>
      <c r="CS787" s="30" t="s">
        <v>191</v>
      </c>
      <c r="CT787" s="29" t="s">
        <v>151</v>
      </c>
      <c r="CU787" s="30" t="s">
        <v>151</v>
      </c>
      <c r="CV787" s="32" t="s">
        <v>151</v>
      </c>
      <c r="CW787" s="32" t="s">
        <v>151</v>
      </c>
      <c r="CX787" s="30" t="s">
        <v>151</v>
      </c>
      <c r="CY787" s="32" t="s">
        <v>151</v>
      </c>
      <c r="CZ787" s="32" t="s">
        <v>151</v>
      </c>
      <c r="DA787" s="37" t="s">
        <v>151</v>
      </c>
      <c r="DB787" s="35" t="s">
        <v>151</v>
      </c>
      <c r="DC787" s="30" t="s">
        <v>151</v>
      </c>
      <c r="DD787" s="29" t="s">
        <v>151</v>
      </c>
      <c r="DE787" s="32">
        <v>0</v>
      </c>
      <c r="DF787" s="34">
        <v>11</v>
      </c>
      <c r="DG787" s="32">
        <v>0</v>
      </c>
      <c r="DH787" s="32">
        <v>0</v>
      </c>
      <c r="DI787" s="32">
        <v>0</v>
      </c>
      <c r="DJ787" s="34">
        <v>10</v>
      </c>
      <c r="DK787" s="32" t="s">
        <v>151</v>
      </c>
      <c r="DL787" s="34" t="s">
        <v>151</v>
      </c>
      <c r="DM787" s="32">
        <v>0</v>
      </c>
      <c r="DN787" s="34">
        <v>10</v>
      </c>
      <c r="DO787" s="36">
        <v>0.22</v>
      </c>
      <c r="DP787" s="34">
        <v>17</v>
      </c>
      <c r="DQ787" s="36">
        <v>0</v>
      </c>
      <c r="DR787" s="32">
        <v>0</v>
      </c>
      <c r="DS787" s="36">
        <v>0.21</v>
      </c>
      <c r="DT787" s="34">
        <v>14</v>
      </c>
      <c r="DU787" s="36" t="s">
        <v>151</v>
      </c>
      <c r="DV787" s="34" t="s">
        <v>151</v>
      </c>
      <c r="DW787" s="36">
        <v>0.21</v>
      </c>
      <c r="DX787" s="34">
        <v>14</v>
      </c>
      <c r="DY787" s="31" t="s">
        <v>151</v>
      </c>
      <c r="DZ787" s="35" t="s">
        <v>151</v>
      </c>
      <c r="EA787" s="35" t="s">
        <v>151</v>
      </c>
      <c r="EB787" s="34" t="s">
        <v>151</v>
      </c>
      <c r="EC787" s="33" t="s">
        <v>151</v>
      </c>
      <c r="ED787" s="32" t="s">
        <v>151</v>
      </c>
      <c r="EE787" s="34">
        <v>4</v>
      </c>
      <c r="EF787" s="33">
        <v>0</v>
      </c>
      <c r="EG787" s="32">
        <v>0</v>
      </c>
      <c r="EH787" s="29" t="s">
        <v>198</v>
      </c>
      <c r="EI787" s="30" t="s">
        <v>151</v>
      </c>
      <c r="EJ787" s="30" t="s">
        <v>151</v>
      </c>
      <c r="EK787" s="31" t="s">
        <v>151</v>
      </c>
      <c r="EL787" s="31" t="s">
        <v>151</v>
      </c>
      <c r="EM787" s="31" t="s">
        <v>151</v>
      </c>
      <c r="EN787" s="31" t="s">
        <v>151</v>
      </c>
      <c r="EO787" s="31" t="s">
        <v>151</v>
      </c>
      <c r="EP787" s="30" t="s">
        <v>151</v>
      </c>
      <c r="EQ787" s="29" t="s">
        <v>151</v>
      </c>
      <c r="ER787" s="29" t="s">
        <v>151</v>
      </c>
      <c r="ES787" s="4">
        <f>HYPERLINK("https://my.pitchbook.com?c=539798-68","View Company Online")</f>
      </c>
    </row>
    <row r="788">
      <c r="A788" s="17" t="s">
        <v>16087</v>
      </c>
      <c r="B788" s="17" t="s">
        <v>16088</v>
      </c>
      <c r="C788" s="18" t="s">
        <v>151</v>
      </c>
      <c r="D788" s="17" t="s">
        <v>151</v>
      </c>
      <c r="E788" s="17" t="s">
        <v>151</v>
      </c>
      <c r="F788" s="17" t="s">
        <v>16089</v>
      </c>
      <c r="G788" s="17" t="s">
        <v>151</v>
      </c>
      <c r="H788" s="17" t="s">
        <v>151</v>
      </c>
      <c r="I788" s="17" t="s">
        <v>151</v>
      </c>
      <c r="J788" s="17" t="s">
        <v>16087</v>
      </c>
      <c r="K788" s="17" t="s">
        <v>16090</v>
      </c>
      <c r="L788" s="17" t="s">
        <v>205</v>
      </c>
      <c r="M788" s="17" t="s">
        <v>206</v>
      </c>
      <c r="N788" s="17" t="s">
        <v>269</v>
      </c>
      <c r="O788" s="17" t="s">
        <v>7247</v>
      </c>
      <c r="P788" s="17" t="s">
        <v>16091</v>
      </c>
      <c r="Q788" s="17" t="s">
        <v>16092</v>
      </c>
      <c r="R788" s="17" t="s">
        <v>151</v>
      </c>
      <c r="S788" s="17" t="s">
        <v>162</v>
      </c>
      <c r="T788" s="24">
        <v>3.33</v>
      </c>
      <c r="U788" s="17" t="s">
        <v>163</v>
      </c>
      <c r="V788" s="17" t="s">
        <v>164</v>
      </c>
      <c r="W788" s="17" t="s">
        <v>165</v>
      </c>
      <c r="X788" s="15" t="s">
        <v>16093</v>
      </c>
      <c r="Y788" s="15" t="s">
        <v>16094</v>
      </c>
      <c r="Z788" s="27">
        <v>9</v>
      </c>
      <c r="AA788" s="17" t="s">
        <v>7329</v>
      </c>
      <c r="AB788" s="17" t="s">
        <v>151</v>
      </c>
      <c r="AC788" s="17" t="s">
        <v>151</v>
      </c>
      <c r="AD788" s="26">
        <v>2023</v>
      </c>
      <c r="AE788" s="17" t="s">
        <v>151</v>
      </c>
      <c r="AF788" s="22">
        <v>45587</v>
      </c>
      <c r="AG788" s="17" t="s">
        <v>151</v>
      </c>
      <c r="AH788" s="17" t="s">
        <v>151</v>
      </c>
      <c r="AI788" s="25" t="s">
        <v>151</v>
      </c>
      <c r="AJ788" s="19" t="s">
        <v>151</v>
      </c>
      <c r="AK788" s="25" t="s">
        <v>151</v>
      </c>
      <c r="AL788" s="25" t="s">
        <v>151</v>
      </c>
      <c r="AM788" s="25" t="s">
        <v>151</v>
      </c>
      <c r="AN788" s="25" t="s">
        <v>151</v>
      </c>
      <c r="AO788" s="25" t="s">
        <v>151</v>
      </c>
      <c r="AP788" s="25" t="s">
        <v>151</v>
      </c>
      <c r="AQ788" s="25" t="s">
        <v>151</v>
      </c>
      <c r="AR788" s="16" t="s">
        <v>151</v>
      </c>
      <c r="AS788" s="17" t="s">
        <v>16095</v>
      </c>
      <c r="AT788" s="17" t="s">
        <v>16096</v>
      </c>
      <c r="AU788" s="18">
        <v>7</v>
      </c>
      <c r="AV788" s="17" t="s">
        <v>151</v>
      </c>
      <c r="AW788" s="17" t="s">
        <v>151</v>
      </c>
      <c r="AX788" s="17" t="s">
        <v>151</v>
      </c>
      <c r="AY788" s="17" t="s">
        <v>16097</v>
      </c>
      <c r="AZ788" s="17" t="s">
        <v>151</v>
      </c>
      <c r="BA788" s="17" t="s">
        <v>151</v>
      </c>
      <c r="BB788" s="17" t="s">
        <v>151</v>
      </c>
      <c r="BC788" s="17" t="s">
        <v>462</v>
      </c>
      <c r="BD788" s="17" t="s">
        <v>16098</v>
      </c>
      <c r="BE788" s="17" t="s">
        <v>16099</v>
      </c>
      <c r="BF788" s="17" t="s">
        <v>221</v>
      </c>
      <c r="BG788" s="17" t="s">
        <v>16100</v>
      </c>
      <c r="BH788" s="17" t="s">
        <v>151</v>
      </c>
      <c r="BI788" s="17" t="s">
        <v>707</v>
      </c>
      <c r="BJ788" s="17" t="s">
        <v>16101</v>
      </c>
      <c r="BK788" s="17" t="s">
        <v>151</v>
      </c>
      <c r="BL788" s="17" t="s">
        <v>709</v>
      </c>
      <c r="BM788" s="17" t="s">
        <v>184</v>
      </c>
      <c r="BN788" s="16" t="s">
        <v>6742</v>
      </c>
      <c r="BO788" s="17" t="s">
        <v>186</v>
      </c>
      <c r="BP788" s="16" t="s">
        <v>151</v>
      </c>
      <c r="BQ788" s="16" t="s">
        <v>151</v>
      </c>
      <c r="BR788" s="17" t="s">
        <v>16102</v>
      </c>
      <c r="BS788" s="17" t="s">
        <v>187</v>
      </c>
      <c r="BT788" s="17" t="s">
        <v>188</v>
      </c>
      <c r="BU788" s="22">
        <v>45292</v>
      </c>
      <c r="BV788" s="24" t="s">
        <v>151</v>
      </c>
      <c r="BW788" s="17" t="s">
        <v>151</v>
      </c>
      <c r="BX788" s="24" t="s">
        <v>151</v>
      </c>
      <c r="BY788" s="17" t="s">
        <v>151</v>
      </c>
      <c r="BZ788" s="17" t="s">
        <v>189</v>
      </c>
      <c r="CA788" s="17" t="s">
        <v>151</v>
      </c>
      <c r="CB788" s="17" t="s">
        <v>151</v>
      </c>
      <c r="CC788" s="17" t="s">
        <v>190</v>
      </c>
      <c r="CD788" s="17" t="s">
        <v>151</v>
      </c>
      <c r="CE788" s="17" t="s">
        <v>191</v>
      </c>
      <c r="CF788" s="22">
        <v>45358</v>
      </c>
      <c r="CG788" s="24">
        <v>0.03</v>
      </c>
      <c r="CH788" s="17" t="s">
        <v>192</v>
      </c>
      <c r="CI788" s="24" t="s">
        <v>151</v>
      </c>
      <c r="CJ788" s="17" t="s">
        <v>151</v>
      </c>
      <c r="CK788" s="16" t="s">
        <v>151</v>
      </c>
      <c r="CL788" s="17" t="s">
        <v>189</v>
      </c>
      <c r="CM788" s="17" t="s">
        <v>151</v>
      </c>
      <c r="CN788" s="17" t="s">
        <v>151</v>
      </c>
      <c r="CO788" s="17" t="s">
        <v>190</v>
      </c>
      <c r="CP788" s="22">
        <v>45358</v>
      </c>
      <c r="CQ788" s="24" t="s">
        <v>151</v>
      </c>
      <c r="CR788" s="17" t="s">
        <v>151</v>
      </c>
      <c r="CS788" s="17" t="s">
        <v>191</v>
      </c>
      <c r="CT788" s="16" t="s">
        <v>151</v>
      </c>
      <c r="CU788" s="17" t="s">
        <v>151</v>
      </c>
      <c r="CV788" s="19" t="s">
        <v>151</v>
      </c>
      <c r="CW788" s="19" t="s">
        <v>151</v>
      </c>
      <c r="CX788" s="17" t="s">
        <v>151</v>
      </c>
      <c r="CY788" s="19" t="s">
        <v>151</v>
      </c>
      <c r="CZ788" s="19" t="s">
        <v>151</v>
      </c>
      <c r="DA788" s="24" t="s">
        <v>151</v>
      </c>
      <c r="DB788" s="22" t="s">
        <v>151</v>
      </c>
      <c r="DC788" s="17" t="s">
        <v>151</v>
      </c>
      <c r="DD788" s="16" t="s">
        <v>151</v>
      </c>
      <c r="DE788" s="19">
        <v>0.78</v>
      </c>
      <c r="DF788" s="21">
        <v>95</v>
      </c>
      <c r="DG788" s="19">
        <v>0</v>
      </c>
      <c r="DH788" s="19">
        <v>0</v>
      </c>
      <c r="DI788" s="19">
        <v>0</v>
      </c>
      <c r="DJ788" s="21">
        <v>10</v>
      </c>
      <c r="DK788" s="19" t="s">
        <v>151</v>
      </c>
      <c r="DL788" s="21" t="s">
        <v>151</v>
      </c>
      <c r="DM788" s="19">
        <v>0</v>
      </c>
      <c r="DN788" s="21">
        <v>10</v>
      </c>
      <c r="DO788" s="23">
        <v>1.32</v>
      </c>
      <c r="DP788" s="21">
        <v>56</v>
      </c>
      <c r="DQ788" s="23">
        <v>0.03</v>
      </c>
      <c r="DR788" s="19">
        <v>2.03</v>
      </c>
      <c r="DS788" s="23">
        <v>1.95</v>
      </c>
      <c r="DT788" s="21">
        <v>65</v>
      </c>
      <c r="DU788" s="23" t="s">
        <v>151</v>
      </c>
      <c r="DV788" s="21" t="s">
        <v>151</v>
      </c>
      <c r="DW788" s="23">
        <v>1.95</v>
      </c>
      <c r="DX788" s="21">
        <v>65</v>
      </c>
      <c r="DY788" s="18" t="s">
        <v>151</v>
      </c>
      <c r="DZ788" s="22" t="s">
        <v>151</v>
      </c>
      <c r="EA788" s="22" t="s">
        <v>151</v>
      </c>
      <c r="EB788" s="21">
        <v>1766</v>
      </c>
      <c r="EC788" s="20">
        <v>-75</v>
      </c>
      <c r="ED788" s="19">
        <v>-4.07</v>
      </c>
      <c r="EE788" s="21">
        <v>37</v>
      </c>
      <c r="EF788" s="20">
        <v>3</v>
      </c>
      <c r="EG788" s="19">
        <v>8.82</v>
      </c>
      <c r="EH788" s="16" t="s">
        <v>198</v>
      </c>
      <c r="EI788" s="17" t="s">
        <v>151</v>
      </c>
      <c r="EJ788" s="17" t="s">
        <v>151</v>
      </c>
      <c r="EK788" s="18" t="s">
        <v>151</v>
      </c>
      <c r="EL788" s="18" t="s">
        <v>151</v>
      </c>
      <c r="EM788" s="18" t="s">
        <v>151</v>
      </c>
      <c r="EN788" s="18" t="s">
        <v>151</v>
      </c>
      <c r="EO788" s="18" t="s">
        <v>151</v>
      </c>
      <c r="EP788" s="17" t="s">
        <v>151</v>
      </c>
      <c r="EQ788" s="16" t="s">
        <v>151</v>
      </c>
      <c r="ER788" s="16" t="s">
        <v>151</v>
      </c>
      <c r="ES788" s="3">
        <f>HYPERLINK("https://my.pitchbook.com?c=551746-63","View Company Online")</f>
      </c>
    </row>
    <row r="789">
      <c r="A789" s="30" t="s">
        <v>16103</v>
      </c>
      <c r="B789" s="30" t="s">
        <v>16104</v>
      </c>
      <c r="C789" s="31" t="s">
        <v>151</v>
      </c>
      <c r="D789" s="30" t="s">
        <v>16105</v>
      </c>
      <c r="E789" s="30" t="s">
        <v>16106</v>
      </c>
      <c r="F789" s="30" t="s">
        <v>16107</v>
      </c>
      <c r="G789" s="30" t="s">
        <v>151</v>
      </c>
      <c r="H789" s="30" t="s">
        <v>151</v>
      </c>
      <c r="I789" s="30" t="s">
        <v>151</v>
      </c>
      <c r="J789" s="30" t="s">
        <v>16103</v>
      </c>
      <c r="K789" s="30" t="s">
        <v>16108</v>
      </c>
      <c r="L789" s="30" t="s">
        <v>155</v>
      </c>
      <c r="M789" s="30" t="s">
        <v>361</v>
      </c>
      <c r="N789" s="30" t="s">
        <v>3162</v>
      </c>
      <c r="O789" s="30" t="s">
        <v>3163</v>
      </c>
      <c r="P789" s="30" t="s">
        <v>151</v>
      </c>
      <c r="Q789" s="30" t="s">
        <v>16109</v>
      </c>
      <c r="R789" s="30" t="s">
        <v>151</v>
      </c>
      <c r="S789" s="30" t="s">
        <v>16110</v>
      </c>
      <c r="T789" s="37">
        <v>5.92</v>
      </c>
      <c r="U789" s="30" t="s">
        <v>163</v>
      </c>
      <c r="V789" s="30" t="s">
        <v>164</v>
      </c>
      <c r="W789" s="30" t="s">
        <v>11417</v>
      </c>
      <c r="X789" s="28" t="s">
        <v>16111</v>
      </c>
      <c r="Y789" s="28" t="s">
        <v>16112</v>
      </c>
      <c r="Z789" s="40">
        <v>11</v>
      </c>
      <c r="AA789" s="30" t="s">
        <v>16113</v>
      </c>
      <c r="AB789" s="30" t="s">
        <v>151</v>
      </c>
      <c r="AC789" s="30" t="s">
        <v>151</v>
      </c>
      <c r="AD789" s="39">
        <v>2015</v>
      </c>
      <c r="AE789" s="30" t="s">
        <v>151</v>
      </c>
      <c r="AF789" s="35">
        <v>45505</v>
      </c>
      <c r="AG789" s="30" t="s">
        <v>151</v>
      </c>
      <c r="AH789" s="30" t="s">
        <v>151</v>
      </c>
      <c r="AI789" s="38" t="s">
        <v>151</v>
      </c>
      <c r="AJ789" s="32" t="s">
        <v>151</v>
      </c>
      <c r="AK789" s="38" t="s">
        <v>151</v>
      </c>
      <c r="AL789" s="38" t="s">
        <v>151</v>
      </c>
      <c r="AM789" s="38" t="s">
        <v>151</v>
      </c>
      <c r="AN789" s="38" t="s">
        <v>151</v>
      </c>
      <c r="AO789" s="38" t="s">
        <v>151</v>
      </c>
      <c r="AP789" s="38" t="s">
        <v>151</v>
      </c>
      <c r="AQ789" s="38" t="s">
        <v>151</v>
      </c>
      <c r="AR789" s="29" t="s">
        <v>151</v>
      </c>
      <c r="AS789" s="30" t="s">
        <v>16114</v>
      </c>
      <c r="AT789" s="30" t="s">
        <v>16115</v>
      </c>
      <c r="AU789" s="31">
        <v>1</v>
      </c>
      <c r="AV789" s="30" t="s">
        <v>151</v>
      </c>
      <c r="AW789" s="30" t="s">
        <v>151</v>
      </c>
      <c r="AX789" s="30" t="s">
        <v>151</v>
      </c>
      <c r="AY789" s="30" t="s">
        <v>16116</v>
      </c>
      <c r="AZ789" s="30" t="s">
        <v>151</v>
      </c>
      <c r="BA789" s="30" t="s">
        <v>151</v>
      </c>
      <c r="BB789" s="30" t="s">
        <v>151</v>
      </c>
      <c r="BC789" s="30" t="s">
        <v>16117</v>
      </c>
      <c r="BD789" s="30" t="s">
        <v>16118</v>
      </c>
      <c r="BE789" s="30" t="s">
        <v>16119</v>
      </c>
      <c r="BF789" s="30" t="s">
        <v>430</v>
      </c>
      <c r="BG789" s="30" t="s">
        <v>151</v>
      </c>
      <c r="BH789" s="30" t="s">
        <v>16120</v>
      </c>
      <c r="BI789" s="30" t="s">
        <v>2289</v>
      </c>
      <c r="BJ789" s="30" t="s">
        <v>16121</v>
      </c>
      <c r="BK789" s="30" t="s">
        <v>1014</v>
      </c>
      <c r="BL789" s="30" t="s">
        <v>2291</v>
      </c>
      <c r="BM789" s="30" t="s">
        <v>1043</v>
      </c>
      <c r="BN789" s="29" t="s">
        <v>12284</v>
      </c>
      <c r="BO789" s="30" t="s">
        <v>186</v>
      </c>
      <c r="BP789" s="29" t="s">
        <v>16122</v>
      </c>
      <c r="BQ789" s="29" t="s">
        <v>151</v>
      </c>
      <c r="BR789" s="30" t="s">
        <v>16123</v>
      </c>
      <c r="BS789" s="30" t="s">
        <v>187</v>
      </c>
      <c r="BT789" s="30" t="s">
        <v>188</v>
      </c>
      <c r="BU789" s="35">
        <v>44138</v>
      </c>
      <c r="BV789" s="37">
        <v>0.6</v>
      </c>
      <c r="BW789" s="30" t="s">
        <v>192</v>
      </c>
      <c r="BX789" s="37" t="s">
        <v>151</v>
      </c>
      <c r="BY789" s="30" t="s">
        <v>151</v>
      </c>
      <c r="BZ789" s="30" t="s">
        <v>1363</v>
      </c>
      <c r="CA789" s="30" t="s">
        <v>151</v>
      </c>
      <c r="CB789" s="30" t="s">
        <v>151</v>
      </c>
      <c r="CC789" s="30" t="s">
        <v>585</v>
      </c>
      <c r="CD789" s="30" t="s">
        <v>151</v>
      </c>
      <c r="CE789" s="30" t="s">
        <v>191</v>
      </c>
      <c r="CF789" s="35">
        <v>44545</v>
      </c>
      <c r="CG789" s="37">
        <v>5</v>
      </c>
      <c r="CH789" s="30" t="s">
        <v>192</v>
      </c>
      <c r="CI789" s="37">
        <v>15</v>
      </c>
      <c r="CJ789" s="30" t="s">
        <v>192</v>
      </c>
      <c r="CK789" s="29" t="s">
        <v>151</v>
      </c>
      <c r="CL789" s="30" t="s">
        <v>1075</v>
      </c>
      <c r="CM789" s="30" t="s">
        <v>1075</v>
      </c>
      <c r="CN789" s="30" t="s">
        <v>151</v>
      </c>
      <c r="CO789" s="30" t="s">
        <v>585</v>
      </c>
      <c r="CP789" s="35">
        <v>44545</v>
      </c>
      <c r="CQ789" s="37" t="s">
        <v>151</v>
      </c>
      <c r="CR789" s="30" t="s">
        <v>151</v>
      </c>
      <c r="CS789" s="30" t="s">
        <v>191</v>
      </c>
      <c r="CT789" s="29">
        <v>17</v>
      </c>
      <c r="CU789" s="30" t="s">
        <v>263</v>
      </c>
      <c r="CV789" s="32">
        <v>18</v>
      </c>
      <c r="CW789" s="32">
        <v>82</v>
      </c>
      <c r="CX789" s="30" t="s">
        <v>263</v>
      </c>
      <c r="CY789" s="32">
        <v>1</v>
      </c>
      <c r="CZ789" s="32">
        <v>17</v>
      </c>
      <c r="DA789" s="37">
        <v>15</v>
      </c>
      <c r="DB789" s="35">
        <v>44545</v>
      </c>
      <c r="DC789" s="30" t="s">
        <v>1075</v>
      </c>
      <c r="DD789" s="29" t="s">
        <v>151</v>
      </c>
      <c r="DE789" s="32">
        <v>-0.52</v>
      </c>
      <c r="DF789" s="34">
        <v>7</v>
      </c>
      <c r="DG789" s="32">
        <v>0</v>
      </c>
      <c r="DH789" s="32">
        <v>0</v>
      </c>
      <c r="DI789" s="32">
        <v>0</v>
      </c>
      <c r="DJ789" s="34">
        <v>10</v>
      </c>
      <c r="DK789" s="32" t="s">
        <v>151</v>
      </c>
      <c r="DL789" s="34" t="s">
        <v>151</v>
      </c>
      <c r="DM789" s="32">
        <v>0</v>
      </c>
      <c r="DN789" s="34">
        <v>10</v>
      </c>
      <c r="DO789" s="36">
        <v>2</v>
      </c>
      <c r="DP789" s="34">
        <v>66</v>
      </c>
      <c r="DQ789" s="36">
        <v>0</v>
      </c>
      <c r="DR789" s="32">
        <v>0</v>
      </c>
      <c r="DS789" s="36">
        <v>3.16</v>
      </c>
      <c r="DT789" s="34">
        <v>75</v>
      </c>
      <c r="DU789" s="36" t="s">
        <v>151</v>
      </c>
      <c r="DV789" s="34" t="s">
        <v>151</v>
      </c>
      <c r="DW789" s="36">
        <v>3.16</v>
      </c>
      <c r="DX789" s="34">
        <v>75</v>
      </c>
      <c r="DY789" s="31">
        <v>9</v>
      </c>
      <c r="DZ789" s="35">
        <v>44944</v>
      </c>
      <c r="EA789" s="35" t="s">
        <v>151</v>
      </c>
      <c r="EB789" s="34">
        <v>8</v>
      </c>
      <c r="EC789" s="33">
        <v>-44</v>
      </c>
      <c r="ED789" s="32">
        <v>-84.62</v>
      </c>
      <c r="EE789" s="34">
        <v>60</v>
      </c>
      <c r="EF789" s="33">
        <v>1</v>
      </c>
      <c r="EG789" s="32">
        <v>1.69</v>
      </c>
      <c r="EH789" s="29" t="s">
        <v>198</v>
      </c>
      <c r="EI789" s="30" t="s">
        <v>151</v>
      </c>
      <c r="EJ789" s="30" t="s">
        <v>151</v>
      </c>
      <c r="EK789" s="31" t="s">
        <v>151</v>
      </c>
      <c r="EL789" s="31" t="s">
        <v>151</v>
      </c>
      <c r="EM789" s="31" t="s">
        <v>151</v>
      </c>
      <c r="EN789" s="31" t="s">
        <v>151</v>
      </c>
      <c r="EO789" s="31" t="s">
        <v>151</v>
      </c>
      <c r="EP789" s="30" t="s">
        <v>151</v>
      </c>
      <c r="EQ789" s="29" t="s">
        <v>151</v>
      </c>
      <c r="ER789" s="29" t="s">
        <v>151</v>
      </c>
      <c r="ES789" s="4">
        <f>HYPERLINK("https://my.pitchbook.com?c=439420-96","View Company Online")</f>
      </c>
    </row>
    <row r="790">
      <c r="A790" s="17" t="s">
        <v>16124</v>
      </c>
      <c r="B790" s="17" t="s">
        <v>16125</v>
      </c>
      <c r="C790" s="18" t="s">
        <v>151</v>
      </c>
      <c r="D790" s="17" t="s">
        <v>151</v>
      </c>
      <c r="E790" s="17" t="s">
        <v>16126</v>
      </c>
      <c r="F790" s="17" t="s">
        <v>16127</v>
      </c>
      <c r="G790" s="17" t="s">
        <v>151</v>
      </c>
      <c r="H790" s="17" t="s">
        <v>151</v>
      </c>
      <c r="I790" s="17" t="s">
        <v>16128</v>
      </c>
      <c r="J790" s="17" t="s">
        <v>16124</v>
      </c>
      <c r="K790" s="17" t="s">
        <v>16129</v>
      </c>
      <c r="L790" s="17" t="s">
        <v>205</v>
      </c>
      <c r="M790" s="17" t="s">
        <v>206</v>
      </c>
      <c r="N790" s="17" t="s">
        <v>776</v>
      </c>
      <c r="O790" s="17" t="s">
        <v>14704</v>
      </c>
      <c r="P790" s="17" t="s">
        <v>16130</v>
      </c>
      <c r="Q790" s="17" t="s">
        <v>16131</v>
      </c>
      <c r="R790" s="17" t="s">
        <v>16132</v>
      </c>
      <c r="S790" s="17" t="s">
        <v>162</v>
      </c>
      <c r="T790" s="24">
        <v>9.2</v>
      </c>
      <c r="U790" s="17" t="s">
        <v>163</v>
      </c>
      <c r="V790" s="17" t="s">
        <v>164</v>
      </c>
      <c r="W790" s="17" t="s">
        <v>165</v>
      </c>
      <c r="X790" s="15" t="s">
        <v>16133</v>
      </c>
      <c r="Y790" s="15" t="s">
        <v>16134</v>
      </c>
      <c r="Z790" s="27">
        <v>12</v>
      </c>
      <c r="AA790" s="17" t="s">
        <v>16135</v>
      </c>
      <c r="AB790" s="17" t="s">
        <v>151</v>
      </c>
      <c r="AC790" s="17" t="s">
        <v>151</v>
      </c>
      <c r="AD790" s="26">
        <v>2019</v>
      </c>
      <c r="AE790" s="17" t="s">
        <v>151</v>
      </c>
      <c r="AF790" s="22">
        <v>45551</v>
      </c>
      <c r="AG790" s="17" t="s">
        <v>151</v>
      </c>
      <c r="AH790" s="17" t="s">
        <v>151</v>
      </c>
      <c r="AI790" s="25" t="s">
        <v>151</v>
      </c>
      <c r="AJ790" s="19" t="s">
        <v>151</v>
      </c>
      <c r="AK790" s="25" t="s">
        <v>151</v>
      </c>
      <c r="AL790" s="25" t="s">
        <v>151</v>
      </c>
      <c r="AM790" s="25" t="s">
        <v>151</v>
      </c>
      <c r="AN790" s="25" t="s">
        <v>151</v>
      </c>
      <c r="AO790" s="25" t="s">
        <v>151</v>
      </c>
      <c r="AP790" s="25" t="s">
        <v>151</v>
      </c>
      <c r="AQ790" s="25" t="s">
        <v>151</v>
      </c>
      <c r="AR790" s="16" t="s">
        <v>151</v>
      </c>
      <c r="AS790" s="17" t="s">
        <v>16136</v>
      </c>
      <c r="AT790" s="17" t="s">
        <v>16137</v>
      </c>
      <c r="AU790" s="18">
        <v>36</v>
      </c>
      <c r="AV790" s="17" t="s">
        <v>151</v>
      </c>
      <c r="AW790" s="17" t="s">
        <v>151</v>
      </c>
      <c r="AX790" s="17" t="s">
        <v>151</v>
      </c>
      <c r="AY790" s="17" t="s">
        <v>16138</v>
      </c>
      <c r="AZ790" s="17" t="s">
        <v>151</v>
      </c>
      <c r="BA790" s="17" t="s">
        <v>151</v>
      </c>
      <c r="BB790" s="17" t="s">
        <v>151</v>
      </c>
      <c r="BC790" s="17" t="s">
        <v>490</v>
      </c>
      <c r="BD790" s="17" t="s">
        <v>16139</v>
      </c>
      <c r="BE790" s="17" t="s">
        <v>16140</v>
      </c>
      <c r="BF790" s="17" t="s">
        <v>403</v>
      </c>
      <c r="BG790" s="17" t="s">
        <v>16141</v>
      </c>
      <c r="BH790" s="17" t="s">
        <v>151</v>
      </c>
      <c r="BI790" s="17" t="s">
        <v>6102</v>
      </c>
      <c r="BJ790" s="17" t="s">
        <v>16142</v>
      </c>
      <c r="BK790" s="17" t="s">
        <v>151</v>
      </c>
      <c r="BL790" s="17" t="s">
        <v>6104</v>
      </c>
      <c r="BM790" s="17" t="s">
        <v>184</v>
      </c>
      <c r="BN790" s="16" t="s">
        <v>9024</v>
      </c>
      <c r="BO790" s="17" t="s">
        <v>186</v>
      </c>
      <c r="BP790" s="16" t="s">
        <v>151</v>
      </c>
      <c r="BQ790" s="16" t="s">
        <v>151</v>
      </c>
      <c r="BR790" s="17" t="s">
        <v>16143</v>
      </c>
      <c r="BS790" s="17" t="s">
        <v>187</v>
      </c>
      <c r="BT790" s="17" t="s">
        <v>188</v>
      </c>
      <c r="BU790" s="22">
        <v>43726</v>
      </c>
      <c r="BV790" s="24">
        <v>0.03</v>
      </c>
      <c r="BW790" s="17" t="s">
        <v>192</v>
      </c>
      <c r="BX790" s="24" t="s">
        <v>151</v>
      </c>
      <c r="BY790" s="17" t="s">
        <v>151</v>
      </c>
      <c r="BZ790" s="17" t="s">
        <v>501</v>
      </c>
      <c r="CA790" s="17" t="s">
        <v>151</v>
      </c>
      <c r="CB790" s="17" t="s">
        <v>151</v>
      </c>
      <c r="CC790" s="17" t="s">
        <v>190</v>
      </c>
      <c r="CD790" s="17" t="s">
        <v>151</v>
      </c>
      <c r="CE790" s="17" t="s">
        <v>191</v>
      </c>
      <c r="CF790" s="22">
        <v>44551</v>
      </c>
      <c r="CG790" s="24">
        <v>6.6</v>
      </c>
      <c r="CH790" s="17" t="s">
        <v>192</v>
      </c>
      <c r="CI790" s="24" t="s">
        <v>151</v>
      </c>
      <c r="CJ790" s="17" t="s">
        <v>151</v>
      </c>
      <c r="CK790" s="16" t="s">
        <v>151</v>
      </c>
      <c r="CL790" s="17" t="s">
        <v>231</v>
      </c>
      <c r="CM790" s="17" t="s">
        <v>151</v>
      </c>
      <c r="CN790" s="17" t="s">
        <v>151</v>
      </c>
      <c r="CO790" s="17" t="s">
        <v>165</v>
      </c>
      <c r="CP790" s="22">
        <v>44551</v>
      </c>
      <c r="CQ790" s="24" t="s">
        <v>151</v>
      </c>
      <c r="CR790" s="17" t="s">
        <v>151</v>
      </c>
      <c r="CS790" s="17" t="s">
        <v>191</v>
      </c>
      <c r="CT790" s="16">
        <v>42</v>
      </c>
      <c r="CU790" s="17" t="s">
        <v>263</v>
      </c>
      <c r="CV790" s="19">
        <v>41</v>
      </c>
      <c r="CW790" s="19">
        <v>59</v>
      </c>
      <c r="CX790" s="17" t="s">
        <v>263</v>
      </c>
      <c r="CY790" s="19">
        <v>2</v>
      </c>
      <c r="CZ790" s="19">
        <v>39</v>
      </c>
      <c r="DA790" s="24" t="s">
        <v>151</v>
      </c>
      <c r="DB790" s="22" t="s">
        <v>151</v>
      </c>
      <c r="DC790" s="17" t="s">
        <v>151</v>
      </c>
      <c r="DD790" s="16" t="s">
        <v>151</v>
      </c>
      <c r="DE790" s="19">
        <v>0.22</v>
      </c>
      <c r="DF790" s="21">
        <v>92</v>
      </c>
      <c r="DG790" s="19">
        <v>0</v>
      </c>
      <c r="DH790" s="19">
        <v>0</v>
      </c>
      <c r="DI790" s="19">
        <v>0.22</v>
      </c>
      <c r="DJ790" s="21">
        <v>93</v>
      </c>
      <c r="DK790" s="19" t="s">
        <v>151</v>
      </c>
      <c r="DL790" s="21" t="s">
        <v>151</v>
      </c>
      <c r="DM790" s="19">
        <v>0.22</v>
      </c>
      <c r="DN790" s="21">
        <v>93</v>
      </c>
      <c r="DO790" s="23">
        <v>50.84</v>
      </c>
      <c r="DP790" s="21">
        <v>98</v>
      </c>
      <c r="DQ790" s="23">
        <v>0</v>
      </c>
      <c r="DR790" s="19">
        <v>0</v>
      </c>
      <c r="DS790" s="23">
        <v>50.84</v>
      </c>
      <c r="DT790" s="21">
        <v>98</v>
      </c>
      <c r="DU790" s="23" t="s">
        <v>151</v>
      </c>
      <c r="DV790" s="21" t="s">
        <v>151</v>
      </c>
      <c r="DW790" s="23">
        <v>50.84</v>
      </c>
      <c r="DX790" s="21">
        <v>98</v>
      </c>
      <c r="DY790" s="18" t="s">
        <v>151</v>
      </c>
      <c r="DZ790" s="22" t="s">
        <v>151</v>
      </c>
      <c r="EA790" s="22" t="s">
        <v>151</v>
      </c>
      <c r="EB790" s="21">
        <v>28904</v>
      </c>
      <c r="EC790" s="20">
        <v>333</v>
      </c>
      <c r="ED790" s="19">
        <v>1.17</v>
      </c>
      <c r="EE790" s="21">
        <v>966</v>
      </c>
      <c r="EF790" s="20">
        <v>2</v>
      </c>
      <c r="EG790" s="19">
        <v>0.21</v>
      </c>
      <c r="EH790" s="16" t="s">
        <v>198</v>
      </c>
      <c r="EI790" s="17" t="s">
        <v>151</v>
      </c>
      <c r="EJ790" s="17" t="s">
        <v>151</v>
      </c>
      <c r="EK790" s="18" t="s">
        <v>151</v>
      </c>
      <c r="EL790" s="18" t="s">
        <v>151</v>
      </c>
      <c r="EM790" s="18" t="s">
        <v>151</v>
      </c>
      <c r="EN790" s="18" t="s">
        <v>151</v>
      </c>
      <c r="EO790" s="18" t="s">
        <v>151</v>
      </c>
      <c r="EP790" s="17" t="s">
        <v>151</v>
      </c>
      <c r="EQ790" s="16" t="s">
        <v>151</v>
      </c>
      <c r="ER790" s="16" t="s">
        <v>151</v>
      </c>
      <c r="ES790" s="3">
        <f>HYPERLINK("https://my.pitchbook.com?c=343168-12","View Company Online")</f>
      </c>
    </row>
    <row r="791">
      <c r="A791" s="30" t="s">
        <v>16144</v>
      </c>
      <c r="B791" s="30" t="s">
        <v>16145</v>
      </c>
      <c r="C791" s="31" t="s">
        <v>151</v>
      </c>
      <c r="D791" s="30" t="s">
        <v>151</v>
      </c>
      <c r="E791" s="30" t="s">
        <v>151</v>
      </c>
      <c r="F791" s="30" t="s">
        <v>16146</v>
      </c>
      <c r="G791" s="30" t="s">
        <v>151</v>
      </c>
      <c r="H791" s="30" t="s">
        <v>151</v>
      </c>
      <c r="I791" s="30" t="s">
        <v>16147</v>
      </c>
      <c r="J791" s="30" t="s">
        <v>16144</v>
      </c>
      <c r="K791" s="30" t="s">
        <v>16148</v>
      </c>
      <c r="L791" s="30" t="s">
        <v>155</v>
      </c>
      <c r="M791" s="30" t="s">
        <v>2320</v>
      </c>
      <c r="N791" s="30" t="s">
        <v>2321</v>
      </c>
      <c r="O791" s="30" t="s">
        <v>16149</v>
      </c>
      <c r="P791" s="30" t="s">
        <v>16150</v>
      </c>
      <c r="Q791" s="30" t="s">
        <v>16151</v>
      </c>
      <c r="R791" s="30" t="s">
        <v>151</v>
      </c>
      <c r="S791" s="30" t="s">
        <v>162</v>
      </c>
      <c r="T791" s="37">
        <v>6.23</v>
      </c>
      <c r="U791" s="30" t="s">
        <v>163</v>
      </c>
      <c r="V791" s="30" t="s">
        <v>164</v>
      </c>
      <c r="W791" s="30" t="s">
        <v>165</v>
      </c>
      <c r="X791" s="28" t="s">
        <v>16152</v>
      </c>
      <c r="Y791" s="28" t="s">
        <v>16153</v>
      </c>
      <c r="Z791" s="40">
        <v>6</v>
      </c>
      <c r="AA791" s="30" t="s">
        <v>16154</v>
      </c>
      <c r="AB791" s="30" t="s">
        <v>151</v>
      </c>
      <c r="AC791" s="30" t="s">
        <v>151</v>
      </c>
      <c r="AD791" s="39">
        <v>2017</v>
      </c>
      <c r="AE791" s="30" t="s">
        <v>151</v>
      </c>
      <c r="AF791" s="35">
        <v>45596</v>
      </c>
      <c r="AG791" s="30" t="s">
        <v>151</v>
      </c>
      <c r="AH791" s="30" t="s">
        <v>151</v>
      </c>
      <c r="AI791" s="38" t="s">
        <v>151</v>
      </c>
      <c r="AJ791" s="32" t="s">
        <v>151</v>
      </c>
      <c r="AK791" s="38" t="s">
        <v>151</v>
      </c>
      <c r="AL791" s="38" t="s">
        <v>151</v>
      </c>
      <c r="AM791" s="38" t="s">
        <v>151</v>
      </c>
      <c r="AN791" s="38" t="s">
        <v>151</v>
      </c>
      <c r="AO791" s="38" t="s">
        <v>151</v>
      </c>
      <c r="AP791" s="38" t="s">
        <v>151</v>
      </c>
      <c r="AQ791" s="38" t="s">
        <v>151</v>
      </c>
      <c r="AR791" s="29" t="s">
        <v>151</v>
      </c>
      <c r="AS791" s="30" t="s">
        <v>16155</v>
      </c>
      <c r="AT791" s="30" t="s">
        <v>16156</v>
      </c>
      <c r="AU791" s="31">
        <v>22</v>
      </c>
      <c r="AV791" s="30" t="s">
        <v>151</v>
      </c>
      <c r="AW791" s="30" t="s">
        <v>151</v>
      </c>
      <c r="AX791" s="30" t="s">
        <v>151</v>
      </c>
      <c r="AY791" s="30" t="s">
        <v>16157</v>
      </c>
      <c r="AZ791" s="30" t="s">
        <v>151</v>
      </c>
      <c r="BA791" s="30" t="s">
        <v>151</v>
      </c>
      <c r="BB791" s="30" t="s">
        <v>2781</v>
      </c>
      <c r="BC791" s="30" t="s">
        <v>151</v>
      </c>
      <c r="BD791" s="30" t="s">
        <v>16158</v>
      </c>
      <c r="BE791" s="30" t="s">
        <v>16159</v>
      </c>
      <c r="BF791" s="30" t="s">
        <v>3909</v>
      </c>
      <c r="BG791" s="30" t="s">
        <v>16160</v>
      </c>
      <c r="BH791" s="30" t="s">
        <v>16161</v>
      </c>
      <c r="BI791" s="30" t="s">
        <v>16162</v>
      </c>
      <c r="BJ791" s="30" t="s">
        <v>16163</v>
      </c>
      <c r="BK791" s="30" t="s">
        <v>151</v>
      </c>
      <c r="BL791" s="30" t="s">
        <v>16164</v>
      </c>
      <c r="BM791" s="30" t="s">
        <v>1043</v>
      </c>
      <c r="BN791" s="29" t="s">
        <v>16165</v>
      </c>
      <c r="BO791" s="30" t="s">
        <v>186</v>
      </c>
      <c r="BP791" s="29" t="s">
        <v>16161</v>
      </c>
      <c r="BQ791" s="29" t="s">
        <v>151</v>
      </c>
      <c r="BR791" s="30" t="s">
        <v>16166</v>
      </c>
      <c r="BS791" s="30" t="s">
        <v>187</v>
      </c>
      <c r="BT791" s="30" t="s">
        <v>188</v>
      </c>
      <c r="BU791" s="35">
        <v>43587</v>
      </c>
      <c r="BV791" s="37">
        <v>0.01</v>
      </c>
      <c r="BW791" s="30" t="s">
        <v>192</v>
      </c>
      <c r="BX791" s="37" t="s">
        <v>151</v>
      </c>
      <c r="BY791" s="30" t="s">
        <v>151</v>
      </c>
      <c r="BZ791" s="30" t="s">
        <v>189</v>
      </c>
      <c r="CA791" s="30" t="s">
        <v>151</v>
      </c>
      <c r="CB791" s="30" t="s">
        <v>151</v>
      </c>
      <c r="CC791" s="30" t="s">
        <v>190</v>
      </c>
      <c r="CD791" s="30" t="s">
        <v>151</v>
      </c>
      <c r="CE791" s="30" t="s">
        <v>191</v>
      </c>
      <c r="CF791" s="35">
        <v>45260</v>
      </c>
      <c r="CG791" s="37" t="s">
        <v>151</v>
      </c>
      <c r="CH791" s="30" t="s">
        <v>151</v>
      </c>
      <c r="CI791" s="37" t="s">
        <v>151</v>
      </c>
      <c r="CJ791" s="30" t="s">
        <v>151</v>
      </c>
      <c r="CK791" s="29" t="s">
        <v>151</v>
      </c>
      <c r="CL791" s="30" t="s">
        <v>189</v>
      </c>
      <c r="CM791" s="30" t="s">
        <v>151</v>
      </c>
      <c r="CN791" s="30" t="s">
        <v>151</v>
      </c>
      <c r="CO791" s="30" t="s">
        <v>190</v>
      </c>
      <c r="CP791" s="35">
        <v>45260</v>
      </c>
      <c r="CQ791" s="37" t="s">
        <v>151</v>
      </c>
      <c r="CR791" s="30" t="s">
        <v>151</v>
      </c>
      <c r="CS791" s="30" t="s">
        <v>191</v>
      </c>
      <c r="CT791" s="29">
        <v>86</v>
      </c>
      <c r="CU791" s="30" t="s">
        <v>196</v>
      </c>
      <c r="CV791" s="32">
        <v>77</v>
      </c>
      <c r="CW791" s="32">
        <v>23</v>
      </c>
      <c r="CX791" s="30" t="s">
        <v>294</v>
      </c>
      <c r="CY791" s="32">
        <v>3</v>
      </c>
      <c r="CZ791" s="32">
        <v>74</v>
      </c>
      <c r="DA791" s="37">
        <v>2.52</v>
      </c>
      <c r="DB791" s="35">
        <v>44253</v>
      </c>
      <c r="DC791" s="30" t="s">
        <v>293</v>
      </c>
      <c r="DD791" s="29" t="s">
        <v>151</v>
      </c>
      <c r="DE791" s="32">
        <v>-0.67</v>
      </c>
      <c r="DF791" s="34">
        <v>6</v>
      </c>
      <c r="DG791" s="32">
        <v>0.2</v>
      </c>
      <c r="DH791" s="32">
        <v>23.19</v>
      </c>
      <c r="DI791" s="32">
        <v>-0.67</v>
      </c>
      <c r="DJ791" s="34">
        <v>6</v>
      </c>
      <c r="DK791" s="32" t="s">
        <v>151</v>
      </c>
      <c r="DL791" s="34" t="s">
        <v>151</v>
      </c>
      <c r="DM791" s="32">
        <v>-0.67</v>
      </c>
      <c r="DN791" s="34">
        <v>6</v>
      </c>
      <c r="DO791" s="36">
        <v>20.89</v>
      </c>
      <c r="DP791" s="34">
        <v>95</v>
      </c>
      <c r="DQ791" s="36">
        <v>0</v>
      </c>
      <c r="DR791" s="32">
        <v>0</v>
      </c>
      <c r="DS791" s="36">
        <v>20.89</v>
      </c>
      <c r="DT791" s="34">
        <v>95</v>
      </c>
      <c r="DU791" s="36" t="s">
        <v>151</v>
      </c>
      <c r="DV791" s="34" t="s">
        <v>151</v>
      </c>
      <c r="DW791" s="36">
        <v>20.89</v>
      </c>
      <c r="DX791" s="34">
        <v>95</v>
      </c>
      <c r="DY791" s="31" t="s">
        <v>151</v>
      </c>
      <c r="DZ791" s="35" t="s">
        <v>151</v>
      </c>
      <c r="EA791" s="35" t="s">
        <v>151</v>
      </c>
      <c r="EB791" s="34" t="s">
        <v>151</v>
      </c>
      <c r="EC791" s="33" t="s">
        <v>151</v>
      </c>
      <c r="ED791" s="32" t="s">
        <v>151</v>
      </c>
      <c r="EE791" s="34">
        <v>397</v>
      </c>
      <c r="EF791" s="33">
        <v>-1</v>
      </c>
      <c r="EG791" s="32">
        <v>-0.25</v>
      </c>
      <c r="EH791" s="29" t="s">
        <v>198</v>
      </c>
      <c r="EI791" s="30" t="s">
        <v>151</v>
      </c>
      <c r="EJ791" s="30" t="s">
        <v>151</v>
      </c>
      <c r="EK791" s="31" t="s">
        <v>151</v>
      </c>
      <c r="EL791" s="31" t="s">
        <v>151</v>
      </c>
      <c r="EM791" s="31" t="s">
        <v>151</v>
      </c>
      <c r="EN791" s="31" t="s">
        <v>151</v>
      </c>
      <c r="EO791" s="31" t="s">
        <v>151</v>
      </c>
      <c r="EP791" s="30" t="s">
        <v>151</v>
      </c>
      <c r="EQ791" s="29" t="s">
        <v>151</v>
      </c>
      <c r="ER791" s="29" t="s">
        <v>151</v>
      </c>
      <c r="ES791" s="4">
        <f>HYPERLINK("https://my.pitchbook.com?c=399664-00","View Company Online")</f>
      </c>
    </row>
    <row r="792">
      <c r="A792" s="17" t="s">
        <v>16167</v>
      </c>
      <c r="B792" s="17" t="s">
        <v>16168</v>
      </c>
      <c r="C792" s="18" t="s">
        <v>151</v>
      </c>
      <c r="D792" s="17" t="s">
        <v>151</v>
      </c>
      <c r="E792" s="17" t="s">
        <v>151</v>
      </c>
      <c r="F792" s="17" t="s">
        <v>16169</v>
      </c>
      <c r="G792" s="17" t="s">
        <v>151</v>
      </c>
      <c r="H792" s="17" t="s">
        <v>151</v>
      </c>
      <c r="I792" s="17" t="s">
        <v>151</v>
      </c>
      <c r="J792" s="17" t="s">
        <v>16167</v>
      </c>
      <c r="K792" s="17" t="s">
        <v>16170</v>
      </c>
      <c r="L792" s="17" t="s">
        <v>205</v>
      </c>
      <c r="M792" s="17" t="s">
        <v>206</v>
      </c>
      <c r="N792" s="17" t="s">
        <v>998</v>
      </c>
      <c r="O792" s="17" t="s">
        <v>999</v>
      </c>
      <c r="P792" s="17" t="s">
        <v>11225</v>
      </c>
      <c r="Q792" s="17" t="s">
        <v>16171</v>
      </c>
      <c r="R792" s="17" t="s">
        <v>151</v>
      </c>
      <c r="S792" s="17" t="s">
        <v>162</v>
      </c>
      <c r="T792" s="24">
        <v>3.25</v>
      </c>
      <c r="U792" s="17" t="s">
        <v>163</v>
      </c>
      <c r="V792" s="17" t="s">
        <v>164</v>
      </c>
      <c r="W792" s="17" t="s">
        <v>165</v>
      </c>
      <c r="X792" s="15" t="s">
        <v>16172</v>
      </c>
      <c r="Y792" s="15" t="s">
        <v>16173</v>
      </c>
      <c r="Z792" s="27">
        <v>15</v>
      </c>
      <c r="AA792" s="17" t="s">
        <v>16174</v>
      </c>
      <c r="AB792" s="17" t="s">
        <v>151</v>
      </c>
      <c r="AC792" s="17" t="s">
        <v>151</v>
      </c>
      <c r="AD792" s="26">
        <v>2021</v>
      </c>
      <c r="AE792" s="17" t="s">
        <v>151</v>
      </c>
      <c r="AF792" s="22">
        <v>45555</v>
      </c>
      <c r="AG792" s="17" t="s">
        <v>151</v>
      </c>
      <c r="AH792" s="17" t="s">
        <v>151</v>
      </c>
      <c r="AI792" s="25" t="s">
        <v>151</v>
      </c>
      <c r="AJ792" s="19" t="s">
        <v>151</v>
      </c>
      <c r="AK792" s="25" t="s">
        <v>151</v>
      </c>
      <c r="AL792" s="25" t="s">
        <v>151</v>
      </c>
      <c r="AM792" s="25" t="s">
        <v>151</v>
      </c>
      <c r="AN792" s="25" t="s">
        <v>151</v>
      </c>
      <c r="AO792" s="25" t="s">
        <v>151</v>
      </c>
      <c r="AP792" s="25" t="s">
        <v>151</v>
      </c>
      <c r="AQ792" s="25" t="s">
        <v>151</v>
      </c>
      <c r="AR792" s="16" t="s">
        <v>151</v>
      </c>
      <c r="AS792" s="17" t="s">
        <v>16175</v>
      </c>
      <c r="AT792" s="17" t="s">
        <v>16176</v>
      </c>
      <c r="AU792" s="18">
        <v>14</v>
      </c>
      <c r="AV792" s="17" t="s">
        <v>151</v>
      </c>
      <c r="AW792" s="17" t="s">
        <v>151</v>
      </c>
      <c r="AX792" s="17" t="s">
        <v>151</v>
      </c>
      <c r="AY792" s="17" t="s">
        <v>16177</v>
      </c>
      <c r="AZ792" s="17" t="s">
        <v>151</v>
      </c>
      <c r="BA792" s="17" t="s">
        <v>151</v>
      </c>
      <c r="BB792" s="17" t="s">
        <v>151</v>
      </c>
      <c r="BC792" s="17" t="s">
        <v>151</v>
      </c>
      <c r="BD792" s="17" t="s">
        <v>16178</v>
      </c>
      <c r="BE792" s="17" t="s">
        <v>16179</v>
      </c>
      <c r="BF792" s="17" t="s">
        <v>221</v>
      </c>
      <c r="BG792" s="17" t="s">
        <v>16180</v>
      </c>
      <c r="BH792" s="17" t="s">
        <v>151</v>
      </c>
      <c r="BI792" s="17" t="s">
        <v>6124</v>
      </c>
      <c r="BJ792" s="17" t="s">
        <v>8930</v>
      </c>
      <c r="BK792" s="17" t="s">
        <v>151</v>
      </c>
      <c r="BL792" s="17" t="s">
        <v>6127</v>
      </c>
      <c r="BM792" s="17" t="s">
        <v>1388</v>
      </c>
      <c r="BN792" s="16" t="s">
        <v>8931</v>
      </c>
      <c r="BO792" s="17" t="s">
        <v>186</v>
      </c>
      <c r="BP792" s="16" t="s">
        <v>151</v>
      </c>
      <c r="BQ792" s="16" t="s">
        <v>151</v>
      </c>
      <c r="BR792" s="17" t="s">
        <v>16181</v>
      </c>
      <c r="BS792" s="17" t="s">
        <v>187</v>
      </c>
      <c r="BT792" s="17" t="s">
        <v>188</v>
      </c>
      <c r="BU792" s="22">
        <v>44900</v>
      </c>
      <c r="BV792" s="24">
        <v>3</v>
      </c>
      <c r="BW792" s="17" t="s">
        <v>192</v>
      </c>
      <c r="BX792" s="24" t="s">
        <v>151</v>
      </c>
      <c r="BY792" s="17" t="s">
        <v>151</v>
      </c>
      <c r="BZ792" s="17" t="s">
        <v>293</v>
      </c>
      <c r="CA792" s="17" t="s">
        <v>293</v>
      </c>
      <c r="CB792" s="17" t="s">
        <v>151</v>
      </c>
      <c r="CC792" s="17" t="s">
        <v>165</v>
      </c>
      <c r="CD792" s="17" t="s">
        <v>151</v>
      </c>
      <c r="CE792" s="17" t="s">
        <v>191</v>
      </c>
      <c r="CF792" s="22">
        <v>45553</v>
      </c>
      <c r="CG792" s="24" t="s">
        <v>151</v>
      </c>
      <c r="CH792" s="17" t="s">
        <v>151</v>
      </c>
      <c r="CI792" s="24" t="s">
        <v>151</v>
      </c>
      <c r="CJ792" s="17" t="s">
        <v>151</v>
      </c>
      <c r="CK792" s="16" t="s">
        <v>151</v>
      </c>
      <c r="CL792" s="17" t="s">
        <v>189</v>
      </c>
      <c r="CM792" s="17" t="s">
        <v>151</v>
      </c>
      <c r="CN792" s="17" t="s">
        <v>151</v>
      </c>
      <c r="CO792" s="17" t="s">
        <v>190</v>
      </c>
      <c r="CP792" s="22">
        <v>45553</v>
      </c>
      <c r="CQ792" s="24" t="s">
        <v>151</v>
      </c>
      <c r="CR792" s="17" t="s">
        <v>151</v>
      </c>
      <c r="CS792" s="17" t="s">
        <v>191</v>
      </c>
      <c r="CT792" s="16" t="s">
        <v>151</v>
      </c>
      <c r="CU792" s="17" t="s">
        <v>151</v>
      </c>
      <c r="CV792" s="19" t="s">
        <v>151</v>
      </c>
      <c r="CW792" s="19" t="s">
        <v>151</v>
      </c>
      <c r="CX792" s="17" t="s">
        <v>151</v>
      </c>
      <c r="CY792" s="19" t="s">
        <v>151</v>
      </c>
      <c r="CZ792" s="19" t="s">
        <v>151</v>
      </c>
      <c r="DA792" s="24" t="s">
        <v>151</v>
      </c>
      <c r="DB792" s="22" t="s">
        <v>151</v>
      </c>
      <c r="DC792" s="17" t="s">
        <v>151</v>
      </c>
      <c r="DD792" s="16" t="s">
        <v>151</v>
      </c>
      <c r="DE792" s="19">
        <v>1.34</v>
      </c>
      <c r="DF792" s="21">
        <v>97</v>
      </c>
      <c r="DG792" s="19">
        <v>0</v>
      </c>
      <c r="DH792" s="19">
        <v>0</v>
      </c>
      <c r="DI792" s="19">
        <v>1.34</v>
      </c>
      <c r="DJ792" s="21">
        <v>97</v>
      </c>
      <c r="DK792" s="19" t="s">
        <v>151</v>
      </c>
      <c r="DL792" s="21" t="s">
        <v>151</v>
      </c>
      <c r="DM792" s="19">
        <v>1.34</v>
      </c>
      <c r="DN792" s="21">
        <v>97</v>
      </c>
      <c r="DO792" s="23">
        <v>24.95</v>
      </c>
      <c r="DP792" s="21">
        <v>96</v>
      </c>
      <c r="DQ792" s="23">
        <v>0</v>
      </c>
      <c r="DR792" s="19">
        <v>0</v>
      </c>
      <c r="DS792" s="23">
        <v>24.95</v>
      </c>
      <c r="DT792" s="21">
        <v>96</v>
      </c>
      <c r="DU792" s="23" t="s">
        <v>151</v>
      </c>
      <c r="DV792" s="21" t="s">
        <v>151</v>
      </c>
      <c r="DW792" s="23">
        <v>24.95</v>
      </c>
      <c r="DX792" s="21">
        <v>96</v>
      </c>
      <c r="DY792" s="18" t="s">
        <v>151</v>
      </c>
      <c r="DZ792" s="22" t="s">
        <v>151</v>
      </c>
      <c r="EA792" s="22" t="s">
        <v>151</v>
      </c>
      <c r="EB792" s="21">
        <v>10146</v>
      </c>
      <c r="EC792" s="20">
        <v>-191</v>
      </c>
      <c r="ED792" s="19">
        <v>-1.85</v>
      </c>
      <c r="EE792" s="21">
        <v>474</v>
      </c>
      <c r="EF792" s="20">
        <v>4</v>
      </c>
      <c r="EG792" s="19">
        <v>0.85</v>
      </c>
      <c r="EH792" s="16" t="s">
        <v>198</v>
      </c>
      <c r="EI792" s="17" t="s">
        <v>151</v>
      </c>
      <c r="EJ792" s="17" t="s">
        <v>151</v>
      </c>
      <c r="EK792" s="18" t="s">
        <v>151</v>
      </c>
      <c r="EL792" s="18" t="s">
        <v>151</v>
      </c>
      <c r="EM792" s="18" t="s">
        <v>151</v>
      </c>
      <c r="EN792" s="18" t="s">
        <v>151</v>
      </c>
      <c r="EO792" s="18" t="s">
        <v>151</v>
      </c>
      <c r="EP792" s="17" t="s">
        <v>151</v>
      </c>
      <c r="EQ792" s="16" t="s">
        <v>151</v>
      </c>
      <c r="ER792" s="16" t="s">
        <v>151</v>
      </c>
      <c r="ES792" s="3">
        <f>HYPERLINK("https://my.pitchbook.com?c=482438-08","View Company Online")</f>
      </c>
    </row>
    <row r="793">
      <c r="A793" s="30" t="s">
        <v>16182</v>
      </c>
      <c r="B793" s="30" t="s">
        <v>16183</v>
      </c>
      <c r="C793" s="31" t="s">
        <v>151</v>
      </c>
      <c r="D793" s="30" t="s">
        <v>151</v>
      </c>
      <c r="E793" s="30" t="s">
        <v>151</v>
      </c>
      <c r="F793" s="30" t="s">
        <v>16184</v>
      </c>
      <c r="G793" s="30" t="s">
        <v>151</v>
      </c>
      <c r="H793" s="30" t="s">
        <v>151</v>
      </c>
      <c r="I793" s="30" t="s">
        <v>16185</v>
      </c>
      <c r="J793" s="30" t="s">
        <v>16182</v>
      </c>
      <c r="K793" s="30" t="s">
        <v>16186</v>
      </c>
      <c r="L793" s="30" t="s">
        <v>205</v>
      </c>
      <c r="M793" s="30" t="s">
        <v>206</v>
      </c>
      <c r="N793" s="30" t="s">
        <v>269</v>
      </c>
      <c r="O793" s="30" t="s">
        <v>563</v>
      </c>
      <c r="P793" s="30" t="s">
        <v>1153</v>
      </c>
      <c r="Q793" s="30" t="s">
        <v>16187</v>
      </c>
      <c r="R793" s="30" t="s">
        <v>151</v>
      </c>
      <c r="S793" s="30" t="s">
        <v>162</v>
      </c>
      <c r="T793" s="37">
        <v>2</v>
      </c>
      <c r="U793" s="30" t="s">
        <v>1727</v>
      </c>
      <c r="V793" s="30" t="s">
        <v>164</v>
      </c>
      <c r="W793" s="30" t="s">
        <v>165</v>
      </c>
      <c r="X793" s="28" t="s">
        <v>16188</v>
      </c>
      <c r="Y793" s="28" t="s">
        <v>16189</v>
      </c>
      <c r="Z793" s="40">
        <v>3</v>
      </c>
      <c r="AA793" s="30" t="s">
        <v>16190</v>
      </c>
      <c r="AB793" s="30" t="s">
        <v>151</v>
      </c>
      <c r="AC793" s="30" t="s">
        <v>151</v>
      </c>
      <c r="AD793" s="39">
        <v>2022</v>
      </c>
      <c r="AE793" s="30" t="s">
        <v>151</v>
      </c>
      <c r="AF793" s="35">
        <v>45588</v>
      </c>
      <c r="AG793" s="30" t="s">
        <v>151</v>
      </c>
      <c r="AH793" s="30" t="s">
        <v>151</v>
      </c>
      <c r="AI793" s="38" t="s">
        <v>151</v>
      </c>
      <c r="AJ793" s="32" t="s">
        <v>151</v>
      </c>
      <c r="AK793" s="38" t="s">
        <v>151</v>
      </c>
      <c r="AL793" s="38" t="s">
        <v>151</v>
      </c>
      <c r="AM793" s="38" t="s">
        <v>151</v>
      </c>
      <c r="AN793" s="38" t="s">
        <v>151</v>
      </c>
      <c r="AO793" s="38" t="s">
        <v>151</v>
      </c>
      <c r="AP793" s="38" t="s">
        <v>151</v>
      </c>
      <c r="AQ793" s="38" t="s">
        <v>151</v>
      </c>
      <c r="AR793" s="29" t="s">
        <v>151</v>
      </c>
      <c r="AS793" s="30" t="s">
        <v>16191</v>
      </c>
      <c r="AT793" s="30" t="s">
        <v>16192</v>
      </c>
      <c r="AU793" s="31">
        <v>6</v>
      </c>
      <c r="AV793" s="30" t="s">
        <v>151</v>
      </c>
      <c r="AW793" s="30" t="s">
        <v>151</v>
      </c>
      <c r="AX793" s="30" t="s">
        <v>151</v>
      </c>
      <c r="AY793" s="30" t="s">
        <v>16193</v>
      </c>
      <c r="AZ793" s="30" t="s">
        <v>151</v>
      </c>
      <c r="BA793" s="30" t="s">
        <v>151</v>
      </c>
      <c r="BB793" s="30" t="s">
        <v>151</v>
      </c>
      <c r="BC793" s="30" t="s">
        <v>601</v>
      </c>
      <c r="BD793" s="30" t="s">
        <v>16194</v>
      </c>
      <c r="BE793" s="30" t="s">
        <v>16195</v>
      </c>
      <c r="BF793" s="30" t="s">
        <v>221</v>
      </c>
      <c r="BG793" s="30" t="s">
        <v>151</v>
      </c>
      <c r="BH793" s="30" t="s">
        <v>151</v>
      </c>
      <c r="BI793" s="30" t="s">
        <v>764</v>
      </c>
      <c r="BJ793" s="30" t="s">
        <v>3969</v>
      </c>
      <c r="BK793" s="30" t="s">
        <v>16196</v>
      </c>
      <c r="BL793" s="30" t="s">
        <v>767</v>
      </c>
      <c r="BM793" s="30" t="s">
        <v>184</v>
      </c>
      <c r="BN793" s="29" t="s">
        <v>794</v>
      </c>
      <c r="BO793" s="30" t="s">
        <v>186</v>
      </c>
      <c r="BP793" s="29" t="s">
        <v>151</v>
      </c>
      <c r="BQ793" s="29" t="s">
        <v>151</v>
      </c>
      <c r="BR793" s="30" t="s">
        <v>16197</v>
      </c>
      <c r="BS793" s="30" t="s">
        <v>187</v>
      </c>
      <c r="BT793" s="30" t="s">
        <v>188</v>
      </c>
      <c r="BU793" s="35">
        <v>44911</v>
      </c>
      <c r="BV793" s="37">
        <v>0.5</v>
      </c>
      <c r="BW793" s="30" t="s">
        <v>192</v>
      </c>
      <c r="BX793" s="37" t="s">
        <v>151</v>
      </c>
      <c r="BY793" s="30" t="s">
        <v>151</v>
      </c>
      <c r="BZ793" s="30" t="s">
        <v>189</v>
      </c>
      <c r="CA793" s="30" t="s">
        <v>151</v>
      </c>
      <c r="CB793" s="30" t="s">
        <v>151</v>
      </c>
      <c r="CC793" s="30" t="s">
        <v>190</v>
      </c>
      <c r="CD793" s="30" t="s">
        <v>151</v>
      </c>
      <c r="CE793" s="30" t="s">
        <v>191</v>
      </c>
      <c r="CF793" s="35">
        <v>45099</v>
      </c>
      <c r="CG793" s="37">
        <v>1.5</v>
      </c>
      <c r="CH793" s="30" t="s">
        <v>192</v>
      </c>
      <c r="CI793" s="37" t="s">
        <v>151</v>
      </c>
      <c r="CJ793" s="30" t="s">
        <v>151</v>
      </c>
      <c r="CK793" s="29" t="s">
        <v>151</v>
      </c>
      <c r="CL793" s="30" t="s">
        <v>293</v>
      </c>
      <c r="CM793" s="30" t="s">
        <v>293</v>
      </c>
      <c r="CN793" s="30" t="s">
        <v>151</v>
      </c>
      <c r="CO793" s="30" t="s">
        <v>165</v>
      </c>
      <c r="CP793" s="35">
        <v>45099</v>
      </c>
      <c r="CQ793" s="37" t="s">
        <v>151</v>
      </c>
      <c r="CR793" s="30" t="s">
        <v>151</v>
      </c>
      <c r="CS793" s="30" t="s">
        <v>191</v>
      </c>
      <c r="CT793" s="29" t="s">
        <v>151</v>
      </c>
      <c r="CU793" s="30" t="s">
        <v>151</v>
      </c>
      <c r="CV793" s="32" t="s">
        <v>151</v>
      </c>
      <c r="CW793" s="32" t="s">
        <v>151</v>
      </c>
      <c r="CX793" s="30" t="s">
        <v>151</v>
      </c>
      <c r="CY793" s="32" t="s">
        <v>151</v>
      </c>
      <c r="CZ793" s="32" t="s">
        <v>151</v>
      </c>
      <c r="DA793" s="37" t="s">
        <v>151</v>
      </c>
      <c r="DB793" s="35" t="s">
        <v>151</v>
      </c>
      <c r="DC793" s="30" t="s">
        <v>151</v>
      </c>
      <c r="DD793" s="29" t="s">
        <v>151</v>
      </c>
      <c r="DE793" s="32">
        <v>6.25</v>
      </c>
      <c r="DF793" s="34">
        <v>100</v>
      </c>
      <c r="DG793" s="32">
        <v>0</v>
      </c>
      <c r="DH793" s="32">
        <v>0</v>
      </c>
      <c r="DI793" s="32" t="s">
        <v>151</v>
      </c>
      <c r="DJ793" s="34" t="s">
        <v>151</v>
      </c>
      <c r="DK793" s="32" t="s">
        <v>151</v>
      </c>
      <c r="DL793" s="34" t="s">
        <v>151</v>
      </c>
      <c r="DM793" s="32" t="s">
        <v>151</v>
      </c>
      <c r="DN793" s="34" t="s">
        <v>151</v>
      </c>
      <c r="DO793" s="36">
        <v>0.23</v>
      </c>
      <c r="DP793" s="34">
        <v>17</v>
      </c>
      <c r="DQ793" s="36">
        <v>0</v>
      </c>
      <c r="DR793" s="32">
        <v>0</v>
      </c>
      <c r="DS793" s="36" t="s">
        <v>151</v>
      </c>
      <c r="DT793" s="34" t="s">
        <v>151</v>
      </c>
      <c r="DU793" s="36" t="s">
        <v>151</v>
      </c>
      <c r="DV793" s="34" t="s">
        <v>151</v>
      </c>
      <c r="DW793" s="36" t="s">
        <v>151</v>
      </c>
      <c r="DX793" s="34" t="s">
        <v>151</v>
      </c>
      <c r="DY793" s="31" t="s">
        <v>151</v>
      </c>
      <c r="DZ793" s="35" t="s">
        <v>151</v>
      </c>
      <c r="EA793" s="35" t="s">
        <v>151</v>
      </c>
      <c r="EB793" s="34">
        <v>700</v>
      </c>
      <c r="EC793" s="33">
        <v>-247</v>
      </c>
      <c r="ED793" s="32">
        <v>-26.08</v>
      </c>
      <c r="EE793" s="34" t="s">
        <v>151</v>
      </c>
      <c r="EF793" s="33" t="s">
        <v>151</v>
      </c>
      <c r="EG793" s="32" t="s">
        <v>151</v>
      </c>
      <c r="EH793" s="29" t="s">
        <v>198</v>
      </c>
      <c r="EI793" s="30" t="s">
        <v>151</v>
      </c>
      <c r="EJ793" s="30" t="s">
        <v>151</v>
      </c>
      <c r="EK793" s="31" t="s">
        <v>151</v>
      </c>
      <c r="EL793" s="31" t="s">
        <v>151</v>
      </c>
      <c r="EM793" s="31" t="s">
        <v>151</v>
      </c>
      <c r="EN793" s="31" t="s">
        <v>151</v>
      </c>
      <c r="EO793" s="31" t="s">
        <v>151</v>
      </c>
      <c r="EP793" s="30" t="s">
        <v>151</v>
      </c>
      <c r="EQ793" s="29" t="s">
        <v>151</v>
      </c>
      <c r="ER793" s="29" t="s">
        <v>151</v>
      </c>
      <c r="ES793" s="4">
        <f>HYPERLINK("https://my.pitchbook.com?c=517659-94","View Company Online")</f>
      </c>
    </row>
    <row r="794">
      <c r="A794" s="17" t="s">
        <v>16198</v>
      </c>
      <c r="B794" s="17" t="s">
        <v>16199</v>
      </c>
      <c r="C794" s="18" t="s">
        <v>151</v>
      </c>
      <c r="D794" s="17" t="s">
        <v>151</v>
      </c>
      <c r="E794" s="17" t="s">
        <v>16200</v>
      </c>
      <c r="F794" s="17" t="s">
        <v>16201</v>
      </c>
      <c r="G794" s="17" t="s">
        <v>151</v>
      </c>
      <c r="H794" s="17" t="s">
        <v>151</v>
      </c>
      <c r="I794" s="17" t="s">
        <v>151</v>
      </c>
      <c r="J794" s="17" t="s">
        <v>16198</v>
      </c>
      <c r="K794" s="17" t="s">
        <v>16202</v>
      </c>
      <c r="L794" s="17" t="s">
        <v>616</v>
      </c>
      <c r="M794" s="17" t="s">
        <v>834</v>
      </c>
      <c r="N794" s="17" t="s">
        <v>3076</v>
      </c>
      <c r="O794" s="17" t="s">
        <v>10611</v>
      </c>
      <c r="P794" s="17" t="s">
        <v>5780</v>
      </c>
      <c r="Q794" s="17" t="s">
        <v>16203</v>
      </c>
      <c r="R794" s="17" t="s">
        <v>151</v>
      </c>
      <c r="S794" s="17" t="s">
        <v>162</v>
      </c>
      <c r="T794" s="24">
        <v>2.38</v>
      </c>
      <c r="U794" s="17" t="s">
        <v>163</v>
      </c>
      <c r="V794" s="17" t="s">
        <v>164</v>
      </c>
      <c r="W794" s="17" t="s">
        <v>165</v>
      </c>
      <c r="X794" s="15" t="s">
        <v>16204</v>
      </c>
      <c r="Y794" s="15" t="s">
        <v>16205</v>
      </c>
      <c r="Z794" s="27">
        <v>165</v>
      </c>
      <c r="AA794" s="17" t="s">
        <v>16206</v>
      </c>
      <c r="AB794" s="17" t="s">
        <v>151</v>
      </c>
      <c r="AC794" s="17" t="s">
        <v>151</v>
      </c>
      <c r="AD794" s="26">
        <v>2021</v>
      </c>
      <c r="AE794" s="17" t="s">
        <v>151</v>
      </c>
      <c r="AF794" s="22">
        <v>45548</v>
      </c>
      <c r="AG794" s="17" t="s">
        <v>151</v>
      </c>
      <c r="AH794" s="17" t="s">
        <v>151</v>
      </c>
      <c r="AI794" s="25">
        <v>0.01</v>
      </c>
      <c r="AJ794" s="19" t="s">
        <v>151</v>
      </c>
      <c r="AK794" s="25" t="s">
        <v>151</v>
      </c>
      <c r="AL794" s="25">
        <v>-0.01</v>
      </c>
      <c r="AM794" s="25" t="s">
        <v>151</v>
      </c>
      <c r="AN794" s="25" t="s">
        <v>151</v>
      </c>
      <c r="AO794" s="25" t="s">
        <v>151</v>
      </c>
      <c r="AP794" s="25" t="s">
        <v>151</v>
      </c>
      <c r="AQ794" s="25" t="s">
        <v>151</v>
      </c>
      <c r="AR794" s="16" t="s">
        <v>456</v>
      </c>
      <c r="AS794" s="17" t="s">
        <v>16207</v>
      </c>
      <c r="AT794" s="17" t="s">
        <v>16208</v>
      </c>
      <c r="AU794" s="18">
        <v>6</v>
      </c>
      <c r="AV794" s="17" t="s">
        <v>151</v>
      </c>
      <c r="AW794" s="17" t="s">
        <v>151</v>
      </c>
      <c r="AX794" s="17" t="s">
        <v>151</v>
      </c>
      <c r="AY794" s="17" t="s">
        <v>16209</v>
      </c>
      <c r="AZ794" s="17" t="s">
        <v>151</v>
      </c>
      <c r="BA794" s="17" t="s">
        <v>151</v>
      </c>
      <c r="BB794" s="17" t="s">
        <v>151</v>
      </c>
      <c r="BC794" s="17" t="s">
        <v>1214</v>
      </c>
      <c r="BD794" s="17" t="s">
        <v>16210</v>
      </c>
      <c r="BE794" s="17" t="s">
        <v>16211</v>
      </c>
      <c r="BF794" s="17" t="s">
        <v>282</v>
      </c>
      <c r="BG794" s="17" t="s">
        <v>16212</v>
      </c>
      <c r="BH794" s="17" t="s">
        <v>16213</v>
      </c>
      <c r="BI794" s="17" t="s">
        <v>934</v>
      </c>
      <c r="BJ794" s="17" t="s">
        <v>16214</v>
      </c>
      <c r="BK794" s="17" t="s">
        <v>151</v>
      </c>
      <c r="BL794" s="17" t="s">
        <v>937</v>
      </c>
      <c r="BM794" s="17" t="s">
        <v>184</v>
      </c>
      <c r="BN794" s="16" t="s">
        <v>16215</v>
      </c>
      <c r="BO794" s="17" t="s">
        <v>186</v>
      </c>
      <c r="BP794" s="16" t="s">
        <v>16213</v>
      </c>
      <c r="BQ794" s="16" t="s">
        <v>151</v>
      </c>
      <c r="BR794" s="17" t="s">
        <v>16216</v>
      </c>
      <c r="BS794" s="17" t="s">
        <v>187</v>
      </c>
      <c r="BT794" s="17" t="s">
        <v>188</v>
      </c>
      <c r="BU794" s="22" t="s">
        <v>151</v>
      </c>
      <c r="BV794" s="24">
        <v>0.5</v>
      </c>
      <c r="BW794" s="17" t="s">
        <v>192</v>
      </c>
      <c r="BX794" s="24" t="s">
        <v>151</v>
      </c>
      <c r="BY794" s="17" t="s">
        <v>151</v>
      </c>
      <c r="BZ794" s="17" t="s">
        <v>1075</v>
      </c>
      <c r="CA794" s="17" t="s">
        <v>1075</v>
      </c>
      <c r="CB794" s="17" t="s">
        <v>151</v>
      </c>
      <c r="CC794" s="17" t="s">
        <v>585</v>
      </c>
      <c r="CD794" s="17" t="s">
        <v>151</v>
      </c>
      <c r="CE794" s="17" t="s">
        <v>191</v>
      </c>
      <c r="CF794" s="22">
        <v>44865</v>
      </c>
      <c r="CG794" s="24">
        <v>0.38</v>
      </c>
      <c r="CH794" s="17" t="s">
        <v>192</v>
      </c>
      <c r="CI794" s="24" t="s">
        <v>151</v>
      </c>
      <c r="CJ794" s="17" t="s">
        <v>151</v>
      </c>
      <c r="CK794" s="16" t="s">
        <v>151</v>
      </c>
      <c r="CL794" s="17" t="s">
        <v>1363</v>
      </c>
      <c r="CM794" s="17" t="s">
        <v>151</v>
      </c>
      <c r="CN794" s="17" t="s">
        <v>151</v>
      </c>
      <c r="CO794" s="17" t="s">
        <v>585</v>
      </c>
      <c r="CP794" s="22">
        <v>44865</v>
      </c>
      <c r="CQ794" s="24" t="s">
        <v>151</v>
      </c>
      <c r="CR794" s="17" t="s">
        <v>151</v>
      </c>
      <c r="CS794" s="17" t="s">
        <v>191</v>
      </c>
      <c r="CT794" s="16">
        <v>56</v>
      </c>
      <c r="CU794" s="17" t="s">
        <v>196</v>
      </c>
      <c r="CV794" s="19">
        <v>53</v>
      </c>
      <c r="CW794" s="19">
        <v>47</v>
      </c>
      <c r="CX794" s="17" t="s">
        <v>294</v>
      </c>
      <c r="CY794" s="19">
        <v>1</v>
      </c>
      <c r="CZ794" s="19">
        <v>52</v>
      </c>
      <c r="DA794" s="24" t="s">
        <v>151</v>
      </c>
      <c r="DB794" s="22" t="s">
        <v>151</v>
      </c>
      <c r="DC794" s="17" t="s">
        <v>151</v>
      </c>
      <c r="DD794" s="16" t="s">
        <v>151</v>
      </c>
      <c r="DE794" s="19">
        <v>0</v>
      </c>
      <c r="DF794" s="21">
        <v>11</v>
      </c>
      <c r="DG794" s="19">
        <v>0</v>
      </c>
      <c r="DH794" s="19">
        <v>0</v>
      </c>
      <c r="DI794" s="19">
        <v>0</v>
      </c>
      <c r="DJ794" s="21">
        <v>10</v>
      </c>
      <c r="DK794" s="19" t="s">
        <v>151</v>
      </c>
      <c r="DL794" s="21" t="s">
        <v>151</v>
      </c>
      <c r="DM794" s="19">
        <v>0</v>
      </c>
      <c r="DN794" s="21">
        <v>10</v>
      </c>
      <c r="DO794" s="23">
        <v>3.37</v>
      </c>
      <c r="DP794" s="21">
        <v>76</v>
      </c>
      <c r="DQ794" s="23">
        <v>0</v>
      </c>
      <c r="DR794" s="19">
        <v>0</v>
      </c>
      <c r="DS794" s="23">
        <v>3.37</v>
      </c>
      <c r="DT794" s="21">
        <v>76</v>
      </c>
      <c r="DU794" s="23" t="s">
        <v>151</v>
      </c>
      <c r="DV794" s="21" t="s">
        <v>151</v>
      </c>
      <c r="DW794" s="23">
        <v>3.37</v>
      </c>
      <c r="DX794" s="21">
        <v>76</v>
      </c>
      <c r="DY794" s="18" t="s">
        <v>151</v>
      </c>
      <c r="DZ794" s="22" t="s">
        <v>151</v>
      </c>
      <c r="EA794" s="22" t="s">
        <v>151</v>
      </c>
      <c r="EB794" s="21">
        <v>390</v>
      </c>
      <c r="EC794" s="20">
        <v>-41</v>
      </c>
      <c r="ED794" s="19">
        <v>-9.51</v>
      </c>
      <c r="EE794" s="21">
        <v>64</v>
      </c>
      <c r="EF794" s="20">
        <v>0</v>
      </c>
      <c r="EG794" s="19">
        <v>0</v>
      </c>
      <c r="EH794" s="16" t="s">
        <v>198</v>
      </c>
      <c r="EI794" s="17" t="s">
        <v>151</v>
      </c>
      <c r="EJ794" s="17" t="s">
        <v>151</v>
      </c>
      <c r="EK794" s="18" t="s">
        <v>151</v>
      </c>
      <c r="EL794" s="18" t="s">
        <v>151</v>
      </c>
      <c r="EM794" s="18" t="s">
        <v>151</v>
      </c>
      <c r="EN794" s="18" t="s">
        <v>151</v>
      </c>
      <c r="EO794" s="18" t="s">
        <v>151</v>
      </c>
      <c r="EP794" s="17" t="s">
        <v>151</v>
      </c>
      <c r="EQ794" s="16" t="s">
        <v>151</v>
      </c>
      <c r="ER794" s="16" t="s">
        <v>151</v>
      </c>
      <c r="ES794" s="3">
        <f>HYPERLINK("https://my.pitchbook.com?c=492593-95","View Company Online")</f>
      </c>
    </row>
    <row r="795">
      <c r="A795" s="30" t="s">
        <v>16217</v>
      </c>
      <c r="B795" s="30" t="s">
        <v>16218</v>
      </c>
      <c r="C795" s="31" t="s">
        <v>151</v>
      </c>
      <c r="D795" s="30" t="s">
        <v>151</v>
      </c>
      <c r="E795" s="30" t="s">
        <v>151</v>
      </c>
      <c r="F795" s="30" t="s">
        <v>16219</v>
      </c>
      <c r="G795" s="30" t="s">
        <v>151</v>
      </c>
      <c r="H795" s="30" t="s">
        <v>151</v>
      </c>
      <c r="I795" s="30" t="s">
        <v>151</v>
      </c>
      <c r="J795" s="30" t="s">
        <v>16217</v>
      </c>
      <c r="K795" s="30" t="s">
        <v>16220</v>
      </c>
      <c r="L795" s="30" t="s">
        <v>205</v>
      </c>
      <c r="M795" s="30" t="s">
        <v>206</v>
      </c>
      <c r="N795" s="30" t="s">
        <v>269</v>
      </c>
      <c r="O795" s="30" t="s">
        <v>16221</v>
      </c>
      <c r="P795" s="30" t="s">
        <v>8415</v>
      </c>
      <c r="Q795" s="30" t="s">
        <v>16222</v>
      </c>
      <c r="R795" s="30" t="s">
        <v>780</v>
      </c>
      <c r="S795" s="30" t="s">
        <v>162</v>
      </c>
      <c r="T795" s="37">
        <v>8</v>
      </c>
      <c r="U795" s="30" t="s">
        <v>163</v>
      </c>
      <c r="V795" s="30" t="s">
        <v>164</v>
      </c>
      <c r="W795" s="30" t="s">
        <v>165</v>
      </c>
      <c r="X795" s="28" t="s">
        <v>16223</v>
      </c>
      <c r="Y795" s="28" t="s">
        <v>16224</v>
      </c>
      <c r="Z795" s="40">
        <v>6</v>
      </c>
      <c r="AA795" s="30" t="s">
        <v>4389</v>
      </c>
      <c r="AB795" s="30" t="s">
        <v>151</v>
      </c>
      <c r="AC795" s="30" t="s">
        <v>151</v>
      </c>
      <c r="AD795" s="39">
        <v>2023</v>
      </c>
      <c r="AE795" s="30" t="s">
        <v>151</v>
      </c>
      <c r="AF795" s="35">
        <v>45526</v>
      </c>
      <c r="AG795" s="30" t="s">
        <v>151</v>
      </c>
      <c r="AH795" s="30" t="s">
        <v>151</v>
      </c>
      <c r="AI795" s="38" t="s">
        <v>151</v>
      </c>
      <c r="AJ795" s="32" t="s">
        <v>151</v>
      </c>
      <c r="AK795" s="38" t="s">
        <v>151</v>
      </c>
      <c r="AL795" s="38" t="s">
        <v>151</v>
      </c>
      <c r="AM795" s="38" t="s">
        <v>151</v>
      </c>
      <c r="AN795" s="38" t="s">
        <v>151</v>
      </c>
      <c r="AO795" s="38" t="s">
        <v>151</v>
      </c>
      <c r="AP795" s="38" t="s">
        <v>151</v>
      </c>
      <c r="AQ795" s="38" t="s">
        <v>151</v>
      </c>
      <c r="AR795" s="29" t="s">
        <v>151</v>
      </c>
      <c r="AS795" s="30" t="s">
        <v>16225</v>
      </c>
      <c r="AT795" s="30" t="s">
        <v>16226</v>
      </c>
      <c r="AU795" s="31">
        <v>4</v>
      </c>
      <c r="AV795" s="30" t="s">
        <v>151</v>
      </c>
      <c r="AW795" s="30" t="s">
        <v>151</v>
      </c>
      <c r="AX795" s="30" t="s">
        <v>151</v>
      </c>
      <c r="AY795" s="30" t="s">
        <v>16227</v>
      </c>
      <c r="AZ795" s="30" t="s">
        <v>151</v>
      </c>
      <c r="BA795" s="30" t="s">
        <v>151</v>
      </c>
      <c r="BB795" s="30" t="s">
        <v>151</v>
      </c>
      <c r="BC795" s="30" t="s">
        <v>151</v>
      </c>
      <c r="BD795" s="30" t="s">
        <v>16228</v>
      </c>
      <c r="BE795" s="30" t="s">
        <v>16229</v>
      </c>
      <c r="BF795" s="30" t="s">
        <v>403</v>
      </c>
      <c r="BG795" s="30" t="s">
        <v>16230</v>
      </c>
      <c r="BH795" s="30" t="s">
        <v>151</v>
      </c>
      <c r="BI795" s="30" t="s">
        <v>764</v>
      </c>
      <c r="BJ795" s="30" t="s">
        <v>151</v>
      </c>
      <c r="BK795" s="30" t="s">
        <v>151</v>
      </c>
      <c r="BL795" s="30" t="s">
        <v>767</v>
      </c>
      <c r="BM795" s="30" t="s">
        <v>184</v>
      </c>
      <c r="BN795" s="29" t="s">
        <v>151</v>
      </c>
      <c r="BO795" s="30" t="s">
        <v>186</v>
      </c>
      <c r="BP795" s="29" t="s">
        <v>151</v>
      </c>
      <c r="BQ795" s="29" t="s">
        <v>151</v>
      </c>
      <c r="BR795" s="30" t="s">
        <v>151</v>
      </c>
      <c r="BS795" s="30" t="s">
        <v>187</v>
      </c>
      <c r="BT795" s="30" t="s">
        <v>188</v>
      </c>
      <c r="BU795" s="35">
        <v>45483</v>
      </c>
      <c r="BV795" s="37">
        <v>8</v>
      </c>
      <c r="BW795" s="30" t="s">
        <v>192</v>
      </c>
      <c r="BX795" s="37" t="s">
        <v>151</v>
      </c>
      <c r="BY795" s="30" t="s">
        <v>151</v>
      </c>
      <c r="BZ795" s="30" t="s">
        <v>293</v>
      </c>
      <c r="CA795" s="30" t="s">
        <v>293</v>
      </c>
      <c r="CB795" s="30" t="s">
        <v>151</v>
      </c>
      <c r="CC795" s="30" t="s">
        <v>165</v>
      </c>
      <c r="CD795" s="30" t="s">
        <v>151</v>
      </c>
      <c r="CE795" s="30" t="s">
        <v>191</v>
      </c>
      <c r="CF795" s="35">
        <v>45483</v>
      </c>
      <c r="CG795" s="37">
        <v>8</v>
      </c>
      <c r="CH795" s="30" t="s">
        <v>192</v>
      </c>
      <c r="CI795" s="37" t="s">
        <v>151</v>
      </c>
      <c r="CJ795" s="30" t="s">
        <v>151</v>
      </c>
      <c r="CK795" s="29" t="s">
        <v>151</v>
      </c>
      <c r="CL795" s="30" t="s">
        <v>293</v>
      </c>
      <c r="CM795" s="30" t="s">
        <v>293</v>
      </c>
      <c r="CN795" s="30" t="s">
        <v>151</v>
      </c>
      <c r="CO795" s="30" t="s">
        <v>165</v>
      </c>
      <c r="CP795" s="35">
        <v>45483</v>
      </c>
      <c r="CQ795" s="37" t="s">
        <v>151</v>
      </c>
      <c r="CR795" s="30" t="s">
        <v>151</v>
      </c>
      <c r="CS795" s="30" t="s">
        <v>191</v>
      </c>
      <c r="CT795" s="29" t="s">
        <v>151</v>
      </c>
      <c r="CU795" s="30" t="s">
        <v>151</v>
      </c>
      <c r="CV795" s="32" t="s">
        <v>151</v>
      </c>
      <c r="CW795" s="32" t="s">
        <v>151</v>
      </c>
      <c r="CX795" s="30" t="s">
        <v>151</v>
      </c>
      <c r="CY795" s="32" t="s">
        <v>151</v>
      </c>
      <c r="CZ795" s="32" t="s">
        <v>151</v>
      </c>
      <c r="DA795" s="37" t="s">
        <v>151</v>
      </c>
      <c r="DB795" s="35" t="s">
        <v>151</v>
      </c>
      <c r="DC795" s="30" t="s">
        <v>151</v>
      </c>
      <c r="DD795" s="29" t="s">
        <v>151</v>
      </c>
      <c r="DE795" s="32">
        <v>0</v>
      </c>
      <c r="DF795" s="34">
        <v>11</v>
      </c>
      <c r="DG795" s="32">
        <v>0</v>
      </c>
      <c r="DH795" s="32">
        <v>0</v>
      </c>
      <c r="DI795" s="32">
        <v>0</v>
      </c>
      <c r="DJ795" s="34">
        <v>10</v>
      </c>
      <c r="DK795" s="32" t="s">
        <v>151</v>
      </c>
      <c r="DL795" s="34" t="s">
        <v>151</v>
      </c>
      <c r="DM795" s="32">
        <v>0</v>
      </c>
      <c r="DN795" s="34">
        <v>10</v>
      </c>
      <c r="DO795" s="36">
        <v>0.63</v>
      </c>
      <c r="DP795" s="34">
        <v>38</v>
      </c>
      <c r="DQ795" s="36">
        <v>0</v>
      </c>
      <c r="DR795" s="32">
        <v>0</v>
      </c>
      <c r="DS795" s="36">
        <v>0.79</v>
      </c>
      <c r="DT795" s="34">
        <v>44</v>
      </c>
      <c r="DU795" s="36" t="s">
        <v>151</v>
      </c>
      <c r="DV795" s="34" t="s">
        <v>151</v>
      </c>
      <c r="DW795" s="36">
        <v>0.79</v>
      </c>
      <c r="DX795" s="34">
        <v>44</v>
      </c>
      <c r="DY795" s="31" t="s">
        <v>151</v>
      </c>
      <c r="DZ795" s="35" t="s">
        <v>151</v>
      </c>
      <c r="EA795" s="35" t="s">
        <v>151</v>
      </c>
      <c r="EB795" s="34">
        <v>382</v>
      </c>
      <c r="EC795" s="33">
        <v>-79</v>
      </c>
      <c r="ED795" s="32">
        <v>-17.14</v>
      </c>
      <c r="EE795" s="34">
        <v>15</v>
      </c>
      <c r="EF795" s="33">
        <v>0</v>
      </c>
      <c r="EG795" s="32">
        <v>0</v>
      </c>
      <c r="EH795" s="29" t="s">
        <v>198</v>
      </c>
      <c r="EI795" s="30" t="s">
        <v>151</v>
      </c>
      <c r="EJ795" s="30" t="s">
        <v>151</v>
      </c>
      <c r="EK795" s="31" t="s">
        <v>151</v>
      </c>
      <c r="EL795" s="31" t="s">
        <v>151</v>
      </c>
      <c r="EM795" s="31" t="s">
        <v>151</v>
      </c>
      <c r="EN795" s="31" t="s">
        <v>151</v>
      </c>
      <c r="EO795" s="31" t="s">
        <v>151</v>
      </c>
      <c r="EP795" s="30" t="s">
        <v>151</v>
      </c>
      <c r="EQ795" s="29" t="s">
        <v>151</v>
      </c>
      <c r="ER795" s="29" t="s">
        <v>151</v>
      </c>
      <c r="ES795" s="4">
        <f>HYPERLINK("https://my.pitchbook.com?c=535937-32","View Company Online")</f>
      </c>
    </row>
    <row r="796">
      <c r="A796" s="17" t="s">
        <v>16231</v>
      </c>
      <c r="B796" s="17" t="s">
        <v>16232</v>
      </c>
      <c r="C796" s="18" t="s">
        <v>151</v>
      </c>
      <c r="D796" s="17" t="s">
        <v>151</v>
      </c>
      <c r="E796" s="17" t="s">
        <v>16233</v>
      </c>
      <c r="F796" s="17" t="s">
        <v>16234</v>
      </c>
      <c r="G796" s="17" t="s">
        <v>151</v>
      </c>
      <c r="H796" s="17" t="s">
        <v>151</v>
      </c>
      <c r="I796" s="17" t="s">
        <v>16235</v>
      </c>
      <c r="J796" s="17" t="s">
        <v>16231</v>
      </c>
      <c r="K796" s="17" t="s">
        <v>16236</v>
      </c>
      <c r="L796" s="17" t="s">
        <v>616</v>
      </c>
      <c r="M796" s="17" t="s">
        <v>834</v>
      </c>
      <c r="N796" s="17" t="s">
        <v>11319</v>
      </c>
      <c r="O796" s="17" t="s">
        <v>16237</v>
      </c>
      <c r="P796" s="17" t="s">
        <v>1153</v>
      </c>
      <c r="Q796" s="17" t="s">
        <v>16238</v>
      </c>
      <c r="R796" s="17" t="s">
        <v>151</v>
      </c>
      <c r="S796" s="17" t="s">
        <v>162</v>
      </c>
      <c r="T796" s="24">
        <v>3.11</v>
      </c>
      <c r="U796" s="17" t="s">
        <v>163</v>
      </c>
      <c r="V796" s="17" t="s">
        <v>164</v>
      </c>
      <c r="W796" s="17" t="s">
        <v>165</v>
      </c>
      <c r="X796" s="15" t="s">
        <v>16239</v>
      </c>
      <c r="Y796" s="15" t="s">
        <v>16240</v>
      </c>
      <c r="Z796" s="27">
        <v>26</v>
      </c>
      <c r="AA796" s="17" t="s">
        <v>16241</v>
      </c>
      <c r="AB796" s="17" t="s">
        <v>151</v>
      </c>
      <c r="AC796" s="17" t="s">
        <v>151</v>
      </c>
      <c r="AD796" s="26">
        <v>2011</v>
      </c>
      <c r="AE796" s="17" t="s">
        <v>151</v>
      </c>
      <c r="AF796" s="22">
        <v>45499</v>
      </c>
      <c r="AG796" s="17" t="s">
        <v>151</v>
      </c>
      <c r="AH796" s="17" t="s">
        <v>151</v>
      </c>
      <c r="AI796" s="25" t="s">
        <v>151</v>
      </c>
      <c r="AJ796" s="19" t="s">
        <v>151</v>
      </c>
      <c r="AK796" s="25" t="s">
        <v>151</v>
      </c>
      <c r="AL796" s="25" t="s">
        <v>151</v>
      </c>
      <c r="AM796" s="25" t="s">
        <v>151</v>
      </c>
      <c r="AN796" s="25" t="s">
        <v>151</v>
      </c>
      <c r="AO796" s="25" t="s">
        <v>151</v>
      </c>
      <c r="AP796" s="25" t="s">
        <v>151</v>
      </c>
      <c r="AQ796" s="25" t="s">
        <v>151</v>
      </c>
      <c r="AR796" s="16" t="s">
        <v>151</v>
      </c>
      <c r="AS796" s="17" t="s">
        <v>16242</v>
      </c>
      <c r="AT796" s="17" t="s">
        <v>16243</v>
      </c>
      <c r="AU796" s="18">
        <v>2</v>
      </c>
      <c r="AV796" s="17" t="s">
        <v>151</v>
      </c>
      <c r="AW796" s="17" t="s">
        <v>151</v>
      </c>
      <c r="AX796" s="17" t="s">
        <v>151</v>
      </c>
      <c r="AY796" s="17" t="s">
        <v>16244</v>
      </c>
      <c r="AZ796" s="17" t="s">
        <v>151</v>
      </c>
      <c r="BA796" s="17" t="s">
        <v>151</v>
      </c>
      <c r="BB796" s="17" t="s">
        <v>151</v>
      </c>
      <c r="BC796" s="17" t="s">
        <v>151</v>
      </c>
      <c r="BD796" s="17" t="s">
        <v>16245</v>
      </c>
      <c r="BE796" s="17" t="s">
        <v>16246</v>
      </c>
      <c r="BF796" s="17" t="s">
        <v>546</v>
      </c>
      <c r="BG796" s="17" t="s">
        <v>16247</v>
      </c>
      <c r="BH796" s="17" t="s">
        <v>16248</v>
      </c>
      <c r="BI796" s="17" t="s">
        <v>2652</v>
      </c>
      <c r="BJ796" s="17" t="s">
        <v>16249</v>
      </c>
      <c r="BK796" s="17" t="s">
        <v>16250</v>
      </c>
      <c r="BL796" s="17" t="s">
        <v>2654</v>
      </c>
      <c r="BM796" s="17" t="s">
        <v>1576</v>
      </c>
      <c r="BN796" s="16" t="s">
        <v>16251</v>
      </c>
      <c r="BO796" s="17" t="s">
        <v>186</v>
      </c>
      <c r="BP796" s="16" t="s">
        <v>16248</v>
      </c>
      <c r="BQ796" s="16" t="s">
        <v>151</v>
      </c>
      <c r="BR796" s="17" t="s">
        <v>16252</v>
      </c>
      <c r="BS796" s="17" t="s">
        <v>187</v>
      </c>
      <c r="BT796" s="17" t="s">
        <v>188</v>
      </c>
      <c r="BU796" s="22">
        <v>45421</v>
      </c>
      <c r="BV796" s="24">
        <v>3.11</v>
      </c>
      <c r="BW796" s="17" t="s">
        <v>193</v>
      </c>
      <c r="BX796" s="24">
        <v>6.6</v>
      </c>
      <c r="BY796" s="17" t="s">
        <v>193</v>
      </c>
      <c r="BZ796" s="17" t="s">
        <v>293</v>
      </c>
      <c r="CA796" s="17" t="s">
        <v>293</v>
      </c>
      <c r="CB796" s="17" t="s">
        <v>151</v>
      </c>
      <c r="CC796" s="17" t="s">
        <v>165</v>
      </c>
      <c r="CD796" s="17" t="s">
        <v>151</v>
      </c>
      <c r="CE796" s="17" t="s">
        <v>191</v>
      </c>
      <c r="CF796" s="22">
        <v>45421</v>
      </c>
      <c r="CG796" s="24">
        <v>3.11</v>
      </c>
      <c r="CH796" s="17" t="s">
        <v>193</v>
      </c>
      <c r="CI796" s="24">
        <v>6.6</v>
      </c>
      <c r="CJ796" s="17" t="s">
        <v>193</v>
      </c>
      <c r="CK796" s="16" t="s">
        <v>151</v>
      </c>
      <c r="CL796" s="17" t="s">
        <v>293</v>
      </c>
      <c r="CM796" s="17" t="s">
        <v>293</v>
      </c>
      <c r="CN796" s="17" t="s">
        <v>151</v>
      </c>
      <c r="CO796" s="17" t="s">
        <v>165</v>
      </c>
      <c r="CP796" s="22">
        <v>45421</v>
      </c>
      <c r="CQ796" s="24" t="s">
        <v>151</v>
      </c>
      <c r="CR796" s="17" t="s">
        <v>151</v>
      </c>
      <c r="CS796" s="17" t="s">
        <v>191</v>
      </c>
      <c r="CT796" s="16" t="s">
        <v>151</v>
      </c>
      <c r="CU796" s="17" t="s">
        <v>151</v>
      </c>
      <c r="CV796" s="19" t="s">
        <v>151</v>
      </c>
      <c r="CW796" s="19" t="s">
        <v>151</v>
      </c>
      <c r="CX796" s="17" t="s">
        <v>151</v>
      </c>
      <c r="CY796" s="19" t="s">
        <v>151</v>
      </c>
      <c r="CZ796" s="19" t="s">
        <v>151</v>
      </c>
      <c r="DA796" s="24">
        <v>6.6</v>
      </c>
      <c r="DB796" s="22">
        <v>45421</v>
      </c>
      <c r="DC796" s="17" t="s">
        <v>293</v>
      </c>
      <c r="DD796" s="16" t="s">
        <v>151</v>
      </c>
      <c r="DE796" s="19">
        <v>0.25</v>
      </c>
      <c r="DF796" s="21">
        <v>92</v>
      </c>
      <c r="DG796" s="19">
        <v>0</v>
      </c>
      <c r="DH796" s="19">
        <v>0</v>
      </c>
      <c r="DI796" s="19">
        <v>0</v>
      </c>
      <c r="DJ796" s="21">
        <v>10</v>
      </c>
      <c r="DK796" s="19" t="s">
        <v>151</v>
      </c>
      <c r="DL796" s="21" t="s">
        <v>151</v>
      </c>
      <c r="DM796" s="19">
        <v>0</v>
      </c>
      <c r="DN796" s="21">
        <v>10</v>
      </c>
      <c r="DO796" s="23">
        <v>1.63</v>
      </c>
      <c r="DP796" s="21">
        <v>61</v>
      </c>
      <c r="DQ796" s="23">
        <v>0</v>
      </c>
      <c r="DR796" s="19">
        <v>0</v>
      </c>
      <c r="DS796" s="23">
        <v>1.26</v>
      </c>
      <c r="DT796" s="21">
        <v>55</v>
      </c>
      <c r="DU796" s="23" t="s">
        <v>151</v>
      </c>
      <c r="DV796" s="21" t="s">
        <v>151</v>
      </c>
      <c r="DW796" s="23">
        <v>1.26</v>
      </c>
      <c r="DX796" s="21">
        <v>55</v>
      </c>
      <c r="DY796" s="18" t="s">
        <v>151</v>
      </c>
      <c r="DZ796" s="22" t="s">
        <v>151</v>
      </c>
      <c r="EA796" s="22" t="s">
        <v>151</v>
      </c>
      <c r="EB796" s="21" t="s">
        <v>151</v>
      </c>
      <c r="EC796" s="20" t="s">
        <v>151</v>
      </c>
      <c r="ED796" s="19" t="s">
        <v>151</v>
      </c>
      <c r="EE796" s="21">
        <v>24</v>
      </c>
      <c r="EF796" s="20">
        <v>0</v>
      </c>
      <c r="EG796" s="19">
        <v>0</v>
      </c>
      <c r="EH796" s="16" t="s">
        <v>198</v>
      </c>
      <c r="EI796" s="17" t="s">
        <v>151</v>
      </c>
      <c r="EJ796" s="17" t="s">
        <v>151</v>
      </c>
      <c r="EK796" s="18" t="s">
        <v>151</v>
      </c>
      <c r="EL796" s="18" t="s">
        <v>151</v>
      </c>
      <c r="EM796" s="18" t="s">
        <v>151</v>
      </c>
      <c r="EN796" s="18" t="s">
        <v>151</v>
      </c>
      <c r="EO796" s="18" t="s">
        <v>151</v>
      </c>
      <c r="EP796" s="17" t="s">
        <v>151</v>
      </c>
      <c r="EQ796" s="16" t="s">
        <v>151</v>
      </c>
      <c r="ER796" s="16" t="s">
        <v>151</v>
      </c>
      <c r="ES796" s="3">
        <f>HYPERLINK("https://my.pitchbook.com?c=228975-58","View Company Online")</f>
      </c>
    </row>
    <row r="797">
      <c r="A797" s="30" t="s">
        <v>16253</v>
      </c>
      <c r="B797" s="30" t="s">
        <v>10519</v>
      </c>
      <c r="C797" s="31" t="s">
        <v>151</v>
      </c>
      <c r="D797" s="30" t="s">
        <v>151</v>
      </c>
      <c r="E797" s="30" t="s">
        <v>151</v>
      </c>
      <c r="F797" s="30" t="s">
        <v>16254</v>
      </c>
      <c r="G797" s="30" t="s">
        <v>151</v>
      </c>
      <c r="H797" s="30" t="s">
        <v>151</v>
      </c>
      <c r="I797" s="30" t="s">
        <v>16255</v>
      </c>
      <c r="J797" s="30" t="s">
        <v>16253</v>
      </c>
      <c r="K797" s="30" t="s">
        <v>16256</v>
      </c>
      <c r="L797" s="30" t="s">
        <v>205</v>
      </c>
      <c r="M797" s="30" t="s">
        <v>206</v>
      </c>
      <c r="N797" s="30" t="s">
        <v>269</v>
      </c>
      <c r="O797" s="30" t="s">
        <v>16257</v>
      </c>
      <c r="P797" s="30" t="s">
        <v>3974</v>
      </c>
      <c r="Q797" s="30" t="s">
        <v>16258</v>
      </c>
      <c r="R797" s="30" t="s">
        <v>151</v>
      </c>
      <c r="S797" s="30" t="s">
        <v>162</v>
      </c>
      <c r="T797" s="37">
        <v>8.5</v>
      </c>
      <c r="U797" s="30" t="s">
        <v>163</v>
      </c>
      <c r="V797" s="30" t="s">
        <v>164</v>
      </c>
      <c r="W797" s="30" t="s">
        <v>165</v>
      </c>
      <c r="X797" s="28" t="s">
        <v>16259</v>
      </c>
      <c r="Y797" s="28" t="s">
        <v>16260</v>
      </c>
      <c r="Z797" s="40">
        <v>15</v>
      </c>
      <c r="AA797" s="30" t="s">
        <v>16261</v>
      </c>
      <c r="AB797" s="30" t="s">
        <v>151</v>
      </c>
      <c r="AC797" s="30" t="s">
        <v>151</v>
      </c>
      <c r="AD797" s="39">
        <v>2021</v>
      </c>
      <c r="AE797" s="30" t="s">
        <v>151</v>
      </c>
      <c r="AF797" s="35">
        <v>45454</v>
      </c>
      <c r="AG797" s="30" t="s">
        <v>151</v>
      </c>
      <c r="AH797" s="30" t="s">
        <v>151</v>
      </c>
      <c r="AI797" s="38" t="s">
        <v>151</v>
      </c>
      <c r="AJ797" s="32" t="s">
        <v>151</v>
      </c>
      <c r="AK797" s="38" t="s">
        <v>151</v>
      </c>
      <c r="AL797" s="38" t="s">
        <v>151</v>
      </c>
      <c r="AM797" s="38" t="s">
        <v>151</v>
      </c>
      <c r="AN797" s="38" t="s">
        <v>151</v>
      </c>
      <c r="AO797" s="38" t="s">
        <v>151</v>
      </c>
      <c r="AP797" s="38" t="s">
        <v>151</v>
      </c>
      <c r="AQ797" s="38" t="s">
        <v>151</v>
      </c>
      <c r="AR797" s="29" t="s">
        <v>151</v>
      </c>
      <c r="AS797" s="30" t="s">
        <v>16262</v>
      </c>
      <c r="AT797" s="30" t="s">
        <v>16263</v>
      </c>
      <c r="AU797" s="31">
        <v>32</v>
      </c>
      <c r="AV797" s="30" t="s">
        <v>151</v>
      </c>
      <c r="AW797" s="30" t="s">
        <v>151</v>
      </c>
      <c r="AX797" s="30" t="s">
        <v>151</v>
      </c>
      <c r="AY797" s="30" t="s">
        <v>16264</v>
      </c>
      <c r="AZ797" s="30" t="s">
        <v>151</v>
      </c>
      <c r="BA797" s="30" t="s">
        <v>151</v>
      </c>
      <c r="BB797" s="30" t="s">
        <v>151</v>
      </c>
      <c r="BC797" s="30" t="s">
        <v>151</v>
      </c>
      <c r="BD797" s="30" t="s">
        <v>16265</v>
      </c>
      <c r="BE797" s="30" t="s">
        <v>16266</v>
      </c>
      <c r="BF797" s="30" t="s">
        <v>221</v>
      </c>
      <c r="BG797" s="30" t="s">
        <v>16267</v>
      </c>
      <c r="BH797" s="30" t="s">
        <v>16268</v>
      </c>
      <c r="BI797" s="30" t="s">
        <v>16269</v>
      </c>
      <c r="BJ797" s="30" t="s">
        <v>151</v>
      </c>
      <c r="BK797" s="30" t="s">
        <v>151</v>
      </c>
      <c r="BL797" s="30" t="s">
        <v>16270</v>
      </c>
      <c r="BM797" s="30" t="s">
        <v>2190</v>
      </c>
      <c r="BN797" s="29" t="s">
        <v>151</v>
      </c>
      <c r="BO797" s="30" t="s">
        <v>186</v>
      </c>
      <c r="BP797" s="29" t="s">
        <v>151</v>
      </c>
      <c r="BQ797" s="29" t="s">
        <v>151</v>
      </c>
      <c r="BR797" s="30" t="s">
        <v>16271</v>
      </c>
      <c r="BS797" s="30" t="s">
        <v>187</v>
      </c>
      <c r="BT797" s="30" t="s">
        <v>188</v>
      </c>
      <c r="BU797" s="35">
        <v>44197</v>
      </c>
      <c r="BV797" s="37">
        <v>2</v>
      </c>
      <c r="BW797" s="30" t="s">
        <v>192</v>
      </c>
      <c r="BX797" s="37" t="s">
        <v>151</v>
      </c>
      <c r="BY797" s="30" t="s">
        <v>151</v>
      </c>
      <c r="BZ797" s="30" t="s">
        <v>189</v>
      </c>
      <c r="CA797" s="30" t="s">
        <v>151</v>
      </c>
      <c r="CB797" s="30" t="s">
        <v>151</v>
      </c>
      <c r="CC797" s="30" t="s">
        <v>190</v>
      </c>
      <c r="CD797" s="30" t="s">
        <v>151</v>
      </c>
      <c r="CE797" s="30" t="s">
        <v>191</v>
      </c>
      <c r="CF797" s="35">
        <v>45292</v>
      </c>
      <c r="CG797" s="37" t="s">
        <v>151</v>
      </c>
      <c r="CH797" s="30" t="s">
        <v>151</v>
      </c>
      <c r="CI797" s="37" t="s">
        <v>151</v>
      </c>
      <c r="CJ797" s="30" t="s">
        <v>151</v>
      </c>
      <c r="CK797" s="29" t="s">
        <v>151</v>
      </c>
      <c r="CL797" s="30" t="s">
        <v>293</v>
      </c>
      <c r="CM797" s="30" t="s">
        <v>293</v>
      </c>
      <c r="CN797" s="30" t="s">
        <v>151</v>
      </c>
      <c r="CO797" s="30" t="s">
        <v>165</v>
      </c>
      <c r="CP797" s="35">
        <v>45292</v>
      </c>
      <c r="CQ797" s="37" t="s">
        <v>151</v>
      </c>
      <c r="CR797" s="30" t="s">
        <v>151</v>
      </c>
      <c r="CS797" s="30" t="s">
        <v>191</v>
      </c>
      <c r="CT797" s="29">
        <v>92</v>
      </c>
      <c r="CU797" s="30" t="s">
        <v>196</v>
      </c>
      <c r="CV797" s="32">
        <v>85</v>
      </c>
      <c r="CW797" s="32">
        <v>15</v>
      </c>
      <c r="CX797" s="30" t="s">
        <v>294</v>
      </c>
      <c r="CY797" s="32">
        <v>1</v>
      </c>
      <c r="CZ797" s="32">
        <v>84</v>
      </c>
      <c r="DA797" s="37">
        <v>130</v>
      </c>
      <c r="DB797" s="35">
        <v>44700</v>
      </c>
      <c r="DC797" s="30" t="s">
        <v>293</v>
      </c>
      <c r="DD797" s="29" t="s">
        <v>151</v>
      </c>
      <c r="DE797" s="32">
        <v>-1.19</v>
      </c>
      <c r="DF797" s="34">
        <v>4</v>
      </c>
      <c r="DG797" s="32">
        <v>0</v>
      </c>
      <c r="DH797" s="32">
        <v>0</v>
      </c>
      <c r="DI797" s="32">
        <v>-1.59</v>
      </c>
      <c r="DJ797" s="34">
        <v>3</v>
      </c>
      <c r="DK797" s="32" t="s">
        <v>151</v>
      </c>
      <c r="DL797" s="34" t="s">
        <v>151</v>
      </c>
      <c r="DM797" s="32">
        <v>-1.59</v>
      </c>
      <c r="DN797" s="34">
        <v>3</v>
      </c>
      <c r="DO797" s="36">
        <v>19.52</v>
      </c>
      <c r="DP797" s="34">
        <v>95</v>
      </c>
      <c r="DQ797" s="36">
        <v>0</v>
      </c>
      <c r="DR797" s="32">
        <v>0</v>
      </c>
      <c r="DS797" s="36">
        <v>37.89</v>
      </c>
      <c r="DT797" s="34">
        <v>97</v>
      </c>
      <c r="DU797" s="36" t="s">
        <v>151</v>
      </c>
      <c r="DV797" s="34" t="s">
        <v>151</v>
      </c>
      <c r="DW797" s="36">
        <v>37.89</v>
      </c>
      <c r="DX797" s="34">
        <v>97</v>
      </c>
      <c r="DY797" s="31" t="s">
        <v>151</v>
      </c>
      <c r="DZ797" s="35" t="s">
        <v>151</v>
      </c>
      <c r="EA797" s="35" t="s">
        <v>151</v>
      </c>
      <c r="EB797" s="34">
        <v>85389</v>
      </c>
      <c r="EC797" s="33">
        <v>8821</v>
      </c>
      <c r="ED797" s="32">
        <v>11.52</v>
      </c>
      <c r="EE797" s="34">
        <v>720</v>
      </c>
      <c r="EF797" s="33">
        <v>-4</v>
      </c>
      <c r="EG797" s="32">
        <v>-0.55</v>
      </c>
      <c r="EH797" s="29" t="s">
        <v>198</v>
      </c>
      <c r="EI797" s="30" t="s">
        <v>151</v>
      </c>
      <c r="EJ797" s="30" t="s">
        <v>151</v>
      </c>
      <c r="EK797" s="31" t="s">
        <v>151</v>
      </c>
      <c r="EL797" s="31" t="s">
        <v>151</v>
      </c>
      <c r="EM797" s="31" t="s">
        <v>151</v>
      </c>
      <c r="EN797" s="31" t="s">
        <v>151</v>
      </c>
      <c r="EO797" s="31" t="s">
        <v>151</v>
      </c>
      <c r="EP797" s="30" t="s">
        <v>151</v>
      </c>
      <c r="EQ797" s="29" t="s">
        <v>151</v>
      </c>
      <c r="ER797" s="29" t="s">
        <v>151</v>
      </c>
      <c r="ES797" s="4">
        <f>HYPERLINK("https://my.pitchbook.com?c=496717-39","View Company Online")</f>
      </c>
    </row>
    <row r="798">
      <c r="A798" s="17" t="s">
        <v>16272</v>
      </c>
      <c r="B798" s="17" t="s">
        <v>16273</v>
      </c>
      <c r="C798" s="18" t="s">
        <v>151</v>
      </c>
      <c r="D798" s="17" t="s">
        <v>16274</v>
      </c>
      <c r="E798" s="17" t="s">
        <v>151</v>
      </c>
      <c r="F798" s="17" t="s">
        <v>16275</v>
      </c>
      <c r="G798" s="17" t="s">
        <v>151</v>
      </c>
      <c r="H798" s="17" t="s">
        <v>151</v>
      </c>
      <c r="I798" s="17" t="s">
        <v>16276</v>
      </c>
      <c r="J798" s="17" t="s">
        <v>16272</v>
      </c>
      <c r="K798" s="17" t="s">
        <v>16277</v>
      </c>
      <c r="L798" s="17" t="s">
        <v>205</v>
      </c>
      <c r="M798" s="17" t="s">
        <v>206</v>
      </c>
      <c r="N798" s="17" t="s">
        <v>1268</v>
      </c>
      <c r="O798" s="17" t="s">
        <v>16278</v>
      </c>
      <c r="P798" s="17" t="s">
        <v>209</v>
      </c>
      <c r="Q798" s="17" t="s">
        <v>16279</v>
      </c>
      <c r="R798" s="17" t="s">
        <v>151</v>
      </c>
      <c r="S798" s="17" t="s">
        <v>162</v>
      </c>
      <c r="T798" s="24">
        <v>2</v>
      </c>
      <c r="U798" s="17" t="s">
        <v>4045</v>
      </c>
      <c r="V798" s="17" t="s">
        <v>164</v>
      </c>
      <c r="W798" s="17" t="s">
        <v>165</v>
      </c>
      <c r="X798" s="15" t="s">
        <v>16280</v>
      </c>
      <c r="Y798" s="15" t="s">
        <v>16281</v>
      </c>
      <c r="Z798" s="27">
        <v>3</v>
      </c>
      <c r="AA798" s="17" t="s">
        <v>16282</v>
      </c>
      <c r="AB798" s="17" t="s">
        <v>151</v>
      </c>
      <c r="AC798" s="17" t="s">
        <v>151</v>
      </c>
      <c r="AD798" s="26">
        <v>2022</v>
      </c>
      <c r="AE798" s="17" t="s">
        <v>151</v>
      </c>
      <c r="AF798" s="22">
        <v>45603</v>
      </c>
      <c r="AG798" s="17" t="s">
        <v>151</v>
      </c>
      <c r="AH798" s="17" t="s">
        <v>151</v>
      </c>
      <c r="AI798" s="25" t="s">
        <v>151</v>
      </c>
      <c r="AJ798" s="19" t="s">
        <v>151</v>
      </c>
      <c r="AK798" s="25" t="s">
        <v>151</v>
      </c>
      <c r="AL798" s="25" t="s">
        <v>151</v>
      </c>
      <c r="AM798" s="25" t="s">
        <v>151</v>
      </c>
      <c r="AN798" s="25" t="s">
        <v>151</v>
      </c>
      <c r="AO798" s="25" t="s">
        <v>151</v>
      </c>
      <c r="AP798" s="25" t="s">
        <v>151</v>
      </c>
      <c r="AQ798" s="25" t="s">
        <v>151</v>
      </c>
      <c r="AR798" s="16" t="s">
        <v>151</v>
      </c>
      <c r="AS798" s="17" t="s">
        <v>16283</v>
      </c>
      <c r="AT798" s="17" t="s">
        <v>16284</v>
      </c>
      <c r="AU798" s="18">
        <v>12</v>
      </c>
      <c r="AV798" s="17" t="s">
        <v>151</v>
      </c>
      <c r="AW798" s="17" t="s">
        <v>151</v>
      </c>
      <c r="AX798" s="17" t="s">
        <v>151</v>
      </c>
      <c r="AY798" s="17" t="s">
        <v>16285</v>
      </c>
      <c r="AZ798" s="17" t="s">
        <v>151</v>
      </c>
      <c r="BA798" s="17" t="s">
        <v>151</v>
      </c>
      <c r="BB798" s="17" t="s">
        <v>151</v>
      </c>
      <c r="BC798" s="17" t="s">
        <v>151</v>
      </c>
      <c r="BD798" s="17" t="s">
        <v>16286</v>
      </c>
      <c r="BE798" s="17" t="s">
        <v>16287</v>
      </c>
      <c r="BF798" s="17" t="s">
        <v>221</v>
      </c>
      <c r="BG798" s="17" t="s">
        <v>151</v>
      </c>
      <c r="BH798" s="17" t="s">
        <v>151</v>
      </c>
      <c r="BI798" s="17" t="s">
        <v>764</v>
      </c>
      <c r="BJ798" s="17" t="s">
        <v>151</v>
      </c>
      <c r="BK798" s="17" t="s">
        <v>151</v>
      </c>
      <c r="BL798" s="17" t="s">
        <v>767</v>
      </c>
      <c r="BM798" s="17" t="s">
        <v>184</v>
      </c>
      <c r="BN798" s="16" t="s">
        <v>151</v>
      </c>
      <c r="BO798" s="17" t="s">
        <v>186</v>
      </c>
      <c r="BP798" s="16" t="s">
        <v>151</v>
      </c>
      <c r="BQ798" s="16" t="s">
        <v>151</v>
      </c>
      <c r="BR798" s="17" t="s">
        <v>151</v>
      </c>
      <c r="BS798" s="17" t="s">
        <v>187</v>
      </c>
      <c r="BT798" s="17" t="s">
        <v>188</v>
      </c>
      <c r="BU798" s="22">
        <v>44973</v>
      </c>
      <c r="BV798" s="24">
        <v>2</v>
      </c>
      <c r="BW798" s="17" t="s">
        <v>192</v>
      </c>
      <c r="BX798" s="24" t="s">
        <v>151</v>
      </c>
      <c r="BY798" s="17" t="s">
        <v>151</v>
      </c>
      <c r="BZ798" s="17" t="s">
        <v>293</v>
      </c>
      <c r="CA798" s="17" t="s">
        <v>293</v>
      </c>
      <c r="CB798" s="17" t="s">
        <v>151</v>
      </c>
      <c r="CC798" s="17" t="s">
        <v>165</v>
      </c>
      <c r="CD798" s="17" t="s">
        <v>151</v>
      </c>
      <c r="CE798" s="17" t="s">
        <v>191</v>
      </c>
      <c r="CF798" s="22">
        <v>44973</v>
      </c>
      <c r="CG798" s="24">
        <v>2</v>
      </c>
      <c r="CH798" s="17" t="s">
        <v>192</v>
      </c>
      <c r="CI798" s="24" t="s">
        <v>151</v>
      </c>
      <c r="CJ798" s="17" t="s">
        <v>151</v>
      </c>
      <c r="CK798" s="16" t="s">
        <v>151</v>
      </c>
      <c r="CL798" s="17" t="s">
        <v>293</v>
      </c>
      <c r="CM798" s="17" t="s">
        <v>293</v>
      </c>
      <c r="CN798" s="17" t="s">
        <v>151</v>
      </c>
      <c r="CO798" s="17" t="s">
        <v>165</v>
      </c>
      <c r="CP798" s="22">
        <v>44973</v>
      </c>
      <c r="CQ798" s="24" t="s">
        <v>151</v>
      </c>
      <c r="CR798" s="17" t="s">
        <v>151</v>
      </c>
      <c r="CS798" s="17" t="s">
        <v>191</v>
      </c>
      <c r="CT798" s="16" t="s">
        <v>151</v>
      </c>
      <c r="CU798" s="17" t="s">
        <v>151</v>
      </c>
      <c r="CV798" s="19" t="s">
        <v>151</v>
      </c>
      <c r="CW798" s="19" t="s">
        <v>151</v>
      </c>
      <c r="CX798" s="17" t="s">
        <v>151</v>
      </c>
      <c r="CY798" s="19" t="s">
        <v>151</v>
      </c>
      <c r="CZ798" s="19" t="s">
        <v>151</v>
      </c>
      <c r="DA798" s="24" t="s">
        <v>151</v>
      </c>
      <c r="DB798" s="22" t="s">
        <v>151</v>
      </c>
      <c r="DC798" s="17" t="s">
        <v>151</v>
      </c>
      <c r="DD798" s="16" t="s">
        <v>151</v>
      </c>
      <c r="DE798" s="19">
        <v>-2.5</v>
      </c>
      <c r="DF798" s="21">
        <v>2</v>
      </c>
      <c r="DG798" s="19">
        <v>0</v>
      </c>
      <c r="DH798" s="19">
        <v>0</v>
      </c>
      <c r="DI798" s="19" t="s">
        <v>151</v>
      </c>
      <c r="DJ798" s="21" t="s">
        <v>151</v>
      </c>
      <c r="DK798" s="19" t="s">
        <v>151</v>
      </c>
      <c r="DL798" s="21" t="s">
        <v>151</v>
      </c>
      <c r="DM798" s="19" t="s">
        <v>151</v>
      </c>
      <c r="DN798" s="21" t="s">
        <v>151</v>
      </c>
      <c r="DO798" s="23">
        <v>0.31</v>
      </c>
      <c r="DP798" s="21">
        <v>21</v>
      </c>
      <c r="DQ798" s="23">
        <v>0</v>
      </c>
      <c r="DR798" s="19">
        <v>0</v>
      </c>
      <c r="DS798" s="23" t="s">
        <v>151</v>
      </c>
      <c r="DT798" s="21" t="s">
        <v>151</v>
      </c>
      <c r="DU798" s="23" t="s">
        <v>151</v>
      </c>
      <c r="DV798" s="21" t="s">
        <v>151</v>
      </c>
      <c r="DW798" s="23" t="s">
        <v>151</v>
      </c>
      <c r="DX798" s="21" t="s">
        <v>151</v>
      </c>
      <c r="DY798" s="18" t="s">
        <v>151</v>
      </c>
      <c r="DZ798" s="22" t="s">
        <v>151</v>
      </c>
      <c r="EA798" s="22" t="s">
        <v>151</v>
      </c>
      <c r="EB798" s="21">
        <v>336</v>
      </c>
      <c r="EC798" s="20">
        <v>-18</v>
      </c>
      <c r="ED798" s="19">
        <v>-5.08</v>
      </c>
      <c r="EE798" s="21" t="s">
        <v>151</v>
      </c>
      <c r="EF798" s="20" t="s">
        <v>151</v>
      </c>
      <c r="EG798" s="19" t="s">
        <v>151</v>
      </c>
      <c r="EH798" s="16" t="s">
        <v>198</v>
      </c>
      <c r="EI798" s="17" t="s">
        <v>151</v>
      </c>
      <c r="EJ798" s="17" t="s">
        <v>151</v>
      </c>
      <c r="EK798" s="18" t="s">
        <v>151</v>
      </c>
      <c r="EL798" s="18" t="s">
        <v>151</v>
      </c>
      <c r="EM798" s="18" t="s">
        <v>151</v>
      </c>
      <c r="EN798" s="18" t="s">
        <v>151</v>
      </c>
      <c r="EO798" s="18" t="s">
        <v>151</v>
      </c>
      <c r="EP798" s="17" t="s">
        <v>151</v>
      </c>
      <c r="EQ798" s="16" t="s">
        <v>151</v>
      </c>
      <c r="ER798" s="16" t="s">
        <v>151</v>
      </c>
      <c r="ES798" s="3">
        <f>HYPERLINK("https://my.pitchbook.com?c=520045-30","View Company Online")</f>
      </c>
    </row>
    <row r="799">
      <c r="A799" s="30" t="s">
        <v>16288</v>
      </c>
      <c r="B799" s="30" t="s">
        <v>16289</v>
      </c>
      <c r="C799" s="31" t="s">
        <v>151</v>
      </c>
      <c r="D799" s="30" t="s">
        <v>151</v>
      </c>
      <c r="E799" s="30" t="s">
        <v>151</v>
      </c>
      <c r="F799" s="30" t="s">
        <v>151</v>
      </c>
      <c r="G799" s="30" t="s">
        <v>151</v>
      </c>
      <c r="H799" s="30" t="s">
        <v>151</v>
      </c>
      <c r="I799" s="30" t="s">
        <v>151</v>
      </c>
      <c r="J799" s="30" t="s">
        <v>16288</v>
      </c>
      <c r="K799" s="30" t="s">
        <v>16290</v>
      </c>
      <c r="L799" s="30" t="s">
        <v>205</v>
      </c>
      <c r="M799" s="30" t="s">
        <v>206</v>
      </c>
      <c r="N799" s="30" t="s">
        <v>998</v>
      </c>
      <c r="O799" s="30" t="s">
        <v>4620</v>
      </c>
      <c r="P799" s="30" t="s">
        <v>304</v>
      </c>
      <c r="Q799" s="30" t="s">
        <v>16291</v>
      </c>
      <c r="R799" s="30" t="s">
        <v>151</v>
      </c>
      <c r="S799" s="30" t="s">
        <v>162</v>
      </c>
      <c r="T799" s="37">
        <v>4.48</v>
      </c>
      <c r="U799" s="30" t="s">
        <v>163</v>
      </c>
      <c r="V799" s="30" t="s">
        <v>164</v>
      </c>
      <c r="W799" s="30" t="s">
        <v>165</v>
      </c>
      <c r="X799" s="28" t="s">
        <v>16292</v>
      </c>
      <c r="Y799" s="28" t="s">
        <v>16293</v>
      </c>
      <c r="Z799" s="40">
        <v>9</v>
      </c>
      <c r="AA799" s="30" t="s">
        <v>7329</v>
      </c>
      <c r="AB799" s="30" t="s">
        <v>151</v>
      </c>
      <c r="AC799" s="30" t="s">
        <v>151</v>
      </c>
      <c r="AD799" s="39">
        <v>2024</v>
      </c>
      <c r="AE799" s="30" t="s">
        <v>151</v>
      </c>
      <c r="AF799" s="35">
        <v>45586</v>
      </c>
      <c r="AG799" s="30" t="s">
        <v>151</v>
      </c>
      <c r="AH799" s="30" t="s">
        <v>151</v>
      </c>
      <c r="AI799" s="38" t="s">
        <v>151</v>
      </c>
      <c r="AJ799" s="32" t="s">
        <v>151</v>
      </c>
      <c r="AK799" s="38" t="s">
        <v>151</v>
      </c>
      <c r="AL799" s="38" t="s">
        <v>151</v>
      </c>
      <c r="AM799" s="38" t="s">
        <v>151</v>
      </c>
      <c r="AN799" s="38" t="s">
        <v>151</v>
      </c>
      <c r="AO799" s="38" t="s">
        <v>151</v>
      </c>
      <c r="AP799" s="38" t="s">
        <v>151</v>
      </c>
      <c r="AQ799" s="38" t="s">
        <v>151</v>
      </c>
      <c r="AR799" s="29" t="s">
        <v>151</v>
      </c>
      <c r="AS799" s="30" t="s">
        <v>16294</v>
      </c>
      <c r="AT799" s="30" t="s">
        <v>16295</v>
      </c>
      <c r="AU799" s="31">
        <v>7</v>
      </c>
      <c r="AV799" s="30" t="s">
        <v>151</v>
      </c>
      <c r="AW799" s="30" t="s">
        <v>151</v>
      </c>
      <c r="AX799" s="30" t="s">
        <v>151</v>
      </c>
      <c r="AY799" s="30" t="s">
        <v>16296</v>
      </c>
      <c r="AZ799" s="30" t="s">
        <v>151</v>
      </c>
      <c r="BA799" s="30" t="s">
        <v>151</v>
      </c>
      <c r="BB799" s="30" t="s">
        <v>151</v>
      </c>
      <c r="BC799" s="30" t="s">
        <v>2424</v>
      </c>
      <c r="BD799" s="30" t="s">
        <v>16297</v>
      </c>
      <c r="BE799" s="30" t="s">
        <v>16298</v>
      </c>
      <c r="BF799" s="30" t="s">
        <v>221</v>
      </c>
      <c r="BG799" s="30" t="s">
        <v>151</v>
      </c>
      <c r="BH799" s="30" t="s">
        <v>151</v>
      </c>
      <c r="BI799" s="30" t="s">
        <v>906</v>
      </c>
      <c r="BJ799" s="30" t="s">
        <v>151</v>
      </c>
      <c r="BK799" s="30" t="s">
        <v>151</v>
      </c>
      <c r="BL799" s="30" t="s">
        <v>259</v>
      </c>
      <c r="BM799" s="30" t="s">
        <v>259</v>
      </c>
      <c r="BN799" s="29" t="s">
        <v>151</v>
      </c>
      <c r="BO799" s="30" t="s">
        <v>186</v>
      </c>
      <c r="BP799" s="29" t="s">
        <v>151</v>
      </c>
      <c r="BQ799" s="29" t="s">
        <v>151</v>
      </c>
      <c r="BR799" s="30" t="s">
        <v>16299</v>
      </c>
      <c r="BS799" s="30" t="s">
        <v>187</v>
      </c>
      <c r="BT799" s="30" t="s">
        <v>188</v>
      </c>
      <c r="BU799" s="35">
        <v>45532</v>
      </c>
      <c r="BV799" s="37">
        <v>4.48</v>
      </c>
      <c r="BW799" s="30" t="s">
        <v>192</v>
      </c>
      <c r="BX799" s="37">
        <v>18.48</v>
      </c>
      <c r="BY799" s="30" t="s">
        <v>192</v>
      </c>
      <c r="BZ799" s="30" t="s">
        <v>293</v>
      </c>
      <c r="CA799" s="30" t="s">
        <v>293</v>
      </c>
      <c r="CB799" s="30" t="s">
        <v>151</v>
      </c>
      <c r="CC799" s="30" t="s">
        <v>165</v>
      </c>
      <c r="CD799" s="30" t="s">
        <v>151</v>
      </c>
      <c r="CE799" s="30" t="s">
        <v>191</v>
      </c>
      <c r="CF799" s="35">
        <v>45532</v>
      </c>
      <c r="CG799" s="37">
        <v>4.48</v>
      </c>
      <c r="CH799" s="30" t="s">
        <v>192</v>
      </c>
      <c r="CI799" s="37">
        <v>18.48</v>
      </c>
      <c r="CJ799" s="30" t="s">
        <v>192</v>
      </c>
      <c r="CK799" s="29" t="s">
        <v>151</v>
      </c>
      <c r="CL799" s="30" t="s">
        <v>293</v>
      </c>
      <c r="CM799" s="30" t="s">
        <v>293</v>
      </c>
      <c r="CN799" s="30" t="s">
        <v>151</v>
      </c>
      <c r="CO799" s="30" t="s">
        <v>165</v>
      </c>
      <c r="CP799" s="35">
        <v>45532</v>
      </c>
      <c r="CQ799" s="37" t="s">
        <v>151</v>
      </c>
      <c r="CR799" s="30" t="s">
        <v>151</v>
      </c>
      <c r="CS799" s="30" t="s">
        <v>191</v>
      </c>
      <c r="CT799" s="29" t="s">
        <v>151</v>
      </c>
      <c r="CU799" s="30" t="s">
        <v>151</v>
      </c>
      <c r="CV799" s="32" t="s">
        <v>151</v>
      </c>
      <c r="CW799" s="32" t="s">
        <v>151</v>
      </c>
      <c r="CX799" s="30" t="s">
        <v>151</v>
      </c>
      <c r="CY799" s="32" t="s">
        <v>151</v>
      </c>
      <c r="CZ799" s="32" t="s">
        <v>151</v>
      </c>
      <c r="DA799" s="37">
        <v>18.48</v>
      </c>
      <c r="DB799" s="35">
        <v>45532</v>
      </c>
      <c r="DC799" s="30" t="s">
        <v>293</v>
      </c>
      <c r="DD799" s="29" t="s">
        <v>151</v>
      </c>
      <c r="DE799" s="32" t="s">
        <v>151</v>
      </c>
      <c r="DF799" s="34" t="s">
        <v>151</v>
      </c>
      <c r="DG799" s="32" t="s">
        <v>151</v>
      </c>
      <c r="DH799" s="32" t="s">
        <v>151</v>
      </c>
      <c r="DI799" s="32" t="s">
        <v>151</v>
      </c>
      <c r="DJ799" s="34" t="s">
        <v>151</v>
      </c>
      <c r="DK799" s="32" t="s">
        <v>151</v>
      </c>
      <c r="DL799" s="34" t="s">
        <v>151</v>
      </c>
      <c r="DM799" s="32" t="s">
        <v>151</v>
      </c>
      <c r="DN799" s="34" t="s">
        <v>151</v>
      </c>
      <c r="DO799" s="36" t="s">
        <v>151</v>
      </c>
      <c r="DP799" s="34" t="s">
        <v>151</v>
      </c>
      <c r="DQ799" s="36" t="s">
        <v>151</v>
      </c>
      <c r="DR799" s="32" t="s">
        <v>151</v>
      </c>
      <c r="DS799" s="36" t="s">
        <v>151</v>
      </c>
      <c r="DT799" s="34" t="s">
        <v>151</v>
      </c>
      <c r="DU799" s="36" t="s">
        <v>151</v>
      </c>
      <c r="DV799" s="34" t="s">
        <v>151</v>
      </c>
      <c r="DW799" s="36" t="s">
        <v>151</v>
      </c>
      <c r="DX799" s="34" t="s">
        <v>151</v>
      </c>
      <c r="DY799" s="31" t="s">
        <v>151</v>
      </c>
      <c r="DZ799" s="35" t="s">
        <v>151</v>
      </c>
      <c r="EA799" s="35" t="s">
        <v>151</v>
      </c>
      <c r="EB799" s="34" t="s">
        <v>151</v>
      </c>
      <c r="EC799" s="33" t="s">
        <v>151</v>
      </c>
      <c r="ED799" s="32" t="s">
        <v>151</v>
      </c>
      <c r="EE799" s="34" t="s">
        <v>151</v>
      </c>
      <c r="EF799" s="33" t="s">
        <v>151</v>
      </c>
      <c r="EG799" s="32" t="s">
        <v>151</v>
      </c>
      <c r="EH799" s="29" t="s">
        <v>198</v>
      </c>
      <c r="EI799" s="30" t="s">
        <v>151</v>
      </c>
      <c r="EJ799" s="30" t="s">
        <v>151</v>
      </c>
      <c r="EK799" s="31" t="s">
        <v>151</v>
      </c>
      <c r="EL799" s="31" t="s">
        <v>151</v>
      </c>
      <c r="EM799" s="31" t="s">
        <v>151</v>
      </c>
      <c r="EN799" s="31" t="s">
        <v>151</v>
      </c>
      <c r="EO799" s="31" t="s">
        <v>151</v>
      </c>
      <c r="EP799" s="30" t="s">
        <v>151</v>
      </c>
      <c r="EQ799" s="29" t="s">
        <v>151</v>
      </c>
      <c r="ER799" s="29" t="s">
        <v>151</v>
      </c>
      <c r="ES799" s="4">
        <f>HYPERLINK("https://my.pitchbook.com?c=674457-67","View Company Online")</f>
      </c>
    </row>
    <row r="800">
      <c r="A800" s="17" t="s">
        <v>16300</v>
      </c>
      <c r="B800" s="17" t="s">
        <v>16301</v>
      </c>
      <c r="C800" s="18" t="s">
        <v>151</v>
      </c>
      <c r="D800" s="17" t="s">
        <v>151</v>
      </c>
      <c r="E800" s="17" t="s">
        <v>151</v>
      </c>
      <c r="F800" s="17" t="s">
        <v>16302</v>
      </c>
      <c r="G800" s="17" t="s">
        <v>151</v>
      </c>
      <c r="H800" s="17" t="s">
        <v>151</v>
      </c>
      <c r="I800" s="17" t="s">
        <v>151</v>
      </c>
      <c r="J800" s="17" t="s">
        <v>16300</v>
      </c>
      <c r="K800" s="17" t="s">
        <v>16303</v>
      </c>
      <c r="L800" s="17" t="s">
        <v>205</v>
      </c>
      <c r="M800" s="17" t="s">
        <v>206</v>
      </c>
      <c r="N800" s="17" t="s">
        <v>1268</v>
      </c>
      <c r="O800" s="17" t="s">
        <v>16304</v>
      </c>
      <c r="P800" s="17" t="s">
        <v>16305</v>
      </c>
      <c r="Q800" s="17" t="s">
        <v>16306</v>
      </c>
      <c r="R800" s="17" t="s">
        <v>151</v>
      </c>
      <c r="S800" s="17" t="s">
        <v>162</v>
      </c>
      <c r="T800" s="24">
        <v>13.52</v>
      </c>
      <c r="U800" s="17" t="s">
        <v>163</v>
      </c>
      <c r="V800" s="17" t="s">
        <v>164</v>
      </c>
      <c r="W800" s="17" t="s">
        <v>165</v>
      </c>
      <c r="X800" s="15" t="s">
        <v>16307</v>
      </c>
      <c r="Y800" s="15" t="s">
        <v>16308</v>
      </c>
      <c r="Z800" s="27">
        <v>40</v>
      </c>
      <c r="AA800" s="17" t="s">
        <v>16309</v>
      </c>
      <c r="AB800" s="17" t="s">
        <v>151</v>
      </c>
      <c r="AC800" s="17" t="s">
        <v>151</v>
      </c>
      <c r="AD800" s="26">
        <v>2020</v>
      </c>
      <c r="AE800" s="17" t="s">
        <v>151</v>
      </c>
      <c r="AF800" s="22">
        <v>45602</v>
      </c>
      <c r="AG800" s="17" t="s">
        <v>151</v>
      </c>
      <c r="AH800" s="17" t="s">
        <v>151</v>
      </c>
      <c r="AI800" s="25" t="s">
        <v>151</v>
      </c>
      <c r="AJ800" s="19" t="s">
        <v>151</v>
      </c>
      <c r="AK800" s="25" t="s">
        <v>151</v>
      </c>
      <c r="AL800" s="25" t="s">
        <v>151</v>
      </c>
      <c r="AM800" s="25" t="s">
        <v>151</v>
      </c>
      <c r="AN800" s="25" t="s">
        <v>151</v>
      </c>
      <c r="AO800" s="25" t="s">
        <v>151</v>
      </c>
      <c r="AP800" s="25" t="s">
        <v>151</v>
      </c>
      <c r="AQ800" s="25" t="s">
        <v>151</v>
      </c>
      <c r="AR800" s="16" t="s">
        <v>151</v>
      </c>
      <c r="AS800" s="17" t="s">
        <v>16310</v>
      </c>
      <c r="AT800" s="17" t="s">
        <v>16311</v>
      </c>
      <c r="AU800" s="18">
        <v>18</v>
      </c>
      <c r="AV800" s="17" t="s">
        <v>151</v>
      </c>
      <c r="AW800" s="17" t="s">
        <v>151</v>
      </c>
      <c r="AX800" s="17" t="s">
        <v>151</v>
      </c>
      <c r="AY800" s="17" t="s">
        <v>16312</v>
      </c>
      <c r="AZ800" s="17" t="s">
        <v>151</v>
      </c>
      <c r="BA800" s="17" t="s">
        <v>151</v>
      </c>
      <c r="BB800" s="17" t="s">
        <v>151</v>
      </c>
      <c r="BC800" s="17" t="s">
        <v>490</v>
      </c>
      <c r="BD800" s="17" t="s">
        <v>16313</v>
      </c>
      <c r="BE800" s="17" t="s">
        <v>16314</v>
      </c>
      <c r="BF800" s="17" t="s">
        <v>221</v>
      </c>
      <c r="BG800" s="17" t="s">
        <v>16315</v>
      </c>
      <c r="BH800" s="17" t="s">
        <v>16316</v>
      </c>
      <c r="BI800" s="17" t="s">
        <v>764</v>
      </c>
      <c r="BJ800" s="17" t="s">
        <v>1434</v>
      </c>
      <c r="BK800" s="17" t="s">
        <v>16317</v>
      </c>
      <c r="BL800" s="17" t="s">
        <v>767</v>
      </c>
      <c r="BM800" s="17" t="s">
        <v>184</v>
      </c>
      <c r="BN800" s="16" t="s">
        <v>4531</v>
      </c>
      <c r="BO800" s="17" t="s">
        <v>186</v>
      </c>
      <c r="BP800" s="16" t="s">
        <v>16316</v>
      </c>
      <c r="BQ800" s="16" t="s">
        <v>151</v>
      </c>
      <c r="BR800" s="17" t="s">
        <v>16318</v>
      </c>
      <c r="BS800" s="17" t="s">
        <v>187</v>
      </c>
      <c r="BT800" s="17" t="s">
        <v>188</v>
      </c>
      <c r="BU800" s="22">
        <v>44328</v>
      </c>
      <c r="BV800" s="24">
        <v>3.42</v>
      </c>
      <c r="BW800" s="17" t="s">
        <v>192</v>
      </c>
      <c r="BX800" s="24">
        <v>9.92</v>
      </c>
      <c r="BY800" s="17" t="s">
        <v>192</v>
      </c>
      <c r="BZ800" s="17" t="s">
        <v>293</v>
      </c>
      <c r="CA800" s="17" t="s">
        <v>293</v>
      </c>
      <c r="CB800" s="17" t="s">
        <v>151</v>
      </c>
      <c r="CC800" s="17" t="s">
        <v>165</v>
      </c>
      <c r="CD800" s="17" t="s">
        <v>151</v>
      </c>
      <c r="CE800" s="17" t="s">
        <v>191</v>
      </c>
      <c r="CF800" s="22">
        <v>44677</v>
      </c>
      <c r="CG800" s="24">
        <v>10.1</v>
      </c>
      <c r="CH800" s="17" t="s">
        <v>192</v>
      </c>
      <c r="CI800" s="24">
        <v>40</v>
      </c>
      <c r="CJ800" s="17" t="s">
        <v>192</v>
      </c>
      <c r="CK800" s="16">
        <v>3.03</v>
      </c>
      <c r="CL800" s="17" t="s">
        <v>231</v>
      </c>
      <c r="CM800" s="17" t="s">
        <v>232</v>
      </c>
      <c r="CN800" s="17" t="s">
        <v>151</v>
      </c>
      <c r="CO800" s="17" t="s">
        <v>165</v>
      </c>
      <c r="CP800" s="22">
        <v>44677</v>
      </c>
      <c r="CQ800" s="24" t="s">
        <v>151</v>
      </c>
      <c r="CR800" s="17" t="s">
        <v>151</v>
      </c>
      <c r="CS800" s="17" t="s">
        <v>191</v>
      </c>
      <c r="CT800" s="16">
        <v>94</v>
      </c>
      <c r="CU800" s="17" t="s">
        <v>196</v>
      </c>
      <c r="CV800" s="19">
        <v>87</v>
      </c>
      <c r="CW800" s="19">
        <v>13</v>
      </c>
      <c r="CX800" s="17" t="s">
        <v>294</v>
      </c>
      <c r="CY800" s="19">
        <v>1</v>
      </c>
      <c r="CZ800" s="19">
        <v>86</v>
      </c>
      <c r="DA800" s="24">
        <v>40</v>
      </c>
      <c r="DB800" s="22">
        <v>44677</v>
      </c>
      <c r="DC800" s="17" t="s">
        <v>231</v>
      </c>
      <c r="DD800" s="16">
        <v>3.03</v>
      </c>
      <c r="DE800" s="19">
        <v>1.78</v>
      </c>
      <c r="DF800" s="21">
        <v>98</v>
      </c>
      <c r="DG800" s="19">
        <v>0</v>
      </c>
      <c r="DH800" s="19">
        <v>0</v>
      </c>
      <c r="DI800" s="19">
        <v>2</v>
      </c>
      <c r="DJ800" s="21">
        <v>98</v>
      </c>
      <c r="DK800" s="19" t="s">
        <v>151</v>
      </c>
      <c r="DL800" s="21" t="s">
        <v>151</v>
      </c>
      <c r="DM800" s="19">
        <v>2</v>
      </c>
      <c r="DN800" s="21">
        <v>98</v>
      </c>
      <c r="DO800" s="23">
        <v>8.31</v>
      </c>
      <c r="DP800" s="21">
        <v>88</v>
      </c>
      <c r="DQ800" s="23">
        <v>0</v>
      </c>
      <c r="DR800" s="19">
        <v>0</v>
      </c>
      <c r="DS800" s="23">
        <v>13.32</v>
      </c>
      <c r="DT800" s="21">
        <v>92</v>
      </c>
      <c r="DU800" s="23" t="s">
        <v>151</v>
      </c>
      <c r="DV800" s="21" t="s">
        <v>151</v>
      </c>
      <c r="DW800" s="23">
        <v>13.32</v>
      </c>
      <c r="DX800" s="21">
        <v>92</v>
      </c>
      <c r="DY800" s="18" t="s">
        <v>151</v>
      </c>
      <c r="DZ800" s="22" t="s">
        <v>151</v>
      </c>
      <c r="EA800" s="22" t="s">
        <v>151</v>
      </c>
      <c r="EB800" s="21">
        <v>914</v>
      </c>
      <c r="EC800" s="20">
        <v>-298</v>
      </c>
      <c r="ED800" s="19">
        <v>-24.59</v>
      </c>
      <c r="EE800" s="21">
        <v>253</v>
      </c>
      <c r="EF800" s="20">
        <v>2</v>
      </c>
      <c r="EG800" s="19">
        <v>0.8</v>
      </c>
      <c r="EH800" s="16" t="s">
        <v>198</v>
      </c>
      <c r="EI800" s="17" t="s">
        <v>151</v>
      </c>
      <c r="EJ800" s="17" t="s">
        <v>151</v>
      </c>
      <c r="EK800" s="18" t="s">
        <v>151</v>
      </c>
      <c r="EL800" s="18" t="s">
        <v>151</v>
      </c>
      <c r="EM800" s="18" t="s">
        <v>151</v>
      </c>
      <c r="EN800" s="18" t="s">
        <v>151</v>
      </c>
      <c r="EO800" s="18" t="s">
        <v>151</v>
      </c>
      <c r="EP800" s="17" t="s">
        <v>151</v>
      </c>
      <c r="EQ800" s="16" t="s">
        <v>151</v>
      </c>
      <c r="ER800" s="16" t="s">
        <v>151</v>
      </c>
      <c r="ES800" s="3">
        <f>HYPERLINK("https://my.pitchbook.com?c=466129-00","View Company Online")</f>
      </c>
    </row>
    <row r="801">
      <c r="A801" s="30" t="s">
        <v>16319</v>
      </c>
      <c r="B801" s="30" t="s">
        <v>16320</v>
      </c>
      <c r="C801" s="31" t="s">
        <v>151</v>
      </c>
      <c r="D801" s="30" t="s">
        <v>151</v>
      </c>
      <c r="E801" s="30" t="s">
        <v>151</v>
      </c>
      <c r="F801" s="30" t="s">
        <v>16321</v>
      </c>
      <c r="G801" s="30" t="s">
        <v>151</v>
      </c>
      <c r="H801" s="30" t="s">
        <v>151</v>
      </c>
      <c r="I801" s="30" t="s">
        <v>151</v>
      </c>
      <c r="J801" s="30" t="s">
        <v>16319</v>
      </c>
      <c r="K801" s="30" t="s">
        <v>16322</v>
      </c>
      <c r="L801" s="30" t="s">
        <v>205</v>
      </c>
      <c r="M801" s="30" t="s">
        <v>8566</v>
      </c>
      <c r="N801" s="30" t="s">
        <v>8567</v>
      </c>
      <c r="O801" s="30" t="s">
        <v>16323</v>
      </c>
      <c r="P801" s="30" t="s">
        <v>151</v>
      </c>
      <c r="Q801" s="30" t="s">
        <v>16324</v>
      </c>
      <c r="R801" s="30" t="s">
        <v>151</v>
      </c>
      <c r="S801" s="30" t="s">
        <v>162</v>
      </c>
      <c r="T801" s="37">
        <v>1.85</v>
      </c>
      <c r="U801" s="30" t="s">
        <v>163</v>
      </c>
      <c r="V801" s="30" t="s">
        <v>164</v>
      </c>
      <c r="W801" s="30" t="s">
        <v>165</v>
      </c>
      <c r="X801" s="28" t="s">
        <v>16325</v>
      </c>
      <c r="Y801" s="28" t="s">
        <v>16326</v>
      </c>
      <c r="Z801" s="40">
        <v>80</v>
      </c>
      <c r="AA801" s="30" t="s">
        <v>16327</v>
      </c>
      <c r="AB801" s="30" t="s">
        <v>151</v>
      </c>
      <c r="AC801" s="30" t="s">
        <v>151</v>
      </c>
      <c r="AD801" s="39">
        <v>2019</v>
      </c>
      <c r="AE801" s="30" t="s">
        <v>151</v>
      </c>
      <c r="AF801" s="35">
        <v>45572</v>
      </c>
      <c r="AG801" s="30" t="s">
        <v>151</v>
      </c>
      <c r="AH801" s="30" t="s">
        <v>151</v>
      </c>
      <c r="AI801" s="38" t="s">
        <v>151</v>
      </c>
      <c r="AJ801" s="32" t="s">
        <v>151</v>
      </c>
      <c r="AK801" s="38" t="s">
        <v>151</v>
      </c>
      <c r="AL801" s="38" t="s">
        <v>151</v>
      </c>
      <c r="AM801" s="38" t="s">
        <v>151</v>
      </c>
      <c r="AN801" s="38" t="s">
        <v>151</v>
      </c>
      <c r="AO801" s="38" t="s">
        <v>151</v>
      </c>
      <c r="AP801" s="38" t="s">
        <v>151</v>
      </c>
      <c r="AQ801" s="38" t="s">
        <v>151</v>
      </c>
      <c r="AR801" s="29" t="s">
        <v>151</v>
      </c>
      <c r="AS801" s="30" t="s">
        <v>16328</v>
      </c>
      <c r="AT801" s="30" t="s">
        <v>16329</v>
      </c>
      <c r="AU801" s="31">
        <v>1</v>
      </c>
      <c r="AV801" s="30" t="s">
        <v>151</v>
      </c>
      <c r="AW801" s="30" t="s">
        <v>151</v>
      </c>
      <c r="AX801" s="30" t="s">
        <v>151</v>
      </c>
      <c r="AY801" s="30" t="s">
        <v>151</v>
      </c>
      <c r="AZ801" s="30" t="s">
        <v>151</v>
      </c>
      <c r="BA801" s="30" t="s">
        <v>151</v>
      </c>
      <c r="BB801" s="30" t="s">
        <v>151</v>
      </c>
      <c r="BC801" s="30" t="s">
        <v>151</v>
      </c>
      <c r="BD801" s="30" t="s">
        <v>16330</v>
      </c>
      <c r="BE801" s="30" t="s">
        <v>16331</v>
      </c>
      <c r="BF801" s="30" t="s">
        <v>493</v>
      </c>
      <c r="BG801" s="30" t="s">
        <v>16332</v>
      </c>
      <c r="BH801" s="30" t="s">
        <v>16333</v>
      </c>
      <c r="BI801" s="30" t="s">
        <v>1409</v>
      </c>
      <c r="BJ801" s="30" t="s">
        <v>16334</v>
      </c>
      <c r="BK801" s="30" t="s">
        <v>7392</v>
      </c>
      <c r="BL801" s="30" t="s">
        <v>1412</v>
      </c>
      <c r="BM801" s="30" t="s">
        <v>823</v>
      </c>
      <c r="BN801" s="29" t="s">
        <v>4074</v>
      </c>
      <c r="BO801" s="30" t="s">
        <v>186</v>
      </c>
      <c r="BP801" s="29" t="s">
        <v>16333</v>
      </c>
      <c r="BQ801" s="29" t="s">
        <v>151</v>
      </c>
      <c r="BR801" s="30" t="s">
        <v>16335</v>
      </c>
      <c r="BS801" s="30" t="s">
        <v>187</v>
      </c>
      <c r="BT801" s="30" t="s">
        <v>188</v>
      </c>
      <c r="BU801" s="35">
        <v>43900</v>
      </c>
      <c r="BV801" s="37">
        <v>1.85</v>
      </c>
      <c r="BW801" s="30" t="s">
        <v>192</v>
      </c>
      <c r="BX801" s="37" t="s">
        <v>151</v>
      </c>
      <c r="BY801" s="30" t="s">
        <v>151</v>
      </c>
      <c r="BZ801" s="30" t="s">
        <v>231</v>
      </c>
      <c r="CA801" s="30" t="s">
        <v>151</v>
      </c>
      <c r="CB801" s="30" t="s">
        <v>151</v>
      </c>
      <c r="CC801" s="30" t="s">
        <v>165</v>
      </c>
      <c r="CD801" s="30" t="s">
        <v>151</v>
      </c>
      <c r="CE801" s="30" t="s">
        <v>191</v>
      </c>
      <c r="CF801" s="35">
        <v>43900</v>
      </c>
      <c r="CG801" s="37">
        <v>1.85</v>
      </c>
      <c r="CH801" s="30" t="s">
        <v>192</v>
      </c>
      <c r="CI801" s="37" t="s">
        <v>151</v>
      </c>
      <c r="CJ801" s="30" t="s">
        <v>151</v>
      </c>
      <c r="CK801" s="29" t="s">
        <v>151</v>
      </c>
      <c r="CL801" s="30" t="s">
        <v>231</v>
      </c>
      <c r="CM801" s="30" t="s">
        <v>151</v>
      </c>
      <c r="CN801" s="30" t="s">
        <v>151</v>
      </c>
      <c r="CO801" s="30" t="s">
        <v>165</v>
      </c>
      <c r="CP801" s="35">
        <v>43900</v>
      </c>
      <c r="CQ801" s="37" t="s">
        <v>151</v>
      </c>
      <c r="CR801" s="30" t="s">
        <v>151</v>
      </c>
      <c r="CS801" s="30" t="s">
        <v>191</v>
      </c>
      <c r="CT801" s="29" t="s">
        <v>151</v>
      </c>
      <c r="CU801" s="30" t="s">
        <v>151</v>
      </c>
      <c r="CV801" s="32" t="s">
        <v>151</v>
      </c>
      <c r="CW801" s="32" t="s">
        <v>151</v>
      </c>
      <c r="CX801" s="30" t="s">
        <v>151</v>
      </c>
      <c r="CY801" s="32" t="s">
        <v>151</v>
      </c>
      <c r="CZ801" s="32" t="s">
        <v>151</v>
      </c>
      <c r="DA801" s="37" t="s">
        <v>151</v>
      </c>
      <c r="DB801" s="35" t="s">
        <v>151</v>
      </c>
      <c r="DC801" s="30" t="s">
        <v>151</v>
      </c>
      <c r="DD801" s="29" t="s">
        <v>151</v>
      </c>
      <c r="DE801" s="32">
        <v>0</v>
      </c>
      <c r="DF801" s="34">
        <v>11</v>
      </c>
      <c r="DG801" s="32">
        <v>0</v>
      </c>
      <c r="DH801" s="32">
        <v>0</v>
      </c>
      <c r="DI801" s="32">
        <v>0</v>
      </c>
      <c r="DJ801" s="34">
        <v>10</v>
      </c>
      <c r="DK801" s="32" t="s">
        <v>151</v>
      </c>
      <c r="DL801" s="34" t="s">
        <v>151</v>
      </c>
      <c r="DM801" s="32">
        <v>0</v>
      </c>
      <c r="DN801" s="34">
        <v>10</v>
      </c>
      <c r="DO801" s="36">
        <v>1.21</v>
      </c>
      <c r="DP801" s="34">
        <v>54</v>
      </c>
      <c r="DQ801" s="36">
        <v>0</v>
      </c>
      <c r="DR801" s="32">
        <v>0</v>
      </c>
      <c r="DS801" s="36">
        <v>1.21</v>
      </c>
      <c r="DT801" s="34">
        <v>54</v>
      </c>
      <c r="DU801" s="36" t="s">
        <v>151</v>
      </c>
      <c r="DV801" s="34" t="s">
        <v>151</v>
      </c>
      <c r="DW801" s="36">
        <v>1.21</v>
      </c>
      <c r="DX801" s="34">
        <v>54</v>
      </c>
      <c r="DY801" s="31" t="s">
        <v>151</v>
      </c>
      <c r="DZ801" s="35" t="s">
        <v>151</v>
      </c>
      <c r="EA801" s="35" t="s">
        <v>151</v>
      </c>
      <c r="EB801" s="34" t="s">
        <v>151</v>
      </c>
      <c r="EC801" s="33" t="s">
        <v>151</v>
      </c>
      <c r="ED801" s="32" t="s">
        <v>151</v>
      </c>
      <c r="EE801" s="34">
        <v>23</v>
      </c>
      <c r="EF801" s="33">
        <v>0</v>
      </c>
      <c r="EG801" s="32">
        <v>0</v>
      </c>
      <c r="EH801" s="29" t="s">
        <v>198</v>
      </c>
      <c r="EI801" s="30" t="s">
        <v>151</v>
      </c>
      <c r="EJ801" s="30" t="s">
        <v>151</v>
      </c>
      <c r="EK801" s="31" t="s">
        <v>151</v>
      </c>
      <c r="EL801" s="31" t="s">
        <v>151</v>
      </c>
      <c r="EM801" s="31" t="s">
        <v>151</v>
      </c>
      <c r="EN801" s="31" t="s">
        <v>151</v>
      </c>
      <c r="EO801" s="31" t="s">
        <v>151</v>
      </c>
      <c r="EP801" s="30" t="s">
        <v>151</v>
      </c>
      <c r="EQ801" s="29" t="s">
        <v>151</v>
      </c>
      <c r="ER801" s="29" t="s">
        <v>151</v>
      </c>
      <c r="ES801" s="4">
        <f>HYPERLINK("https://my.pitchbook.com?c=433107-73","View Company Online")</f>
      </c>
    </row>
    <row r="802">
      <c r="A802" s="17" t="s">
        <v>16336</v>
      </c>
      <c r="B802" s="17" t="s">
        <v>16337</v>
      </c>
      <c r="C802" s="18" t="s">
        <v>151</v>
      </c>
      <c r="D802" s="17" t="s">
        <v>151</v>
      </c>
      <c r="E802" s="17" t="s">
        <v>151</v>
      </c>
      <c r="F802" s="17" t="s">
        <v>16338</v>
      </c>
      <c r="G802" s="17" t="s">
        <v>151</v>
      </c>
      <c r="H802" s="17" t="s">
        <v>151</v>
      </c>
      <c r="I802" s="17" t="s">
        <v>16339</v>
      </c>
      <c r="J802" s="17" t="s">
        <v>16336</v>
      </c>
      <c r="K802" s="17" t="s">
        <v>16340</v>
      </c>
      <c r="L802" s="17" t="s">
        <v>205</v>
      </c>
      <c r="M802" s="17" t="s">
        <v>206</v>
      </c>
      <c r="N802" s="17" t="s">
        <v>1940</v>
      </c>
      <c r="O802" s="17" t="s">
        <v>5396</v>
      </c>
      <c r="P802" s="17" t="s">
        <v>16341</v>
      </c>
      <c r="Q802" s="17" t="s">
        <v>16342</v>
      </c>
      <c r="R802" s="17" t="s">
        <v>151</v>
      </c>
      <c r="S802" s="17" t="s">
        <v>162</v>
      </c>
      <c r="T802" s="24">
        <v>90.62</v>
      </c>
      <c r="U802" s="17" t="s">
        <v>163</v>
      </c>
      <c r="V802" s="17" t="s">
        <v>164</v>
      </c>
      <c r="W802" s="17" t="s">
        <v>165</v>
      </c>
      <c r="X802" s="15" t="s">
        <v>16343</v>
      </c>
      <c r="Y802" s="15" t="s">
        <v>16344</v>
      </c>
      <c r="Z802" s="27">
        <v>76</v>
      </c>
      <c r="AA802" s="17" t="s">
        <v>16345</v>
      </c>
      <c r="AB802" s="17" t="s">
        <v>151</v>
      </c>
      <c r="AC802" s="17" t="s">
        <v>151</v>
      </c>
      <c r="AD802" s="26">
        <v>2013</v>
      </c>
      <c r="AE802" s="17" t="s">
        <v>151</v>
      </c>
      <c r="AF802" s="22">
        <v>45590</v>
      </c>
      <c r="AG802" s="17" t="s">
        <v>151</v>
      </c>
      <c r="AH802" s="17" t="s">
        <v>151</v>
      </c>
      <c r="AI802" s="25">
        <v>3.2</v>
      </c>
      <c r="AJ802" s="19" t="s">
        <v>151</v>
      </c>
      <c r="AK802" s="25" t="s">
        <v>151</v>
      </c>
      <c r="AL802" s="25" t="s">
        <v>151</v>
      </c>
      <c r="AM802" s="25" t="s">
        <v>151</v>
      </c>
      <c r="AN802" s="25" t="s">
        <v>151</v>
      </c>
      <c r="AO802" s="25" t="s">
        <v>151</v>
      </c>
      <c r="AP802" s="25" t="s">
        <v>151</v>
      </c>
      <c r="AQ802" s="25" t="s">
        <v>151</v>
      </c>
      <c r="AR802" s="16" t="s">
        <v>456</v>
      </c>
      <c r="AS802" s="17" t="s">
        <v>16346</v>
      </c>
      <c r="AT802" s="17" t="s">
        <v>16347</v>
      </c>
      <c r="AU802" s="18">
        <v>11</v>
      </c>
      <c r="AV802" s="17" t="s">
        <v>151</v>
      </c>
      <c r="AW802" s="17" t="s">
        <v>151</v>
      </c>
      <c r="AX802" s="17" t="s">
        <v>151</v>
      </c>
      <c r="AY802" s="17" t="s">
        <v>16348</v>
      </c>
      <c r="AZ802" s="17" t="s">
        <v>151</v>
      </c>
      <c r="BA802" s="17" t="s">
        <v>151</v>
      </c>
      <c r="BB802" s="17" t="s">
        <v>151</v>
      </c>
      <c r="BC802" s="17" t="s">
        <v>151</v>
      </c>
      <c r="BD802" s="17" t="s">
        <v>16349</v>
      </c>
      <c r="BE802" s="17" t="s">
        <v>16350</v>
      </c>
      <c r="BF802" s="17" t="s">
        <v>493</v>
      </c>
      <c r="BG802" s="17" t="s">
        <v>16351</v>
      </c>
      <c r="BH802" s="17" t="s">
        <v>16352</v>
      </c>
      <c r="BI802" s="17" t="s">
        <v>1040</v>
      </c>
      <c r="BJ802" s="17" t="s">
        <v>16353</v>
      </c>
      <c r="BK802" s="17" t="s">
        <v>151</v>
      </c>
      <c r="BL802" s="17" t="s">
        <v>1042</v>
      </c>
      <c r="BM802" s="17" t="s">
        <v>1043</v>
      </c>
      <c r="BN802" s="16" t="s">
        <v>16354</v>
      </c>
      <c r="BO802" s="17" t="s">
        <v>186</v>
      </c>
      <c r="BP802" s="16" t="s">
        <v>16352</v>
      </c>
      <c r="BQ802" s="16" t="s">
        <v>151</v>
      </c>
      <c r="BR802" s="17" t="s">
        <v>16355</v>
      </c>
      <c r="BS802" s="17" t="s">
        <v>187</v>
      </c>
      <c r="BT802" s="17" t="s">
        <v>188</v>
      </c>
      <c r="BU802" s="22" t="s">
        <v>151</v>
      </c>
      <c r="BV802" s="24" t="s">
        <v>151</v>
      </c>
      <c r="BW802" s="17" t="s">
        <v>151</v>
      </c>
      <c r="BX802" s="24" t="s">
        <v>151</v>
      </c>
      <c r="BY802" s="17" t="s">
        <v>151</v>
      </c>
      <c r="BZ802" s="17" t="s">
        <v>189</v>
      </c>
      <c r="CA802" s="17" t="s">
        <v>151</v>
      </c>
      <c r="CB802" s="17" t="s">
        <v>151</v>
      </c>
      <c r="CC802" s="17" t="s">
        <v>190</v>
      </c>
      <c r="CD802" s="17" t="s">
        <v>151</v>
      </c>
      <c r="CE802" s="17" t="s">
        <v>191</v>
      </c>
      <c r="CF802" s="22">
        <v>45586</v>
      </c>
      <c r="CG802" s="24">
        <v>80</v>
      </c>
      <c r="CH802" s="17" t="s">
        <v>192</v>
      </c>
      <c r="CI802" s="24">
        <v>303</v>
      </c>
      <c r="CJ802" s="17" t="s">
        <v>192</v>
      </c>
      <c r="CK802" s="16">
        <v>9.56</v>
      </c>
      <c r="CL802" s="17" t="s">
        <v>194</v>
      </c>
      <c r="CM802" s="17" t="s">
        <v>326</v>
      </c>
      <c r="CN802" s="17" t="s">
        <v>151</v>
      </c>
      <c r="CO802" s="17" t="s">
        <v>165</v>
      </c>
      <c r="CP802" s="22">
        <v>45586</v>
      </c>
      <c r="CQ802" s="24" t="s">
        <v>151</v>
      </c>
      <c r="CR802" s="17" t="s">
        <v>151</v>
      </c>
      <c r="CS802" s="17" t="s">
        <v>191</v>
      </c>
      <c r="CT802" s="16">
        <v>80</v>
      </c>
      <c r="CU802" s="17" t="s">
        <v>196</v>
      </c>
      <c r="CV802" s="19">
        <v>89</v>
      </c>
      <c r="CW802" s="19">
        <v>11</v>
      </c>
      <c r="CX802" s="17" t="s">
        <v>294</v>
      </c>
      <c r="CY802" s="19">
        <v>2</v>
      </c>
      <c r="CZ802" s="19">
        <v>87</v>
      </c>
      <c r="DA802" s="24">
        <v>303</v>
      </c>
      <c r="DB802" s="22">
        <v>45586</v>
      </c>
      <c r="DC802" s="17" t="s">
        <v>194</v>
      </c>
      <c r="DD802" s="16">
        <v>9.56</v>
      </c>
      <c r="DE802" s="19">
        <v>-2.7</v>
      </c>
      <c r="DF802" s="21">
        <v>1</v>
      </c>
      <c r="DG802" s="19">
        <v>0</v>
      </c>
      <c r="DH802" s="19">
        <v>0</v>
      </c>
      <c r="DI802" s="19">
        <v>-2.7</v>
      </c>
      <c r="DJ802" s="21">
        <v>1</v>
      </c>
      <c r="DK802" s="19">
        <v>-5.98</v>
      </c>
      <c r="DL802" s="21">
        <v>2</v>
      </c>
      <c r="DM802" s="19">
        <v>0.58</v>
      </c>
      <c r="DN802" s="21">
        <v>95</v>
      </c>
      <c r="DO802" s="23">
        <v>58.82</v>
      </c>
      <c r="DP802" s="21">
        <v>98</v>
      </c>
      <c r="DQ802" s="23">
        <v>0</v>
      </c>
      <c r="DR802" s="19">
        <v>0</v>
      </c>
      <c r="DS802" s="23">
        <v>58.82</v>
      </c>
      <c r="DT802" s="21">
        <v>98</v>
      </c>
      <c r="DU802" s="23">
        <v>81.58</v>
      </c>
      <c r="DV802" s="21">
        <v>96</v>
      </c>
      <c r="DW802" s="23">
        <v>36.05</v>
      </c>
      <c r="DX802" s="21">
        <v>97</v>
      </c>
      <c r="DY802" s="18" t="s">
        <v>151</v>
      </c>
      <c r="DZ802" s="22" t="s">
        <v>151</v>
      </c>
      <c r="EA802" s="22" t="s">
        <v>151</v>
      </c>
      <c r="EB802" s="21">
        <v>16841</v>
      </c>
      <c r="EC802" s="20">
        <v>-322</v>
      </c>
      <c r="ED802" s="19">
        <v>-1.88</v>
      </c>
      <c r="EE802" s="21">
        <v>685</v>
      </c>
      <c r="EF802" s="20">
        <v>-2</v>
      </c>
      <c r="EG802" s="19">
        <v>-0.29</v>
      </c>
      <c r="EH802" s="16" t="s">
        <v>198</v>
      </c>
      <c r="EI802" s="17" t="s">
        <v>151</v>
      </c>
      <c r="EJ802" s="17" t="s">
        <v>151</v>
      </c>
      <c r="EK802" s="18" t="s">
        <v>151</v>
      </c>
      <c r="EL802" s="18" t="s">
        <v>151</v>
      </c>
      <c r="EM802" s="18" t="s">
        <v>151</v>
      </c>
      <c r="EN802" s="18" t="s">
        <v>151</v>
      </c>
      <c r="EO802" s="18" t="s">
        <v>151</v>
      </c>
      <c r="EP802" s="17" t="s">
        <v>151</v>
      </c>
      <c r="EQ802" s="16" t="s">
        <v>151</v>
      </c>
      <c r="ER802" s="16" t="s">
        <v>151</v>
      </c>
      <c r="ES802" s="3">
        <f>HYPERLINK("https://my.pitchbook.com?c=95038-03","View Company Online")</f>
      </c>
    </row>
    <row r="803">
      <c r="A803" s="30" t="s">
        <v>16356</v>
      </c>
      <c r="B803" s="30" t="s">
        <v>16357</v>
      </c>
      <c r="C803" s="31" t="s">
        <v>151</v>
      </c>
      <c r="D803" s="30" t="s">
        <v>16358</v>
      </c>
      <c r="E803" s="30" t="s">
        <v>151</v>
      </c>
      <c r="F803" s="30" t="s">
        <v>16359</v>
      </c>
      <c r="G803" s="30" t="s">
        <v>151</v>
      </c>
      <c r="H803" s="30" t="s">
        <v>151</v>
      </c>
      <c r="I803" s="30" t="s">
        <v>16360</v>
      </c>
      <c r="J803" s="30" t="s">
        <v>16356</v>
      </c>
      <c r="K803" s="30" t="s">
        <v>16361</v>
      </c>
      <c r="L803" s="30" t="s">
        <v>205</v>
      </c>
      <c r="M803" s="30" t="s">
        <v>206</v>
      </c>
      <c r="N803" s="30" t="s">
        <v>269</v>
      </c>
      <c r="O803" s="30" t="s">
        <v>563</v>
      </c>
      <c r="P803" s="30" t="s">
        <v>1153</v>
      </c>
      <c r="Q803" s="30" t="s">
        <v>16362</v>
      </c>
      <c r="R803" s="30" t="s">
        <v>151</v>
      </c>
      <c r="S803" s="30" t="s">
        <v>162</v>
      </c>
      <c r="T803" s="37">
        <v>55.25</v>
      </c>
      <c r="U803" s="30" t="s">
        <v>163</v>
      </c>
      <c r="V803" s="30" t="s">
        <v>164</v>
      </c>
      <c r="W803" s="30" t="s">
        <v>165</v>
      </c>
      <c r="X803" s="28" t="s">
        <v>16363</v>
      </c>
      <c r="Y803" s="28" t="s">
        <v>16364</v>
      </c>
      <c r="Z803" s="40">
        <v>60</v>
      </c>
      <c r="AA803" s="30" t="s">
        <v>16365</v>
      </c>
      <c r="AB803" s="30" t="s">
        <v>151</v>
      </c>
      <c r="AC803" s="30" t="s">
        <v>151</v>
      </c>
      <c r="AD803" s="39">
        <v>2019</v>
      </c>
      <c r="AE803" s="30" t="s">
        <v>151</v>
      </c>
      <c r="AF803" s="35">
        <v>45579</v>
      </c>
      <c r="AG803" s="30" t="s">
        <v>151</v>
      </c>
      <c r="AH803" s="30" t="s">
        <v>151</v>
      </c>
      <c r="AI803" s="38" t="s">
        <v>151</v>
      </c>
      <c r="AJ803" s="32" t="s">
        <v>151</v>
      </c>
      <c r="AK803" s="38" t="s">
        <v>151</v>
      </c>
      <c r="AL803" s="38" t="s">
        <v>151</v>
      </c>
      <c r="AM803" s="38" t="s">
        <v>151</v>
      </c>
      <c r="AN803" s="38" t="s">
        <v>151</v>
      </c>
      <c r="AO803" s="38" t="s">
        <v>151</v>
      </c>
      <c r="AP803" s="38" t="s">
        <v>151</v>
      </c>
      <c r="AQ803" s="38" t="s">
        <v>151</v>
      </c>
      <c r="AR803" s="29" t="s">
        <v>151</v>
      </c>
      <c r="AS803" s="30" t="s">
        <v>16366</v>
      </c>
      <c r="AT803" s="30" t="s">
        <v>16367</v>
      </c>
      <c r="AU803" s="31">
        <v>18</v>
      </c>
      <c r="AV803" s="30" t="s">
        <v>151</v>
      </c>
      <c r="AW803" s="30" t="s">
        <v>151</v>
      </c>
      <c r="AX803" s="30" t="s">
        <v>151</v>
      </c>
      <c r="AY803" s="30" t="s">
        <v>16368</v>
      </c>
      <c r="AZ803" s="30" t="s">
        <v>151</v>
      </c>
      <c r="BA803" s="30" t="s">
        <v>151</v>
      </c>
      <c r="BB803" s="30" t="s">
        <v>151</v>
      </c>
      <c r="BC803" s="30" t="s">
        <v>16369</v>
      </c>
      <c r="BD803" s="30" t="s">
        <v>16370</v>
      </c>
      <c r="BE803" s="30" t="s">
        <v>16371</v>
      </c>
      <c r="BF803" s="30" t="s">
        <v>493</v>
      </c>
      <c r="BG803" s="30" t="s">
        <v>16372</v>
      </c>
      <c r="BH803" s="30" t="s">
        <v>16373</v>
      </c>
      <c r="BI803" s="30" t="s">
        <v>764</v>
      </c>
      <c r="BJ803" s="30" t="s">
        <v>16374</v>
      </c>
      <c r="BK803" s="30" t="s">
        <v>16375</v>
      </c>
      <c r="BL803" s="30" t="s">
        <v>767</v>
      </c>
      <c r="BM803" s="30" t="s">
        <v>184</v>
      </c>
      <c r="BN803" s="29" t="s">
        <v>1260</v>
      </c>
      <c r="BO803" s="30" t="s">
        <v>186</v>
      </c>
      <c r="BP803" s="29" t="s">
        <v>16373</v>
      </c>
      <c r="BQ803" s="29" t="s">
        <v>151</v>
      </c>
      <c r="BR803" s="30" t="s">
        <v>16376</v>
      </c>
      <c r="BS803" s="30" t="s">
        <v>187</v>
      </c>
      <c r="BT803" s="30" t="s">
        <v>188</v>
      </c>
      <c r="BU803" s="35">
        <v>43862</v>
      </c>
      <c r="BV803" s="37">
        <v>1.75</v>
      </c>
      <c r="BW803" s="30" t="s">
        <v>193</v>
      </c>
      <c r="BX803" s="37">
        <v>9.75</v>
      </c>
      <c r="BY803" s="30" t="s">
        <v>192</v>
      </c>
      <c r="BZ803" s="30" t="s">
        <v>293</v>
      </c>
      <c r="CA803" s="30" t="s">
        <v>293</v>
      </c>
      <c r="CB803" s="30" t="s">
        <v>151</v>
      </c>
      <c r="CC803" s="30" t="s">
        <v>165</v>
      </c>
      <c r="CD803" s="30" t="s">
        <v>151</v>
      </c>
      <c r="CE803" s="30" t="s">
        <v>191</v>
      </c>
      <c r="CF803" s="35">
        <v>45337</v>
      </c>
      <c r="CG803" s="37">
        <v>25</v>
      </c>
      <c r="CH803" s="30" t="s">
        <v>192</v>
      </c>
      <c r="CI803" s="37">
        <v>245</v>
      </c>
      <c r="CJ803" s="30" t="s">
        <v>192</v>
      </c>
      <c r="CK803" s="29">
        <v>1.66</v>
      </c>
      <c r="CL803" s="30" t="s">
        <v>194</v>
      </c>
      <c r="CM803" s="30" t="s">
        <v>326</v>
      </c>
      <c r="CN803" s="30" t="s">
        <v>151</v>
      </c>
      <c r="CO803" s="30" t="s">
        <v>165</v>
      </c>
      <c r="CP803" s="35">
        <v>45337</v>
      </c>
      <c r="CQ803" s="37" t="s">
        <v>151</v>
      </c>
      <c r="CR803" s="30" t="s">
        <v>151</v>
      </c>
      <c r="CS803" s="30" t="s">
        <v>191</v>
      </c>
      <c r="CT803" s="29">
        <v>87</v>
      </c>
      <c r="CU803" s="30" t="s">
        <v>196</v>
      </c>
      <c r="CV803" s="32">
        <v>95</v>
      </c>
      <c r="CW803" s="32">
        <v>5</v>
      </c>
      <c r="CX803" s="30" t="s">
        <v>294</v>
      </c>
      <c r="CY803" s="32">
        <v>6</v>
      </c>
      <c r="CZ803" s="32">
        <v>89</v>
      </c>
      <c r="DA803" s="37">
        <v>245</v>
      </c>
      <c r="DB803" s="35">
        <v>45337</v>
      </c>
      <c r="DC803" s="30" t="s">
        <v>194</v>
      </c>
      <c r="DD803" s="29">
        <v>1.66</v>
      </c>
      <c r="DE803" s="32">
        <v>1.48</v>
      </c>
      <c r="DF803" s="34">
        <v>97</v>
      </c>
      <c r="DG803" s="32">
        <v>0</v>
      </c>
      <c r="DH803" s="32">
        <v>0</v>
      </c>
      <c r="DI803" s="32">
        <v>2.31</v>
      </c>
      <c r="DJ803" s="34">
        <v>99</v>
      </c>
      <c r="DK803" s="32">
        <v>2.31</v>
      </c>
      <c r="DL803" s="34">
        <v>95</v>
      </c>
      <c r="DM803" s="32" t="s">
        <v>151</v>
      </c>
      <c r="DN803" s="34" t="s">
        <v>151</v>
      </c>
      <c r="DO803" s="36">
        <v>1304.73</v>
      </c>
      <c r="DP803" s="34">
        <v>100</v>
      </c>
      <c r="DQ803" s="36">
        <v>0</v>
      </c>
      <c r="DR803" s="32">
        <v>0</v>
      </c>
      <c r="DS803" s="36">
        <v>2604.85</v>
      </c>
      <c r="DT803" s="34">
        <v>100</v>
      </c>
      <c r="DU803" s="36">
        <v>2604.85</v>
      </c>
      <c r="DV803" s="34">
        <v>100</v>
      </c>
      <c r="DW803" s="36" t="s">
        <v>151</v>
      </c>
      <c r="DX803" s="34" t="s">
        <v>151</v>
      </c>
      <c r="DY803" s="31" t="s">
        <v>151</v>
      </c>
      <c r="DZ803" s="35" t="s">
        <v>151</v>
      </c>
      <c r="EA803" s="35" t="s">
        <v>151</v>
      </c>
      <c r="EB803" s="34">
        <v>536600</v>
      </c>
      <c r="EC803" s="33">
        <v>7437</v>
      </c>
      <c r="ED803" s="32">
        <v>1.41</v>
      </c>
      <c r="EE803" s="34" t="s">
        <v>151</v>
      </c>
      <c r="EF803" s="33" t="s">
        <v>151</v>
      </c>
      <c r="EG803" s="32" t="s">
        <v>151</v>
      </c>
      <c r="EH803" s="29" t="s">
        <v>198</v>
      </c>
      <c r="EI803" s="30" t="s">
        <v>151</v>
      </c>
      <c r="EJ803" s="30" t="s">
        <v>151</v>
      </c>
      <c r="EK803" s="31" t="s">
        <v>151</v>
      </c>
      <c r="EL803" s="31" t="s">
        <v>151</v>
      </c>
      <c r="EM803" s="31" t="s">
        <v>151</v>
      </c>
      <c r="EN803" s="31" t="s">
        <v>151</v>
      </c>
      <c r="EO803" s="31" t="s">
        <v>151</v>
      </c>
      <c r="EP803" s="30" t="s">
        <v>151</v>
      </c>
      <c r="EQ803" s="29" t="s">
        <v>151</v>
      </c>
      <c r="ER803" s="29" t="s">
        <v>151</v>
      </c>
      <c r="ES803" s="4">
        <f>HYPERLINK("https://my.pitchbook.com?c=431600-41","View Company Online")</f>
      </c>
    </row>
    <row r="804">
      <c r="A804" s="17" t="s">
        <v>16377</v>
      </c>
      <c r="B804" s="17" t="s">
        <v>16378</v>
      </c>
      <c r="C804" s="18" t="s">
        <v>151</v>
      </c>
      <c r="D804" s="17" t="s">
        <v>151</v>
      </c>
      <c r="E804" s="17" t="s">
        <v>151</v>
      </c>
      <c r="F804" s="17" t="s">
        <v>16379</v>
      </c>
      <c r="G804" s="17" t="s">
        <v>151</v>
      </c>
      <c r="H804" s="17" t="s">
        <v>151</v>
      </c>
      <c r="I804" s="17" t="s">
        <v>16380</v>
      </c>
      <c r="J804" s="17" t="s">
        <v>16377</v>
      </c>
      <c r="K804" s="17" t="s">
        <v>16381</v>
      </c>
      <c r="L804" s="17" t="s">
        <v>205</v>
      </c>
      <c r="M804" s="17" t="s">
        <v>206</v>
      </c>
      <c r="N804" s="17" t="s">
        <v>269</v>
      </c>
      <c r="O804" s="17" t="s">
        <v>3703</v>
      </c>
      <c r="P804" s="17" t="s">
        <v>1153</v>
      </c>
      <c r="Q804" s="17" t="s">
        <v>16382</v>
      </c>
      <c r="R804" s="17" t="s">
        <v>151</v>
      </c>
      <c r="S804" s="17" t="s">
        <v>162</v>
      </c>
      <c r="T804" s="24">
        <v>0.12</v>
      </c>
      <c r="U804" s="17" t="s">
        <v>4045</v>
      </c>
      <c r="V804" s="17" t="s">
        <v>164</v>
      </c>
      <c r="W804" s="17" t="s">
        <v>165</v>
      </c>
      <c r="X804" s="15" t="s">
        <v>16383</v>
      </c>
      <c r="Y804" s="15" t="s">
        <v>16384</v>
      </c>
      <c r="Z804" s="27">
        <v>2</v>
      </c>
      <c r="AA804" s="17" t="s">
        <v>4430</v>
      </c>
      <c r="AB804" s="17" t="s">
        <v>151</v>
      </c>
      <c r="AC804" s="17" t="s">
        <v>151</v>
      </c>
      <c r="AD804" s="26">
        <v>2021</v>
      </c>
      <c r="AE804" s="17" t="s">
        <v>151</v>
      </c>
      <c r="AF804" s="22">
        <v>45552</v>
      </c>
      <c r="AG804" s="17" t="s">
        <v>151</v>
      </c>
      <c r="AH804" s="17" t="s">
        <v>151</v>
      </c>
      <c r="AI804" s="25" t="s">
        <v>151</v>
      </c>
      <c r="AJ804" s="19" t="s">
        <v>151</v>
      </c>
      <c r="AK804" s="25" t="s">
        <v>151</v>
      </c>
      <c r="AL804" s="25" t="s">
        <v>151</v>
      </c>
      <c r="AM804" s="25" t="s">
        <v>151</v>
      </c>
      <c r="AN804" s="25" t="s">
        <v>151</v>
      </c>
      <c r="AO804" s="25" t="s">
        <v>151</v>
      </c>
      <c r="AP804" s="25" t="s">
        <v>151</v>
      </c>
      <c r="AQ804" s="25" t="s">
        <v>151</v>
      </c>
      <c r="AR804" s="16" t="s">
        <v>151</v>
      </c>
      <c r="AS804" s="17" t="s">
        <v>16385</v>
      </c>
      <c r="AT804" s="17" t="s">
        <v>16386</v>
      </c>
      <c r="AU804" s="18">
        <v>3</v>
      </c>
      <c r="AV804" s="17" t="s">
        <v>151</v>
      </c>
      <c r="AW804" s="17" t="s">
        <v>151</v>
      </c>
      <c r="AX804" s="17" t="s">
        <v>151</v>
      </c>
      <c r="AY804" s="17" t="s">
        <v>16387</v>
      </c>
      <c r="AZ804" s="17" t="s">
        <v>151</v>
      </c>
      <c r="BA804" s="17" t="s">
        <v>151</v>
      </c>
      <c r="BB804" s="17" t="s">
        <v>2288</v>
      </c>
      <c r="BC804" s="17" t="s">
        <v>16388</v>
      </c>
      <c r="BD804" s="17" t="s">
        <v>16389</v>
      </c>
      <c r="BE804" s="17" t="s">
        <v>16390</v>
      </c>
      <c r="BF804" s="17" t="s">
        <v>403</v>
      </c>
      <c r="BG804" s="17" t="s">
        <v>16391</v>
      </c>
      <c r="BH804" s="17" t="s">
        <v>16392</v>
      </c>
      <c r="BI804" s="17" t="s">
        <v>16393</v>
      </c>
      <c r="BJ804" s="17" t="s">
        <v>16394</v>
      </c>
      <c r="BK804" s="17" t="s">
        <v>151</v>
      </c>
      <c r="BL804" s="17" t="s">
        <v>16395</v>
      </c>
      <c r="BM804" s="17" t="s">
        <v>3027</v>
      </c>
      <c r="BN804" s="16" t="s">
        <v>16396</v>
      </c>
      <c r="BO804" s="17" t="s">
        <v>186</v>
      </c>
      <c r="BP804" s="16" t="s">
        <v>16392</v>
      </c>
      <c r="BQ804" s="16" t="s">
        <v>151</v>
      </c>
      <c r="BR804" s="17" t="s">
        <v>16397</v>
      </c>
      <c r="BS804" s="17" t="s">
        <v>187</v>
      </c>
      <c r="BT804" s="17" t="s">
        <v>188</v>
      </c>
      <c r="BU804" s="22">
        <v>45033</v>
      </c>
      <c r="BV804" s="24">
        <v>0.02</v>
      </c>
      <c r="BW804" s="17" t="s">
        <v>192</v>
      </c>
      <c r="BX804" s="24" t="s">
        <v>151</v>
      </c>
      <c r="BY804" s="17" t="s">
        <v>151</v>
      </c>
      <c r="BZ804" s="17" t="s">
        <v>189</v>
      </c>
      <c r="CA804" s="17" t="s">
        <v>151</v>
      </c>
      <c r="CB804" s="17" t="s">
        <v>151</v>
      </c>
      <c r="CC804" s="17" t="s">
        <v>190</v>
      </c>
      <c r="CD804" s="17" t="s">
        <v>151</v>
      </c>
      <c r="CE804" s="17" t="s">
        <v>191</v>
      </c>
      <c r="CF804" s="22">
        <v>45200</v>
      </c>
      <c r="CG804" s="24">
        <v>0.1</v>
      </c>
      <c r="CH804" s="17" t="s">
        <v>192</v>
      </c>
      <c r="CI804" s="24">
        <v>2.5</v>
      </c>
      <c r="CJ804" s="17" t="s">
        <v>192</v>
      </c>
      <c r="CK804" s="16" t="s">
        <v>151</v>
      </c>
      <c r="CL804" s="17" t="s">
        <v>293</v>
      </c>
      <c r="CM804" s="17" t="s">
        <v>293</v>
      </c>
      <c r="CN804" s="17" t="s">
        <v>151</v>
      </c>
      <c r="CO804" s="17" t="s">
        <v>165</v>
      </c>
      <c r="CP804" s="22">
        <v>45200</v>
      </c>
      <c r="CQ804" s="24" t="s">
        <v>151</v>
      </c>
      <c r="CR804" s="17" t="s">
        <v>151</v>
      </c>
      <c r="CS804" s="17" t="s">
        <v>191</v>
      </c>
      <c r="CT804" s="16" t="s">
        <v>151</v>
      </c>
      <c r="CU804" s="17" t="s">
        <v>151</v>
      </c>
      <c r="CV804" s="19" t="s">
        <v>151</v>
      </c>
      <c r="CW804" s="19" t="s">
        <v>151</v>
      </c>
      <c r="CX804" s="17" t="s">
        <v>151</v>
      </c>
      <c r="CY804" s="19" t="s">
        <v>151</v>
      </c>
      <c r="CZ804" s="19" t="s">
        <v>151</v>
      </c>
      <c r="DA804" s="24">
        <v>2.5</v>
      </c>
      <c r="DB804" s="22">
        <v>45200</v>
      </c>
      <c r="DC804" s="17" t="s">
        <v>293</v>
      </c>
      <c r="DD804" s="16" t="s">
        <v>151</v>
      </c>
      <c r="DE804" s="19" t="s">
        <v>151</v>
      </c>
      <c r="DF804" s="21" t="s">
        <v>151</v>
      </c>
      <c r="DG804" s="19" t="s">
        <v>151</v>
      </c>
      <c r="DH804" s="19" t="s">
        <v>151</v>
      </c>
      <c r="DI804" s="19" t="s">
        <v>151</v>
      </c>
      <c r="DJ804" s="21" t="s">
        <v>151</v>
      </c>
      <c r="DK804" s="19" t="s">
        <v>151</v>
      </c>
      <c r="DL804" s="21" t="s">
        <v>151</v>
      </c>
      <c r="DM804" s="19" t="s">
        <v>151</v>
      </c>
      <c r="DN804" s="21" t="s">
        <v>151</v>
      </c>
      <c r="DO804" s="23" t="s">
        <v>151</v>
      </c>
      <c r="DP804" s="21" t="s">
        <v>151</v>
      </c>
      <c r="DQ804" s="23" t="s">
        <v>151</v>
      </c>
      <c r="DR804" s="19" t="s">
        <v>151</v>
      </c>
      <c r="DS804" s="23" t="s">
        <v>151</v>
      </c>
      <c r="DT804" s="21" t="s">
        <v>151</v>
      </c>
      <c r="DU804" s="23" t="s">
        <v>151</v>
      </c>
      <c r="DV804" s="21" t="s">
        <v>151</v>
      </c>
      <c r="DW804" s="23" t="s">
        <v>151</v>
      </c>
      <c r="DX804" s="21" t="s">
        <v>151</v>
      </c>
      <c r="DY804" s="18" t="s">
        <v>151</v>
      </c>
      <c r="DZ804" s="22" t="s">
        <v>151</v>
      </c>
      <c r="EA804" s="22" t="s">
        <v>151</v>
      </c>
      <c r="EB804" s="21" t="s">
        <v>151</v>
      </c>
      <c r="EC804" s="20" t="s">
        <v>151</v>
      </c>
      <c r="ED804" s="19" t="s">
        <v>151</v>
      </c>
      <c r="EE804" s="21" t="s">
        <v>151</v>
      </c>
      <c r="EF804" s="20" t="s">
        <v>151</v>
      </c>
      <c r="EG804" s="19" t="s">
        <v>151</v>
      </c>
      <c r="EH804" s="16" t="s">
        <v>198</v>
      </c>
      <c r="EI804" s="17" t="s">
        <v>151</v>
      </c>
      <c r="EJ804" s="17" t="s">
        <v>151</v>
      </c>
      <c r="EK804" s="18" t="s">
        <v>151</v>
      </c>
      <c r="EL804" s="18" t="s">
        <v>151</v>
      </c>
      <c r="EM804" s="18" t="s">
        <v>151</v>
      </c>
      <c r="EN804" s="18" t="s">
        <v>151</v>
      </c>
      <c r="EO804" s="18" t="s">
        <v>151</v>
      </c>
      <c r="EP804" s="17" t="s">
        <v>151</v>
      </c>
      <c r="EQ804" s="16" t="s">
        <v>151</v>
      </c>
      <c r="ER804" s="16" t="s">
        <v>151</v>
      </c>
      <c r="ES804" s="3">
        <f>HYPERLINK("https://my.pitchbook.com?c=510193-54","View Company Online")</f>
      </c>
    </row>
    <row r="805">
      <c r="A805" s="30" t="s">
        <v>16398</v>
      </c>
      <c r="B805" s="30" t="s">
        <v>16399</v>
      </c>
      <c r="C805" s="31" t="s">
        <v>151</v>
      </c>
      <c r="D805" s="30" t="s">
        <v>151</v>
      </c>
      <c r="E805" s="30" t="s">
        <v>16400</v>
      </c>
      <c r="F805" s="30" t="s">
        <v>16401</v>
      </c>
      <c r="G805" s="30" t="s">
        <v>151</v>
      </c>
      <c r="H805" s="30" t="s">
        <v>151</v>
      </c>
      <c r="I805" s="30" t="s">
        <v>151</v>
      </c>
      <c r="J805" s="30" t="s">
        <v>16398</v>
      </c>
      <c r="K805" s="30" t="s">
        <v>16402</v>
      </c>
      <c r="L805" s="30" t="s">
        <v>205</v>
      </c>
      <c r="M805" s="30" t="s">
        <v>206</v>
      </c>
      <c r="N805" s="30" t="s">
        <v>207</v>
      </c>
      <c r="O805" s="30" t="s">
        <v>2707</v>
      </c>
      <c r="P805" s="30" t="s">
        <v>3577</v>
      </c>
      <c r="Q805" s="30" t="s">
        <v>16403</v>
      </c>
      <c r="R805" s="30" t="s">
        <v>151</v>
      </c>
      <c r="S805" s="30" t="s">
        <v>162</v>
      </c>
      <c r="T805" s="37">
        <v>5.7</v>
      </c>
      <c r="U805" s="30" t="s">
        <v>1727</v>
      </c>
      <c r="V805" s="30" t="s">
        <v>164</v>
      </c>
      <c r="W805" s="30" t="s">
        <v>165</v>
      </c>
      <c r="X805" s="28" t="s">
        <v>16404</v>
      </c>
      <c r="Y805" s="28" t="s">
        <v>16405</v>
      </c>
      <c r="Z805" s="40">
        <v>9</v>
      </c>
      <c r="AA805" s="30" t="s">
        <v>16406</v>
      </c>
      <c r="AB805" s="30" t="s">
        <v>151</v>
      </c>
      <c r="AC805" s="30" t="s">
        <v>151</v>
      </c>
      <c r="AD805" s="39">
        <v>2023</v>
      </c>
      <c r="AE805" s="30" t="s">
        <v>151</v>
      </c>
      <c r="AF805" s="35">
        <v>45516</v>
      </c>
      <c r="AG805" s="30" t="s">
        <v>151</v>
      </c>
      <c r="AH805" s="30" t="s">
        <v>151</v>
      </c>
      <c r="AI805" s="38" t="s">
        <v>151</v>
      </c>
      <c r="AJ805" s="32" t="s">
        <v>151</v>
      </c>
      <c r="AK805" s="38" t="s">
        <v>151</v>
      </c>
      <c r="AL805" s="38" t="s">
        <v>151</v>
      </c>
      <c r="AM805" s="38" t="s">
        <v>151</v>
      </c>
      <c r="AN805" s="38" t="s">
        <v>151</v>
      </c>
      <c r="AO805" s="38" t="s">
        <v>151</v>
      </c>
      <c r="AP805" s="38" t="s">
        <v>151</v>
      </c>
      <c r="AQ805" s="38" t="s">
        <v>151</v>
      </c>
      <c r="AR805" s="29" t="s">
        <v>151</v>
      </c>
      <c r="AS805" s="30" t="s">
        <v>16407</v>
      </c>
      <c r="AT805" s="30" t="s">
        <v>16408</v>
      </c>
      <c r="AU805" s="31">
        <v>5</v>
      </c>
      <c r="AV805" s="30" t="s">
        <v>151</v>
      </c>
      <c r="AW805" s="30" t="s">
        <v>151</v>
      </c>
      <c r="AX805" s="30" t="s">
        <v>151</v>
      </c>
      <c r="AY805" s="30" t="s">
        <v>16409</v>
      </c>
      <c r="AZ805" s="30" t="s">
        <v>151</v>
      </c>
      <c r="BA805" s="30" t="s">
        <v>151</v>
      </c>
      <c r="BB805" s="30" t="s">
        <v>151</v>
      </c>
      <c r="BC805" s="30" t="s">
        <v>151</v>
      </c>
      <c r="BD805" s="30" t="s">
        <v>16410</v>
      </c>
      <c r="BE805" s="30" t="s">
        <v>16411</v>
      </c>
      <c r="BF805" s="30" t="s">
        <v>493</v>
      </c>
      <c r="BG805" s="30" t="s">
        <v>16412</v>
      </c>
      <c r="BH805" s="30" t="s">
        <v>151</v>
      </c>
      <c r="BI805" s="30" t="s">
        <v>934</v>
      </c>
      <c r="BJ805" s="30" t="s">
        <v>16413</v>
      </c>
      <c r="BK805" s="30" t="s">
        <v>12267</v>
      </c>
      <c r="BL805" s="30" t="s">
        <v>937</v>
      </c>
      <c r="BM805" s="30" t="s">
        <v>184</v>
      </c>
      <c r="BN805" s="29" t="s">
        <v>938</v>
      </c>
      <c r="BO805" s="30" t="s">
        <v>186</v>
      </c>
      <c r="BP805" s="29" t="s">
        <v>151</v>
      </c>
      <c r="BQ805" s="29" t="s">
        <v>151</v>
      </c>
      <c r="BR805" s="30" t="s">
        <v>151</v>
      </c>
      <c r="BS805" s="30" t="s">
        <v>187</v>
      </c>
      <c r="BT805" s="30" t="s">
        <v>188</v>
      </c>
      <c r="BU805" s="35">
        <v>45134</v>
      </c>
      <c r="BV805" s="37">
        <v>5.7</v>
      </c>
      <c r="BW805" s="30" t="s">
        <v>192</v>
      </c>
      <c r="BX805" s="37">
        <v>25.7</v>
      </c>
      <c r="BY805" s="30" t="s">
        <v>192</v>
      </c>
      <c r="BZ805" s="30" t="s">
        <v>231</v>
      </c>
      <c r="CA805" s="30" t="s">
        <v>151</v>
      </c>
      <c r="CB805" s="30" t="s">
        <v>151</v>
      </c>
      <c r="CC805" s="30" t="s">
        <v>165</v>
      </c>
      <c r="CD805" s="30" t="s">
        <v>151</v>
      </c>
      <c r="CE805" s="30" t="s">
        <v>191</v>
      </c>
      <c r="CF805" s="35">
        <v>45134</v>
      </c>
      <c r="CG805" s="37">
        <v>5.7</v>
      </c>
      <c r="CH805" s="30" t="s">
        <v>192</v>
      </c>
      <c r="CI805" s="37">
        <v>25.7</v>
      </c>
      <c r="CJ805" s="30" t="s">
        <v>192</v>
      </c>
      <c r="CK805" s="29" t="s">
        <v>151</v>
      </c>
      <c r="CL805" s="30" t="s">
        <v>231</v>
      </c>
      <c r="CM805" s="30" t="s">
        <v>151</v>
      </c>
      <c r="CN805" s="30" t="s">
        <v>151</v>
      </c>
      <c r="CO805" s="30" t="s">
        <v>165</v>
      </c>
      <c r="CP805" s="35">
        <v>45134</v>
      </c>
      <c r="CQ805" s="37" t="s">
        <v>151</v>
      </c>
      <c r="CR805" s="30" t="s">
        <v>151</v>
      </c>
      <c r="CS805" s="30" t="s">
        <v>191</v>
      </c>
      <c r="CT805" s="29" t="s">
        <v>151</v>
      </c>
      <c r="CU805" s="30" t="s">
        <v>151</v>
      </c>
      <c r="CV805" s="32" t="s">
        <v>151</v>
      </c>
      <c r="CW805" s="32" t="s">
        <v>151</v>
      </c>
      <c r="CX805" s="30" t="s">
        <v>151</v>
      </c>
      <c r="CY805" s="32" t="s">
        <v>151</v>
      </c>
      <c r="CZ805" s="32" t="s">
        <v>151</v>
      </c>
      <c r="DA805" s="37">
        <v>25.7</v>
      </c>
      <c r="DB805" s="35">
        <v>45134</v>
      </c>
      <c r="DC805" s="30" t="s">
        <v>231</v>
      </c>
      <c r="DD805" s="29" t="s">
        <v>151</v>
      </c>
      <c r="DE805" s="32">
        <v>1.67</v>
      </c>
      <c r="DF805" s="34">
        <v>98</v>
      </c>
      <c r="DG805" s="32">
        <v>0</v>
      </c>
      <c r="DH805" s="32">
        <v>0</v>
      </c>
      <c r="DI805" s="32">
        <v>0</v>
      </c>
      <c r="DJ805" s="34">
        <v>10</v>
      </c>
      <c r="DK805" s="32" t="s">
        <v>151</v>
      </c>
      <c r="DL805" s="34" t="s">
        <v>151</v>
      </c>
      <c r="DM805" s="32">
        <v>0</v>
      </c>
      <c r="DN805" s="34">
        <v>10</v>
      </c>
      <c r="DO805" s="36">
        <v>0.4</v>
      </c>
      <c r="DP805" s="34">
        <v>28</v>
      </c>
      <c r="DQ805" s="36">
        <v>0</v>
      </c>
      <c r="DR805" s="32">
        <v>0</v>
      </c>
      <c r="DS805" s="36">
        <v>0.11</v>
      </c>
      <c r="DT805" s="34">
        <v>5</v>
      </c>
      <c r="DU805" s="36" t="s">
        <v>151</v>
      </c>
      <c r="DV805" s="34" t="s">
        <v>151</v>
      </c>
      <c r="DW805" s="36">
        <v>0.11</v>
      </c>
      <c r="DX805" s="34">
        <v>5</v>
      </c>
      <c r="DY805" s="31" t="s">
        <v>151</v>
      </c>
      <c r="DZ805" s="35" t="s">
        <v>151</v>
      </c>
      <c r="EA805" s="35" t="s">
        <v>151</v>
      </c>
      <c r="EB805" s="34">
        <v>659</v>
      </c>
      <c r="EC805" s="33">
        <v>48</v>
      </c>
      <c r="ED805" s="32">
        <v>7.86</v>
      </c>
      <c r="EE805" s="34">
        <v>2</v>
      </c>
      <c r="EF805" s="33">
        <v>0</v>
      </c>
      <c r="EG805" s="32">
        <v>0</v>
      </c>
      <c r="EH805" s="29" t="s">
        <v>198</v>
      </c>
      <c r="EI805" s="30" t="s">
        <v>151</v>
      </c>
      <c r="EJ805" s="30" t="s">
        <v>151</v>
      </c>
      <c r="EK805" s="31" t="s">
        <v>151</v>
      </c>
      <c r="EL805" s="31" t="s">
        <v>151</v>
      </c>
      <c r="EM805" s="31" t="s">
        <v>151</v>
      </c>
      <c r="EN805" s="31" t="s">
        <v>151</v>
      </c>
      <c r="EO805" s="31" t="s">
        <v>151</v>
      </c>
      <c r="EP805" s="30" t="s">
        <v>151</v>
      </c>
      <c r="EQ805" s="29" t="s">
        <v>151</v>
      </c>
      <c r="ER805" s="29" t="s">
        <v>151</v>
      </c>
      <c r="ES805" s="4">
        <f>HYPERLINK("https://my.pitchbook.com?c=539449-93","View Company Online")</f>
      </c>
    </row>
    <row r="806">
      <c r="A806" s="17" t="s">
        <v>16414</v>
      </c>
      <c r="B806" s="17" t="s">
        <v>16415</v>
      </c>
      <c r="C806" s="18" t="s">
        <v>151</v>
      </c>
      <c r="D806" s="17" t="s">
        <v>151</v>
      </c>
      <c r="E806" s="17" t="s">
        <v>16416</v>
      </c>
      <c r="F806" s="17" t="s">
        <v>16417</v>
      </c>
      <c r="G806" s="17" t="s">
        <v>151</v>
      </c>
      <c r="H806" s="17" t="s">
        <v>151</v>
      </c>
      <c r="I806" s="17" t="s">
        <v>151</v>
      </c>
      <c r="J806" s="17" t="s">
        <v>16414</v>
      </c>
      <c r="K806" s="17" t="s">
        <v>16418</v>
      </c>
      <c r="L806" s="17" t="s">
        <v>205</v>
      </c>
      <c r="M806" s="17" t="s">
        <v>206</v>
      </c>
      <c r="N806" s="17" t="s">
        <v>269</v>
      </c>
      <c r="O806" s="17" t="s">
        <v>563</v>
      </c>
      <c r="P806" s="17" t="s">
        <v>2898</v>
      </c>
      <c r="Q806" s="17" t="s">
        <v>16419</v>
      </c>
      <c r="R806" s="17" t="s">
        <v>151</v>
      </c>
      <c r="S806" s="17" t="s">
        <v>162</v>
      </c>
      <c r="T806" s="24">
        <v>2.42</v>
      </c>
      <c r="U806" s="17" t="s">
        <v>163</v>
      </c>
      <c r="V806" s="17" t="s">
        <v>164</v>
      </c>
      <c r="W806" s="17" t="s">
        <v>165</v>
      </c>
      <c r="X806" s="15" t="s">
        <v>16420</v>
      </c>
      <c r="Y806" s="15" t="s">
        <v>16421</v>
      </c>
      <c r="Z806" s="27">
        <v>7</v>
      </c>
      <c r="AA806" s="17" t="s">
        <v>16422</v>
      </c>
      <c r="AB806" s="17" t="s">
        <v>151</v>
      </c>
      <c r="AC806" s="17" t="s">
        <v>151</v>
      </c>
      <c r="AD806" s="26">
        <v>2019</v>
      </c>
      <c r="AE806" s="17" t="s">
        <v>151</v>
      </c>
      <c r="AF806" s="22">
        <v>45425</v>
      </c>
      <c r="AG806" s="17" t="s">
        <v>151</v>
      </c>
      <c r="AH806" s="17" t="s">
        <v>151</v>
      </c>
      <c r="AI806" s="25" t="s">
        <v>151</v>
      </c>
      <c r="AJ806" s="19" t="s">
        <v>151</v>
      </c>
      <c r="AK806" s="25" t="s">
        <v>151</v>
      </c>
      <c r="AL806" s="25" t="s">
        <v>151</v>
      </c>
      <c r="AM806" s="25" t="s">
        <v>151</v>
      </c>
      <c r="AN806" s="25" t="s">
        <v>151</v>
      </c>
      <c r="AO806" s="25" t="s">
        <v>151</v>
      </c>
      <c r="AP806" s="25" t="s">
        <v>151</v>
      </c>
      <c r="AQ806" s="25" t="s">
        <v>151</v>
      </c>
      <c r="AR806" s="16" t="s">
        <v>151</v>
      </c>
      <c r="AS806" s="17" t="s">
        <v>16423</v>
      </c>
      <c r="AT806" s="17" t="s">
        <v>16424</v>
      </c>
      <c r="AU806" s="18">
        <v>9</v>
      </c>
      <c r="AV806" s="17" t="s">
        <v>151</v>
      </c>
      <c r="AW806" s="17" t="s">
        <v>16425</v>
      </c>
      <c r="AX806" s="17" t="s">
        <v>151</v>
      </c>
      <c r="AY806" s="17" t="s">
        <v>16426</v>
      </c>
      <c r="AZ806" s="17" t="s">
        <v>16427</v>
      </c>
      <c r="BA806" s="17" t="s">
        <v>151</v>
      </c>
      <c r="BB806" s="17" t="s">
        <v>151</v>
      </c>
      <c r="BC806" s="17" t="s">
        <v>151</v>
      </c>
      <c r="BD806" s="17" t="s">
        <v>16428</v>
      </c>
      <c r="BE806" s="17" t="s">
        <v>16429</v>
      </c>
      <c r="BF806" s="17" t="s">
        <v>221</v>
      </c>
      <c r="BG806" s="17" t="s">
        <v>16430</v>
      </c>
      <c r="BH806" s="17" t="s">
        <v>151</v>
      </c>
      <c r="BI806" s="17" t="s">
        <v>764</v>
      </c>
      <c r="BJ806" s="17" t="s">
        <v>1434</v>
      </c>
      <c r="BK806" s="17" t="s">
        <v>16431</v>
      </c>
      <c r="BL806" s="17" t="s">
        <v>767</v>
      </c>
      <c r="BM806" s="17" t="s">
        <v>184</v>
      </c>
      <c r="BN806" s="16" t="s">
        <v>4531</v>
      </c>
      <c r="BO806" s="17" t="s">
        <v>186</v>
      </c>
      <c r="BP806" s="16" t="s">
        <v>151</v>
      </c>
      <c r="BQ806" s="16" t="s">
        <v>151</v>
      </c>
      <c r="BR806" s="17" t="s">
        <v>151</v>
      </c>
      <c r="BS806" s="17" t="s">
        <v>187</v>
      </c>
      <c r="BT806" s="17" t="s">
        <v>188</v>
      </c>
      <c r="BU806" s="22">
        <v>44197</v>
      </c>
      <c r="BV806" s="24">
        <v>0.13</v>
      </c>
      <c r="BW806" s="17" t="s">
        <v>192</v>
      </c>
      <c r="BX806" s="24">
        <v>1.79</v>
      </c>
      <c r="BY806" s="17" t="s">
        <v>192</v>
      </c>
      <c r="BZ806" s="17" t="s">
        <v>189</v>
      </c>
      <c r="CA806" s="17" t="s">
        <v>151</v>
      </c>
      <c r="CB806" s="17" t="s">
        <v>151</v>
      </c>
      <c r="CC806" s="17" t="s">
        <v>190</v>
      </c>
      <c r="CD806" s="17" t="s">
        <v>151</v>
      </c>
      <c r="CE806" s="17" t="s">
        <v>191</v>
      </c>
      <c r="CF806" s="22">
        <v>45078</v>
      </c>
      <c r="CG806" s="24" t="s">
        <v>151</v>
      </c>
      <c r="CH806" s="17" t="s">
        <v>151</v>
      </c>
      <c r="CI806" s="24" t="s">
        <v>151</v>
      </c>
      <c r="CJ806" s="17" t="s">
        <v>151</v>
      </c>
      <c r="CK806" s="16" t="s">
        <v>151</v>
      </c>
      <c r="CL806" s="17" t="s">
        <v>911</v>
      </c>
      <c r="CM806" s="17" t="s">
        <v>151</v>
      </c>
      <c r="CN806" s="17" t="s">
        <v>151</v>
      </c>
      <c r="CO806" s="17" t="s">
        <v>165</v>
      </c>
      <c r="CP806" s="22">
        <v>45078</v>
      </c>
      <c r="CQ806" s="24" t="s">
        <v>151</v>
      </c>
      <c r="CR806" s="17" t="s">
        <v>151</v>
      </c>
      <c r="CS806" s="17" t="s">
        <v>191</v>
      </c>
      <c r="CT806" s="16" t="s">
        <v>151</v>
      </c>
      <c r="CU806" s="17" t="s">
        <v>151</v>
      </c>
      <c r="CV806" s="19" t="s">
        <v>151</v>
      </c>
      <c r="CW806" s="19" t="s">
        <v>151</v>
      </c>
      <c r="CX806" s="17" t="s">
        <v>151</v>
      </c>
      <c r="CY806" s="19" t="s">
        <v>151</v>
      </c>
      <c r="CZ806" s="19" t="s">
        <v>151</v>
      </c>
      <c r="DA806" s="24">
        <v>1.79</v>
      </c>
      <c r="DB806" s="22">
        <v>44197</v>
      </c>
      <c r="DC806" s="17" t="s">
        <v>189</v>
      </c>
      <c r="DD806" s="16" t="s">
        <v>151</v>
      </c>
      <c r="DE806" s="19">
        <v>1.46</v>
      </c>
      <c r="DF806" s="21">
        <v>97</v>
      </c>
      <c r="DG806" s="19">
        <v>0</v>
      </c>
      <c r="DH806" s="19">
        <v>0</v>
      </c>
      <c r="DI806" s="19">
        <v>0.84</v>
      </c>
      <c r="DJ806" s="21">
        <v>96</v>
      </c>
      <c r="DK806" s="19">
        <v>1.68</v>
      </c>
      <c r="DL806" s="21">
        <v>94</v>
      </c>
      <c r="DM806" s="19">
        <v>0</v>
      </c>
      <c r="DN806" s="21">
        <v>10</v>
      </c>
      <c r="DO806" s="23">
        <v>2.12</v>
      </c>
      <c r="DP806" s="21">
        <v>68</v>
      </c>
      <c r="DQ806" s="23">
        <v>0</v>
      </c>
      <c r="DR806" s="19">
        <v>0</v>
      </c>
      <c r="DS806" s="23">
        <v>3.7</v>
      </c>
      <c r="DT806" s="21">
        <v>78</v>
      </c>
      <c r="DU806" s="23">
        <v>5.56</v>
      </c>
      <c r="DV806" s="21">
        <v>82</v>
      </c>
      <c r="DW806" s="23">
        <v>1.84</v>
      </c>
      <c r="DX806" s="21">
        <v>64</v>
      </c>
      <c r="DY806" s="18" t="s">
        <v>151</v>
      </c>
      <c r="DZ806" s="22" t="s">
        <v>151</v>
      </c>
      <c r="EA806" s="22" t="s">
        <v>151</v>
      </c>
      <c r="EB806" s="21">
        <v>1140</v>
      </c>
      <c r="EC806" s="20">
        <v>41</v>
      </c>
      <c r="ED806" s="19">
        <v>3.73</v>
      </c>
      <c r="EE806" s="21">
        <v>35</v>
      </c>
      <c r="EF806" s="20">
        <v>0</v>
      </c>
      <c r="EG806" s="19">
        <v>0</v>
      </c>
      <c r="EH806" s="16" t="s">
        <v>198</v>
      </c>
      <c r="EI806" s="17" t="s">
        <v>151</v>
      </c>
      <c r="EJ806" s="17" t="s">
        <v>151</v>
      </c>
      <c r="EK806" s="18" t="s">
        <v>151</v>
      </c>
      <c r="EL806" s="18" t="s">
        <v>151</v>
      </c>
      <c r="EM806" s="18" t="s">
        <v>151</v>
      </c>
      <c r="EN806" s="18" t="s">
        <v>151</v>
      </c>
      <c r="EO806" s="18" t="s">
        <v>151</v>
      </c>
      <c r="EP806" s="17" t="s">
        <v>151</v>
      </c>
      <c r="EQ806" s="16" t="s">
        <v>151</v>
      </c>
      <c r="ER806" s="16" t="s">
        <v>151</v>
      </c>
      <c r="ES806" s="3">
        <f>HYPERLINK("https://my.pitchbook.com?c=463270-78","View Company Online")</f>
      </c>
    </row>
    <row r="807">
      <c r="A807" s="30" t="s">
        <v>16432</v>
      </c>
      <c r="B807" s="30" t="s">
        <v>16433</v>
      </c>
      <c r="C807" s="31" t="s">
        <v>151</v>
      </c>
      <c r="D807" s="30" t="s">
        <v>151</v>
      </c>
      <c r="E807" s="30" t="s">
        <v>151</v>
      </c>
      <c r="F807" s="30" t="s">
        <v>16434</v>
      </c>
      <c r="G807" s="30" t="s">
        <v>151</v>
      </c>
      <c r="H807" s="30" t="s">
        <v>151</v>
      </c>
      <c r="I807" s="30" t="s">
        <v>16435</v>
      </c>
      <c r="J807" s="30" t="s">
        <v>16432</v>
      </c>
      <c r="K807" s="30" t="s">
        <v>16436</v>
      </c>
      <c r="L807" s="30" t="s">
        <v>205</v>
      </c>
      <c r="M807" s="30" t="s">
        <v>206</v>
      </c>
      <c r="N807" s="30" t="s">
        <v>269</v>
      </c>
      <c r="O807" s="30" t="s">
        <v>1819</v>
      </c>
      <c r="P807" s="30" t="s">
        <v>1107</v>
      </c>
      <c r="Q807" s="30" t="s">
        <v>16437</v>
      </c>
      <c r="R807" s="30" t="s">
        <v>151</v>
      </c>
      <c r="S807" s="30" t="s">
        <v>162</v>
      </c>
      <c r="T807" s="37">
        <v>17.5</v>
      </c>
      <c r="U807" s="30" t="s">
        <v>163</v>
      </c>
      <c r="V807" s="30" t="s">
        <v>164</v>
      </c>
      <c r="W807" s="30" t="s">
        <v>165</v>
      </c>
      <c r="X807" s="28" t="s">
        <v>16438</v>
      </c>
      <c r="Y807" s="28" t="s">
        <v>16439</v>
      </c>
      <c r="Z807" s="40">
        <v>25</v>
      </c>
      <c r="AA807" s="30" t="s">
        <v>16440</v>
      </c>
      <c r="AB807" s="30" t="s">
        <v>151</v>
      </c>
      <c r="AC807" s="30" t="s">
        <v>151</v>
      </c>
      <c r="AD807" s="39">
        <v>2020</v>
      </c>
      <c r="AE807" s="30" t="s">
        <v>151</v>
      </c>
      <c r="AF807" s="35">
        <v>45546</v>
      </c>
      <c r="AG807" s="30" t="s">
        <v>151</v>
      </c>
      <c r="AH807" s="30" t="s">
        <v>151</v>
      </c>
      <c r="AI807" s="38" t="s">
        <v>151</v>
      </c>
      <c r="AJ807" s="32" t="s">
        <v>151</v>
      </c>
      <c r="AK807" s="38" t="s">
        <v>151</v>
      </c>
      <c r="AL807" s="38" t="s">
        <v>151</v>
      </c>
      <c r="AM807" s="38" t="s">
        <v>151</v>
      </c>
      <c r="AN807" s="38" t="s">
        <v>151</v>
      </c>
      <c r="AO807" s="38" t="s">
        <v>151</v>
      </c>
      <c r="AP807" s="38" t="s">
        <v>151</v>
      </c>
      <c r="AQ807" s="38" t="s">
        <v>151</v>
      </c>
      <c r="AR807" s="29" t="s">
        <v>151</v>
      </c>
      <c r="AS807" s="30" t="s">
        <v>16441</v>
      </c>
      <c r="AT807" s="30" t="s">
        <v>16442</v>
      </c>
      <c r="AU807" s="31">
        <v>18</v>
      </c>
      <c r="AV807" s="30" t="s">
        <v>151</v>
      </c>
      <c r="AW807" s="30" t="s">
        <v>151</v>
      </c>
      <c r="AX807" s="30" t="s">
        <v>151</v>
      </c>
      <c r="AY807" s="30" t="s">
        <v>16443</v>
      </c>
      <c r="AZ807" s="30" t="s">
        <v>151</v>
      </c>
      <c r="BA807" s="30" t="s">
        <v>151</v>
      </c>
      <c r="BB807" s="30" t="s">
        <v>151</v>
      </c>
      <c r="BC807" s="30" t="s">
        <v>16444</v>
      </c>
      <c r="BD807" s="30" t="s">
        <v>16445</v>
      </c>
      <c r="BE807" s="30" t="s">
        <v>16446</v>
      </c>
      <c r="BF807" s="30" t="s">
        <v>493</v>
      </c>
      <c r="BG807" s="30" t="s">
        <v>16447</v>
      </c>
      <c r="BH807" s="30" t="s">
        <v>16448</v>
      </c>
      <c r="BI807" s="30" t="s">
        <v>764</v>
      </c>
      <c r="BJ807" s="30" t="s">
        <v>15560</v>
      </c>
      <c r="BK807" s="30" t="s">
        <v>16449</v>
      </c>
      <c r="BL807" s="30" t="s">
        <v>767</v>
      </c>
      <c r="BM807" s="30" t="s">
        <v>184</v>
      </c>
      <c r="BN807" s="29" t="s">
        <v>794</v>
      </c>
      <c r="BO807" s="30" t="s">
        <v>186</v>
      </c>
      <c r="BP807" s="29" t="s">
        <v>16448</v>
      </c>
      <c r="BQ807" s="29" t="s">
        <v>151</v>
      </c>
      <c r="BR807" s="30" t="s">
        <v>16450</v>
      </c>
      <c r="BS807" s="30" t="s">
        <v>187</v>
      </c>
      <c r="BT807" s="30" t="s">
        <v>188</v>
      </c>
      <c r="BU807" s="35">
        <v>43988</v>
      </c>
      <c r="BV807" s="37">
        <v>2.5</v>
      </c>
      <c r="BW807" s="30" t="s">
        <v>192</v>
      </c>
      <c r="BX807" s="37">
        <v>11.5</v>
      </c>
      <c r="BY807" s="30" t="s">
        <v>192</v>
      </c>
      <c r="BZ807" s="30" t="s">
        <v>293</v>
      </c>
      <c r="CA807" s="30" t="s">
        <v>293</v>
      </c>
      <c r="CB807" s="30" t="s">
        <v>151</v>
      </c>
      <c r="CC807" s="30" t="s">
        <v>165</v>
      </c>
      <c r="CD807" s="30" t="s">
        <v>151</v>
      </c>
      <c r="CE807" s="30" t="s">
        <v>191</v>
      </c>
      <c r="CF807" s="35">
        <v>44957</v>
      </c>
      <c r="CG807" s="37">
        <v>15</v>
      </c>
      <c r="CH807" s="30" t="s">
        <v>192</v>
      </c>
      <c r="CI807" s="37">
        <v>65</v>
      </c>
      <c r="CJ807" s="30" t="s">
        <v>192</v>
      </c>
      <c r="CK807" s="29">
        <v>4.35</v>
      </c>
      <c r="CL807" s="30" t="s">
        <v>231</v>
      </c>
      <c r="CM807" s="30" t="s">
        <v>232</v>
      </c>
      <c r="CN807" s="30" t="s">
        <v>151</v>
      </c>
      <c r="CO807" s="30" t="s">
        <v>165</v>
      </c>
      <c r="CP807" s="35">
        <v>44957</v>
      </c>
      <c r="CQ807" s="37" t="s">
        <v>151</v>
      </c>
      <c r="CR807" s="30" t="s">
        <v>151</v>
      </c>
      <c r="CS807" s="30" t="s">
        <v>191</v>
      </c>
      <c r="CT807" s="29">
        <v>95</v>
      </c>
      <c r="CU807" s="30" t="s">
        <v>196</v>
      </c>
      <c r="CV807" s="32">
        <v>89</v>
      </c>
      <c r="CW807" s="32">
        <v>11</v>
      </c>
      <c r="CX807" s="30" t="s">
        <v>294</v>
      </c>
      <c r="CY807" s="32">
        <v>1</v>
      </c>
      <c r="CZ807" s="32">
        <v>88</v>
      </c>
      <c r="DA807" s="37">
        <v>65</v>
      </c>
      <c r="DB807" s="35">
        <v>44957</v>
      </c>
      <c r="DC807" s="30" t="s">
        <v>231</v>
      </c>
      <c r="DD807" s="29">
        <v>4.35</v>
      </c>
      <c r="DE807" s="32">
        <v>-0.94</v>
      </c>
      <c r="DF807" s="34">
        <v>5</v>
      </c>
      <c r="DG807" s="32">
        <v>0</v>
      </c>
      <c r="DH807" s="32">
        <v>0</v>
      </c>
      <c r="DI807" s="32" t="s">
        <v>151</v>
      </c>
      <c r="DJ807" s="34" t="s">
        <v>151</v>
      </c>
      <c r="DK807" s="32" t="s">
        <v>151</v>
      </c>
      <c r="DL807" s="34" t="s">
        <v>151</v>
      </c>
      <c r="DM807" s="32" t="s">
        <v>151</v>
      </c>
      <c r="DN807" s="34" t="s">
        <v>151</v>
      </c>
      <c r="DO807" s="36">
        <v>1.92</v>
      </c>
      <c r="DP807" s="34">
        <v>65</v>
      </c>
      <c r="DQ807" s="36">
        <v>0</v>
      </c>
      <c r="DR807" s="32">
        <v>0</v>
      </c>
      <c r="DS807" s="36" t="s">
        <v>151</v>
      </c>
      <c r="DT807" s="34" t="s">
        <v>151</v>
      </c>
      <c r="DU807" s="36" t="s">
        <v>151</v>
      </c>
      <c r="DV807" s="34" t="s">
        <v>151</v>
      </c>
      <c r="DW807" s="36" t="s">
        <v>151</v>
      </c>
      <c r="DX807" s="34" t="s">
        <v>151</v>
      </c>
      <c r="DY807" s="31" t="s">
        <v>151</v>
      </c>
      <c r="DZ807" s="35" t="s">
        <v>151</v>
      </c>
      <c r="EA807" s="35" t="s">
        <v>151</v>
      </c>
      <c r="EB807" s="34">
        <v>1540</v>
      </c>
      <c r="EC807" s="33">
        <v>-251</v>
      </c>
      <c r="ED807" s="32">
        <v>-14.01</v>
      </c>
      <c r="EE807" s="34" t="s">
        <v>151</v>
      </c>
      <c r="EF807" s="33" t="s">
        <v>151</v>
      </c>
      <c r="EG807" s="32" t="s">
        <v>151</v>
      </c>
      <c r="EH807" s="29" t="s">
        <v>198</v>
      </c>
      <c r="EI807" s="30" t="s">
        <v>151</v>
      </c>
      <c r="EJ807" s="30" t="s">
        <v>151</v>
      </c>
      <c r="EK807" s="31" t="s">
        <v>151</v>
      </c>
      <c r="EL807" s="31" t="s">
        <v>151</v>
      </c>
      <c r="EM807" s="31" t="s">
        <v>151</v>
      </c>
      <c r="EN807" s="31" t="s">
        <v>151</v>
      </c>
      <c r="EO807" s="31" t="s">
        <v>151</v>
      </c>
      <c r="EP807" s="30" t="s">
        <v>151</v>
      </c>
      <c r="EQ807" s="29" t="s">
        <v>151</v>
      </c>
      <c r="ER807" s="29" t="s">
        <v>151</v>
      </c>
      <c r="ES807" s="4">
        <f>HYPERLINK("https://my.pitchbook.com?c=438399-91","View Company Online")</f>
      </c>
    </row>
    <row r="808">
      <c r="A808" s="17" t="s">
        <v>16451</v>
      </c>
      <c r="B808" s="17" t="s">
        <v>16452</v>
      </c>
      <c r="C808" s="18" t="s">
        <v>151</v>
      </c>
      <c r="D808" s="17" t="s">
        <v>16453</v>
      </c>
      <c r="E808" s="17" t="s">
        <v>151</v>
      </c>
      <c r="F808" s="17" t="s">
        <v>16454</v>
      </c>
      <c r="G808" s="17" t="s">
        <v>151</v>
      </c>
      <c r="H808" s="17" t="s">
        <v>151</v>
      </c>
      <c r="I808" s="17" t="s">
        <v>16455</v>
      </c>
      <c r="J808" s="17" t="s">
        <v>16451</v>
      </c>
      <c r="K808" s="17" t="s">
        <v>16456</v>
      </c>
      <c r="L808" s="17" t="s">
        <v>205</v>
      </c>
      <c r="M808" s="17" t="s">
        <v>206</v>
      </c>
      <c r="N808" s="17" t="s">
        <v>269</v>
      </c>
      <c r="O808" s="17" t="s">
        <v>11636</v>
      </c>
      <c r="P808" s="17" t="s">
        <v>16457</v>
      </c>
      <c r="Q808" s="17" t="s">
        <v>16458</v>
      </c>
      <c r="R808" s="17" t="s">
        <v>16459</v>
      </c>
      <c r="S808" s="17" t="s">
        <v>162</v>
      </c>
      <c r="T808" s="24">
        <v>10.79</v>
      </c>
      <c r="U808" s="17" t="s">
        <v>163</v>
      </c>
      <c r="V808" s="17" t="s">
        <v>164</v>
      </c>
      <c r="W808" s="17" t="s">
        <v>165</v>
      </c>
      <c r="X808" s="15" t="s">
        <v>16460</v>
      </c>
      <c r="Y808" s="15" t="s">
        <v>16461</v>
      </c>
      <c r="Z808" s="27">
        <v>22</v>
      </c>
      <c r="AA808" s="17" t="s">
        <v>16462</v>
      </c>
      <c r="AB808" s="17" t="s">
        <v>151</v>
      </c>
      <c r="AC808" s="17" t="s">
        <v>151</v>
      </c>
      <c r="AD808" s="26">
        <v>2018</v>
      </c>
      <c r="AE808" s="17" t="s">
        <v>151</v>
      </c>
      <c r="AF808" s="22">
        <v>45281</v>
      </c>
      <c r="AG808" s="17" t="s">
        <v>151</v>
      </c>
      <c r="AH808" s="17" t="s">
        <v>151</v>
      </c>
      <c r="AI808" s="25" t="s">
        <v>151</v>
      </c>
      <c r="AJ808" s="19" t="s">
        <v>151</v>
      </c>
      <c r="AK808" s="25" t="s">
        <v>151</v>
      </c>
      <c r="AL808" s="25" t="s">
        <v>151</v>
      </c>
      <c r="AM808" s="25" t="s">
        <v>151</v>
      </c>
      <c r="AN808" s="25" t="s">
        <v>151</v>
      </c>
      <c r="AO808" s="25" t="s">
        <v>151</v>
      </c>
      <c r="AP808" s="25" t="s">
        <v>151</v>
      </c>
      <c r="AQ808" s="25" t="s">
        <v>151</v>
      </c>
      <c r="AR808" s="16" t="s">
        <v>151</v>
      </c>
      <c r="AS808" s="17" t="s">
        <v>16463</v>
      </c>
      <c r="AT808" s="17" t="s">
        <v>16464</v>
      </c>
      <c r="AU808" s="18">
        <v>14</v>
      </c>
      <c r="AV808" s="17" t="s">
        <v>151</v>
      </c>
      <c r="AW808" s="17" t="s">
        <v>151</v>
      </c>
      <c r="AX808" s="17" t="s">
        <v>151</v>
      </c>
      <c r="AY808" s="17" t="s">
        <v>16465</v>
      </c>
      <c r="AZ808" s="17" t="s">
        <v>151</v>
      </c>
      <c r="BA808" s="17" t="s">
        <v>151</v>
      </c>
      <c r="BB808" s="17" t="s">
        <v>151</v>
      </c>
      <c r="BC808" s="17" t="s">
        <v>1115</v>
      </c>
      <c r="BD808" s="17" t="s">
        <v>16466</v>
      </c>
      <c r="BE808" s="17" t="s">
        <v>16467</v>
      </c>
      <c r="BF808" s="17" t="s">
        <v>493</v>
      </c>
      <c r="BG808" s="17" t="s">
        <v>16468</v>
      </c>
      <c r="BH808" s="17" t="s">
        <v>16469</v>
      </c>
      <c r="BI808" s="17" t="s">
        <v>3262</v>
      </c>
      <c r="BJ808" s="17" t="s">
        <v>16470</v>
      </c>
      <c r="BK808" s="17" t="s">
        <v>16471</v>
      </c>
      <c r="BL808" s="17" t="s">
        <v>3264</v>
      </c>
      <c r="BM808" s="17" t="s">
        <v>184</v>
      </c>
      <c r="BN808" s="16" t="s">
        <v>16472</v>
      </c>
      <c r="BO808" s="17" t="s">
        <v>186</v>
      </c>
      <c r="BP808" s="16" t="s">
        <v>16469</v>
      </c>
      <c r="BQ808" s="16" t="s">
        <v>151</v>
      </c>
      <c r="BR808" s="17" t="s">
        <v>16473</v>
      </c>
      <c r="BS808" s="17" t="s">
        <v>187</v>
      </c>
      <c r="BT808" s="17" t="s">
        <v>188</v>
      </c>
      <c r="BU808" s="22">
        <v>44046</v>
      </c>
      <c r="BV808" s="24">
        <v>0.07</v>
      </c>
      <c r="BW808" s="17" t="s">
        <v>192</v>
      </c>
      <c r="BX808" s="24" t="s">
        <v>151</v>
      </c>
      <c r="BY808" s="17" t="s">
        <v>151</v>
      </c>
      <c r="BZ808" s="17" t="s">
        <v>1075</v>
      </c>
      <c r="CA808" s="17" t="s">
        <v>1075</v>
      </c>
      <c r="CB808" s="17" t="s">
        <v>151</v>
      </c>
      <c r="CC808" s="17" t="s">
        <v>585</v>
      </c>
      <c r="CD808" s="17" t="s">
        <v>151</v>
      </c>
      <c r="CE808" s="17" t="s">
        <v>191</v>
      </c>
      <c r="CF808" s="22">
        <v>44797</v>
      </c>
      <c r="CG808" s="24">
        <v>8</v>
      </c>
      <c r="CH808" s="17" t="s">
        <v>192</v>
      </c>
      <c r="CI808" s="24">
        <v>28</v>
      </c>
      <c r="CJ808" s="17" t="s">
        <v>192</v>
      </c>
      <c r="CK808" s="16">
        <v>2.59</v>
      </c>
      <c r="CL808" s="17" t="s">
        <v>231</v>
      </c>
      <c r="CM808" s="17" t="s">
        <v>232</v>
      </c>
      <c r="CN808" s="17" t="s">
        <v>151</v>
      </c>
      <c r="CO808" s="17" t="s">
        <v>165</v>
      </c>
      <c r="CP808" s="22">
        <v>44797</v>
      </c>
      <c r="CQ808" s="24" t="s">
        <v>151</v>
      </c>
      <c r="CR808" s="17" t="s">
        <v>151</v>
      </c>
      <c r="CS808" s="17" t="s">
        <v>191</v>
      </c>
      <c r="CT808" s="16">
        <v>94</v>
      </c>
      <c r="CU808" s="17" t="s">
        <v>196</v>
      </c>
      <c r="CV808" s="19">
        <v>87</v>
      </c>
      <c r="CW808" s="19">
        <v>13</v>
      </c>
      <c r="CX808" s="17" t="s">
        <v>294</v>
      </c>
      <c r="CY808" s="19">
        <v>1</v>
      </c>
      <c r="CZ808" s="19">
        <v>86</v>
      </c>
      <c r="DA808" s="24">
        <v>28</v>
      </c>
      <c r="DB808" s="22">
        <v>44797</v>
      </c>
      <c r="DC808" s="17" t="s">
        <v>231</v>
      </c>
      <c r="DD808" s="16">
        <v>2.59</v>
      </c>
      <c r="DE808" s="19">
        <v>0.63</v>
      </c>
      <c r="DF808" s="21">
        <v>95</v>
      </c>
      <c r="DG808" s="19">
        <v>-0.41</v>
      </c>
      <c r="DH808" s="19">
        <v>-39.51</v>
      </c>
      <c r="DI808" s="19">
        <v>0.63</v>
      </c>
      <c r="DJ808" s="21">
        <v>95</v>
      </c>
      <c r="DK808" s="19" t="s">
        <v>151</v>
      </c>
      <c r="DL808" s="21" t="s">
        <v>151</v>
      </c>
      <c r="DM808" s="19">
        <v>0.63</v>
      </c>
      <c r="DN808" s="21">
        <v>95</v>
      </c>
      <c r="DO808" s="23">
        <v>8.68</v>
      </c>
      <c r="DP808" s="21">
        <v>89</v>
      </c>
      <c r="DQ808" s="23">
        <v>0</v>
      </c>
      <c r="DR808" s="19">
        <v>0</v>
      </c>
      <c r="DS808" s="23">
        <v>8.68</v>
      </c>
      <c r="DT808" s="21">
        <v>89</v>
      </c>
      <c r="DU808" s="23" t="s">
        <v>151</v>
      </c>
      <c r="DV808" s="21" t="s">
        <v>151</v>
      </c>
      <c r="DW808" s="23">
        <v>8.68</v>
      </c>
      <c r="DX808" s="21">
        <v>88</v>
      </c>
      <c r="DY808" s="18" t="s">
        <v>151</v>
      </c>
      <c r="DZ808" s="22" t="s">
        <v>151</v>
      </c>
      <c r="EA808" s="22" t="s">
        <v>151</v>
      </c>
      <c r="EB808" s="21">
        <v>2784</v>
      </c>
      <c r="EC808" s="20">
        <v>-21</v>
      </c>
      <c r="ED808" s="19">
        <v>-0.75</v>
      </c>
      <c r="EE808" s="21">
        <v>165</v>
      </c>
      <c r="EF808" s="20">
        <v>0</v>
      </c>
      <c r="EG808" s="19">
        <v>0</v>
      </c>
      <c r="EH808" s="16" t="s">
        <v>198</v>
      </c>
      <c r="EI808" s="17" t="s">
        <v>151</v>
      </c>
      <c r="EJ808" s="17" t="s">
        <v>151</v>
      </c>
      <c r="EK808" s="18" t="s">
        <v>151</v>
      </c>
      <c r="EL808" s="18" t="s">
        <v>151</v>
      </c>
      <c r="EM808" s="18" t="s">
        <v>151</v>
      </c>
      <c r="EN808" s="18" t="s">
        <v>151</v>
      </c>
      <c r="EO808" s="18" t="s">
        <v>151</v>
      </c>
      <c r="EP808" s="17" t="s">
        <v>151</v>
      </c>
      <c r="EQ808" s="16" t="s">
        <v>151</v>
      </c>
      <c r="ER808" s="16" t="s">
        <v>151</v>
      </c>
      <c r="ES808" s="3">
        <f>HYPERLINK("https://my.pitchbook.com?c=433807-66","View Company Online")</f>
      </c>
    </row>
    <row r="809">
      <c r="A809" s="30" t="s">
        <v>16474</v>
      </c>
      <c r="B809" s="30" t="s">
        <v>16475</v>
      </c>
      <c r="C809" s="31" t="s">
        <v>151</v>
      </c>
      <c r="D809" s="30" t="s">
        <v>151</v>
      </c>
      <c r="E809" s="30" t="s">
        <v>151</v>
      </c>
      <c r="F809" s="30" t="s">
        <v>16476</v>
      </c>
      <c r="G809" s="30" t="s">
        <v>151</v>
      </c>
      <c r="H809" s="30" t="s">
        <v>151</v>
      </c>
      <c r="I809" s="30" t="s">
        <v>16477</v>
      </c>
      <c r="J809" s="30" t="s">
        <v>16474</v>
      </c>
      <c r="K809" s="30" t="s">
        <v>16478</v>
      </c>
      <c r="L809" s="30" t="s">
        <v>1792</v>
      </c>
      <c r="M809" s="30" t="s">
        <v>5329</v>
      </c>
      <c r="N809" s="30" t="s">
        <v>9924</v>
      </c>
      <c r="O809" s="30" t="s">
        <v>9925</v>
      </c>
      <c r="P809" s="30" t="s">
        <v>12275</v>
      </c>
      <c r="Q809" s="30" t="s">
        <v>16479</v>
      </c>
      <c r="R809" s="30" t="s">
        <v>151</v>
      </c>
      <c r="S809" s="30" t="s">
        <v>162</v>
      </c>
      <c r="T809" s="37">
        <v>3.35</v>
      </c>
      <c r="U809" s="30" t="s">
        <v>163</v>
      </c>
      <c r="V809" s="30" t="s">
        <v>164</v>
      </c>
      <c r="W809" s="30" t="s">
        <v>165</v>
      </c>
      <c r="X809" s="28" t="s">
        <v>16480</v>
      </c>
      <c r="Y809" s="28" t="s">
        <v>16481</v>
      </c>
      <c r="Z809" s="40">
        <v>10</v>
      </c>
      <c r="AA809" s="30" t="s">
        <v>16482</v>
      </c>
      <c r="AB809" s="30" t="s">
        <v>151</v>
      </c>
      <c r="AC809" s="30" t="s">
        <v>151</v>
      </c>
      <c r="AD809" s="39">
        <v>2019</v>
      </c>
      <c r="AE809" s="30" t="s">
        <v>151</v>
      </c>
      <c r="AF809" s="35">
        <v>45470</v>
      </c>
      <c r="AG809" s="30" t="s">
        <v>151</v>
      </c>
      <c r="AH809" s="30" t="s">
        <v>151</v>
      </c>
      <c r="AI809" s="38" t="s">
        <v>151</v>
      </c>
      <c r="AJ809" s="32" t="s">
        <v>151</v>
      </c>
      <c r="AK809" s="38" t="s">
        <v>151</v>
      </c>
      <c r="AL809" s="38" t="s">
        <v>151</v>
      </c>
      <c r="AM809" s="38" t="s">
        <v>151</v>
      </c>
      <c r="AN809" s="38" t="s">
        <v>151</v>
      </c>
      <c r="AO809" s="38" t="s">
        <v>151</v>
      </c>
      <c r="AP809" s="38" t="s">
        <v>151</v>
      </c>
      <c r="AQ809" s="38" t="s">
        <v>151</v>
      </c>
      <c r="AR809" s="29" t="s">
        <v>151</v>
      </c>
      <c r="AS809" s="30" t="s">
        <v>16483</v>
      </c>
      <c r="AT809" s="30" t="s">
        <v>16484</v>
      </c>
      <c r="AU809" s="31">
        <v>6</v>
      </c>
      <c r="AV809" s="30" t="s">
        <v>151</v>
      </c>
      <c r="AW809" s="30" t="s">
        <v>151</v>
      </c>
      <c r="AX809" s="30" t="s">
        <v>151</v>
      </c>
      <c r="AY809" s="30" t="s">
        <v>16485</v>
      </c>
      <c r="AZ809" s="30" t="s">
        <v>151</v>
      </c>
      <c r="BA809" s="30" t="s">
        <v>151</v>
      </c>
      <c r="BB809" s="30" t="s">
        <v>16486</v>
      </c>
      <c r="BC809" s="30" t="s">
        <v>16487</v>
      </c>
      <c r="BD809" s="30" t="s">
        <v>16488</v>
      </c>
      <c r="BE809" s="30" t="s">
        <v>16489</v>
      </c>
      <c r="BF809" s="30" t="s">
        <v>16490</v>
      </c>
      <c r="BG809" s="30" t="s">
        <v>16491</v>
      </c>
      <c r="BH809" s="30" t="s">
        <v>16492</v>
      </c>
      <c r="BI809" s="30" t="s">
        <v>2265</v>
      </c>
      <c r="BJ809" s="30" t="s">
        <v>16493</v>
      </c>
      <c r="BK809" s="30" t="s">
        <v>151</v>
      </c>
      <c r="BL809" s="30" t="s">
        <v>2267</v>
      </c>
      <c r="BM809" s="30" t="s">
        <v>855</v>
      </c>
      <c r="BN809" s="29" t="s">
        <v>16494</v>
      </c>
      <c r="BO809" s="30" t="s">
        <v>186</v>
      </c>
      <c r="BP809" s="29" t="s">
        <v>16495</v>
      </c>
      <c r="BQ809" s="29" t="s">
        <v>151</v>
      </c>
      <c r="BR809" s="30" t="s">
        <v>16496</v>
      </c>
      <c r="BS809" s="30" t="s">
        <v>187</v>
      </c>
      <c r="BT809" s="30" t="s">
        <v>188</v>
      </c>
      <c r="BU809" s="35">
        <v>44315</v>
      </c>
      <c r="BV809" s="37">
        <v>1.25</v>
      </c>
      <c r="BW809" s="30" t="s">
        <v>192</v>
      </c>
      <c r="BX809" s="37">
        <v>4.04</v>
      </c>
      <c r="BY809" s="30" t="s">
        <v>192</v>
      </c>
      <c r="BZ809" s="30" t="s">
        <v>293</v>
      </c>
      <c r="CA809" s="30" t="s">
        <v>293</v>
      </c>
      <c r="CB809" s="30" t="s">
        <v>151</v>
      </c>
      <c r="CC809" s="30" t="s">
        <v>165</v>
      </c>
      <c r="CD809" s="30" t="s">
        <v>16497</v>
      </c>
      <c r="CE809" s="30" t="s">
        <v>191</v>
      </c>
      <c r="CF809" s="35">
        <v>45105</v>
      </c>
      <c r="CG809" s="37">
        <v>0.93</v>
      </c>
      <c r="CH809" s="30" t="s">
        <v>192</v>
      </c>
      <c r="CI809" s="37">
        <v>7</v>
      </c>
      <c r="CJ809" s="30" t="s">
        <v>192</v>
      </c>
      <c r="CK809" s="29">
        <v>0.85</v>
      </c>
      <c r="CL809" s="30" t="s">
        <v>293</v>
      </c>
      <c r="CM809" s="30" t="s">
        <v>293</v>
      </c>
      <c r="CN809" s="30" t="s">
        <v>151</v>
      </c>
      <c r="CO809" s="30" t="s">
        <v>165</v>
      </c>
      <c r="CP809" s="35">
        <v>45105</v>
      </c>
      <c r="CQ809" s="37" t="s">
        <v>151</v>
      </c>
      <c r="CR809" s="30" t="s">
        <v>151</v>
      </c>
      <c r="CS809" s="30" t="s">
        <v>191</v>
      </c>
      <c r="CT809" s="29">
        <v>35</v>
      </c>
      <c r="CU809" s="30" t="s">
        <v>263</v>
      </c>
      <c r="CV809" s="32">
        <v>35</v>
      </c>
      <c r="CW809" s="32">
        <v>65</v>
      </c>
      <c r="CX809" s="30" t="s">
        <v>263</v>
      </c>
      <c r="CY809" s="32">
        <v>1</v>
      </c>
      <c r="CZ809" s="32">
        <v>34</v>
      </c>
      <c r="DA809" s="37">
        <v>7</v>
      </c>
      <c r="DB809" s="35">
        <v>45105</v>
      </c>
      <c r="DC809" s="30" t="s">
        <v>293</v>
      </c>
      <c r="DD809" s="29">
        <v>0.85</v>
      </c>
      <c r="DE809" s="32">
        <v>0</v>
      </c>
      <c r="DF809" s="34">
        <v>11</v>
      </c>
      <c r="DG809" s="32">
        <v>-1.79</v>
      </c>
      <c r="DH809" s="32">
        <v>-100</v>
      </c>
      <c r="DI809" s="32" t="s">
        <v>151</v>
      </c>
      <c r="DJ809" s="34" t="s">
        <v>151</v>
      </c>
      <c r="DK809" s="32" t="s">
        <v>151</v>
      </c>
      <c r="DL809" s="34" t="s">
        <v>151</v>
      </c>
      <c r="DM809" s="32" t="s">
        <v>151</v>
      </c>
      <c r="DN809" s="34" t="s">
        <v>151</v>
      </c>
      <c r="DO809" s="36">
        <v>0.28</v>
      </c>
      <c r="DP809" s="34">
        <v>21</v>
      </c>
      <c r="DQ809" s="36">
        <v>0</v>
      </c>
      <c r="DR809" s="32">
        <v>0</v>
      </c>
      <c r="DS809" s="36" t="s">
        <v>151</v>
      </c>
      <c r="DT809" s="34" t="s">
        <v>151</v>
      </c>
      <c r="DU809" s="36" t="s">
        <v>151</v>
      </c>
      <c r="DV809" s="34" t="s">
        <v>151</v>
      </c>
      <c r="DW809" s="36" t="s">
        <v>151</v>
      </c>
      <c r="DX809" s="34" t="s">
        <v>151</v>
      </c>
      <c r="DY809" s="31">
        <v>1</v>
      </c>
      <c r="DZ809" s="35">
        <v>45168</v>
      </c>
      <c r="EA809" s="35" t="s">
        <v>16498</v>
      </c>
      <c r="EB809" s="34">
        <v>5</v>
      </c>
      <c r="EC809" s="33">
        <v>-27</v>
      </c>
      <c r="ED809" s="32">
        <v>-84.38</v>
      </c>
      <c r="EE809" s="34" t="s">
        <v>151</v>
      </c>
      <c r="EF809" s="33" t="s">
        <v>151</v>
      </c>
      <c r="EG809" s="32" t="s">
        <v>151</v>
      </c>
      <c r="EH809" s="29" t="s">
        <v>198</v>
      </c>
      <c r="EI809" s="30" t="s">
        <v>151</v>
      </c>
      <c r="EJ809" s="30" t="s">
        <v>151</v>
      </c>
      <c r="EK809" s="31" t="s">
        <v>151</v>
      </c>
      <c r="EL809" s="31" t="s">
        <v>151</v>
      </c>
      <c r="EM809" s="31" t="s">
        <v>151</v>
      </c>
      <c r="EN809" s="31" t="s">
        <v>151</v>
      </c>
      <c r="EO809" s="31" t="s">
        <v>151</v>
      </c>
      <c r="EP809" s="30" t="s">
        <v>151</v>
      </c>
      <c r="EQ809" s="29" t="s">
        <v>151</v>
      </c>
      <c r="ER809" s="29" t="s">
        <v>151</v>
      </c>
      <c r="ES809" s="4">
        <f>HYPERLINK("https://my.pitchbook.com?c=436978-36","View Company Online")</f>
      </c>
    </row>
    <row r="810">
      <c r="A810" s="17" t="s">
        <v>16499</v>
      </c>
      <c r="B810" s="17" t="s">
        <v>16500</v>
      </c>
      <c r="C810" s="18" t="s">
        <v>151</v>
      </c>
      <c r="D810" s="17" t="s">
        <v>151</v>
      </c>
      <c r="E810" s="17" t="s">
        <v>151</v>
      </c>
      <c r="F810" s="17" t="s">
        <v>16501</v>
      </c>
      <c r="G810" s="17" t="s">
        <v>151</v>
      </c>
      <c r="H810" s="17" t="s">
        <v>151</v>
      </c>
      <c r="I810" s="17" t="s">
        <v>16502</v>
      </c>
      <c r="J810" s="17" t="s">
        <v>16499</v>
      </c>
      <c r="K810" s="17" t="s">
        <v>16503</v>
      </c>
      <c r="L810" s="17" t="s">
        <v>205</v>
      </c>
      <c r="M810" s="17" t="s">
        <v>206</v>
      </c>
      <c r="N810" s="17" t="s">
        <v>269</v>
      </c>
      <c r="O810" s="17" t="s">
        <v>891</v>
      </c>
      <c r="P810" s="17" t="s">
        <v>919</v>
      </c>
      <c r="Q810" s="17" t="s">
        <v>16504</v>
      </c>
      <c r="R810" s="17" t="s">
        <v>151</v>
      </c>
      <c r="S810" s="17" t="s">
        <v>162</v>
      </c>
      <c r="T810" s="24">
        <v>3.5</v>
      </c>
      <c r="U810" s="17" t="s">
        <v>163</v>
      </c>
      <c r="V810" s="17" t="s">
        <v>164</v>
      </c>
      <c r="W810" s="17" t="s">
        <v>165</v>
      </c>
      <c r="X810" s="15" t="s">
        <v>16505</v>
      </c>
      <c r="Y810" s="15" t="s">
        <v>16506</v>
      </c>
      <c r="Z810" s="27">
        <v>50</v>
      </c>
      <c r="AA810" s="17" t="s">
        <v>16507</v>
      </c>
      <c r="AB810" s="17" t="s">
        <v>151</v>
      </c>
      <c r="AC810" s="17" t="s">
        <v>151</v>
      </c>
      <c r="AD810" s="26">
        <v>2022</v>
      </c>
      <c r="AE810" s="17" t="s">
        <v>151</v>
      </c>
      <c r="AF810" s="22">
        <v>45609</v>
      </c>
      <c r="AG810" s="17" t="s">
        <v>151</v>
      </c>
      <c r="AH810" s="17" t="s">
        <v>151</v>
      </c>
      <c r="AI810" s="25" t="s">
        <v>151</v>
      </c>
      <c r="AJ810" s="19" t="s">
        <v>151</v>
      </c>
      <c r="AK810" s="25" t="s">
        <v>151</v>
      </c>
      <c r="AL810" s="25" t="s">
        <v>151</v>
      </c>
      <c r="AM810" s="25" t="s">
        <v>151</v>
      </c>
      <c r="AN810" s="25" t="s">
        <v>151</v>
      </c>
      <c r="AO810" s="25" t="s">
        <v>151</v>
      </c>
      <c r="AP810" s="25" t="s">
        <v>151</v>
      </c>
      <c r="AQ810" s="25" t="s">
        <v>151</v>
      </c>
      <c r="AR810" s="16" t="s">
        <v>151</v>
      </c>
      <c r="AS810" s="17" t="s">
        <v>16508</v>
      </c>
      <c r="AT810" s="17" t="s">
        <v>16509</v>
      </c>
      <c r="AU810" s="18">
        <v>1</v>
      </c>
      <c r="AV810" s="17" t="s">
        <v>151</v>
      </c>
      <c r="AW810" s="17" t="s">
        <v>151</v>
      </c>
      <c r="AX810" s="17" t="s">
        <v>151</v>
      </c>
      <c r="AY810" s="17" t="s">
        <v>16510</v>
      </c>
      <c r="AZ810" s="17" t="s">
        <v>151</v>
      </c>
      <c r="BA810" s="17" t="s">
        <v>151</v>
      </c>
      <c r="BB810" s="17" t="s">
        <v>151</v>
      </c>
      <c r="BC810" s="17" t="s">
        <v>151</v>
      </c>
      <c r="BD810" s="17" t="s">
        <v>16511</v>
      </c>
      <c r="BE810" s="17" t="s">
        <v>16512</v>
      </c>
      <c r="BF810" s="17" t="s">
        <v>16513</v>
      </c>
      <c r="BG810" s="17" t="s">
        <v>16514</v>
      </c>
      <c r="BH810" s="17" t="s">
        <v>16515</v>
      </c>
      <c r="BI810" s="17" t="s">
        <v>16516</v>
      </c>
      <c r="BJ810" s="17" t="s">
        <v>16517</v>
      </c>
      <c r="BK810" s="17" t="s">
        <v>16518</v>
      </c>
      <c r="BL810" s="17" t="s">
        <v>16519</v>
      </c>
      <c r="BM810" s="17" t="s">
        <v>15923</v>
      </c>
      <c r="BN810" s="16" t="s">
        <v>16520</v>
      </c>
      <c r="BO810" s="17" t="s">
        <v>186</v>
      </c>
      <c r="BP810" s="16" t="s">
        <v>16515</v>
      </c>
      <c r="BQ810" s="16" t="s">
        <v>151</v>
      </c>
      <c r="BR810" s="17" t="s">
        <v>16521</v>
      </c>
      <c r="BS810" s="17" t="s">
        <v>187</v>
      </c>
      <c r="BT810" s="17" t="s">
        <v>188</v>
      </c>
      <c r="BU810" s="22">
        <v>44866</v>
      </c>
      <c r="BV810" s="24">
        <v>3.5</v>
      </c>
      <c r="BW810" s="17" t="s">
        <v>192</v>
      </c>
      <c r="BX810" s="24">
        <v>18</v>
      </c>
      <c r="BY810" s="17" t="s">
        <v>192</v>
      </c>
      <c r="BZ810" s="17" t="s">
        <v>231</v>
      </c>
      <c r="CA810" s="17" t="s">
        <v>151</v>
      </c>
      <c r="CB810" s="17" t="s">
        <v>151</v>
      </c>
      <c r="CC810" s="17" t="s">
        <v>165</v>
      </c>
      <c r="CD810" s="17" t="s">
        <v>151</v>
      </c>
      <c r="CE810" s="17" t="s">
        <v>191</v>
      </c>
      <c r="CF810" s="22" t="s">
        <v>151</v>
      </c>
      <c r="CG810" s="24" t="s">
        <v>151</v>
      </c>
      <c r="CH810" s="17" t="s">
        <v>151</v>
      </c>
      <c r="CI810" s="24" t="s">
        <v>151</v>
      </c>
      <c r="CJ810" s="17" t="s">
        <v>151</v>
      </c>
      <c r="CK810" s="16" t="s">
        <v>151</v>
      </c>
      <c r="CL810" s="17" t="s">
        <v>231</v>
      </c>
      <c r="CM810" s="17" t="s">
        <v>151</v>
      </c>
      <c r="CN810" s="17" t="s">
        <v>151</v>
      </c>
      <c r="CO810" s="17" t="s">
        <v>165</v>
      </c>
      <c r="CP810" s="22" t="s">
        <v>151</v>
      </c>
      <c r="CQ810" s="24" t="s">
        <v>151</v>
      </c>
      <c r="CR810" s="17" t="s">
        <v>151</v>
      </c>
      <c r="CS810" s="17" t="s">
        <v>1887</v>
      </c>
      <c r="CT810" s="16" t="s">
        <v>151</v>
      </c>
      <c r="CU810" s="17" t="s">
        <v>151</v>
      </c>
      <c r="CV810" s="19" t="s">
        <v>151</v>
      </c>
      <c r="CW810" s="19" t="s">
        <v>151</v>
      </c>
      <c r="CX810" s="17" t="s">
        <v>151</v>
      </c>
      <c r="CY810" s="19" t="s">
        <v>151</v>
      </c>
      <c r="CZ810" s="19" t="s">
        <v>151</v>
      </c>
      <c r="DA810" s="24">
        <v>18</v>
      </c>
      <c r="DB810" s="22">
        <v>44866</v>
      </c>
      <c r="DC810" s="17" t="s">
        <v>231</v>
      </c>
      <c r="DD810" s="16" t="s">
        <v>151</v>
      </c>
      <c r="DE810" s="19">
        <v>0.67</v>
      </c>
      <c r="DF810" s="21">
        <v>95</v>
      </c>
      <c r="DG810" s="19">
        <v>0</v>
      </c>
      <c r="DH810" s="19">
        <v>0</v>
      </c>
      <c r="DI810" s="19">
        <v>0</v>
      </c>
      <c r="DJ810" s="21">
        <v>10</v>
      </c>
      <c r="DK810" s="19" t="s">
        <v>151</v>
      </c>
      <c r="DL810" s="21" t="s">
        <v>151</v>
      </c>
      <c r="DM810" s="19">
        <v>0</v>
      </c>
      <c r="DN810" s="21">
        <v>10</v>
      </c>
      <c r="DO810" s="23">
        <v>2.82</v>
      </c>
      <c r="DP810" s="21">
        <v>73</v>
      </c>
      <c r="DQ810" s="23">
        <v>0</v>
      </c>
      <c r="DR810" s="19">
        <v>0</v>
      </c>
      <c r="DS810" s="23">
        <v>1.79</v>
      </c>
      <c r="DT810" s="21">
        <v>63</v>
      </c>
      <c r="DU810" s="23" t="s">
        <v>151</v>
      </c>
      <c r="DV810" s="21" t="s">
        <v>151</v>
      </c>
      <c r="DW810" s="23">
        <v>1.79</v>
      </c>
      <c r="DX810" s="21">
        <v>63</v>
      </c>
      <c r="DY810" s="18" t="s">
        <v>151</v>
      </c>
      <c r="DZ810" s="22" t="s">
        <v>151</v>
      </c>
      <c r="EA810" s="22" t="s">
        <v>151</v>
      </c>
      <c r="EB810" s="21">
        <v>287</v>
      </c>
      <c r="EC810" s="20">
        <v>23</v>
      </c>
      <c r="ED810" s="19">
        <v>8.71</v>
      </c>
      <c r="EE810" s="21">
        <v>34</v>
      </c>
      <c r="EF810" s="20">
        <v>0</v>
      </c>
      <c r="EG810" s="19">
        <v>0</v>
      </c>
      <c r="EH810" s="16" t="s">
        <v>198</v>
      </c>
      <c r="EI810" s="17" t="s">
        <v>151</v>
      </c>
      <c r="EJ810" s="17" t="s">
        <v>151</v>
      </c>
      <c r="EK810" s="18" t="s">
        <v>151</v>
      </c>
      <c r="EL810" s="18" t="s">
        <v>151</v>
      </c>
      <c r="EM810" s="18" t="s">
        <v>151</v>
      </c>
      <c r="EN810" s="18" t="s">
        <v>151</v>
      </c>
      <c r="EO810" s="18" t="s">
        <v>151</v>
      </c>
      <c r="EP810" s="17" t="s">
        <v>151</v>
      </c>
      <c r="EQ810" s="16" t="s">
        <v>151</v>
      </c>
      <c r="ER810" s="16" t="s">
        <v>151</v>
      </c>
      <c r="ES810" s="3">
        <f>HYPERLINK("https://my.pitchbook.com?c=512494-57","View Company Online")</f>
      </c>
    </row>
    <row r="811">
      <c r="A811" s="30" t="s">
        <v>16522</v>
      </c>
      <c r="B811" s="30" t="s">
        <v>16523</v>
      </c>
      <c r="C811" s="31" t="s">
        <v>151</v>
      </c>
      <c r="D811" s="30" t="s">
        <v>151</v>
      </c>
      <c r="E811" s="30" t="s">
        <v>151</v>
      </c>
      <c r="F811" s="30" t="s">
        <v>16524</v>
      </c>
      <c r="G811" s="30" t="s">
        <v>151</v>
      </c>
      <c r="H811" s="30" t="s">
        <v>151</v>
      </c>
      <c r="I811" s="30" t="s">
        <v>16525</v>
      </c>
      <c r="J811" s="30" t="s">
        <v>16522</v>
      </c>
      <c r="K811" s="30" t="s">
        <v>16526</v>
      </c>
      <c r="L811" s="30" t="s">
        <v>205</v>
      </c>
      <c r="M811" s="30" t="s">
        <v>206</v>
      </c>
      <c r="N811" s="30" t="s">
        <v>776</v>
      </c>
      <c r="O811" s="30" t="s">
        <v>16527</v>
      </c>
      <c r="P811" s="30" t="s">
        <v>16528</v>
      </c>
      <c r="Q811" s="30" t="s">
        <v>16529</v>
      </c>
      <c r="R811" s="30" t="s">
        <v>151</v>
      </c>
      <c r="S811" s="30" t="s">
        <v>162</v>
      </c>
      <c r="T811" s="37">
        <v>0.58</v>
      </c>
      <c r="U811" s="30" t="s">
        <v>4045</v>
      </c>
      <c r="V811" s="30" t="s">
        <v>164</v>
      </c>
      <c r="W811" s="30" t="s">
        <v>165</v>
      </c>
      <c r="X811" s="28" t="s">
        <v>16530</v>
      </c>
      <c r="Y811" s="28" t="s">
        <v>16531</v>
      </c>
      <c r="Z811" s="40">
        <v>6</v>
      </c>
      <c r="AA811" s="30" t="s">
        <v>4389</v>
      </c>
      <c r="AB811" s="30" t="s">
        <v>151</v>
      </c>
      <c r="AC811" s="30" t="s">
        <v>151</v>
      </c>
      <c r="AD811" s="39">
        <v>2022</v>
      </c>
      <c r="AE811" s="30" t="s">
        <v>151</v>
      </c>
      <c r="AF811" s="35">
        <v>45386</v>
      </c>
      <c r="AG811" s="30" t="s">
        <v>151</v>
      </c>
      <c r="AH811" s="30" t="s">
        <v>151</v>
      </c>
      <c r="AI811" s="38" t="s">
        <v>151</v>
      </c>
      <c r="AJ811" s="32" t="s">
        <v>151</v>
      </c>
      <c r="AK811" s="38" t="s">
        <v>151</v>
      </c>
      <c r="AL811" s="38" t="s">
        <v>151</v>
      </c>
      <c r="AM811" s="38" t="s">
        <v>151</v>
      </c>
      <c r="AN811" s="38" t="s">
        <v>151</v>
      </c>
      <c r="AO811" s="38" t="s">
        <v>151</v>
      </c>
      <c r="AP811" s="38" t="s">
        <v>151</v>
      </c>
      <c r="AQ811" s="38" t="s">
        <v>151</v>
      </c>
      <c r="AR811" s="29" t="s">
        <v>151</v>
      </c>
      <c r="AS811" s="30" t="s">
        <v>16532</v>
      </c>
      <c r="AT811" s="30" t="s">
        <v>16533</v>
      </c>
      <c r="AU811" s="31">
        <v>5</v>
      </c>
      <c r="AV811" s="30" t="s">
        <v>151</v>
      </c>
      <c r="AW811" s="30" t="s">
        <v>151</v>
      </c>
      <c r="AX811" s="30" t="s">
        <v>151</v>
      </c>
      <c r="AY811" s="30" t="s">
        <v>16534</v>
      </c>
      <c r="AZ811" s="30" t="s">
        <v>151</v>
      </c>
      <c r="BA811" s="30" t="s">
        <v>151</v>
      </c>
      <c r="BB811" s="30" t="s">
        <v>151</v>
      </c>
      <c r="BC811" s="30" t="s">
        <v>151</v>
      </c>
      <c r="BD811" s="30" t="s">
        <v>16535</v>
      </c>
      <c r="BE811" s="30" t="s">
        <v>16536</v>
      </c>
      <c r="BF811" s="30" t="s">
        <v>221</v>
      </c>
      <c r="BG811" s="30" t="s">
        <v>151</v>
      </c>
      <c r="BH811" s="30" t="s">
        <v>151</v>
      </c>
      <c r="BI811" s="30" t="s">
        <v>934</v>
      </c>
      <c r="BJ811" s="30" t="s">
        <v>16537</v>
      </c>
      <c r="BK811" s="30" t="s">
        <v>151</v>
      </c>
      <c r="BL811" s="30" t="s">
        <v>937</v>
      </c>
      <c r="BM811" s="30" t="s">
        <v>184</v>
      </c>
      <c r="BN811" s="29" t="s">
        <v>5520</v>
      </c>
      <c r="BO811" s="30" t="s">
        <v>186</v>
      </c>
      <c r="BP811" s="29" t="s">
        <v>151</v>
      </c>
      <c r="BQ811" s="29" t="s">
        <v>151</v>
      </c>
      <c r="BR811" s="30" t="s">
        <v>16538</v>
      </c>
      <c r="BS811" s="30" t="s">
        <v>187</v>
      </c>
      <c r="BT811" s="30" t="s">
        <v>188</v>
      </c>
      <c r="BU811" s="35">
        <v>45200</v>
      </c>
      <c r="BV811" s="37">
        <v>0.58</v>
      </c>
      <c r="BW811" s="30" t="s">
        <v>192</v>
      </c>
      <c r="BX811" s="37" t="s">
        <v>151</v>
      </c>
      <c r="BY811" s="30" t="s">
        <v>151</v>
      </c>
      <c r="BZ811" s="30" t="s">
        <v>231</v>
      </c>
      <c r="CA811" s="30" t="s">
        <v>151</v>
      </c>
      <c r="CB811" s="30" t="s">
        <v>151</v>
      </c>
      <c r="CC811" s="30" t="s">
        <v>385</v>
      </c>
      <c r="CD811" s="30" t="s">
        <v>151</v>
      </c>
      <c r="CE811" s="30" t="s">
        <v>191</v>
      </c>
      <c r="CF811" s="35">
        <v>45200</v>
      </c>
      <c r="CG811" s="37">
        <v>0.58</v>
      </c>
      <c r="CH811" s="30" t="s">
        <v>192</v>
      </c>
      <c r="CI811" s="37" t="s">
        <v>151</v>
      </c>
      <c r="CJ811" s="30" t="s">
        <v>151</v>
      </c>
      <c r="CK811" s="29" t="s">
        <v>151</v>
      </c>
      <c r="CL811" s="30" t="s">
        <v>231</v>
      </c>
      <c r="CM811" s="30" t="s">
        <v>151</v>
      </c>
      <c r="CN811" s="30" t="s">
        <v>151</v>
      </c>
      <c r="CO811" s="30" t="s">
        <v>385</v>
      </c>
      <c r="CP811" s="35">
        <v>45200</v>
      </c>
      <c r="CQ811" s="37" t="s">
        <v>151</v>
      </c>
      <c r="CR811" s="30" t="s">
        <v>151</v>
      </c>
      <c r="CS811" s="30" t="s">
        <v>191</v>
      </c>
      <c r="CT811" s="29" t="s">
        <v>151</v>
      </c>
      <c r="CU811" s="30" t="s">
        <v>151</v>
      </c>
      <c r="CV811" s="32" t="s">
        <v>151</v>
      </c>
      <c r="CW811" s="32" t="s">
        <v>151</v>
      </c>
      <c r="CX811" s="30" t="s">
        <v>151</v>
      </c>
      <c r="CY811" s="32" t="s">
        <v>151</v>
      </c>
      <c r="CZ811" s="32" t="s">
        <v>151</v>
      </c>
      <c r="DA811" s="37" t="s">
        <v>151</v>
      </c>
      <c r="DB811" s="35" t="s">
        <v>151</v>
      </c>
      <c r="DC811" s="30" t="s">
        <v>151</v>
      </c>
      <c r="DD811" s="29" t="s">
        <v>151</v>
      </c>
      <c r="DE811" s="32">
        <v>-0.25</v>
      </c>
      <c r="DF811" s="34">
        <v>9</v>
      </c>
      <c r="DG811" s="32">
        <v>0</v>
      </c>
      <c r="DH811" s="32">
        <v>0</v>
      </c>
      <c r="DI811" s="32">
        <v>-0.25</v>
      </c>
      <c r="DJ811" s="34">
        <v>9</v>
      </c>
      <c r="DK811" s="32" t="s">
        <v>151</v>
      </c>
      <c r="DL811" s="34" t="s">
        <v>151</v>
      </c>
      <c r="DM811" s="32">
        <v>-0.25</v>
      </c>
      <c r="DN811" s="34">
        <v>9</v>
      </c>
      <c r="DO811" s="36">
        <v>5.26</v>
      </c>
      <c r="DP811" s="34">
        <v>83</v>
      </c>
      <c r="DQ811" s="36">
        <v>0</v>
      </c>
      <c r="DR811" s="32">
        <v>0</v>
      </c>
      <c r="DS811" s="36">
        <v>5.26</v>
      </c>
      <c r="DT811" s="34">
        <v>83</v>
      </c>
      <c r="DU811" s="36" t="s">
        <v>151</v>
      </c>
      <c r="DV811" s="34" t="s">
        <v>151</v>
      </c>
      <c r="DW811" s="36">
        <v>5.26</v>
      </c>
      <c r="DX811" s="34">
        <v>82</v>
      </c>
      <c r="DY811" s="31" t="s">
        <v>151</v>
      </c>
      <c r="DZ811" s="35" t="s">
        <v>151</v>
      </c>
      <c r="EA811" s="35" t="s">
        <v>151</v>
      </c>
      <c r="EB811" s="34">
        <v>1135</v>
      </c>
      <c r="EC811" s="33">
        <v>-74</v>
      </c>
      <c r="ED811" s="32">
        <v>-6.12</v>
      </c>
      <c r="EE811" s="34">
        <v>100</v>
      </c>
      <c r="EF811" s="33">
        <v>0</v>
      </c>
      <c r="EG811" s="32">
        <v>0</v>
      </c>
      <c r="EH811" s="29" t="s">
        <v>198</v>
      </c>
      <c r="EI811" s="30" t="s">
        <v>151</v>
      </c>
      <c r="EJ811" s="30" t="s">
        <v>151</v>
      </c>
      <c r="EK811" s="31" t="s">
        <v>151</v>
      </c>
      <c r="EL811" s="31" t="s">
        <v>151</v>
      </c>
      <c r="EM811" s="31" t="s">
        <v>151</v>
      </c>
      <c r="EN811" s="31" t="s">
        <v>151</v>
      </c>
      <c r="EO811" s="31" t="s">
        <v>151</v>
      </c>
      <c r="EP811" s="30" t="s">
        <v>151</v>
      </c>
      <c r="EQ811" s="29" t="s">
        <v>151</v>
      </c>
      <c r="ER811" s="29" t="s">
        <v>151</v>
      </c>
      <c r="ES811" s="4">
        <f>HYPERLINK("https://my.pitchbook.com?c=538990-12","View Company Online")</f>
      </c>
    </row>
    <row r="812">
      <c r="A812" s="17" t="s">
        <v>16539</v>
      </c>
      <c r="B812" s="17" t="s">
        <v>16540</v>
      </c>
      <c r="C812" s="18" t="s">
        <v>151</v>
      </c>
      <c r="D812" s="17" t="s">
        <v>16541</v>
      </c>
      <c r="E812" s="17" t="s">
        <v>151</v>
      </c>
      <c r="F812" s="17" t="s">
        <v>16542</v>
      </c>
      <c r="G812" s="17" t="s">
        <v>151</v>
      </c>
      <c r="H812" s="17" t="s">
        <v>151</v>
      </c>
      <c r="I812" s="17" t="s">
        <v>151</v>
      </c>
      <c r="J812" s="17" t="s">
        <v>16539</v>
      </c>
      <c r="K812" s="17" t="s">
        <v>16543</v>
      </c>
      <c r="L812" s="17" t="s">
        <v>155</v>
      </c>
      <c r="M812" s="17" t="s">
        <v>361</v>
      </c>
      <c r="N812" s="17" t="s">
        <v>3162</v>
      </c>
      <c r="O812" s="17" t="s">
        <v>16544</v>
      </c>
      <c r="P812" s="17" t="s">
        <v>16545</v>
      </c>
      <c r="Q812" s="17" t="s">
        <v>16546</v>
      </c>
      <c r="R812" s="17" t="s">
        <v>151</v>
      </c>
      <c r="S812" s="17" t="s">
        <v>162</v>
      </c>
      <c r="T812" s="24">
        <v>3.15</v>
      </c>
      <c r="U812" s="17" t="s">
        <v>163</v>
      </c>
      <c r="V812" s="17" t="s">
        <v>164</v>
      </c>
      <c r="W812" s="17" t="s">
        <v>165</v>
      </c>
      <c r="X812" s="15" t="s">
        <v>16547</v>
      </c>
      <c r="Y812" s="15" t="s">
        <v>16548</v>
      </c>
      <c r="Z812" s="27">
        <v>21</v>
      </c>
      <c r="AA812" s="17" t="s">
        <v>16549</v>
      </c>
      <c r="AB812" s="17" t="s">
        <v>151</v>
      </c>
      <c r="AC812" s="17" t="s">
        <v>151</v>
      </c>
      <c r="AD812" s="26">
        <v>2018</v>
      </c>
      <c r="AE812" s="17" t="s">
        <v>151</v>
      </c>
      <c r="AF812" s="22">
        <v>45595</v>
      </c>
      <c r="AG812" s="17" t="s">
        <v>151</v>
      </c>
      <c r="AH812" s="17" t="s">
        <v>151</v>
      </c>
      <c r="AI812" s="25" t="s">
        <v>151</v>
      </c>
      <c r="AJ812" s="19" t="s">
        <v>151</v>
      </c>
      <c r="AK812" s="25" t="s">
        <v>151</v>
      </c>
      <c r="AL812" s="25" t="s">
        <v>151</v>
      </c>
      <c r="AM812" s="25" t="s">
        <v>151</v>
      </c>
      <c r="AN812" s="25" t="s">
        <v>151</v>
      </c>
      <c r="AO812" s="25" t="s">
        <v>151</v>
      </c>
      <c r="AP812" s="25" t="s">
        <v>151</v>
      </c>
      <c r="AQ812" s="25" t="s">
        <v>151</v>
      </c>
      <c r="AR812" s="16" t="s">
        <v>151</v>
      </c>
      <c r="AS812" s="17" t="s">
        <v>16550</v>
      </c>
      <c r="AT812" s="17" t="s">
        <v>16551</v>
      </c>
      <c r="AU812" s="18">
        <v>15</v>
      </c>
      <c r="AV812" s="17" t="s">
        <v>151</v>
      </c>
      <c r="AW812" s="17" t="s">
        <v>151</v>
      </c>
      <c r="AX812" s="17" t="s">
        <v>151</v>
      </c>
      <c r="AY812" s="17" t="s">
        <v>16552</v>
      </c>
      <c r="AZ812" s="17" t="s">
        <v>151</v>
      </c>
      <c r="BA812" s="17" t="s">
        <v>151</v>
      </c>
      <c r="BB812" s="17" t="s">
        <v>151</v>
      </c>
      <c r="BC812" s="17" t="s">
        <v>151</v>
      </c>
      <c r="BD812" s="17" t="s">
        <v>16553</v>
      </c>
      <c r="BE812" s="17" t="s">
        <v>16554</v>
      </c>
      <c r="BF812" s="17" t="s">
        <v>493</v>
      </c>
      <c r="BG812" s="17" t="s">
        <v>16555</v>
      </c>
      <c r="BH812" s="17" t="s">
        <v>16556</v>
      </c>
      <c r="BI812" s="17" t="s">
        <v>934</v>
      </c>
      <c r="BJ812" s="17" t="s">
        <v>151</v>
      </c>
      <c r="BK812" s="17" t="s">
        <v>151</v>
      </c>
      <c r="BL812" s="17" t="s">
        <v>937</v>
      </c>
      <c r="BM812" s="17" t="s">
        <v>184</v>
      </c>
      <c r="BN812" s="16" t="s">
        <v>16557</v>
      </c>
      <c r="BO812" s="17" t="s">
        <v>186</v>
      </c>
      <c r="BP812" s="16" t="s">
        <v>151</v>
      </c>
      <c r="BQ812" s="16" t="s">
        <v>151</v>
      </c>
      <c r="BR812" s="17" t="s">
        <v>16558</v>
      </c>
      <c r="BS812" s="17" t="s">
        <v>187</v>
      </c>
      <c r="BT812" s="17" t="s">
        <v>188</v>
      </c>
      <c r="BU812" s="22">
        <v>44315</v>
      </c>
      <c r="BV812" s="24">
        <v>0.15</v>
      </c>
      <c r="BW812" s="17" t="s">
        <v>192</v>
      </c>
      <c r="BX812" s="24" t="s">
        <v>151</v>
      </c>
      <c r="BY812" s="17" t="s">
        <v>151</v>
      </c>
      <c r="BZ812" s="17" t="s">
        <v>189</v>
      </c>
      <c r="CA812" s="17" t="s">
        <v>151</v>
      </c>
      <c r="CB812" s="17" t="s">
        <v>151</v>
      </c>
      <c r="CC812" s="17" t="s">
        <v>190</v>
      </c>
      <c r="CD812" s="17" t="s">
        <v>151</v>
      </c>
      <c r="CE812" s="17" t="s">
        <v>191</v>
      </c>
      <c r="CF812" s="22">
        <v>45566</v>
      </c>
      <c r="CG812" s="24" t="s">
        <v>151</v>
      </c>
      <c r="CH812" s="17" t="s">
        <v>151</v>
      </c>
      <c r="CI812" s="24" t="s">
        <v>151</v>
      </c>
      <c r="CJ812" s="17" t="s">
        <v>151</v>
      </c>
      <c r="CK812" s="16" t="s">
        <v>151</v>
      </c>
      <c r="CL812" s="17" t="s">
        <v>194</v>
      </c>
      <c r="CM812" s="17" t="s">
        <v>151</v>
      </c>
      <c r="CN812" s="17" t="s">
        <v>151</v>
      </c>
      <c r="CO812" s="17" t="s">
        <v>165</v>
      </c>
      <c r="CP812" s="22">
        <v>45566</v>
      </c>
      <c r="CQ812" s="24" t="s">
        <v>151</v>
      </c>
      <c r="CR812" s="17" t="s">
        <v>151</v>
      </c>
      <c r="CS812" s="17" t="s">
        <v>191</v>
      </c>
      <c r="CT812" s="16">
        <v>84</v>
      </c>
      <c r="CU812" s="17" t="s">
        <v>196</v>
      </c>
      <c r="CV812" s="19">
        <v>77</v>
      </c>
      <c r="CW812" s="19">
        <v>23</v>
      </c>
      <c r="CX812" s="17" t="s">
        <v>294</v>
      </c>
      <c r="CY812" s="19">
        <v>1</v>
      </c>
      <c r="CZ812" s="19">
        <v>76</v>
      </c>
      <c r="DA812" s="24" t="s">
        <v>151</v>
      </c>
      <c r="DB812" s="22" t="s">
        <v>151</v>
      </c>
      <c r="DC812" s="17" t="s">
        <v>151</v>
      </c>
      <c r="DD812" s="16" t="s">
        <v>151</v>
      </c>
      <c r="DE812" s="19">
        <v>-0.33</v>
      </c>
      <c r="DF812" s="21">
        <v>8</v>
      </c>
      <c r="DG812" s="19">
        <v>0</v>
      </c>
      <c r="DH812" s="19">
        <v>0</v>
      </c>
      <c r="DI812" s="19">
        <v>0</v>
      </c>
      <c r="DJ812" s="21">
        <v>10</v>
      </c>
      <c r="DK812" s="19" t="s">
        <v>151</v>
      </c>
      <c r="DL812" s="21" t="s">
        <v>151</v>
      </c>
      <c r="DM812" s="19">
        <v>0</v>
      </c>
      <c r="DN812" s="21">
        <v>10</v>
      </c>
      <c r="DO812" s="23">
        <v>2.09</v>
      </c>
      <c r="DP812" s="21">
        <v>67</v>
      </c>
      <c r="DQ812" s="23">
        <v>0</v>
      </c>
      <c r="DR812" s="19">
        <v>0</v>
      </c>
      <c r="DS812" s="23">
        <v>2.79</v>
      </c>
      <c r="DT812" s="21">
        <v>73</v>
      </c>
      <c r="DU812" s="23" t="s">
        <v>151</v>
      </c>
      <c r="DV812" s="21" t="s">
        <v>151</v>
      </c>
      <c r="DW812" s="23">
        <v>2.79</v>
      </c>
      <c r="DX812" s="21">
        <v>72</v>
      </c>
      <c r="DY812" s="18" t="s">
        <v>151</v>
      </c>
      <c r="DZ812" s="22" t="s">
        <v>151</v>
      </c>
      <c r="EA812" s="22" t="s">
        <v>151</v>
      </c>
      <c r="EB812" s="21">
        <v>5198</v>
      </c>
      <c r="EC812" s="20">
        <v>-95</v>
      </c>
      <c r="ED812" s="19">
        <v>-1.79</v>
      </c>
      <c r="EE812" s="21">
        <v>53</v>
      </c>
      <c r="EF812" s="20">
        <v>0</v>
      </c>
      <c r="EG812" s="19">
        <v>0</v>
      </c>
      <c r="EH812" s="16" t="s">
        <v>198</v>
      </c>
      <c r="EI812" s="17" t="s">
        <v>151</v>
      </c>
      <c r="EJ812" s="17" t="s">
        <v>151</v>
      </c>
      <c r="EK812" s="18" t="s">
        <v>151</v>
      </c>
      <c r="EL812" s="18" t="s">
        <v>151</v>
      </c>
      <c r="EM812" s="18" t="s">
        <v>151</v>
      </c>
      <c r="EN812" s="18" t="s">
        <v>151</v>
      </c>
      <c r="EO812" s="18" t="s">
        <v>151</v>
      </c>
      <c r="EP812" s="17" t="s">
        <v>151</v>
      </c>
      <c r="EQ812" s="16" t="s">
        <v>151</v>
      </c>
      <c r="ER812" s="16" t="s">
        <v>151</v>
      </c>
      <c r="ES812" s="3">
        <f>HYPERLINK("https://my.pitchbook.com?c=465648-94","View Company Online")</f>
      </c>
    </row>
    <row r="813">
      <c r="A813" s="30" t="s">
        <v>16559</v>
      </c>
      <c r="B813" s="30" t="s">
        <v>16560</v>
      </c>
      <c r="C813" s="31" t="s">
        <v>151</v>
      </c>
      <c r="D813" s="30" t="s">
        <v>151</v>
      </c>
      <c r="E813" s="30" t="s">
        <v>151</v>
      </c>
      <c r="F813" s="30" t="s">
        <v>16561</v>
      </c>
      <c r="G813" s="30" t="s">
        <v>151</v>
      </c>
      <c r="H813" s="30" t="s">
        <v>151</v>
      </c>
      <c r="I813" s="30" t="s">
        <v>16562</v>
      </c>
      <c r="J813" s="30" t="s">
        <v>16559</v>
      </c>
      <c r="K813" s="30" t="s">
        <v>16563</v>
      </c>
      <c r="L813" s="30" t="s">
        <v>1792</v>
      </c>
      <c r="M813" s="30" t="s">
        <v>5329</v>
      </c>
      <c r="N813" s="30" t="s">
        <v>5330</v>
      </c>
      <c r="O813" s="30" t="s">
        <v>12931</v>
      </c>
      <c r="P813" s="30" t="s">
        <v>16564</v>
      </c>
      <c r="Q813" s="30" t="s">
        <v>16565</v>
      </c>
      <c r="R813" s="30" t="s">
        <v>151</v>
      </c>
      <c r="S813" s="30" t="s">
        <v>162</v>
      </c>
      <c r="T813" s="37">
        <v>4.33</v>
      </c>
      <c r="U813" s="30" t="s">
        <v>163</v>
      </c>
      <c r="V813" s="30" t="s">
        <v>164</v>
      </c>
      <c r="W813" s="30" t="s">
        <v>165</v>
      </c>
      <c r="X813" s="28" t="s">
        <v>16566</v>
      </c>
      <c r="Y813" s="28" t="s">
        <v>16567</v>
      </c>
      <c r="Z813" s="40">
        <v>6</v>
      </c>
      <c r="AA813" s="30" t="s">
        <v>16568</v>
      </c>
      <c r="AB813" s="30" t="s">
        <v>151</v>
      </c>
      <c r="AC813" s="30" t="s">
        <v>151</v>
      </c>
      <c r="AD813" s="39">
        <v>2020</v>
      </c>
      <c r="AE813" s="30" t="s">
        <v>151</v>
      </c>
      <c r="AF813" s="35">
        <v>45510</v>
      </c>
      <c r="AG813" s="30" t="s">
        <v>151</v>
      </c>
      <c r="AH813" s="30" t="s">
        <v>151</v>
      </c>
      <c r="AI813" s="38" t="s">
        <v>151</v>
      </c>
      <c r="AJ813" s="32" t="s">
        <v>151</v>
      </c>
      <c r="AK813" s="38" t="s">
        <v>151</v>
      </c>
      <c r="AL813" s="38" t="s">
        <v>151</v>
      </c>
      <c r="AM813" s="38" t="s">
        <v>151</v>
      </c>
      <c r="AN813" s="38" t="s">
        <v>151</v>
      </c>
      <c r="AO813" s="38" t="s">
        <v>151</v>
      </c>
      <c r="AP813" s="38" t="s">
        <v>151</v>
      </c>
      <c r="AQ813" s="38" t="s">
        <v>151</v>
      </c>
      <c r="AR813" s="29" t="s">
        <v>151</v>
      </c>
      <c r="AS813" s="30" t="s">
        <v>16569</v>
      </c>
      <c r="AT813" s="30" t="s">
        <v>16570</v>
      </c>
      <c r="AU813" s="31">
        <v>10</v>
      </c>
      <c r="AV813" s="30" t="s">
        <v>151</v>
      </c>
      <c r="AW813" s="30" t="s">
        <v>151</v>
      </c>
      <c r="AX813" s="30" t="s">
        <v>151</v>
      </c>
      <c r="AY813" s="30" t="s">
        <v>16571</v>
      </c>
      <c r="AZ813" s="30" t="s">
        <v>151</v>
      </c>
      <c r="BA813" s="30" t="s">
        <v>151</v>
      </c>
      <c r="BB813" s="30" t="s">
        <v>151</v>
      </c>
      <c r="BC813" s="30" t="s">
        <v>16572</v>
      </c>
      <c r="BD813" s="30" t="s">
        <v>16573</v>
      </c>
      <c r="BE813" s="30" t="s">
        <v>16574</v>
      </c>
      <c r="BF813" s="30" t="s">
        <v>221</v>
      </c>
      <c r="BG813" s="30" t="s">
        <v>16575</v>
      </c>
      <c r="BH813" s="30" t="s">
        <v>16576</v>
      </c>
      <c r="BI813" s="30" t="s">
        <v>906</v>
      </c>
      <c r="BJ813" s="30" t="s">
        <v>16577</v>
      </c>
      <c r="BK813" s="30" t="s">
        <v>151</v>
      </c>
      <c r="BL813" s="30" t="s">
        <v>259</v>
      </c>
      <c r="BM813" s="30" t="s">
        <v>259</v>
      </c>
      <c r="BN813" s="29" t="s">
        <v>16578</v>
      </c>
      <c r="BO813" s="30" t="s">
        <v>186</v>
      </c>
      <c r="BP813" s="29" t="s">
        <v>16576</v>
      </c>
      <c r="BQ813" s="29" t="s">
        <v>151</v>
      </c>
      <c r="BR813" s="30" t="s">
        <v>16579</v>
      </c>
      <c r="BS813" s="30" t="s">
        <v>187</v>
      </c>
      <c r="BT813" s="30" t="s">
        <v>188</v>
      </c>
      <c r="BU813" s="35">
        <v>43958</v>
      </c>
      <c r="BV813" s="37">
        <v>0.01</v>
      </c>
      <c r="BW813" s="30" t="s">
        <v>193</v>
      </c>
      <c r="BX813" s="37" t="s">
        <v>151</v>
      </c>
      <c r="BY813" s="30" t="s">
        <v>151</v>
      </c>
      <c r="BZ813" s="30" t="s">
        <v>189</v>
      </c>
      <c r="CA813" s="30" t="s">
        <v>151</v>
      </c>
      <c r="CB813" s="30" t="s">
        <v>151</v>
      </c>
      <c r="CC813" s="30" t="s">
        <v>190</v>
      </c>
      <c r="CD813" s="30" t="s">
        <v>151</v>
      </c>
      <c r="CE813" s="30" t="s">
        <v>191</v>
      </c>
      <c r="CF813" s="35">
        <v>45342</v>
      </c>
      <c r="CG813" s="37">
        <v>2</v>
      </c>
      <c r="CH813" s="30" t="s">
        <v>192</v>
      </c>
      <c r="CI813" s="37" t="s">
        <v>151</v>
      </c>
      <c r="CJ813" s="30" t="s">
        <v>151</v>
      </c>
      <c r="CK813" s="29" t="s">
        <v>151</v>
      </c>
      <c r="CL813" s="30" t="s">
        <v>293</v>
      </c>
      <c r="CM813" s="30" t="s">
        <v>293</v>
      </c>
      <c r="CN813" s="30" t="s">
        <v>151</v>
      </c>
      <c r="CO813" s="30" t="s">
        <v>165</v>
      </c>
      <c r="CP813" s="35">
        <v>45342</v>
      </c>
      <c r="CQ813" s="37" t="s">
        <v>151</v>
      </c>
      <c r="CR813" s="30" t="s">
        <v>151</v>
      </c>
      <c r="CS813" s="30" t="s">
        <v>191</v>
      </c>
      <c r="CT813" s="29">
        <v>59</v>
      </c>
      <c r="CU813" s="30" t="s">
        <v>196</v>
      </c>
      <c r="CV813" s="32">
        <v>56</v>
      </c>
      <c r="CW813" s="32">
        <v>44</v>
      </c>
      <c r="CX813" s="30" t="s">
        <v>294</v>
      </c>
      <c r="CY813" s="32">
        <v>1</v>
      </c>
      <c r="CZ813" s="32">
        <v>55</v>
      </c>
      <c r="DA813" s="37">
        <v>0.33</v>
      </c>
      <c r="DB813" s="35">
        <v>44508</v>
      </c>
      <c r="DC813" s="30" t="s">
        <v>189</v>
      </c>
      <c r="DD813" s="29" t="s">
        <v>151</v>
      </c>
      <c r="DE813" s="32">
        <v>2.51</v>
      </c>
      <c r="DF813" s="34">
        <v>99</v>
      </c>
      <c r="DG813" s="32">
        <v>0</v>
      </c>
      <c r="DH813" s="32">
        <v>0</v>
      </c>
      <c r="DI813" s="32">
        <v>-0.61</v>
      </c>
      <c r="DJ813" s="34">
        <v>6</v>
      </c>
      <c r="DK813" s="32" t="s">
        <v>151</v>
      </c>
      <c r="DL813" s="34" t="s">
        <v>151</v>
      </c>
      <c r="DM813" s="32">
        <v>-0.61</v>
      </c>
      <c r="DN813" s="34">
        <v>6</v>
      </c>
      <c r="DO813" s="36">
        <v>2.76</v>
      </c>
      <c r="DP813" s="34">
        <v>73</v>
      </c>
      <c r="DQ813" s="36">
        <v>0</v>
      </c>
      <c r="DR813" s="32">
        <v>0</v>
      </c>
      <c r="DS813" s="36">
        <v>5.05</v>
      </c>
      <c r="DT813" s="34">
        <v>82</v>
      </c>
      <c r="DU813" s="36" t="s">
        <v>151</v>
      </c>
      <c r="DV813" s="34" t="s">
        <v>151</v>
      </c>
      <c r="DW813" s="36">
        <v>5.05</v>
      </c>
      <c r="DX813" s="34">
        <v>82</v>
      </c>
      <c r="DY813" s="31" t="s">
        <v>151</v>
      </c>
      <c r="DZ813" s="35" t="s">
        <v>151</v>
      </c>
      <c r="EA813" s="35" t="s">
        <v>151</v>
      </c>
      <c r="EB813" s="34">
        <v>405</v>
      </c>
      <c r="EC813" s="33">
        <v>70</v>
      </c>
      <c r="ED813" s="32">
        <v>20.9</v>
      </c>
      <c r="EE813" s="34">
        <v>96</v>
      </c>
      <c r="EF813" s="33">
        <v>0</v>
      </c>
      <c r="EG813" s="32">
        <v>0</v>
      </c>
      <c r="EH813" s="29" t="s">
        <v>198</v>
      </c>
      <c r="EI813" s="30" t="s">
        <v>151</v>
      </c>
      <c r="EJ813" s="30" t="s">
        <v>151</v>
      </c>
      <c r="EK813" s="31" t="s">
        <v>151</v>
      </c>
      <c r="EL813" s="31" t="s">
        <v>151</v>
      </c>
      <c r="EM813" s="31" t="s">
        <v>151</v>
      </c>
      <c r="EN813" s="31" t="s">
        <v>151</v>
      </c>
      <c r="EO813" s="31" t="s">
        <v>151</v>
      </c>
      <c r="EP813" s="30" t="s">
        <v>151</v>
      </c>
      <c r="EQ813" s="29" t="s">
        <v>151</v>
      </c>
      <c r="ER813" s="29" t="s">
        <v>151</v>
      </c>
      <c r="ES813" s="4">
        <f>HYPERLINK("https://my.pitchbook.com?c=437487-13","View Company Online")</f>
      </c>
    </row>
    <row r="814">
      <c r="A814" s="17" t="s">
        <v>16580</v>
      </c>
      <c r="B814" s="17" t="s">
        <v>16581</v>
      </c>
      <c r="C814" s="18" t="s">
        <v>151</v>
      </c>
      <c r="D814" s="17" t="s">
        <v>151</v>
      </c>
      <c r="E814" s="17" t="s">
        <v>151</v>
      </c>
      <c r="F814" s="17" t="s">
        <v>16582</v>
      </c>
      <c r="G814" s="17" t="s">
        <v>151</v>
      </c>
      <c r="H814" s="17" t="s">
        <v>151</v>
      </c>
      <c r="I814" s="17" t="s">
        <v>151</v>
      </c>
      <c r="J814" s="17" t="s">
        <v>16580</v>
      </c>
      <c r="K814" s="17" t="s">
        <v>16583</v>
      </c>
      <c r="L814" s="17" t="s">
        <v>155</v>
      </c>
      <c r="M814" s="17" t="s">
        <v>361</v>
      </c>
      <c r="N814" s="17" t="s">
        <v>3162</v>
      </c>
      <c r="O814" s="17" t="s">
        <v>16584</v>
      </c>
      <c r="P814" s="17" t="s">
        <v>304</v>
      </c>
      <c r="Q814" s="17" t="s">
        <v>16585</v>
      </c>
      <c r="R814" s="17" t="s">
        <v>151</v>
      </c>
      <c r="S814" s="17" t="s">
        <v>162</v>
      </c>
      <c r="T814" s="24">
        <v>3</v>
      </c>
      <c r="U814" s="17" t="s">
        <v>163</v>
      </c>
      <c r="V814" s="17" t="s">
        <v>164</v>
      </c>
      <c r="W814" s="17" t="s">
        <v>165</v>
      </c>
      <c r="X814" s="15" t="s">
        <v>16586</v>
      </c>
      <c r="Y814" s="15" t="s">
        <v>16587</v>
      </c>
      <c r="Z814" s="27">
        <v>9</v>
      </c>
      <c r="AA814" s="17" t="s">
        <v>16588</v>
      </c>
      <c r="AB814" s="17" t="s">
        <v>151</v>
      </c>
      <c r="AC814" s="17" t="s">
        <v>151</v>
      </c>
      <c r="AD814" s="26">
        <v>2021</v>
      </c>
      <c r="AE814" s="17" t="s">
        <v>151</v>
      </c>
      <c r="AF814" s="22">
        <v>45380</v>
      </c>
      <c r="AG814" s="17" t="s">
        <v>151</v>
      </c>
      <c r="AH814" s="17" t="s">
        <v>151</v>
      </c>
      <c r="AI814" s="25" t="s">
        <v>151</v>
      </c>
      <c r="AJ814" s="19" t="s">
        <v>151</v>
      </c>
      <c r="AK814" s="25" t="s">
        <v>151</v>
      </c>
      <c r="AL814" s="25" t="s">
        <v>151</v>
      </c>
      <c r="AM814" s="25" t="s">
        <v>151</v>
      </c>
      <c r="AN814" s="25" t="s">
        <v>151</v>
      </c>
      <c r="AO814" s="25" t="s">
        <v>151</v>
      </c>
      <c r="AP814" s="25" t="s">
        <v>151</v>
      </c>
      <c r="AQ814" s="25" t="s">
        <v>151</v>
      </c>
      <c r="AR814" s="16" t="s">
        <v>151</v>
      </c>
      <c r="AS814" s="17" t="s">
        <v>16589</v>
      </c>
      <c r="AT814" s="17" t="s">
        <v>16590</v>
      </c>
      <c r="AU814" s="18">
        <v>1</v>
      </c>
      <c r="AV814" s="17" t="s">
        <v>151</v>
      </c>
      <c r="AW814" s="17" t="s">
        <v>151</v>
      </c>
      <c r="AX814" s="17" t="s">
        <v>151</v>
      </c>
      <c r="AY814" s="17" t="s">
        <v>16591</v>
      </c>
      <c r="AZ814" s="17" t="s">
        <v>151</v>
      </c>
      <c r="BA814" s="17" t="s">
        <v>151</v>
      </c>
      <c r="BB814" s="17" t="s">
        <v>151</v>
      </c>
      <c r="BC814" s="17" t="s">
        <v>151</v>
      </c>
      <c r="BD814" s="17" t="s">
        <v>16592</v>
      </c>
      <c r="BE814" s="17" t="s">
        <v>16593</v>
      </c>
      <c r="BF814" s="17" t="s">
        <v>16594</v>
      </c>
      <c r="BG814" s="17" t="s">
        <v>16595</v>
      </c>
      <c r="BH814" s="17" t="s">
        <v>16596</v>
      </c>
      <c r="BI814" s="17" t="s">
        <v>10468</v>
      </c>
      <c r="BJ814" s="17" t="s">
        <v>16597</v>
      </c>
      <c r="BK814" s="17" t="s">
        <v>16598</v>
      </c>
      <c r="BL814" s="17" t="s">
        <v>10470</v>
      </c>
      <c r="BM814" s="17" t="s">
        <v>9081</v>
      </c>
      <c r="BN814" s="16" t="s">
        <v>11427</v>
      </c>
      <c r="BO814" s="17" t="s">
        <v>186</v>
      </c>
      <c r="BP814" s="16" t="s">
        <v>16596</v>
      </c>
      <c r="BQ814" s="16" t="s">
        <v>151</v>
      </c>
      <c r="BR814" s="17" t="s">
        <v>16599</v>
      </c>
      <c r="BS814" s="17" t="s">
        <v>187</v>
      </c>
      <c r="BT814" s="17" t="s">
        <v>188</v>
      </c>
      <c r="BU814" s="22">
        <v>45275</v>
      </c>
      <c r="BV814" s="24">
        <v>3</v>
      </c>
      <c r="BW814" s="17" t="s">
        <v>192</v>
      </c>
      <c r="BX814" s="24" t="s">
        <v>151</v>
      </c>
      <c r="BY814" s="17" t="s">
        <v>151</v>
      </c>
      <c r="BZ814" s="17" t="s">
        <v>231</v>
      </c>
      <c r="CA814" s="17" t="s">
        <v>151</v>
      </c>
      <c r="CB814" s="17" t="s">
        <v>151</v>
      </c>
      <c r="CC814" s="17" t="s">
        <v>165</v>
      </c>
      <c r="CD814" s="17" t="s">
        <v>151</v>
      </c>
      <c r="CE814" s="17" t="s">
        <v>191</v>
      </c>
      <c r="CF814" s="22">
        <v>45275</v>
      </c>
      <c r="CG814" s="24">
        <v>3</v>
      </c>
      <c r="CH814" s="17" t="s">
        <v>192</v>
      </c>
      <c r="CI814" s="24" t="s">
        <v>151</v>
      </c>
      <c r="CJ814" s="17" t="s">
        <v>151</v>
      </c>
      <c r="CK814" s="16" t="s">
        <v>151</v>
      </c>
      <c r="CL814" s="17" t="s">
        <v>231</v>
      </c>
      <c r="CM814" s="17" t="s">
        <v>151</v>
      </c>
      <c r="CN814" s="17" t="s">
        <v>151</v>
      </c>
      <c r="CO814" s="17" t="s">
        <v>165</v>
      </c>
      <c r="CP814" s="22">
        <v>45275</v>
      </c>
      <c r="CQ814" s="24" t="s">
        <v>151</v>
      </c>
      <c r="CR814" s="17" t="s">
        <v>151</v>
      </c>
      <c r="CS814" s="17" t="s">
        <v>191</v>
      </c>
      <c r="CT814" s="16" t="s">
        <v>151</v>
      </c>
      <c r="CU814" s="17" t="s">
        <v>151</v>
      </c>
      <c r="CV814" s="19" t="s">
        <v>151</v>
      </c>
      <c r="CW814" s="19" t="s">
        <v>151</v>
      </c>
      <c r="CX814" s="17" t="s">
        <v>151</v>
      </c>
      <c r="CY814" s="19" t="s">
        <v>151</v>
      </c>
      <c r="CZ814" s="19" t="s">
        <v>151</v>
      </c>
      <c r="DA814" s="24" t="s">
        <v>151</v>
      </c>
      <c r="DB814" s="22" t="s">
        <v>151</v>
      </c>
      <c r="DC814" s="17" t="s">
        <v>151</v>
      </c>
      <c r="DD814" s="16" t="s">
        <v>151</v>
      </c>
      <c r="DE814" s="19">
        <v>0</v>
      </c>
      <c r="DF814" s="21">
        <v>11</v>
      </c>
      <c r="DG814" s="19">
        <v>0</v>
      </c>
      <c r="DH814" s="19">
        <v>0</v>
      </c>
      <c r="DI814" s="19" t="s">
        <v>151</v>
      </c>
      <c r="DJ814" s="21" t="s">
        <v>151</v>
      </c>
      <c r="DK814" s="19" t="s">
        <v>151</v>
      </c>
      <c r="DL814" s="21" t="s">
        <v>151</v>
      </c>
      <c r="DM814" s="19" t="s">
        <v>151</v>
      </c>
      <c r="DN814" s="21" t="s">
        <v>151</v>
      </c>
      <c r="DO814" s="23">
        <v>0.69</v>
      </c>
      <c r="DP814" s="21">
        <v>42</v>
      </c>
      <c r="DQ814" s="23">
        <v>0</v>
      </c>
      <c r="DR814" s="19">
        <v>0</v>
      </c>
      <c r="DS814" s="23" t="s">
        <v>151</v>
      </c>
      <c r="DT814" s="21" t="s">
        <v>151</v>
      </c>
      <c r="DU814" s="23" t="s">
        <v>151</v>
      </c>
      <c r="DV814" s="21" t="s">
        <v>151</v>
      </c>
      <c r="DW814" s="23" t="s">
        <v>151</v>
      </c>
      <c r="DX814" s="21" t="s">
        <v>151</v>
      </c>
      <c r="DY814" s="18" t="s">
        <v>151</v>
      </c>
      <c r="DZ814" s="22" t="s">
        <v>151</v>
      </c>
      <c r="EA814" s="22" t="s">
        <v>151</v>
      </c>
      <c r="EB814" s="21">
        <v>1293</v>
      </c>
      <c r="EC814" s="20">
        <v>-233</v>
      </c>
      <c r="ED814" s="19">
        <v>-15.27</v>
      </c>
      <c r="EE814" s="21" t="s">
        <v>151</v>
      </c>
      <c r="EF814" s="20" t="s">
        <v>151</v>
      </c>
      <c r="EG814" s="19" t="s">
        <v>151</v>
      </c>
      <c r="EH814" s="16" t="s">
        <v>198</v>
      </c>
      <c r="EI814" s="17" t="s">
        <v>151</v>
      </c>
      <c r="EJ814" s="17" t="s">
        <v>151</v>
      </c>
      <c r="EK814" s="18" t="s">
        <v>151</v>
      </c>
      <c r="EL814" s="18" t="s">
        <v>151</v>
      </c>
      <c r="EM814" s="18" t="s">
        <v>151</v>
      </c>
      <c r="EN814" s="18" t="s">
        <v>151</v>
      </c>
      <c r="EO814" s="18" t="s">
        <v>151</v>
      </c>
      <c r="EP814" s="17" t="s">
        <v>151</v>
      </c>
      <c r="EQ814" s="16" t="s">
        <v>151</v>
      </c>
      <c r="ER814" s="16" t="s">
        <v>151</v>
      </c>
      <c r="ES814" s="3">
        <f>HYPERLINK("https://my.pitchbook.com?c=544229-29","View Company Online")</f>
      </c>
    </row>
    <row r="815">
      <c r="A815" s="30" t="s">
        <v>16600</v>
      </c>
      <c r="B815" s="30" t="s">
        <v>16601</v>
      </c>
      <c r="C815" s="31" t="s">
        <v>151</v>
      </c>
      <c r="D815" s="30" t="s">
        <v>151</v>
      </c>
      <c r="E815" s="30" t="s">
        <v>151</v>
      </c>
      <c r="F815" s="30" t="s">
        <v>16602</v>
      </c>
      <c r="G815" s="30" t="s">
        <v>151</v>
      </c>
      <c r="H815" s="30" t="s">
        <v>151</v>
      </c>
      <c r="I815" s="30" t="s">
        <v>151</v>
      </c>
      <c r="J815" s="30" t="s">
        <v>16600</v>
      </c>
      <c r="K815" s="30" t="s">
        <v>16603</v>
      </c>
      <c r="L815" s="30" t="s">
        <v>205</v>
      </c>
      <c r="M815" s="30" t="s">
        <v>206</v>
      </c>
      <c r="N815" s="30" t="s">
        <v>1940</v>
      </c>
      <c r="O815" s="30" t="s">
        <v>16604</v>
      </c>
      <c r="P815" s="30" t="s">
        <v>5633</v>
      </c>
      <c r="Q815" s="30" t="s">
        <v>16605</v>
      </c>
      <c r="R815" s="30" t="s">
        <v>151</v>
      </c>
      <c r="S815" s="30" t="s">
        <v>162</v>
      </c>
      <c r="T815" s="37">
        <v>0.22</v>
      </c>
      <c r="U815" s="30" t="s">
        <v>163</v>
      </c>
      <c r="V815" s="30" t="s">
        <v>164</v>
      </c>
      <c r="W815" s="30" t="s">
        <v>165</v>
      </c>
      <c r="X815" s="28" t="s">
        <v>16606</v>
      </c>
      <c r="Y815" s="28" t="s">
        <v>16607</v>
      </c>
      <c r="Z815" s="40">
        <v>5</v>
      </c>
      <c r="AA815" s="30" t="s">
        <v>16608</v>
      </c>
      <c r="AB815" s="30" t="s">
        <v>151</v>
      </c>
      <c r="AC815" s="30" t="s">
        <v>151</v>
      </c>
      <c r="AD815" s="39">
        <v>2021</v>
      </c>
      <c r="AE815" s="30" t="s">
        <v>151</v>
      </c>
      <c r="AF815" s="35">
        <v>45506</v>
      </c>
      <c r="AG815" s="30" t="s">
        <v>151</v>
      </c>
      <c r="AH815" s="30" t="s">
        <v>151</v>
      </c>
      <c r="AI815" s="38" t="s">
        <v>151</v>
      </c>
      <c r="AJ815" s="32" t="s">
        <v>151</v>
      </c>
      <c r="AK815" s="38" t="s">
        <v>151</v>
      </c>
      <c r="AL815" s="38" t="s">
        <v>151</v>
      </c>
      <c r="AM815" s="38" t="s">
        <v>151</v>
      </c>
      <c r="AN815" s="38" t="s">
        <v>151</v>
      </c>
      <c r="AO815" s="38" t="s">
        <v>151</v>
      </c>
      <c r="AP815" s="38" t="s">
        <v>151</v>
      </c>
      <c r="AQ815" s="38" t="s">
        <v>151</v>
      </c>
      <c r="AR815" s="29" t="s">
        <v>151</v>
      </c>
      <c r="AS815" s="30" t="s">
        <v>16609</v>
      </c>
      <c r="AT815" s="30" t="s">
        <v>16610</v>
      </c>
      <c r="AU815" s="31">
        <v>2</v>
      </c>
      <c r="AV815" s="30" t="s">
        <v>151</v>
      </c>
      <c r="AW815" s="30" t="s">
        <v>151</v>
      </c>
      <c r="AX815" s="30" t="s">
        <v>151</v>
      </c>
      <c r="AY815" s="30" t="s">
        <v>16611</v>
      </c>
      <c r="AZ815" s="30" t="s">
        <v>151</v>
      </c>
      <c r="BA815" s="30" t="s">
        <v>151</v>
      </c>
      <c r="BB815" s="30" t="s">
        <v>151</v>
      </c>
      <c r="BC815" s="30" t="s">
        <v>151</v>
      </c>
      <c r="BD815" s="30" t="s">
        <v>16612</v>
      </c>
      <c r="BE815" s="30" t="s">
        <v>16613</v>
      </c>
      <c r="BF815" s="30" t="s">
        <v>16614</v>
      </c>
      <c r="BG815" s="30" t="s">
        <v>16615</v>
      </c>
      <c r="BH815" s="30" t="s">
        <v>16616</v>
      </c>
      <c r="BI815" s="30" t="s">
        <v>16617</v>
      </c>
      <c r="BJ815" s="30" t="s">
        <v>16618</v>
      </c>
      <c r="BK815" s="30" t="s">
        <v>9604</v>
      </c>
      <c r="BL815" s="30" t="s">
        <v>5797</v>
      </c>
      <c r="BM815" s="30" t="s">
        <v>636</v>
      </c>
      <c r="BN815" s="29" t="s">
        <v>16619</v>
      </c>
      <c r="BO815" s="30" t="s">
        <v>186</v>
      </c>
      <c r="BP815" s="29" t="s">
        <v>16616</v>
      </c>
      <c r="BQ815" s="29" t="s">
        <v>151</v>
      </c>
      <c r="BR815" s="30" t="s">
        <v>16620</v>
      </c>
      <c r="BS815" s="30" t="s">
        <v>187</v>
      </c>
      <c r="BT815" s="30" t="s">
        <v>188</v>
      </c>
      <c r="BU815" s="35">
        <v>44545</v>
      </c>
      <c r="BV815" s="37">
        <v>0.22</v>
      </c>
      <c r="BW815" s="30" t="s">
        <v>192</v>
      </c>
      <c r="BX815" s="37" t="s">
        <v>151</v>
      </c>
      <c r="BY815" s="30" t="s">
        <v>151</v>
      </c>
      <c r="BZ815" s="30" t="s">
        <v>293</v>
      </c>
      <c r="CA815" s="30" t="s">
        <v>293</v>
      </c>
      <c r="CB815" s="30" t="s">
        <v>151</v>
      </c>
      <c r="CC815" s="30" t="s">
        <v>165</v>
      </c>
      <c r="CD815" s="30" t="s">
        <v>151</v>
      </c>
      <c r="CE815" s="30" t="s">
        <v>191</v>
      </c>
      <c r="CF815" s="35">
        <v>44545</v>
      </c>
      <c r="CG815" s="37">
        <v>0.22</v>
      </c>
      <c r="CH815" s="30" t="s">
        <v>192</v>
      </c>
      <c r="CI815" s="37" t="s">
        <v>151</v>
      </c>
      <c r="CJ815" s="30" t="s">
        <v>151</v>
      </c>
      <c r="CK815" s="29" t="s">
        <v>151</v>
      </c>
      <c r="CL815" s="30" t="s">
        <v>293</v>
      </c>
      <c r="CM815" s="30" t="s">
        <v>293</v>
      </c>
      <c r="CN815" s="30" t="s">
        <v>151</v>
      </c>
      <c r="CO815" s="30" t="s">
        <v>165</v>
      </c>
      <c r="CP815" s="35">
        <v>44545</v>
      </c>
      <c r="CQ815" s="37" t="s">
        <v>151</v>
      </c>
      <c r="CR815" s="30" t="s">
        <v>151</v>
      </c>
      <c r="CS815" s="30" t="s">
        <v>191</v>
      </c>
      <c r="CT815" s="29" t="s">
        <v>151</v>
      </c>
      <c r="CU815" s="30" t="s">
        <v>151</v>
      </c>
      <c r="CV815" s="32" t="s">
        <v>151</v>
      </c>
      <c r="CW815" s="32" t="s">
        <v>151</v>
      </c>
      <c r="CX815" s="30" t="s">
        <v>151</v>
      </c>
      <c r="CY815" s="32" t="s">
        <v>151</v>
      </c>
      <c r="CZ815" s="32" t="s">
        <v>151</v>
      </c>
      <c r="DA815" s="37" t="s">
        <v>151</v>
      </c>
      <c r="DB815" s="35" t="s">
        <v>151</v>
      </c>
      <c r="DC815" s="30" t="s">
        <v>151</v>
      </c>
      <c r="DD815" s="29" t="s">
        <v>151</v>
      </c>
      <c r="DE815" s="32">
        <v>0</v>
      </c>
      <c r="DF815" s="34">
        <v>11</v>
      </c>
      <c r="DG815" s="32">
        <v>0</v>
      </c>
      <c r="DH815" s="32">
        <v>0</v>
      </c>
      <c r="DI815" s="32">
        <v>0</v>
      </c>
      <c r="DJ815" s="34">
        <v>10</v>
      </c>
      <c r="DK815" s="32" t="s">
        <v>151</v>
      </c>
      <c r="DL815" s="34" t="s">
        <v>151</v>
      </c>
      <c r="DM815" s="32">
        <v>0</v>
      </c>
      <c r="DN815" s="34">
        <v>10</v>
      </c>
      <c r="DO815" s="36">
        <v>0.98</v>
      </c>
      <c r="DP815" s="34">
        <v>49</v>
      </c>
      <c r="DQ815" s="36">
        <v>0</v>
      </c>
      <c r="DR815" s="32">
        <v>0</v>
      </c>
      <c r="DS815" s="36">
        <v>1.58</v>
      </c>
      <c r="DT815" s="34">
        <v>60</v>
      </c>
      <c r="DU815" s="36" t="s">
        <v>151</v>
      </c>
      <c r="DV815" s="34" t="s">
        <v>151</v>
      </c>
      <c r="DW815" s="36">
        <v>1.58</v>
      </c>
      <c r="DX815" s="34">
        <v>60</v>
      </c>
      <c r="DY815" s="31" t="s">
        <v>151</v>
      </c>
      <c r="DZ815" s="35" t="s">
        <v>151</v>
      </c>
      <c r="EA815" s="35" t="s">
        <v>151</v>
      </c>
      <c r="EB815" s="34">
        <v>130</v>
      </c>
      <c r="EC815" s="33">
        <v>22</v>
      </c>
      <c r="ED815" s="32">
        <v>20.37</v>
      </c>
      <c r="EE815" s="34">
        <v>30</v>
      </c>
      <c r="EF815" s="33">
        <v>0</v>
      </c>
      <c r="EG815" s="32">
        <v>0</v>
      </c>
      <c r="EH815" s="29" t="s">
        <v>198</v>
      </c>
      <c r="EI815" s="30" t="s">
        <v>151</v>
      </c>
      <c r="EJ815" s="30" t="s">
        <v>151</v>
      </c>
      <c r="EK815" s="31" t="s">
        <v>151</v>
      </c>
      <c r="EL815" s="31" t="s">
        <v>151</v>
      </c>
      <c r="EM815" s="31" t="s">
        <v>151</v>
      </c>
      <c r="EN815" s="31" t="s">
        <v>151</v>
      </c>
      <c r="EO815" s="31" t="s">
        <v>151</v>
      </c>
      <c r="EP815" s="30" t="s">
        <v>151</v>
      </c>
      <c r="EQ815" s="29" t="s">
        <v>151</v>
      </c>
      <c r="ER815" s="29" t="s">
        <v>151</v>
      </c>
      <c r="ES815" s="4">
        <f>HYPERLINK("https://my.pitchbook.com?c=489306-61","View Company Online")</f>
      </c>
    </row>
    <row r="816">
      <c r="A816" s="17" t="s">
        <v>16621</v>
      </c>
      <c r="B816" s="17" t="s">
        <v>16622</v>
      </c>
      <c r="C816" s="18" t="s">
        <v>151</v>
      </c>
      <c r="D816" s="17" t="s">
        <v>151</v>
      </c>
      <c r="E816" s="17" t="s">
        <v>151</v>
      </c>
      <c r="F816" s="17" t="s">
        <v>16623</v>
      </c>
      <c r="G816" s="17" t="s">
        <v>151</v>
      </c>
      <c r="H816" s="17" t="s">
        <v>151</v>
      </c>
      <c r="I816" s="17" t="s">
        <v>151</v>
      </c>
      <c r="J816" s="17" t="s">
        <v>16621</v>
      </c>
      <c r="K816" s="17" t="s">
        <v>16624</v>
      </c>
      <c r="L816" s="17" t="s">
        <v>205</v>
      </c>
      <c r="M816" s="17" t="s">
        <v>206</v>
      </c>
      <c r="N816" s="17" t="s">
        <v>269</v>
      </c>
      <c r="O816" s="17" t="s">
        <v>16625</v>
      </c>
      <c r="P816" s="17" t="s">
        <v>2301</v>
      </c>
      <c r="Q816" s="17" t="s">
        <v>16626</v>
      </c>
      <c r="R816" s="17" t="s">
        <v>151</v>
      </c>
      <c r="S816" s="17" t="s">
        <v>162</v>
      </c>
      <c r="T816" s="24">
        <v>1.59</v>
      </c>
      <c r="U816" s="17" t="s">
        <v>163</v>
      </c>
      <c r="V816" s="17" t="s">
        <v>164</v>
      </c>
      <c r="W816" s="17" t="s">
        <v>165</v>
      </c>
      <c r="X816" s="15" t="s">
        <v>16627</v>
      </c>
      <c r="Y816" s="15" t="s">
        <v>16628</v>
      </c>
      <c r="Z816" s="27">
        <v>6</v>
      </c>
      <c r="AA816" s="17" t="s">
        <v>16629</v>
      </c>
      <c r="AB816" s="17" t="s">
        <v>151</v>
      </c>
      <c r="AC816" s="17" t="s">
        <v>151</v>
      </c>
      <c r="AD816" s="26">
        <v>2021</v>
      </c>
      <c r="AE816" s="17" t="s">
        <v>151</v>
      </c>
      <c r="AF816" s="22">
        <v>45553</v>
      </c>
      <c r="AG816" s="17" t="s">
        <v>151</v>
      </c>
      <c r="AH816" s="17" t="s">
        <v>151</v>
      </c>
      <c r="AI816" s="25" t="s">
        <v>151</v>
      </c>
      <c r="AJ816" s="19" t="s">
        <v>151</v>
      </c>
      <c r="AK816" s="25" t="s">
        <v>151</v>
      </c>
      <c r="AL816" s="25" t="s">
        <v>151</v>
      </c>
      <c r="AM816" s="25" t="s">
        <v>151</v>
      </c>
      <c r="AN816" s="25" t="s">
        <v>151</v>
      </c>
      <c r="AO816" s="25" t="s">
        <v>151</v>
      </c>
      <c r="AP816" s="25" t="s">
        <v>151</v>
      </c>
      <c r="AQ816" s="25" t="s">
        <v>151</v>
      </c>
      <c r="AR816" s="16" t="s">
        <v>151</v>
      </c>
      <c r="AS816" s="17" t="s">
        <v>16630</v>
      </c>
      <c r="AT816" s="17" t="s">
        <v>16631</v>
      </c>
      <c r="AU816" s="18">
        <v>4</v>
      </c>
      <c r="AV816" s="17" t="s">
        <v>151</v>
      </c>
      <c r="AW816" s="17" t="s">
        <v>151</v>
      </c>
      <c r="AX816" s="17" t="s">
        <v>151</v>
      </c>
      <c r="AY816" s="17" t="s">
        <v>16632</v>
      </c>
      <c r="AZ816" s="17" t="s">
        <v>151</v>
      </c>
      <c r="BA816" s="17" t="s">
        <v>151</v>
      </c>
      <c r="BB816" s="17" t="s">
        <v>151</v>
      </c>
      <c r="BC816" s="17" t="s">
        <v>151</v>
      </c>
      <c r="BD816" s="17" t="s">
        <v>16633</v>
      </c>
      <c r="BE816" s="17" t="s">
        <v>16634</v>
      </c>
      <c r="BF816" s="17" t="s">
        <v>403</v>
      </c>
      <c r="BG816" s="17" t="s">
        <v>151</v>
      </c>
      <c r="BH816" s="17" t="s">
        <v>16635</v>
      </c>
      <c r="BI816" s="17" t="s">
        <v>9521</v>
      </c>
      <c r="BJ816" s="17" t="s">
        <v>16636</v>
      </c>
      <c r="BK816" s="17" t="s">
        <v>16637</v>
      </c>
      <c r="BL816" s="17" t="s">
        <v>9523</v>
      </c>
      <c r="BM816" s="17" t="s">
        <v>4356</v>
      </c>
      <c r="BN816" s="16" t="s">
        <v>16638</v>
      </c>
      <c r="BO816" s="17" t="s">
        <v>186</v>
      </c>
      <c r="BP816" s="16" t="s">
        <v>16639</v>
      </c>
      <c r="BQ816" s="16" t="s">
        <v>151</v>
      </c>
      <c r="BR816" s="17" t="s">
        <v>16640</v>
      </c>
      <c r="BS816" s="17" t="s">
        <v>187</v>
      </c>
      <c r="BT816" s="17" t="s">
        <v>188</v>
      </c>
      <c r="BU816" s="22">
        <v>44790</v>
      </c>
      <c r="BV816" s="24">
        <v>1.59</v>
      </c>
      <c r="BW816" s="17" t="s">
        <v>192</v>
      </c>
      <c r="BX816" s="24" t="s">
        <v>151</v>
      </c>
      <c r="BY816" s="17" t="s">
        <v>151</v>
      </c>
      <c r="BZ816" s="17" t="s">
        <v>293</v>
      </c>
      <c r="CA816" s="17" t="s">
        <v>293</v>
      </c>
      <c r="CB816" s="17" t="s">
        <v>151</v>
      </c>
      <c r="CC816" s="17" t="s">
        <v>165</v>
      </c>
      <c r="CD816" s="17" t="s">
        <v>151</v>
      </c>
      <c r="CE816" s="17" t="s">
        <v>191</v>
      </c>
      <c r="CF816" s="22">
        <v>44985</v>
      </c>
      <c r="CG816" s="24" t="s">
        <v>151</v>
      </c>
      <c r="CH816" s="17" t="s">
        <v>151</v>
      </c>
      <c r="CI816" s="24" t="s">
        <v>151</v>
      </c>
      <c r="CJ816" s="17" t="s">
        <v>151</v>
      </c>
      <c r="CK816" s="16" t="s">
        <v>151</v>
      </c>
      <c r="CL816" s="17" t="s">
        <v>293</v>
      </c>
      <c r="CM816" s="17" t="s">
        <v>293</v>
      </c>
      <c r="CN816" s="17" t="s">
        <v>151</v>
      </c>
      <c r="CO816" s="17" t="s">
        <v>165</v>
      </c>
      <c r="CP816" s="22">
        <v>44985</v>
      </c>
      <c r="CQ816" s="24" t="s">
        <v>151</v>
      </c>
      <c r="CR816" s="17" t="s">
        <v>151</v>
      </c>
      <c r="CS816" s="17" t="s">
        <v>191</v>
      </c>
      <c r="CT816" s="16">
        <v>30</v>
      </c>
      <c r="CU816" s="17" t="s">
        <v>263</v>
      </c>
      <c r="CV816" s="19">
        <v>31</v>
      </c>
      <c r="CW816" s="19">
        <v>69</v>
      </c>
      <c r="CX816" s="17" t="s">
        <v>263</v>
      </c>
      <c r="CY816" s="19">
        <v>1</v>
      </c>
      <c r="CZ816" s="19">
        <v>30</v>
      </c>
      <c r="DA816" s="24" t="s">
        <v>151</v>
      </c>
      <c r="DB816" s="22" t="s">
        <v>151</v>
      </c>
      <c r="DC816" s="17" t="s">
        <v>151</v>
      </c>
      <c r="DD816" s="16" t="s">
        <v>151</v>
      </c>
      <c r="DE816" s="19">
        <v>0</v>
      </c>
      <c r="DF816" s="21">
        <v>11</v>
      </c>
      <c r="DG816" s="19">
        <v>0</v>
      </c>
      <c r="DH816" s="19">
        <v>0</v>
      </c>
      <c r="DI816" s="19">
        <v>0</v>
      </c>
      <c r="DJ816" s="21">
        <v>10</v>
      </c>
      <c r="DK816" s="19" t="s">
        <v>151</v>
      </c>
      <c r="DL816" s="21" t="s">
        <v>151</v>
      </c>
      <c r="DM816" s="19">
        <v>0</v>
      </c>
      <c r="DN816" s="21">
        <v>10</v>
      </c>
      <c r="DO816" s="23">
        <v>0.68</v>
      </c>
      <c r="DP816" s="21">
        <v>40</v>
      </c>
      <c r="DQ816" s="23">
        <v>0</v>
      </c>
      <c r="DR816" s="19">
        <v>0</v>
      </c>
      <c r="DS816" s="23">
        <v>0.68</v>
      </c>
      <c r="DT816" s="21">
        <v>41</v>
      </c>
      <c r="DU816" s="23" t="s">
        <v>151</v>
      </c>
      <c r="DV816" s="21" t="s">
        <v>151</v>
      </c>
      <c r="DW816" s="23">
        <v>0.68</v>
      </c>
      <c r="DX816" s="21">
        <v>40</v>
      </c>
      <c r="DY816" s="18" t="s">
        <v>151</v>
      </c>
      <c r="DZ816" s="22" t="s">
        <v>151</v>
      </c>
      <c r="EA816" s="22" t="s">
        <v>151</v>
      </c>
      <c r="EB816" s="21">
        <v>283</v>
      </c>
      <c r="EC816" s="20">
        <v>63</v>
      </c>
      <c r="ED816" s="19">
        <v>28.64</v>
      </c>
      <c r="EE816" s="21">
        <v>13</v>
      </c>
      <c r="EF816" s="20">
        <v>0</v>
      </c>
      <c r="EG816" s="19">
        <v>0</v>
      </c>
      <c r="EH816" s="16" t="s">
        <v>198</v>
      </c>
      <c r="EI816" s="17" t="s">
        <v>151</v>
      </c>
      <c r="EJ816" s="17" t="s">
        <v>151</v>
      </c>
      <c r="EK816" s="18" t="s">
        <v>151</v>
      </c>
      <c r="EL816" s="18" t="s">
        <v>151</v>
      </c>
      <c r="EM816" s="18" t="s">
        <v>151</v>
      </c>
      <c r="EN816" s="18" t="s">
        <v>151</v>
      </c>
      <c r="EO816" s="18" t="s">
        <v>151</v>
      </c>
      <c r="EP816" s="17" t="s">
        <v>151</v>
      </c>
      <c r="EQ816" s="16" t="s">
        <v>151</v>
      </c>
      <c r="ER816" s="16" t="s">
        <v>151</v>
      </c>
      <c r="ES816" s="3">
        <f>HYPERLINK("https://my.pitchbook.com?c=503693-20","View Company Online")</f>
      </c>
    </row>
    <row r="817">
      <c r="A817" s="30" t="s">
        <v>16641</v>
      </c>
      <c r="B817" s="30" t="s">
        <v>16642</v>
      </c>
      <c r="C817" s="31" t="s">
        <v>151</v>
      </c>
      <c r="D817" s="30" t="s">
        <v>151</v>
      </c>
      <c r="E817" s="30" t="s">
        <v>151</v>
      </c>
      <c r="F817" s="30" t="s">
        <v>16643</v>
      </c>
      <c r="G817" s="30" t="s">
        <v>151</v>
      </c>
      <c r="H817" s="30" t="s">
        <v>151</v>
      </c>
      <c r="I817" s="30" t="s">
        <v>151</v>
      </c>
      <c r="J817" s="30" t="s">
        <v>16641</v>
      </c>
      <c r="K817" s="30" t="s">
        <v>16644</v>
      </c>
      <c r="L817" s="30" t="s">
        <v>155</v>
      </c>
      <c r="M817" s="30" t="s">
        <v>2320</v>
      </c>
      <c r="N817" s="30" t="s">
        <v>2321</v>
      </c>
      <c r="O817" s="30" t="s">
        <v>2322</v>
      </c>
      <c r="P817" s="30" t="s">
        <v>1107</v>
      </c>
      <c r="Q817" s="30" t="s">
        <v>16645</v>
      </c>
      <c r="R817" s="30" t="s">
        <v>151</v>
      </c>
      <c r="S817" s="30" t="s">
        <v>162</v>
      </c>
      <c r="T817" s="37">
        <v>0.02</v>
      </c>
      <c r="U817" s="30" t="s">
        <v>163</v>
      </c>
      <c r="V817" s="30" t="s">
        <v>164</v>
      </c>
      <c r="W817" s="30" t="s">
        <v>165</v>
      </c>
      <c r="X817" s="28" t="s">
        <v>16646</v>
      </c>
      <c r="Y817" s="28" t="s">
        <v>16647</v>
      </c>
      <c r="Z817" s="40">
        <v>2</v>
      </c>
      <c r="AA817" s="30" t="s">
        <v>16648</v>
      </c>
      <c r="AB817" s="30" t="s">
        <v>151</v>
      </c>
      <c r="AC817" s="30" t="s">
        <v>151</v>
      </c>
      <c r="AD817" s="39">
        <v>2018</v>
      </c>
      <c r="AE817" s="30" t="s">
        <v>151</v>
      </c>
      <c r="AF817" s="35">
        <v>45350</v>
      </c>
      <c r="AG817" s="30" t="s">
        <v>151</v>
      </c>
      <c r="AH817" s="30" t="s">
        <v>151</v>
      </c>
      <c r="AI817" s="38" t="s">
        <v>151</v>
      </c>
      <c r="AJ817" s="32" t="s">
        <v>151</v>
      </c>
      <c r="AK817" s="38" t="s">
        <v>151</v>
      </c>
      <c r="AL817" s="38" t="s">
        <v>151</v>
      </c>
      <c r="AM817" s="38" t="s">
        <v>151</v>
      </c>
      <c r="AN817" s="38" t="s">
        <v>151</v>
      </c>
      <c r="AO817" s="38" t="s">
        <v>151</v>
      </c>
      <c r="AP817" s="38" t="s">
        <v>151</v>
      </c>
      <c r="AQ817" s="38" t="s">
        <v>151</v>
      </c>
      <c r="AR817" s="29" t="s">
        <v>151</v>
      </c>
      <c r="AS817" s="30" t="s">
        <v>16649</v>
      </c>
      <c r="AT817" s="30" t="s">
        <v>16650</v>
      </c>
      <c r="AU817" s="31">
        <v>4</v>
      </c>
      <c r="AV817" s="30" t="s">
        <v>151</v>
      </c>
      <c r="AW817" s="30" t="s">
        <v>151</v>
      </c>
      <c r="AX817" s="30" t="s">
        <v>151</v>
      </c>
      <c r="AY817" s="30" t="s">
        <v>16651</v>
      </c>
      <c r="AZ817" s="30" t="s">
        <v>151</v>
      </c>
      <c r="BA817" s="30" t="s">
        <v>151</v>
      </c>
      <c r="BB817" s="30" t="s">
        <v>151</v>
      </c>
      <c r="BC817" s="30" t="s">
        <v>151</v>
      </c>
      <c r="BD817" s="30" t="s">
        <v>16652</v>
      </c>
      <c r="BE817" s="30" t="s">
        <v>16653</v>
      </c>
      <c r="BF817" s="30" t="s">
        <v>403</v>
      </c>
      <c r="BG817" s="30" t="s">
        <v>151</v>
      </c>
      <c r="BH817" s="30" t="s">
        <v>151</v>
      </c>
      <c r="BI817" s="30" t="s">
        <v>3627</v>
      </c>
      <c r="BJ817" s="30" t="s">
        <v>9872</v>
      </c>
      <c r="BK817" s="30" t="s">
        <v>151</v>
      </c>
      <c r="BL817" s="30" t="s">
        <v>3628</v>
      </c>
      <c r="BM817" s="30" t="s">
        <v>3217</v>
      </c>
      <c r="BN817" s="29" t="s">
        <v>9873</v>
      </c>
      <c r="BO817" s="30" t="s">
        <v>186</v>
      </c>
      <c r="BP817" s="29" t="s">
        <v>151</v>
      </c>
      <c r="BQ817" s="29" t="s">
        <v>151</v>
      </c>
      <c r="BR817" s="30" t="s">
        <v>16654</v>
      </c>
      <c r="BS817" s="30" t="s">
        <v>187</v>
      </c>
      <c r="BT817" s="30" t="s">
        <v>188</v>
      </c>
      <c r="BU817" s="35">
        <v>44173</v>
      </c>
      <c r="BV817" s="37">
        <v>0.02</v>
      </c>
      <c r="BW817" s="30" t="s">
        <v>192</v>
      </c>
      <c r="BX817" s="37" t="s">
        <v>151</v>
      </c>
      <c r="BY817" s="30" t="s">
        <v>151</v>
      </c>
      <c r="BZ817" s="30" t="s">
        <v>293</v>
      </c>
      <c r="CA817" s="30" t="s">
        <v>472</v>
      </c>
      <c r="CB817" s="30" t="s">
        <v>151</v>
      </c>
      <c r="CC817" s="30" t="s">
        <v>165</v>
      </c>
      <c r="CD817" s="30" t="s">
        <v>151</v>
      </c>
      <c r="CE817" s="30" t="s">
        <v>191</v>
      </c>
      <c r="CF817" s="35">
        <v>44348</v>
      </c>
      <c r="CG817" s="37" t="s">
        <v>151</v>
      </c>
      <c r="CH817" s="30" t="s">
        <v>151</v>
      </c>
      <c r="CI817" s="37" t="s">
        <v>151</v>
      </c>
      <c r="CJ817" s="30" t="s">
        <v>151</v>
      </c>
      <c r="CK817" s="29" t="s">
        <v>151</v>
      </c>
      <c r="CL817" s="30" t="s">
        <v>189</v>
      </c>
      <c r="CM817" s="30" t="s">
        <v>151</v>
      </c>
      <c r="CN817" s="30" t="s">
        <v>151</v>
      </c>
      <c r="CO817" s="30" t="s">
        <v>190</v>
      </c>
      <c r="CP817" s="35">
        <v>44348</v>
      </c>
      <c r="CQ817" s="37" t="s">
        <v>151</v>
      </c>
      <c r="CR817" s="30" t="s">
        <v>151</v>
      </c>
      <c r="CS817" s="30" t="s">
        <v>191</v>
      </c>
      <c r="CT817" s="29">
        <v>9</v>
      </c>
      <c r="CU817" s="30" t="s">
        <v>263</v>
      </c>
      <c r="CV817" s="32">
        <v>10</v>
      </c>
      <c r="CW817" s="32">
        <v>90</v>
      </c>
      <c r="CX817" s="30" t="s">
        <v>263</v>
      </c>
      <c r="CY817" s="32">
        <v>1</v>
      </c>
      <c r="CZ817" s="32">
        <v>9</v>
      </c>
      <c r="DA817" s="37" t="s">
        <v>151</v>
      </c>
      <c r="DB817" s="35" t="s">
        <v>151</v>
      </c>
      <c r="DC817" s="30" t="s">
        <v>151</v>
      </c>
      <c r="DD817" s="29" t="s">
        <v>151</v>
      </c>
      <c r="DE817" s="32">
        <v>0</v>
      </c>
      <c r="DF817" s="34">
        <v>11</v>
      </c>
      <c r="DG817" s="32">
        <v>0</v>
      </c>
      <c r="DH817" s="32">
        <v>0</v>
      </c>
      <c r="DI817" s="32">
        <v>0</v>
      </c>
      <c r="DJ817" s="34">
        <v>10</v>
      </c>
      <c r="DK817" s="32" t="s">
        <v>151</v>
      </c>
      <c r="DL817" s="34" t="s">
        <v>151</v>
      </c>
      <c r="DM817" s="32">
        <v>0</v>
      </c>
      <c r="DN817" s="34">
        <v>10</v>
      </c>
      <c r="DO817" s="36">
        <v>0.66</v>
      </c>
      <c r="DP817" s="34">
        <v>40</v>
      </c>
      <c r="DQ817" s="36">
        <v>0</v>
      </c>
      <c r="DR817" s="32">
        <v>0</v>
      </c>
      <c r="DS817" s="36">
        <v>1.16</v>
      </c>
      <c r="DT817" s="34">
        <v>53</v>
      </c>
      <c r="DU817" s="36" t="s">
        <v>151</v>
      </c>
      <c r="DV817" s="34" t="s">
        <v>151</v>
      </c>
      <c r="DW817" s="36">
        <v>1.16</v>
      </c>
      <c r="DX817" s="34">
        <v>53</v>
      </c>
      <c r="DY817" s="31" t="s">
        <v>151</v>
      </c>
      <c r="DZ817" s="35" t="s">
        <v>151</v>
      </c>
      <c r="EA817" s="35" t="s">
        <v>151</v>
      </c>
      <c r="EB817" s="34">
        <v>0</v>
      </c>
      <c r="EC817" s="33">
        <v>0</v>
      </c>
      <c r="ED817" s="32">
        <v>0</v>
      </c>
      <c r="EE817" s="34">
        <v>22</v>
      </c>
      <c r="EF817" s="33">
        <v>0</v>
      </c>
      <c r="EG817" s="32">
        <v>0</v>
      </c>
      <c r="EH817" s="29" t="s">
        <v>198</v>
      </c>
      <c r="EI817" s="30" t="s">
        <v>151</v>
      </c>
      <c r="EJ817" s="30" t="s">
        <v>151</v>
      </c>
      <c r="EK817" s="31" t="s">
        <v>151</v>
      </c>
      <c r="EL817" s="31" t="s">
        <v>151</v>
      </c>
      <c r="EM817" s="31" t="s">
        <v>151</v>
      </c>
      <c r="EN817" s="31" t="s">
        <v>151</v>
      </c>
      <c r="EO817" s="31" t="s">
        <v>151</v>
      </c>
      <c r="EP817" s="30" t="s">
        <v>151</v>
      </c>
      <c r="EQ817" s="29" t="s">
        <v>151</v>
      </c>
      <c r="ER817" s="29" t="s">
        <v>151</v>
      </c>
      <c r="ES817" s="4">
        <f>HYPERLINK("https://my.pitchbook.com?c=459793-09","View Company Online")</f>
      </c>
    </row>
    <row r="818">
      <c r="A818" s="17" t="s">
        <v>16655</v>
      </c>
      <c r="B818" s="17" t="s">
        <v>16656</v>
      </c>
      <c r="C818" s="18" t="s">
        <v>151</v>
      </c>
      <c r="D818" s="17" t="s">
        <v>16657</v>
      </c>
      <c r="E818" s="17" t="s">
        <v>151</v>
      </c>
      <c r="F818" s="17" t="s">
        <v>16658</v>
      </c>
      <c r="G818" s="17" t="s">
        <v>151</v>
      </c>
      <c r="H818" s="17" t="s">
        <v>151</v>
      </c>
      <c r="I818" s="17" t="s">
        <v>151</v>
      </c>
      <c r="J818" s="17" t="s">
        <v>16655</v>
      </c>
      <c r="K818" s="17" t="s">
        <v>16659</v>
      </c>
      <c r="L818" s="17" t="s">
        <v>205</v>
      </c>
      <c r="M818" s="17" t="s">
        <v>206</v>
      </c>
      <c r="N818" s="17" t="s">
        <v>269</v>
      </c>
      <c r="O818" s="17" t="s">
        <v>865</v>
      </c>
      <c r="P818" s="17" t="s">
        <v>7554</v>
      </c>
      <c r="Q818" s="17" t="s">
        <v>16660</v>
      </c>
      <c r="R818" s="17" t="s">
        <v>151</v>
      </c>
      <c r="S818" s="17" t="s">
        <v>162</v>
      </c>
      <c r="T818" s="24">
        <v>9.94</v>
      </c>
      <c r="U818" s="17" t="s">
        <v>163</v>
      </c>
      <c r="V818" s="17" t="s">
        <v>164</v>
      </c>
      <c r="W818" s="17" t="s">
        <v>165</v>
      </c>
      <c r="X818" s="15" t="s">
        <v>16661</v>
      </c>
      <c r="Y818" s="15" t="s">
        <v>16662</v>
      </c>
      <c r="Z818" s="27">
        <v>25</v>
      </c>
      <c r="AA818" s="17" t="s">
        <v>16663</v>
      </c>
      <c r="AB818" s="17" t="s">
        <v>151</v>
      </c>
      <c r="AC818" s="17" t="s">
        <v>151</v>
      </c>
      <c r="AD818" s="26">
        <v>2015</v>
      </c>
      <c r="AE818" s="17" t="s">
        <v>151</v>
      </c>
      <c r="AF818" s="22">
        <v>45554</v>
      </c>
      <c r="AG818" s="17" t="s">
        <v>151</v>
      </c>
      <c r="AH818" s="17" t="s">
        <v>151</v>
      </c>
      <c r="AI818" s="25">
        <v>4</v>
      </c>
      <c r="AJ818" s="19">
        <v>73.91</v>
      </c>
      <c r="AK818" s="25" t="s">
        <v>151</v>
      </c>
      <c r="AL818" s="25" t="s">
        <v>151</v>
      </c>
      <c r="AM818" s="25" t="s">
        <v>151</v>
      </c>
      <c r="AN818" s="25" t="s">
        <v>151</v>
      </c>
      <c r="AO818" s="25" t="s">
        <v>151</v>
      </c>
      <c r="AP818" s="25" t="s">
        <v>151</v>
      </c>
      <c r="AQ818" s="25" t="s">
        <v>151</v>
      </c>
      <c r="AR818" s="16" t="s">
        <v>810</v>
      </c>
      <c r="AS818" s="17" t="s">
        <v>16664</v>
      </c>
      <c r="AT818" s="17" t="s">
        <v>16665</v>
      </c>
      <c r="AU818" s="18">
        <v>4</v>
      </c>
      <c r="AV818" s="17" t="s">
        <v>151</v>
      </c>
      <c r="AW818" s="17" t="s">
        <v>151</v>
      </c>
      <c r="AX818" s="17" t="s">
        <v>151</v>
      </c>
      <c r="AY818" s="17" t="s">
        <v>16666</v>
      </c>
      <c r="AZ818" s="17" t="s">
        <v>151</v>
      </c>
      <c r="BA818" s="17" t="s">
        <v>151</v>
      </c>
      <c r="BB818" s="17" t="s">
        <v>151</v>
      </c>
      <c r="BC818" s="17" t="s">
        <v>16667</v>
      </c>
      <c r="BD818" s="17" t="s">
        <v>16668</v>
      </c>
      <c r="BE818" s="17" t="s">
        <v>16669</v>
      </c>
      <c r="BF818" s="17" t="s">
        <v>5102</v>
      </c>
      <c r="BG818" s="17" t="s">
        <v>16670</v>
      </c>
      <c r="BH818" s="17" t="s">
        <v>16671</v>
      </c>
      <c r="BI818" s="17" t="s">
        <v>906</v>
      </c>
      <c r="BJ818" s="17" t="s">
        <v>16672</v>
      </c>
      <c r="BK818" s="17" t="s">
        <v>16673</v>
      </c>
      <c r="BL818" s="17" t="s">
        <v>259</v>
      </c>
      <c r="BM818" s="17" t="s">
        <v>259</v>
      </c>
      <c r="BN818" s="16" t="s">
        <v>1643</v>
      </c>
      <c r="BO818" s="17" t="s">
        <v>186</v>
      </c>
      <c r="BP818" s="16" t="s">
        <v>16671</v>
      </c>
      <c r="BQ818" s="16" t="s">
        <v>151</v>
      </c>
      <c r="BR818" s="17" t="s">
        <v>151</v>
      </c>
      <c r="BS818" s="17" t="s">
        <v>187</v>
      </c>
      <c r="BT818" s="17" t="s">
        <v>188</v>
      </c>
      <c r="BU818" s="22">
        <v>44228</v>
      </c>
      <c r="BV818" s="24">
        <v>6.84</v>
      </c>
      <c r="BW818" s="17" t="s">
        <v>192</v>
      </c>
      <c r="BX818" s="24">
        <v>15.84</v>
      </c>
      <c r="BY818" s="17" t="s">
        <v>192</v>
      </c>
      <c r="BZ818" s="17" t="s">
        <v>293</v>
      </c>
      <c r="CA818" s="17" t="s">
        <v>293</v>
      </c>
      <c r="CB818" s="17" t="s">
        <v>151</v>
      </c>
      <c r="CC818" s="17" t="s">
        <v>165</v>
      </c>
      <c r="CD818" s="17" t="s">
        <v>151</v>
      </c>
      <c r="CE818" s="17" t="s">
        <v>191</v>
      </c>
      <c r="CF818" s="22" t="s">
        <v>151</v>
      </c>
      <c r="CG818" s="24" t="s">
        <v>151</v>
      </c>
      <c r="CH818" s="17" t="s">
        <v>151</v>
      </c>
      <c r="CI818" s="24" t="s">
        <v>151</v>
      </c>
      <c r="CJ818" s="17" t="s">
        <v>151</v>
      </c>
      <c r="CK818" s="16">
        <v>1.13</v>
      </c>
      <c r="CL818" s="17" t="s">
        <v>189</v>
      </c>
      <c r="CM818" s="17" t="s">
        <v>151</v>
      </c>
      <c r="CN818" s="17" t="s">
        <v>151</v>
      </c>
      <c r="CO818" s="17" t="s">
        <v>190</v>
      </c>
      <c r="CP818" s="22" t="s">
        <v>151</v>
      </c>
      <c r="CQ818" s="24" t="s">
        <v>151</v>
      </c>
      <c r="CR818" s="17" t="s">
        <v>151</v>
      </c>
      <c r="CS818" s="17" t="s">
        <v>191</v>
      </c>
      <c r="CT818" s="16">
        <v>86</v>
      </c>
      <c r="CU818" s="17" t="s">
        <v>196</v>
      </c>
      <c r="CV818" s="19">
        <v>78</v>
      </c>
      <c r="CW818" s="19">
        <v>22</v>
      </c>
      <c r="CX818" s="17" t="s">
        <v>294</v>
      </c>
      <c r="CY818" s="19">
        <v>1</v>
      </c>
      <c r="CZ818" s="19">
        <v>77</v>
      </c>
      <c r="DA818" s="24">
        <v>21</v>
      </c>
      <c r="DB818" s="22">
        <v>44823</v>
      </c>
      <c r="DC818" s="17" t="s">
        <v>293</v>
      </c>
      <c r="DD818" s="16">
        <v>1.13</v>
      </c>
      <c r="DE818" s="19">
        <v>0.87</v>
      </c>
      <c r="DF818" s="21">
        <v>96</v>
      </c>
      <c r="DG818" s="19">
        <v>0</v>
      </c>
      <c r="DH818" s="19">
        <v>0</v>
      </c>
      <c r="DI818" s="19">
        <v>2.23</v>
      </c>
      <c r="DJ818" s="21">
        <v>98</v>
      </c>
      <c r="DK818" s="19" t="s">
        <v>151</v>
      </c>
      <c r="DL818" s="21" t="s">
        <v>151</v>
      </c>
      <c r="DM818" s="19">
        <v>2.23</v>
      </c>
      <c r="DN818" s="21">
        <v>99</v>
      </c>
      <c r="DO818" s="23">
        <v>7.49</v>
      </c>
      <c r="DP818" s="21">
        <v>87</v>
      </c>
      <c r="DQ818" s="23">
        <v>0</v>
      </c>
      <c r="DR818" s="19">
        <v>0</v>
      </c>
      <c r="DS818" s="23">
        <v>13.05</v>
      </c>
      <c r="DT818" s="21">
        <v>92</v>
      </c>
      <c r="DU818" s="23" t="s">
        <v>151</v>
      </c>
      <c r="DV818" s="21" t="s">
        <v>151</v>
      </c>
      <c r="DW818" s="23">
        <v>13.05</v>
      </c>
      <c r="DX818" s="21">
        <v>92</v>
      </c>
      <c r="DY818" s="18">
        <v>1</v>
      </c>
      <c r="DZ818" s="22">
        <v>43980</v>
      </c>
      <c r="EA818" s="22" t="s">
        <v>151</v>
      </c>
      <c r="EB818" s="21">
        <v>1600</v>
      </c>
      <c r="EC818" s="20">
        <v>32</v>
      </c>
      <c r="ED818" s="19">
        <v>2.04</v>
      </c>
      <c r="EE818" s="21">
        <v>248</v>
      </c>
      <c r="EF818" s="20">
        <v>3</v>
      </c>
      <c r="EG818" s="19">
        <v>1.22</v>
      </c>
      <c r="EH818" s="16" t="s">
        <v>198</v>
      </c>
      <c r="EI818" s="17" t="s">
        <v>151</v>
      </c>
      <c r="EJ818" s="17" t="s">
        <v>151</v>
      </c>
      <c r="EK818" s="18" t="s">
        <v>151</v>
      </c>
      <c r="EL818" s="18" t="s">
        <v>151</v>
      </c>
      <c r="EM818" s="18" t="s">
        <v>151</v>
      </c>
      <c r="EN818" s="18" t="s">
        <v>151</v>
      </c>
      <c r="EO818" s="18" t="s">
        <v>151</v>
      </c>
      <c r="EP818" s="17" t="s">
        <v>151</v>
      </c>
      <c r="EQ818" s="16" t="s">
        <v>151</v>
      </c>
      <c r="ER818" s="16" t="s">
        <v>151</v>
      </c>
      <c r="ES818" s="3">
        <f>HYPERLINK("https://my.pitchbook.com?c=343519-12","View Company Online")</f>
      </c>
    </row>
    <row r="819">
      <c r="A819" s="30" t="s">
        <v>16674</v>
      </c>
      <c r="B819" s="30" t="s">
        <v>16675</v>
      </c>
      <c r="C819" s="31" t="s">
        <v>151</v>
      </c>
      <c r="D819" s="30" t="s">
        <v>16676</v>
      </c>
      <c r="E819" s="30" t="s">
        <v>151</v>
      </c>
      <c r="F819" s="30" t="s">
        <v>16677</v>
      </c>
      <c r="G819" s="30" t="s">
        <v>151</v>
      </c>
      <c r="H819" s="30" t="s">
        <v>151</v>
      </c>
      <c r="I819" s="30" t="s">
        <v>16678</v>
      </c>
      <c r="J819" s="30" t="s">
        <v>16674</v>
      </c>
      <c r="K819" s="30" t="s">
        <v>16679</v>
      </c>
      <c r="L819" s="30" t="s">
        <v>616</v>
      </c>
      <c r="M819" s="30" t="s">
        <v>834</v>
      </c>
      <c r="N819" s="30" t="s">
        <v>835</v>
      </c>
      <c r="O819" s="30" t="s">
        <v>1992</v>
      </c>
      <c r="P819" s="30" t="s">
        <v>151</v>
      </c>
      <c r="Q819" s="30" t="s">
        <v>16680</v>
      </c>
      <c r="R819" s="30" t="s">
        <v>151</v>
      </c>
      <c r="S819" s="30" t="s">
        <v>162</v>
      </c>
      <c r="T819" s="37">
        <v>5.7</v>
      </c>
      <c r="U819" s="30" t="s">
        <v>163</v>
      </c>
      <c r="V819" s="30" t="s">
        <v>164</v>
      </c>
      <c r="W819" s="30" t="s">
        <v>165</v>
      </c>
      <c r="X819" s="28" t="s">
        <v>16681</v>
      </c>
      <c r="Y819" s="28" t="s">
        <v>16682</v>
      </c>
      <c r="Z819" s="40">
        <v>4</v>
      </c>
      <c r="AA819" s="30" t="s">
        <v>16683</v>
      </c>
      <c r="AB819" s="30" t="s">
        <v>151</v>
      </c>
      <c r="AC819" s="30" t="s">
        <v>151</v>
      </c>
      <c r="AD819" s="39">
        <v>2021</v>
      </c>
      <c r="AE819" s="30" t="s">
        <v>151</v>
      </c>
      <c r="AF819" s="35">
        <v>45338</v>
      </c>
      <c r="AG819" s="30" t="s">
        <v>151</v>
      </c>
      <c r="AH819" s="30" t="s">
        <v>151</v>
      </c>
      <c r="AI819" s="38" t="s">
        <v>151</v>
      </c>
      <c r="AJ819" s="32" t="s">
        <v>151</v>
      </c>
      <c r="AK819" s="38" t="s">
        <v>151</v>
      </c>
      <c r="AL819" s="38" t="s">
        <v>151</v>
      </c>
      <c r="AM819" s="38" t="s">
        <v>151</v>
      </c>
      <c r="AN819" s="38" t="s">
        <v>151</v>
      </c>
      <c r="AO819" s="38" t="s">
        <v>151</v>
      </c>
      <c r="AP819" s="38" t="s">
        <v>151</v>
      </c>
      <c r="AQ819" s="38" t="s">
        <v>151</v>
      </c>
      <c r="AR819" s="29" t="s">
        <v>151</v>
      </c>
      <c r="AS819" s="30" t="s">
        <v>16684</v>
      </c>
      <c r="AT819" s="30" t="s">
        <v>16685</v>
      </c>
      <c r="AU819" s="31">
        <v>12</v>
      </c>
      <c r="AV819" s="30" t="s">
        <v>151</v>
      </c>
      <c r="AW819" s="30" t="s">
        <v>151</v>
      </c>
      <c r="AX819" s="30" t="s">
        <v>151</v>
      </c>
      <c r="AY819" s="30" t="s">
        <v>16686</v>
      </c>
      <c r="AZ819" s="30" t="s">
        <v>151</v>
      </c>
      <c r="BA819" s="30" t="s">
        <v>151</v>
      </c>
      <c r="BB819" s="30" t="s">
        <v>151</v>
      </c>
      <c r="BC819" s="30" t="s">
        <v>151</v>
      </c>
      <c r="BD819" s="30" t="s">
        <v>16687</v>
      </c>
      <c r="BE819" s="30" t="s">
        <v>16688</v>
      </c>
      <c r="BF819" s="30" t="s">
        <v>221</v>
      </c>
      <c r="BG819" s="30" t="s">
        <v>16689</v>
      </c>
      <c r="BH819" s="30" t="s">
        <v>151</v>
      </c>
      <c r="BI819" s="30" t="s">
        <v>764</v>
      </c>
      <c r="BJ819" s="30" t="s">
        <v>16690</v>
      </c>
      <c r="BK819" s="30" t="s">
        <v>16691</v>
      </c>
      <c r="BL819" s="30" t="s">
        <v>767</v>
      </c>
      <c r="BM819" s="30" t="s">
        <v>184</v>
      </c>
      <c r="BN819" s="29" t="s">
        <v>4698</v>
      </c>
      <c r="BO819" s="30" t="s">
        <v>186</v>
      </c>
      <c r="BP819" s="29" t="s">
        <v>151</v>
      </c>
      <c r="BQ819" s="29" t="s">
        <v>151</v>
      </c>
      <c r="BR819" s="30" t="s">
        <v>16692</v>
      </c>
      <c r="BS819" s="30" t="s">
        <v>187</v>
      </c>
      <c r="BT819" s="30" t="s">
        <v>188</v>
      </c>
      <c r="BU819" s="35">
        <v>44562</v>
      </c>
      <c r="BV819" s="37">
        <v>0.5</v>
      </c>
      <c r="BW819" s="30" t="s">
        <v>192</v>
      </c>
      <c r="BX819" s="37">
        <v>7.14</v>
      </c>
      <c r="BY819" s="30" t="s">
        <v>192</v>
      </c>
      <c r="BZ819" s="30" t="s">
        <v>189</v>
      </c>
      <c r="CA819" s="30" t="s">
        <v>151</v>
      </c>
      <c r="CB819" s="30" t="s">
        <v>151</v>
      </c>
      <c r="CC819" s="30" t="s">
        <v>190</v>
      </c>
      <c r="CD819" s="30" t="s">
        <v>151</v>
      </c>
      <c r="CE819" s="30" t="s">
        <v>191</v>
      </c>
      <c r="CF819" s="35">
        <v>44896</v>
      </c>
      <c r="CG819" s="37">
        <v>5.2</v>
      </c>
      <c r="CH819" s="30" t="s">
        <v>192</v>
      </c>
      <c r="CI819" s="37" t="s">
        <v>151</v>
      </c>
      <c r="CJ819" s="30" t="s">
        <v>151</v>
      </c>
      <c r="CK819" s="29" t="s">
        <v>151</v>
      </c>
      <c r="CL819" s="30" t="s">
        <v>293</v>
      </c>
      <c r="CM819" s="30" t="s">
        <v>293</v>
      </c>
      <c r="CN819" s="30" t="s">
        <v>151</v>
      </c>
      <c r="CO819" s="30" t="s">
        <v>165</v>
      </c>
      <c r="CP819" s="35">
        <v>44896</v>
      </c>
      <c r="CQ819" s="37" t="s">
        <v>151</v>
      </c>
      <c r="CR819" s="30" t="s">
        <v>151</v>
      </c>
      <c r="CS819" s="30" t="s">
        <v>191</v>
      </c>
      <c r="CT819" s="29" t="s">
        <v>151</v>
      </c>
      <c r="CU819" s="30" t="s">
        <v>151</v>
      </c>
      <c r="CV819" s="32" t="s">
        <v>151</v>
      </c>
      <c r="CW819" s="32" t="s">
        <v>151</v>
      </c>
      <c r="CX819" s="30" t="s">
        <v>151</v>
      </c>
      <c r="CY819" s="32" t="s">
        <v>151</v>
      </c>
      <c r="CZ819" s="32" t="s">
        <v>151</v>
      </c>
      <c r="DA819" s="37">
        <v>7.14</v>
      </c>
      <c r="DB819" s="35">
        <v>44562</v>
      </c>
      <c r="DC819" s="30" t="s">
        <v>189</v>
      </c>
      <c r="DD819" s="29" t="s">
        <v>151</v>
      </c>
      <c r="DE819" s="32">
        <v>-1.25</v>
      </c>
      <c r="DF819" s="34">
        <v>3</v>
      </c>
      <c r="DG819" s="32">
        <v>0</v>
      </c>
      <c r="DH819" s="32">
        <v>0</v>
      </c>
      <c r="DI819" s="32">
        <v>0</v>
      </c>
      <c r="DJ819" s="34">
        <v>10</v>
      </c>
      <c r="DK819" s="32" t="s">
        <v>151</v>
      </c>
      <c r="DL819" s="34" t="s">
        <v>151</v>
      </c>
      <c r="DM819" s="32">
        <v>0</v>
      </c>
      <c r="DN819" s="34">
        <v>10</v>
      </c>
      <c r="DO819" s="36">
        <v>0.81</v>
      </c>
      <c r="DP819" s="34">
        <v>45</v>
      </c>
      <c r="DQ819" s="36">
        <v>0</v>
      </c>
      <c r="DR819" s="32">
        <v>0</v>
      </c>
      <c r="DS819" s="36">
        <v>1.32</v>
      </c>
      <c r="DT819" s="34">
        <v>56</v>
      </c>
      <c r="DU819" s="36" t="s">
        <v>151</v>
      </c>
      <c r="DV819" s="34" t="s">
        <v>151</v>
      </c>
      <c r="DW819" s="36">
        <v>1.32</v>
      </c>
      <c r="DX819" s="34">
        <v>56</v>
      </c>
      <c r="DY819" s="31" t="s">
        <v>151</v>
      </c>
      <c r="DZ819" s="35" t="s">
        <v>151</v>
      </c>
      <c r="EA819" s="35" t="s">
        <v>151</v>
      </c>
      <c r="EB819" s="34">
        <v>25</v>
      </c>
      <c r="EC819" s="33">
        <v>-59</v>
      </c>
      <c r="ED819" s="32">
        <v>-70.24</v>
      </c>
      <c r="EE819" s="34">
        <v>25</v>
      </c>
      <c r="EF819" s="33">
        <v>0</v>
      </c>
      <c r="EG819" s="32">
        <v>0</v>
      </c>
      <c r="EH819" s="29" t="s">
        <v>198</v>
      </c>
      <c r="EI819" s="30" t="s">
        <v>151</v>
      </c>
      <c r="EJ819" s="30" t="s">
        <v>151</v>
      </c>
      <c r="EK819" s="31" t="s">
        <v>151</v>
      </c>
      <c r="EL819" s="31" t="s">
        <v>151</v>
      </c>
      <c r="EM819" s="31" t="s">
        <v>151</v>
      </c>
      <c r="EN819" s="31" t="s">
        <v>151</v>
      </c>
      <c r="EO819" s="31" t="s">
        <v>151</v>
      </c>
      <c r="EP819" s="30" t="s">
        <v>151</v>
      </c>
      <c r="EQ819" s="29" t="s">
        <v>151</v>
      </c>
      <c r="ER819" s="29" t="s">
        <v>151</v>
      </c>
      <c r="ES819" s="4">
        <f>HYPERLINK("https://my.pitchbook.com?c=501578-38","View Company Online")</f>
      </c>
    </row>
    <row r="820">
      <c r="A820" s="17" t="s">
        <v>16693</v>
      </c>
      <c r="B820" s="17" t="s">
        <v>16694</v>
      </c>
      <c r="C820" s="18" t="s">
        <v>151</v>
      </c>
      <c r="D820" s="17" t="s">
        <v>151</v>
      </c>
      <c r="E820" s="17" t="s">
        <v>151</v>
      </c>
      <c r="F820" s="17" t="s">
        <v>16695</v>
      </c>
      <c r="G820" s="17" t="s">
        <v>151</v>
      </c>
      <c r="H820" s="17" t="s">
        <v>151</v>
      </c>
      <c r="I820" s="17" t="s">
        <v>151</v>
      </c>
      <c r="J820" s="17" t="s">
        <v>16693</v>
      </c>
      <c r="K820" s="17" t="s">
        <v>16696</v>
      </c>
      <c r="L820" s="17" t="s">
        <v>1178</v>
      </c>
      <c r="M820" s="17" t="s">
        <v>1179</v>
      </c>
      <c r="N820" s="17" t="s">
        <v>1179</v>
      </c>
      <c r="O820" s="17" t="s">
        <v>16697</v>
      </c>
      <c r="P820" s="17" t="s">
        <v>892</v>
      </c>
      <c r="Q820" s="17" t="s">
        <v>16698</v>
      </c>
      <c r="R820" s="17" t="s">
        <v>151</v>
      </c>
      <c r="S820" s="17" t="s">
        <v>162</v>
      </c>
      <c r="T820" s="24">
        <v>5.13</v>
      </c>
      <c r="U820" s="17" t="s">
        <v>163</v>
      </c>
      <c r="V820" s="17" t="s">
        <v>164</v>
      </c>
      <c r="W820" s="17" t="s">
        <v>165</v>
      </c>
      <c r="X820" s="15" t="s">
        <v>16699</v>
      </c>
      <c r="Y820" s="15" t="s">
        <v>16700</v>
      </c>
      <c r="Z820" s="27">
        <v>28</v>
      </c>
      <c r="AA820" s="17" t="s">
        <v>16701</v>
      </c>
      <c r="AB820" s="17" t="s">
        <v>151</v>
      </c>
      <c r="AC820" s="17" t="s">
        <v>151</v>
      </c>
      <c r="AD820" s="26">
        <v>2020</v>
      </c>
      <c r="AE820" s="17" t="s">
        <v>151</v>
      </c>
      <c r="AF820" s="22">
        <v>45616</v>
      </c>
      <c r="AG820" s="17" t="s">
        <v>151</v>
      </c>
      <c r="AH820" s="17" t="s">
        <v>151</v>
      </c>
      <c r="AI820" s="25" t="s">
        <v>151</v>
      </c>
      <c r="AJ820" s="19" t="s">
        <v>151</v>
      </c>
      <c r="AK820" s="25" t="s">
        <v>151</v>
      </c>
      <c r="AL820" s="25" t="s">
        <v>151</v>
      </c>
      <c r="AM820" s="25" t="s">
        <v>151</v>
      </c>
      <c r="AN820" s="25" t="s">
        <v>151</v>
      </c>
      <c r="AO820" s="25" t="s">
        <v>151</v>
      </c>
      <c r="AP820" s="25" t="s">
        <v>151</v>
      </c>
      <c r="AQ820" s="25" t="s">
        <v>151</v>
      </c>
      <c r="AR820" s="16" t="s">
        <v>151</v>
      </c>
      <c r="AS820" s="17" t="s">
        <v>16702</v>
      </c>
      <c r="AT820" s="17" t="s">
        <v>16703</v>
      </c>
      <c r="AU820" s="18">
        <v>19</v>
      </c>
      <c r="AV820" s="17" t="s">
        <v>151</v>
      </c>
      <c r="AW820" s="17" t="s">
        <v>151</v>
      </c>
      <c r="AX820" s="17" t="s">
        <v>151</v>
      </c>
      <c r="AY820" s="17" t="s">
        <v>16704</v>
      </c>
      <c r="AZ820" s="17" t="s">
        <v>151</v>
      </c>
      <c r="BA820" s="17" t="s">
        <v>151</v>
      </c>
      <c r="BB820" s="17" t="s">
        <v>151</v>
      </c>
      <c r="BC820" s="17" t="s">
        <v>151</v>
      </c>
      <c r="BD820" s="17" t="s">
        <v>16705</v>
      </c>
      <c r="BE820" s="17" t="s">
        <v>16706</v>
      </c>
      <c r="BF820" s="17" t="s">
        <v>16707</v>
      </c>
      <c r="BG820" s="17" t="s">
        <v>16708</v>
      </c>
      <c r="BH820" s="17" t="s">
        <v>151</v>
      </c>
      <c r="BI820" s="17" t="s">
        <v>764</v>
      </c>
      <c r="BJ820" s="17" t="s">
        <v>3969</v>
      </c>
      <c r="BK820" s="17" t="s">
        <v>16709</v>
      </c>
      <c r="BL820" s="17" t="s">
        <v>767</v>
      </c>
      <c r="BM820" s="17" t="s">
        <v>184</v>
      </c>
      <c r="BN820" s="16" t="s">
        <v>794</v>
      </c>
      <c r="BO820" s="17" t="s">
        <v>186</v>
      </c>
      <c r="BP820" s="16" t="s">
        <v>151</v>
      </c>
      <c r="BQ820" s="16" t="s">
        <v>151</v>
      </c>
      <c r="BR820" s="17" t="s">
        <v>16710</v>
      </c>
      <c r="BS820" s="17" t="s">
        <v>187</v>
      </c>
      <c r="BT820" s="17" t="s">
        <v>188</v>
      </c>
      <c r="BU820" s="22">
        <v>44256</v>
      </c>
      <c r="BV820" s="24">
        <v>0.13</v>
      </c>
      <c r="BW820" s="17" t="s">
        <v>192</v>
      </c>
      <c r="BX820" s="24">
        <v>1.79</v>
      </c>
      <c r="BY820" s="17" t="s">
        <v>192</v>
      </c>
      <c r="BZ820" s="17" t="s">
        <v>189</v>
      </c>
      <c r="CA820" s="17" t="s">
        <v>151</v>
      </c>
      <c r="CB820" s="17" t="s">
        <v>151</v>
      </c>
      <c r="CC820" s="17" t="s">
        <v>190</v>
      </c>
      <c r="CD820" s="17" t="s">
        <v>151</v>
      </c>
      <c r="CE820" s="17" t="s">
        <v>191</v>
      </c>
      <c r="CF820" s="22">
        <v>44536</v>
      </c>
      <c r="CG820" s="24" t="s">
        <v>151</v>
      </c>
      <c r="CH820" s="17" t="s">
        <v>151</v>
      </c>
      <c r="CI820" s="24" t="s">
        <v>151</v>
      </c>
      <c r="CJ820" s="17" t="s">
        <v>151</v>
      </c>
      <c r="CK820" s="16" t="s">
        <v>151</v>
      </c>
      <c r="CL820" s="17" t="s">
        <v>231</v>
      </c>
      <c r="CM820" s="17" t="s">
        <v>232</v>
      </c>
      <c r="CN820" s="17" t="s">
        <v>151</v>
      </c>
      <c r="CO820" s="17" t="s">
        <v>165</v>
      </c>
      <c r="CP820" s="22">
        <v>44536</v>
      </c>
      <c r="CQ820" s="24" t="s">
        <v>151</v>
      </c>
      <c r="CR820" s="17" t="s">
        <v>151</v>
      </c>
      <c r="CS820" s="17" t="s">
        <v>191</v>
      </c>
      <c r="CT820" s="16">
        <v>33</v>
      </c>
      <c r="CU820" s="17" t="s">
        <v>263</v>
      </c>
      <c r="CV820" s="19">
        <v>34</v>
      </c>
      <c r="CW820" s="19">
        <v>66</v>
      </c>
      <c r="CX820" s="17" t="s">
        <v>263</v>
      </c>
      <c r="CY820" s="19">
        <v>1</v>
      </c>
      <c r="CZ820" s="19">
        <v>33</v>
      </c>
      <c r="DA820" s="24">
        <v>100</v>
      </c>
      <c r="DB820" s="22">
        <v>44276</v>
      </c>
      <c r="DC820" s="17" t="s">
        <v>293</v>
      </c>
      <c r="DD820" s="16" t="s">
        <v>151</v>
      </c>
      <c r="DE820" s="19">
        <v>-1.31</v>
      </c>
      <c r="DF820" s="21">
        <v>3</v>
      </c>
      <c r="DG820" s="19">
        <v>0</v>
      </c>
      <c r="DH820" s="19">
        <v>0</v>
      </c>
      <c r="DI820" s="19">
        <v>0.13</v>
      </c>
      <c r="DJ820" s="21">
        <v>93</v>
      </c>
      <c r="DK820" s="19" t="s">
        <v>151</v>
      </c>
      <c r="DL820" s="21" t="s">
        <v>151</v>
      </c>
      <c r="DM820" s="19">
        <v>0.13</v>
      </c>
      <c r="DN820" s="21">
        <v>93</v>
      </c>
      <c r="DO820" s="23">
        <v>3.87</v>
      </c>
      <c r="DP820" s="21">
        <v>79</v>
      </c>
      <c r="DQ820" s="23">
        <v>0</v>
      </c>
      <c r="DR820" s="19">
        <v>0</v>
      </c>
      <c r="DS820" s="23">
        <v>5.58</v>
      </c>
      <c r="DT820" s="21">
        <v>83</v>
      </c>
      <c r="DU820" s="23" t="s">
        <v>151</v>
      </c>
      <c r="DV820" s="21" t="s">
        <v>151</v>
      </c>
      <c r="DW820" s="23">
        <v>5.58</v>
      </c>
      <c r="DX820" s="21">
        <v>83</v>
      </c>
      <c r="DY820" s="18" t="s">
        <v>151</v>
      </c>
      <c r="DZ820" s="22" t="s">
        <v>151</v>
      </c>
      <c r="EA820" s="22" t="s">
        <v>151</v>
      </c>
      <c r="EB820" s="21">
        <v>984</v>
      </c>
      <c r="EC820" s="20">
        <v>-51</v>
      </c>
      <c r="ED820" s="19">
        <v>-4.93</v>
      </c>
      <c r="EE820" s="21">
        <v>106</v>
      </c>
      <c r="EF820" s="20">
        <v>2</v>
      </c>
      <c r="EG820" s="19">
        <v>1.92</v>
      </c>
      <c r="EH820" s="16" t="s">
        <v>198</v>
      </c>
      <c r="EI820" s="17" t="s">
        <v>151</v>
      </c>
      <c r="EJ820" s="17" t="s">
        <v>151</v>
      </c>
      <c r="EK820" s="18" t="s">
        <v>151</v>
      </c>
      <c r="EL820" s="18" t="s">
        <v>151</v>
      </c>
      <c r="EM820" s="18" t="s">
        <v>151</v>
      </c>
      <c r="EN820" s="18" t="s">
        <v>151</v>
      </c>
      <c r="EO820" s="18" t="s">
        <v>151</v>
      </c>
      <c r="EP820" s="17" t="s">
        <v>151</v>
      </c>
      <c r="EQ820" s="16" t="s">
        <v>151</v>
      </c>
      <c r="ER820" s="16" t="s">
        <v>151</v>
      </c>
      <c r="ES820" s="3">
        <f>HYPERLINK("https://my.pitchbook.com?c=459548-02","View Company Online")</f>
      </c>
    </row>
    <row r="821">
      <c r="A821" s="30" t="s">
        <v>16711</v>
      </c>
      <c r="B821" s="30" t="s">
        <v>16712</v>
      </c>
      <c r="C821" s="31" t="s">
        <v>151</v>
      </c>
      <c r="D821" s="30" t="s">
        <v>151</v>
      </c>
      <c r="E821" s="30" t="s">
        <v>16713</v>
      </c>
      <c r="F821" s="30" t="s">
        <v>16714</v>
      </c>
      <c r="G821" s="30" t="s">
        <v>151</v>
      </c>
      <c r="H821" s="30" t="s">
        <v>151</v>
      </c>
      <c r="I821" s="30" t="s">
        <v>151</v>
      </c>
      <c r="J821" s="30" t="s">
        <v>16711</v>
      </c>
      <c r="K821" s="30" t="s">
        <v>16715</v>
      </c>
      <c r="L821" s="30" t="s">
        <v>155</v>
      </c>
      <c r="M821" s="30" t="s">
        <v>361</v>
      </c>
      <c r="N821" s="30" t="s">
        <v>3162</v>
      </c>
      <c r="O821" s="30" t="s">
        <v>8993</v>
      </c>
      <c r="P821" s="30" t="s">
        <v>151</v>
      </c>
      <c r="Q821" s="30" t="s">
        <v>16716</v>
      </c>
      <c r="R821" s="30" t="s">
        <v>151</v>
      </c>
      <c r="S821" s="30" t="s">
        <v>162</v>
      </c>
      <c r="T821" s="37">
        <v>1.5</v>
      </c>
      <c r="U821" s="30" t="s">
        <v>163</v>
      </c>
      <c r="V821" s="30" t="s">
        <v>164</v>
      </c>
      <c r="W821" s="30" t="s">
        <v>165</v>
      </c>
      <c r="X821" s="28" t="s">
        <v>16717</v>
      </c>
      <c r="Y821" s="28" t="s">
        <v>16718</v>
      </c>
      <c r="Z821" s="40">
        <v>17</v>
      </c>
      <c r="AA821" s="30" t="s">
        <v>16719</v>
      </c>
      <c r="AB821" s="30" t="s">
        <v>151</v>
      </c>
      <c r="AC821" s="30" t="s">
        <v>151</v>
      </c>
      <c r="AD821" s="39">
        <v>2019</v>
      </c>
      <c r="AE821" s="30" t="s">
        <v>151</v>
      </c>
      <c r="AF821" s="35">
        <v>45604</v>
      </c>
      <c r="AG821" s="30" t="s">
        <v>151</v>
      </c>
      <c r="AH821" s="30" t="s">
        <v>151</v>
      </c>
      <c r="AI821" s="38">
        <v>0.47</v>
      </c>
      <c r="AJ821" s="32">
        <v>11525</v>
      </c>
      <c r="AK821" s="38" t="s">
        <v>151</v>
      </c>
      <c r="AL821" s="38" t="s">
        <v>151</v>
      </c>
      <c r="AM821" s="38" t="s">
        <v>151</v>
      </c>
      <c r="AN821" s="38" t="s">
        <v>151</v>
      </c>
      <c r="AO821" s="38" t="s">
        <v>151</v>
      </c>
      <c r="AP821" s="38" t="s">
        <v>151</v>
      </c>
      <c r="AQ821" s="38" t="s">
        <v>151</v>
      </c>
      <c r="AR821" s="29" t="s">
        <v>456</v>
      </c>
      <c r="AS821" s="30" t="s">
        <v>16720</v>
      </c>
      <c r="AT821" s="30" t="s">
        <v>16721</v>
      </c>
      <c r="AU821" s="31">
        <v>4</v>
      </c>
      <c r="AV821" s="30" t="s">
        <v>151</v>
      </c>
      <c r="AW821" s="30" t="s">
        <v>151</v>
      </c>
      <c r="AX821" s="30" t="s">
        <v>151</v>
      </c>
      <c r="AY821" s="30" t="s">
        <v>16722</v>
      </c>
      <c r="AZ821" s="30" t="s">
        <v>151</v>
      </c>
      <c r="BA821" s="30" t="s">
        <v>151</v>
      </c>
      <c r="BB821" s="30" t="s">
        <v>151</v>
      </c>
      <c r="BC821" s="30" t="s">
        <v>151</v>
      </c>
      <c r="BD821" s="30" t="s">
        <v>16723</v>
      </c>
      <c r="BE821" s="30" t="s">
        <v>16724</v>
      </c>
      <c r="BF821" s="30" t="s">
        <v>11866</v>
      </c>
      <c r="BG821" s="30" t="s">
        <v>16725</v>
      </c>
      <c r="BH821" s="30" t="s">
        <v>16726</v>
      </c>
      <c r="BI821" s="30" t="s">
        <v>10447</v>
      </c>
      <c r="BJ821" s="30" t="s">
        <v>16727</v>
      </c>
      <c r="BK821" s="30" t="s">
        <v>16728</v>
      </c>
      <c r="BL821" s="30" t="s">
        <v>10449</v>
      </c>
      <c r="BM821" s="30" t="s">
        <v>2814</v>
      </c>
      <c r="BN821" s="29" t="s">
        <v>16729</v>
      </c>
      <c r="BO821" s="30" t="s">
        <v>186</v>
      </c>
      <c r="BP821" s="29" t="s">
        <v>16726</v>
      </c>
      <c r="BQ821" s="29" t="s">
        <v>151</v>
      </c>
      <c r="BR821" s="30" t="s">
        <v>16730</v>
      </c>
      <c r="BS821" s="30" t="s">
        <v>187</v>
      </c>
      <c r="BT821" s="30" t="s">
        <v>188</v>
      </c>
      <c r="BU821" s="35">
        <v>44559</v>
      </c>
      <c r="BV821" s="37">
        <v>0.5</v>
      </c>
      <c r="BW821" s="30" t="s">
        <v>192</v>
      </c>
      <c r="BX821" s="37">
        <v>4.2</v>
      </c>
      <c r="BY821" s="30" t="s">
        <v>192</v>
      </c>
      <c r="BZ821" s="30" t="s">
        <v>231</v>
      </c>
      <c r="CA821" s="30" t="s">
        <v>151</v>
      </c>
      <c r="CB821" s="30" t="s">
        <v>151</v>
      </c>
      <c r="CC821" s="30" t="s">
        <v>165</v>
      </c>
      <c r="CD821" s="30" t="s">
        <v>16731</v>
      </c>
      <c r="CE821" s="30" t="s">
        <v>191</v>
      </c>
      <c r="CF821" s="35">
        <v>44719</v>
      </c>
      <c r="CG821" s="37">
        <v>1</v>
      </c>
      <c r="CH821" s="30" t="s">
        <v>192</v>
      </c>
      <c r="CI821" s="37" t="s">
        <v>151</v>
      </c>
      <c r="CJ821" s="30" t="s">
        <v>151</v>
      </c>
      <c r="CK821" s="29" t="s">
        <v>151</v>
      </c>
      <c r="CL821" s="30" t="s">
        <v>293</v>
      </c>
      <c r="CM821" s="30" t="s">
        <v>293</v>
      </c>
      <c r="CN821" s="30" t="s">
        <v>151</v>
      </c>
      <c r="CO821" s="30" t="s">
        <v>165</v>
      </c>
      <c r="CP821" s="35">
        <v>44719</v>
      </c>
      <c r="CQ821" s="37" t="s">
        <v>151</v>
      </c>
      <c r="CR821" s="30" t="s">
        <v>151</v>
      </c>
      <c r="CS821" s="30" t="s">
        <v>191</v>
      </c>
      <c r="CT821" s="29">
        <v>36</v>
      </c>
      <c r="CU821" s="30" t="s">
        <v>263</v>
      </c>
      <c r="CV821" s="32">
        <v>37</v>
      </c>
      <c r="CW821" s="32">
        <v>63</v>
      </c>
      <c r="CX821" s="30" t="s">
        <v>263</v>
      </c>
      <c r="CY821" s="32">
        <v>1</v>
      </c>
      <c r="CZ821" s="32">
        <v>36</v>
      </c>
      <c r="DA821" s="37">
        <v>4.2</v>
      </c>
      <c r="DB821" s="35">
        <v>44559</v>
      </c>
      <c r="DC821" s="30" t="s">
        <v>231</v>
      </c>
      <c r="DD821" s="29" t="s">
        <v>151</v>
      </c>
      <c r="DE821" s="32">
        <v>0</v>
      </c>
      <c r="DF821" s="34">
        <v>11</v>
      </c>
      <c r="DG821" s="32">
        <v>0</v>
      </c>
      <c r="DH821" s="32">
        <v>0</v>
      </c>
      <c r="DI821" s="32">
        <v>0</v>
      </c>
      <c r="DJ821" s="34">
        <v>10</v>
      </c>
      <c r="DK821" s="32" t="s">
        <v>151</v>
      </c>
      <c r="DL821" s="34" t="s">
        <v>151</v>
      </c>
      <c r="DM821" s="32">
        <v>0</v>
      </c>
      <c r="DN821" s="34">
        <v>10</v>
      </c>
      <c r="DO821" s="36">
        <v>3.16</v>
      </c>
      <c r="DP821" s="34">
        <v>75</v>
      </c>
      <c r="DQ821" s="36">
        <v>0</v>
      </c>
      <c r="DR821" s="32">
        <v>0</v>
      </c>
      <c r="DS821" s="36">
        <v>3.16</v>
      </c>
      <c r="DT821" s="34">
        <v>75</v>
      </c>
      <c r="DU821" s="36" t="s">
        <v>151</v>
      </c>
      <c r="DV821" s="34" t="s">
        <v>151</v>
      </c>
      <c r="DW821" s="36">
        <v>3.16</v>
      </c>
      <c r="DX821" s="34">
        <v>75</v>
      </c>
      <c r="DY821" s="31" t="s">
        <v>151</v>
      </c>
      <c r="DZ821" s="35" t="s">
        <v>151</v>
      </c>
      <c r="EA821" s="35" t="s">
        <v>151</v>
      </c>
      <c r="EB821" s="34">
        <v>283</v>
      </c>
      <c r="EC821" s="33">
        <v>-38</v>
      </c>
      <c r="ED821" s="32">
        <v>-11.84</v>
      </c>
      <c r="EE821" s="34">
        <v>60</v>
      </c>
      <c r="EF821" s="33">
        <v>-1</v>
      </c>
      <c r="EG821" s="32">
        <v>-1.64</v>
      </c>
      <c r="EH821" s="29" t="s">
        <v>198</v>
      </c>
      <c r="EI821" s="30" t="s">
        <v>151</v>
      </c>
      <c r="EJ821" s="30" t="s">
        <v>151</v>
      </c>
      <c r="EK821" s="31" t="s">
        <v>151</v>
      </c>
      <c r="EL821" s="31" t="s">
        <v>151</v>
      </c>
      <c r="EM821" s="31" t="s">
        <v>151</v>
      </c>
      <c r="EN821" s="31" t="s">
        <v>151</v>
      </c>
      <c r="EO821" s="31" t="s">
        <v>151</v>
      </c>
      <c r="EP821" s="30" t="s">
        <v>151</v>
      </c>
      <c r="EQ821" s="29" t="s">
        <v>151</v>
      </c>
      <c r="ER821" s="29" t="s">
        <v>151</v>
      </c>
      <c r="ES821" s="4">
        <f>HYPERLINK("https://my.pitchbook.com?c=463460-68","View Company Online")</f>
      </c>
    </row>
    <row r="822">
      <c r="A822" s="17" t="s">
        <v>16732</v>
      </c>
      <c r="B822" s="17" t="s">
        <v>16733</v>
      </c>
      <c r="C822" s="18" t="s">
        <v>151</v>
      </c>
      <c r="D822" s="17" t="s">
        <v>151</v>
      </c>
      <c r="E822" s="17" t="s">
        <v>151</v>
      </c>
      <c r="F822" s="17" t="s">
        <v>16734</v>
      </c>
      <c r="G822" s="17" t="s">
        <v>151</v>
      </c>
      <c r="H822" s="17" t="s">
        <v>151</v>
      </c>
      <c r="I822" s="17" t="s">
        <v>16735</v>
      </c>
      <c r="J822" s="17" t="s">
        <v>16732</v>
      </c>
      <c r="K822" s="17" t="s">
        <v>16736</v>
      </c>
      <c r="L822" s="17" t="s">
        <v>205</v>
      </c>
      <c r="M822" s="17" t="s">
        <v>206</v>
      </c>
      <c r="N822" s="17" t="s">
        <v>269</v>
      </c>
      <c r="O822" s="17" t="s">
        <v>1819</v>
      </c>
      <c r="P822" s="17" t="s">
        <v>16737</v>
      </c>
      <c r="Q822" s="17" t="s">
        <v>16738</v>
      </c>
      <c r="R822" s="17" t="s">
        <v>16739</v>
      </c>
      <c r="S822" s="17" t="s">
        <v>162</v>
      </c>
      <c r="T822" s="24">
        <v>0.97</v>
      </c>
      <c r="U822" s="17" t="s">
        <v>163</v>
      </c>
      <c r="V822" s="17" t="s">
        <v>164</v>
      </c>
      <c r="W822" s="17" t="s">
        <v>165</v>
      </c>
      <c r="X822" s="15" t="s">
        <v>16740</v>
      </c>
      <c r="Y822" s="15" t="s">
        <v>16741</v>
      </c>
      <c r="Z822" s="27">
        <v>13</v>
      </c>
      <c r="AA822" s="17" t="s">
        <v>16742</v>
      </c>
      <c r="AB822" s="17" t="s">
        <v>151</v>
      </c>
      <c r="AC822" s="17" t="s">
        <v>151</v>
      </c>
      <c r="AD822" s="26">
        <v>2019</v>
      </c>
      <c r="AE822" s="17" t="s">
        <v>151</v>
      </c>
      <c r="AF822" s="22">
        <v>45595</v>
      </c>
      <c r="AG822" s="17" t="s">
        <v>151</v>
      </c>
      <c r="AH822" s="17" t="s">
        <v>151</v>
      </c>
      <c r="AI822" s="25">
        <v>7</v>
      </c>
      <c r="AJ822" s="19">
        <v>133.33</v>
      </c>
      <c r="AK822" s="25" t="s">
        <v>151</v>
      </c>
      <c r="AL822" s="25" t="s">
        <v>151</v>
      </c>
      <c r="AM822" s="25" t="s">
        <v>151</v>
      </c>
      <c r="AN822" s="25" t="s">
        <v>151</v>
      </c>
      <c r="AO822" s="25" t="s">
        <v>151</v>
      </c>
      <c r="AP822" s="25" t="s">
        <v>151</v>
      </c>
      <c r="AQ822" s="25" t="s">
        <v>151</v>
      </c>
      <c r="AR822" s="16" t="s">
        <v>841</v>
      </c>
      <c r="AS822" s="17" t="s">
        <v>16743</v>
      </c>
      <c r="AT822" s="17" t="s">
        <v>16744</v>
      </c>
      <c r="AU822" s="18">
        <v>3</v>
      </c>
      <c r="AV822" s="17" t="s">
        <v>151</v>
      </c>
      <c r="AW822" s="17" t="s">
        <v>151</v>
      </c>
      <c r="AX822" s="17" t="s">
        <v>151</v>
      </c>
      <c r="AY822" s="17" t="s">
        <v>16745</v>
      </c>
      <c r="AZ822" s="17" t="s">
        <v>151</v>
      </c>
      <c r="BA822" s="17" t="s">
        <v>151</v>
      </c>
      <c r="BB822" s="17" t="s">
        <v>151</v>
      </c>
      <c r="BC822" s="17" t="s">
        <v>16746</v>
      </c>
      <c r="BD822" s="17" t="s">
        <v>16747</v>
      </c>
      <c r="BE822" s="17" t="s">
        <v>16748</v>
      </c>
      <c r="BF822" s="17" t="s">
        <v>221</v>
      </c>
      <c r="BG822" s="17" t="s">
        <v>16749</v>
      </c>
      <c r="BH822" s="17" t="s">
        <v>16750</v>
      </c>
      <c r="BI822" s="17" t="s">
        <v>1572</v>
      </c>
      <c r="BJ822" s="17" t="s">
        <v>16751</v>
      </c>
      <c r="BK822" s="17" t="s">
        <v>151</v>
      </c>
      <c r="BL822" s="17" t="s">
        <v>1575</v>
      </c>
      <c r="BM822" s="17" t="s">
        <v>1576</v>
      </c>
      <c r="BN822" s="16" t="s">
        <v>151</v>
      </c>
      <c r="BO822" s="17" t="s">
        <v>186</v>
      </c>
      <c r="BP822" s="16" t="s">
        <v>16750</v>
      </c>
      <c r="BQ822" s="16" t="s">
        <v>151</v>
      </c>
      <c r="BR822" s="17" t="s">
        <v>16752</v>
      </c>
      <c r="BS822" s="17" t="s">
        <v>187</v>
      </c>
      <c r="BT822" s="17" t="s">
        <v>188</v>
      </c>
      <c r="BU822" s="22">
        <v>43515</v>
      </c>
      <c r="BV822" s="24">
        <v>0.12</v>
      </c>
      <c r="BW822" s="17" t="s">
        <v>192</v>
      </c>
      <c r="BX822" s="24">
        <v>0.33</v>
      </c>
      <c r="BY822" s="17" t="s">
        <v>192</v>
      </c>
      <c r="BZ822" s="17" t="s">
        <v>189</v>
      </c>
      <c r="CA822" s="17" t="s">
        <v>151</v>
      </c>
      <c r="CB822" s="17" t="s">
        <v>151</v>
      </c>
      <c r="CC822" s="17" t="s">
        <v>190</v>
      </c>
      <c r="CD822" s="17" t="s">
        <v>16753</v>
      </c>
      <c r="CE822" s="17" t="s">
        <v>191</v>
      </c>
      <c r="CF822" s="22">
        <v>44494</v>
      </c>
      <c r="CG822" s="24">
        <v>0.85</v>
      </c>
      <c r="CH822" s="17" t="s">
        <v>192</v>
      </c>
      <c r="CI822" s="24" t="s">
        <v>151</v>
      </c>
      <c r="CJ822" s="17" t="s">
        <v>151</v>
      </c>
      <c r="CK822" s="16" t="s">
        <v>151</v>
      </c>
      <c r="CL822" s="17" t="s">
        <v>231</v>
      </c>
      <c r="CM822" s="17" t="s">
        <v>151</v>
      </c>
      <c r="CN822" s="17" t="s">
        <v>151</v>
      </c>
      <c r="CO822" s="17" t="s">
        <v>165</v>
      </c>
      <c r="CP822" s="22">
        <v>44494</v>
      </c>
      <c r="CQ822" s="24">
        <v>0.85</v>
      </c>
      <c r="CR822" s="17" t="s">
        <v>16754</v>
      </c>
      <c r="CS822" s="17" t="s">
        <v>191</v>
      </c>
      <c r="CT822" s="16" t="s">
        <v>151</v>
      </c>
      <c r="CU822" s="17" t="s">
        <v>151</v>
      </c>
      <c r="CV822" s="19" t="s">
        <v>151</v>
      </c>
      <c r="CW822" s="19" t="s">
        <v>151</v>
      </c>
      <c r="CX822" s="17" t="s">
        <v>151</v>
      </c>
      <c r="CY822" s="19" t="s">
        <v>151</v>
      </c>
      <c r="CZ822" s="19" t="s">
        <v>151</v>
      </c>
      <c r="DA822" s="24">
        <v>0.33</v>
      </c>
      <c r="DB822" s="22">
        <v>43515</v>
      </c>
      <c r="DC822" s="17" t="s">
        <v>189</v>
      </c>
      <c r="DD822" s="16" t="s">
        <v>151</v>
      </c>
      <c r="DE822" s="19">
        <v>0</v>
      </c>
      <c r="DF822" s="21">
        <v>11</v>
      </c>
      <c r="DG822" s="19">
        <v>0</v>
      </c>
      <c r="DH822" s="19">
        <v>0</v>
      </c>
      <c r="DI822" s="19">
        <v>0</v>
      </c>
      <c r="DJ822" s="21">
        <v>10</v>
      </c>
      <c r="DK822" s="19" t="s">
        <v>151</v>
      </c>
      <c r="DL822" s="21" t="s">
        <v>151</v>
      </c>
      <c r="DM822" s="19">
        <v>0</v>
      </c>
      <c r="DN822" s="21">
        <v>10</v>
      </c>
      <c r="DO822" s="23">
        <v>1.13</v>
      </c>
      <c r="DP822" s="21">
        <v>53</v>
      </c>
      <c r="DQ822" s="23">
        <v>0</v>
      </c>
      <c r="DR822" s="19">
        <v>0</v>
      </c>
      <c r="DS822" s="23">
        <v>1.26</v>
      </c>
      <c r="DT822" s="21">
        <v>55</v>
      </c>
      <c r="DU822" s="23" t="s">
        <v>151</v>
      </c>
      <c r="DV822" s="21" t="s">
        <v>151</v>
      </c>
      <c r="DW822" s="23">
        <v>1.26</v>
      </c>
      <c r="DX822" s="21">
        <v>55</v>
      </c>
      <c r="DY822" s="18" t="s">
        <v>151</v>
      </c>
      <c r="DZ822" s="22" t="s">
        <v>151</v>
      </c>
      <c r="EA822" s="22" t="s">
        <v>151</v>
      </c>
      <c r="EB822" s="21" t="s">
        <v>151</v>
      </c>
      <c r="EC822" s="20" t="s">
        <v>151</v>
      </c>
      <c r="ED822" s="19" t="s">
        <v>151</v>
      </c>
      <c r="EE822" s="21">
        <v>24</v>
      </c>
      <c r="EF822" s="20">
        <v>0</v>
      </c>
      <c r="EG822" s="19">
        <v>0</v>
      </c>
      <c r="EH822" s="16" t="s">
        <v>198</v>
      </c>
      <c r="EI822" s="17" t="s">
        <v>151</v>
      </c>
      <c r="EJ822" s="17" t="s">
        <v>151</v>
      </c>
      <c r="EK822" s="18" t="s">
        <v>151</v>
      </c>
      <c r="EL822" s="18" t="s">
        <v>151</v>
      </c>
      <c r="EM822" s="18" t="s">
        <v>151</v>
      </c>
      <c r="EN822" s="18" t="s">
        <v>151</v>
      </c>
      <c r="EO822" s="18" t="s">
        <v>151</v>
      </c>
      <c r="EP822" s="17" t="s">
        <v>151</v>
      </c>
      <c r="EQ822" s="16" t="s">
        <v>151</v>
      </c>
      <c r="ER822" s="16" t="s">
        <v>151</v>
      </c>
      <c r="ES822" s="3">
        <f>HYPERLINK("https://my.pitchbook.com?c=266702-41","View Company Online")</f>
      </c>
    </row>
    <row r="823">
      <c r="A823" s="30" t="s">
        <v>16755</v>
      </c>
      <c r="B823" s="30" t="s">
        <v>16756</v>
      </c>
      <c r="C823" s="31" t="s">
        <v>151</v>
      </c>
      <c r="D823" s="30" t="s">
        <v>151</v>
      </c>
      <c r="E823" s="30" t="s">
        <v>16757</v>
      </c>
      <c r="F823" s="30" t="s">
        <v>16758</v>
      </c>
      <c r="G823" s="30" t="s">
        <v>151</v>
      </c>
      <c r="H823" s="30" t="s">
        <v>151</v>
      </c>
      <c r="I823" s="30" t="s">
        <v>16759</v>
      </c>
      <c r="J823" s="30" t="s">
        <v>16755</v>
      </c>
      <c r="K823" s="30" t="s">
        <v>16760</v>
      </c>
      <c r="L823" s="30" t="s">
        <v>155</v>
      </c>
      <c r="M823" s="30" t="s">
        <v>239</v>
      </c>
      <c r="N823" s="30" t="s">
        <v>8549</v>
      </c>
      <c r="O823" s="30" t="s">
        <v>16761</v>
      </c>
      <c r="P823" s="30" t="s">
        <v>1346</v>
      </c>
      <c r="Q823" s="30" t="s">
        <v>16762</v>
      </c>
      <c r="R823" s="30" t="s">
        <v>151</v>
      </c>
      <c r="S823" s="30" t="s">
        <v>162</v>
      </c>
      <c r="T823" s="37">
        <v>2.75</v>
      </c>
      <c r="U823" s="30" t="s">
        <v>163</v>
      </c>
      <c r="V823" s="30" t="s">
        <v>164</v>
      </c>
      <c r="W823" s="30" t="s">
        <v>165</v>
      </c>
      <c r="X823" s="28" t="s">
        <v>16763</v>
      </c>
      <c r="Y823" s="28" t="s">
        <v>16764</v>
      </c>
      <c r="Z823" s="40">
        <v>4</v>
      </c>
      <c r="AA823" s="30" t="s">
        <v>16765</v>
      </c>
      <c r="AB823" s="30" t="s">
        <v>151</v>
      </c>
      <c r="AC823" s="30" t="s">
        <v>151</v>
      </c>
      <c r="AD823" s="39">
        <v>2013</v>
      </c>
      <c r="AE823" s="30" t="s">
        <v>151</v>
      </c>
      <c r="AF823" s="35">
        <v>45581</v>
      </c>
      <c r="AG823" s="30" t="s">
        <v>151</v>
      </c>
      <c r="AH823" s="30" t="s">
        <v>151</v>
      </c>
      <c r="AI823" s="38" t="s">
        <v>151</v>
      </c>
      <c r="AJ823" s="32" t="s">
        <v>151</v>
      </c>
      <c r="AK823" s="38" t="s">
        <v>151</v>
      </c>
      <c r="AL823" s="38" t="s">
        <v>151</v>
      </c>
      <c r="AM823" s="38" t="s">
        <v>151</v>
      </c>
      <c r="AN823" s="38" t="s">
        <v>151</v>
      </c>
      <c r="AO823" s="38" t="s">
        <v>151</v>
      </c>
      <c r="AP823" s="38" t="s">
        <v>151</v>
      </c>
      <c r="AQ823" s="38" t="s">
        <v>151</v>
      </c>
      <c r="AR823" s="29" t="s">
        <v>151</v>
      </c>
      <c r="AS823" s="30" t="s">
        <v>16766</v>
      </c>
      <c r="AT823" s="30" t="s">
        <v>16767</v>
      </c>
      <c r="AU823" s="31">
        <v>3</v>
      </c>
      <c r="AV823" s="30" t="s">
        <v>151</v>
      </c>
      <c r="AW823" s="30" t="s">
        <v>151</v>
      </c>
      <c r="AX823" s="30" t="s">
        <v>151</v>
      </c>
      <c r="AY823" s="30" t="s">
        <v>16768</v>
      </c>
      <c r="AZ823" s="30" t="s">
        <v>151</v>
      </c>
      <c r="BA823" s="30" t="s">
        <v>151</v>
      </c>
      <c r="BB823" s="30" t="s">
        <v>151</v>
      </c>
      <c r="BC823" s="30" t="s">
        <v>151</v>
      </c>
      <c r="BD823" s="30" t="s">
        <v>16769</v>
      </c>
      <c r="BE823" s="30" t="s">
        <v>16770</v>
      </c>
      <c r="BF823" s="30" t="s">
        <v>16490</v>
      </c>
      <c r="BG823" s="30" t="s">
        <v>16771</v>
      </c>
      <c r="BH823" s="30" t="s">
        <v>16772</v>
      </c>
      <c r="BI823" s="30" t="s">
        <v>16773</v>
      </c>
      <c r="BJ823" s="30" t="s">
        <v>16774</v>
      </c>
      <c r="BK823" s="30" t="s">
        <v>151</v>
      </c>
      <c r="BL823" s="30" t="s">
        <v>10470</v>
      </c>
      <c r="BM823" s="30" t="s">
        <v>5682</v>
      </c>
      <c r="BN823" s="29" t="s">
        <v>16775</v>
      </c>
      <c r="BO823" s="30" t="s">
        <v>186</v>
      </c>
      <c r="BP823" s="29" t="s">
        <v>16776</v>
      </c>
      <c r="BQ823" s="29" t="s">
        <v>151</v>
      </c>
      <c r="BR823" s="30" t="s">
        <v>16777</v>
      </c>
      <c r="BS823" s="30" t="s">
        <v>187</v>
      </c>
      <c r="BT823" s="30" t="s">
        <v>188</v>
      </c>
      <c r="BU823" s="35">
        <v>44148</v>
      </c>
      <c r="BV823" s="37">
        <v>0.25</v>
      </c>
      <c r="BW823" s="30" t="s">
        <v>192</v>
      </c>
      <c r="BX823" s="37">
        <v>1</v>
      </c>
      <c r="BY823" s="30" t="s">
        <v>192</v>
      </c>
      <c r="BZ823" s="30" t="s">
        <v>1075</v>
      </c>
      <c r="CA823" s="30" t="s">
        <v>1075</v>
      </c>
      <c r="CB823" s="30" t="s">
        <v>151</v>
      </c>
      <c r="CC823" s="30" t="s">
        <v>585</v>
      </c>
      <c r="CD823" s="30" t="s">
        <v>151</v>
      </c>
      <c r="CE823" s="30" t="s">
        <v>191</v>
      </c>
      <c r="CF823" s="35">
        <v>44732</v>
      </c>
      <c r="CG823" s="37">
        <v>2.5</v>
      </c>
      <c r="CH823" s="30" t="s">
        <v>192</v>
      </c>
      <c r="CI823" s="37" t="s">
        <v>151</v>
      </c>
      <c r="CJ823" s="30" t="s">
        <v>151</v>
      </c>
      <c r="CK823" s="29" t="s">
        <v>151</v>
      </c>
      <c r="CL823" s="30" t="s">
        <v>293</v>
      </c>
      <c r="CM823" s="30" t="s">
        <v>293</v>
      </c>
      <c r="CN823" s="30" t="s">
        <v>151</v>
      </c>
      <c r="CO823" s="30" t="s">
        <v>165</v>
      </c>
      <c r="CP823" s="35">
        <v>44732</v>
      </c>
      <c r="CQ823" s="37" t="s">
        <v>151</v>
      </c>
      <c r="CR823" s="30" t="s">
        <v>151</v>
      </c>
      <c r="CS823" s="30" t="s">
        <v>191</v>
      </c>
      <c r="CT823" s="29">
        <v>29</v>
      </c>
      <c r="CU823" s="30" t="s">
        <v>263</v>
      </c>
      <c r="CV823" s="32">
        <v>29</v>
      </c>
      <c r="CW823" s="32">
        <v>71</v>
      </c>
      <c r="CX823" s="30" t="s">
        <v>263</v>
      </c>
      <c r="CY823" s="32">
        <v>1</v>
      </c>
      <c r="CZ823" s="32">
        <v>28</v>
      </c>
      <c r="DA823" s="37">
        <v>1</v>
      </c>
      <c r="DB823" s="35">
        <v>44148</v>
      </c>
      <c r="DC823" s="30" t="s">
        <v>1075</v>
      </c>
      <c r="DD823" s="29" t="s">
        <v>151</v>
      </c>
      <c r="DE823" s="32">
        <v>0</v>
      </c>
      <c r="DF823" s="34">
        <v>11</v>
      </c>
      <c r="DG823" s="32">
        <v>0</v>
      </c>
      <c r="DH823" s="32">
        <v>0</v>
      </c>
      <c r="DI823" s="32" t="s">
        <v>151</v>
      </c>
      <c r="DJ823" s="34" t="s">
        <v>151</v>
      </c>
      <c r="DK823" s="32" t="s">
        <v>151</v>
      </c>
      <c r="DL823" s="34" t="s">
        <v>151</v>
      </c>
      <c r="DM823" s="32" t="s">
        <v>151</v>
      </c>
      <c r="DN823" s="34" t="s">
        <v>151</v>
      </c>
      <c r="DO823" s="36">
        <v>0.31</v>
      </c>
      <c r="DP823" s="34">
        <v>21</v>
      </c>
      <c r="DQ823" s="36">
        <v>0</v>
      </c>
      <c r="DR823" s="32">
        <v>0</v>
      </c>
      <c r="DS823" s="36" t="s">
        <v>151</v>
      </c>
      <c r="DT823" s="34" t="s">
        <v>151</v>
      </c>
      <c r="DU823" s="36" t="s">
        <v>151</v>
      </c>
      <c r="DV823" s="34" t="s">
        <v>151</v>
      </c>
      <c r="DW823" s="36" t="s">
        <v>151</v>
      </c>
      <c r="DX823" s="34" t="s">
        <v>151</v>
      </c>
      <c r="DY823" s="31" t="s">
        <v>151</v>
      </c>
      <c r="DZ823" s="35" t="s">
        <v>151</v>
      </c>
      <c r="EA823" s="35" t="s">
        <v>151</v>
      </c>
      <c r="EB823" s="34" t="s">
        <v>151</v>
      </c>
      <c r="EC823" s="33" t="s">
        <v>151</v>
      </c>
      <c r="ED823" s="32" t="s">
        <v>151</v>
      </c>
      <c r="EE823" s="34" t="s">
        <v>151</v>
      </c>
      <c r="EF823" s="33" t="s">
        <v>151</v>
      </c>
      <c r="EG823" s="32" t="s">
        <v>151</v>
      </c>
      <c r="EH823" s="29" t="s">
        <v>198</v>
      </c>
      <c r="EI823" s="30" t="s">
        <v>151</v>
      </c>
      <c r="EJ823" s="30" t="s">
        <v>151</v>
      </c>
      <c r="EK823" s="31" t="s">
        <v>151</v>
      </c>
      <c r="EL823" s="31" t="s">
        <v>151</v>
      </c>
      <c r="EM823" s="31" t="s">
        <v>151</v>
      </c>
      <c r="EN823" s="31" t="s">
        <v>151</v>
      </c>
      <c r="EO823" s="31" t="s">
        <v>151</v>
      </c>
      <c r="EP823" s="30" t="s">
        <v>151</v>
      </c>
      <c r="EQ823" s="29" t="s">
        <v>151</v>
      </c>
      <c r="ER823" s="29" t="s">
        <v>151</v>
      </c>
      <c r="ES823" s="4">
        <f>HYPERLINK("https://my.pitchbook.com?c=498575-62","View Company Online")</f>
      </c>
    </row>
    <row r="824">
      <c r="A824" s="17" t="s">
        <v>16778</v>
      </c>
      <c r="B824" s="17" t="s">
        <v>16779</v>
      </c>
      <c r="C824" s="18" t="s">
        <v>151</v>
      </c>
      <c r="D824" s="17" t="s">
        <v>151</v>
      </c>
      <c r="E824" s="17" t="s">
        <v>151</v>
      </c>
      <c r="F824" s="17" t="s">
        <v>16780</v>
      </c>
      <c r="G824" s="17" t="s">
        <v>151</v>
      </c>
      <c r="H824" s="17" t="s">
        <v>151</v>
      </c>
      <c r="I824" s="17" t="s">
        <v>151</v>
      </c>
      <c r="J824" s="17" t="s">
        <v>16778</v>
      </c>
      <c r="K824" s="17" t="s">
        <v>16781</v>
      </c>
      <c r="L824" s="17" t="s">
        <v>205</v>
      </c>
      <c r="M824" s="17" t="s">
        <v>206</v>
      </c>
      <c r="N824" s="17" t="s">
        <v>1268</v>
      </c>
      <c r="O824" s="17" t="s">
        <v>3141</v>
      </c>
      <c r="P824" s="17" t="s">
        <v>892</v>
      </c>
      <c r="Q824" s="17" t="s">
        <v>16782</v>
      </c>
      <c r="R824" s="17" t="s">
        <v>151</v>
      </c>
      <c r="S824" s="17" t="s">
        <v>162</v>
      </c>
      <c r="T824" s="24">
        <v>0.75</v>
      </c>
      <c r="U824" s="17" t="s">
        <v>163</v>
      </c>
      <c r="V824" s="17" t="s">
        <v>164</v>
      </c>
      <c r="W824" s="17" t="s">
        <v>165</v>
      </c>
      <c r="X824" s="15" t="s">
        <v>16783</v>
      </c>
      <c r="Y824" s="15" t="s">
        <v>16784</v>
      </c>
      <c r="Z824" s="27">
        <v>4</v>
      </c>
      <c r="AA824" s="17" t="s">
        <v>16785</v>
      </c>
      <c r="AB824" s="17" t="s">
        <v>151</v>
      </c>
      <c r="AC824" s="17" t="s">
        <v>151</v>
      </c>
      <c r="AD824" s="26">
        <v>2018</v>
      </c>
      <c r="AE824" s="17" t="s">
        <v>151</v>
      </c>
      <c r="AF824" s="22">
        <v>45604</v>
      </c>
      <c r="AG824" s="17" t="s">
        <v>151</v>
      </c>
      <c r="AH824" s="17" t="s">
        <v>151</v>
      </c>
      <c r="AI824" s="25" t="s">
        <v>151</v>
      </c>
      <c r="AJ824" s="19" t="s">
        <v>151</v>
      </c>
      <c r="AK824" s="25" t="s">
        <v>151</v>
      </c>
      <c r="AL824" s="25" t="s">
        <v>151</v>
      </c>
      <c r="AM824" s="25" t="s">
        <v>151</v>
      </c>
      <c r="AN824" s="25" t="s">
        <v>151</v>
      </c>
      <c r="AO824" s="25" t="s">
        <v>151</v>
      </c>
      <c r="AP824" s="25" t="s">
        <v>151</v>
      </c>
      <c r="AQ824" s="25" t="s">
        <v>151</v>
      </c>
      <c r="AR824" s="16" t="s">
        <v>151</v>
      </c>
      <c r="AS824" s="17" t="s">
        <v>16786</v>
      </c>
      <c r="AT824" s="17" t="s">
        <v>16787</v>
      </c>
      <c r="AU824" s="18">
        <v>2</v>
      </c>
      <c r="AV824" s="17" t="s">
        <v>151</v>
      </c>
      <c r="AW824" s="17" t="s">
        <v>151</v>
      </c>
      <c r="AX824" s="17" t="s">
        <v>151</v>
      </c>
      <c r="AY824" s="17" t="s">
        <v>151</v>
      </c>
      <c r="AZ824" s="17" t="s">
        <v>151</v>
      </c>
      <c r="BA824" s="17" t="s">
        <v>151</v>
      </c>
      <c r="BB824" s="17" t="s">
        <v>151</v>
      </c>
      <c r="BC824" s="17" t="s">
        <v>151</v>
      </c>
      <c r="BD824" s="17" t="s">
        <v>16788</v>
      </c>
      <c r="BE824" s="17" t="s">
        <v>16789</v>
      </c>
      <c r="BF824" s="17" t="s">
        <v>403</v>
      </c>
      <c r="BG824" s="17" t="s">
        <v>16790</v>
      </c>
      <c r="BH824" s="17" t="s">
        <v>16791</v>
      </c>
      <c r="BI824" s="17" t="s">
        <v>16162</v>
      </c>
      <c r="BJ824" s="17" t="s">
        <v>151</v>
      </c>
      <c r="BK824" s="17" t="s">
        <v>151</v>
      </c>
      <c r="BL824" s="17" t="s">
        <v>16164</v>
      </c>
      <c r="BM824" s="17" t="s">
        <v>1043</v>
      </c>
      <c r="BN824" s="16" t="s">
        <v>151</v>
      </c>
      <c r="BO824" s="17" t="s">
        <v>186</v>
      </c>
      <c r="BP824" s="16" t="s">
        <v>16791</v>
      </c>
      <c r="BQ824" s="16" t="s">
        <v>151</v>
      </c>
      <c r="BR824" s="17" t="s">
        <v>151</v>
      </c>
      <c r="BS824" s="17" t="s">
        <v>187</v>
      </c>
      <c r="BT824" s="17" t="s">
        <v>188</v>
      </c>
      <c r="BU824" s="22">
        <v>44701</v>
      </c>
      <c r="BV824" s="24">
        <v>0.75</v>
      </c>
      <c r="BW824" s="17" t="s">
        <v>192</v>
      </c>
      <c r="BX824" s="24" t="s">
        <v>151</v>
      </c>
      <c r="BY824" s="17" t="s">
        <v>151</v>
      </c>
      <c r="BZ824" s="17" t="s">
        <v>293</v>
      </c>
      <c r="CA824" s="17" t="s">
        <v>293</v>
      </c>
      <c r="CB824" s="17" t="s">
        <v>151</v>
      </c>
      <c r="CC824" s="17" t="s">
        <v>165</v>
      </c>
      <c r="CD824" s="17" t="s">
        <v>151</v>
      </c>
      <c r="CE824" s="17" t="s">
        <v>191</v>
      </c>
      <c r="CF824" s="22">
        <v>44701</v>
      </c>
      <c r="CG824" s="24">
        <v>0.75</v>
      </c>
      <c r="CH824" s="17" t="s">
        <v>192</v>
      </c>
      <c r="CI824" s="24" t="s">
        <v>151</v>
      </c>
      <c r="CJ824" s="17" t="s">
        <v>151</v>
      </c>
      <c r="CK824" s="16" t="s">
        <v>151</v>
      </c>
      <c r="CL824" s="17" t="s">
        <v>293</v>
      </c>
      <c r="CM824" s="17" t="s">
        <v>293</v>
      </c>
      <c r="CN824" s="17" t="s">
        <v>151</v>
      </c>
      <c r="CO824" s="17" t="s">
        <v>165</v>
      </c>
      <c r="CP824" s="22">
        <v>44701</v>
      </c>
      <c r="CQ824" s="24" t="s">
        <v>151</v>
      </c>
      <c r="CR824" s="17" t="s">
        <v>151</v>
      </c>
      <c r="CS824" s="17" t="s">
        <v>191</v>
      </c>
      <c r="CT824" s="16" t="s">
        <v>151</v>
      </c>
      <c r="CU824" s="17" t="s">
        <v>151</v>
      </c>
      <c r="CV824" s="19" t="s">
        <v>151</v>
      </c>
      <c r="CW824" s="19" t="s">
        <v>151</v>
      </c>
      <c r="CX824" s="17" t="s">
        <v>151</v>
      </c>
      <c r="CY824" s="19" t="s">
        <v>151</v>
      </c>
      <c r="CZ824" s="19" t="s">
        <v>151</v>
      </c>
      <c r="DA824" s="24" t="s">
        <v>151</v>
      </c>
      <c r="DB824" s="22" t="s">
        <v>151</v>
      </c>
      <c r="DC824" s="17" t="s">
        <v>151</v>
      </c>
      <c r="DD824" s="16" t="s">
        <v>151</v>
      </c>
      <c r="DE824" s="19">
        <v>0</v>
      </c>
      <c r="DF824" s="21">
        <v>11</v>
      </c>
      <c r="DG824" s="19">
        <v>0</v>
      </c>
      <c r="DH824" s="19">
        <v>0</v>
      </c>
      <c r="DI824" s="19">
        <v>0</v>
      </c>
      <c r="DJ824" s="21">
        <v>10</v>
      </c>
      <c r="DK824" s="19" t="s">
        <v>151</v>
      </c>
      <c r="DL824" s="21" t="s">
        <v>151</v>
      </c>
      <c r="DM824" s="19">
        <v>0</v>
      </c>
      <c r="DN824" s="21">
        <v>10</v>
      </c>
      <c r="DO824" s="23">
        <v>0.73</v>
      </c>
      <c r="DP824" s="21">
        <v>42</v>
      </c>
      <c r="DQ824" s="23">
        <v>0</v>
      </c>
      <c r="DR824" s="19">
        <v>0</v>
      </c>
      <c r="DS824" s="23">
        <v>1.16</v>
      </c>
      <c r="DT824" s="21">
        <v>53</v>
      </c>
      <c r="DU824" s="23" t="s">
        <v>151</v>
      </c>
      <c r="DV824" s="21" t="s">
        <v>151</v>
      </c>
      <c r="DW824" s="23">
        <v>1.16</v>
      </c>
      <c r="DX824" s="21">
        <v>53</v>
      </c>
      <c r="DY824" s="18" t="s">
        <v>151</v>
      </c>
      <c r="DZ824" s="22" t="s">
        <v>151</v>
      </c>
      <c r="EA824" s="22" t="s">
        <v>151</v>
      </c>
      <c r="EB824" s="21">
        <v>0</v>
      </c>
      <c r="EC824" s="20">
        <v>0</v>
      </c>
      <c r="ED824" s="19">
        <v>0</v>
      </c>
      <c r="EE824" s="21">
        <v>22</v>
      </c>
      <c r="EF824" s="20">
        <v>0</v>
      </c>
      <c r="EG824" s="19">
        <v>0</v>
      </c>
      <c r="EH824" s="16" t="s">
        <v>198</v>
      </c>
      <c r="EI824" s="17" t="s">
        <v>151</v>
      </c>
      <c r="EJ824" s="17" t="s">
        <v>151</v>
      </c>
      <c r="EK824" s="18" t="s">
        <v>151</v>
      </c>
      <c r="EL824" s="18" t="s">
        <v>151</v>
      </c>
      <c r="EM824" s="18" t="s">
        <v>151</v>
      </c>
      <c r="EN824" s="18" t="s">
        <v>151</v>
      </c>
      <c r="EO824" s="18" t="s">
        <v>151</v>
      </c>
      <c r="EP824" s="17" t="s">
        <v>151</v>
      </c>
      <c r="EQ824" s="16" t="s">
        <v>151</v>
      </c>
      <c r="ER824" s="16" t="s">
        <v>151</v>
      </c>
      <c r="ES824" s="3">
        <f>HYPERLINK("https://my.pitchbook.com?c=496923-76","View Company Online")</f>
      </c>
    </row>
    <row r="825">
      <c r="A825" s="30" t="s">
        <v>16792</v>
      </c>
      <c r="B825" s="30" t="s">
        <v>16793</v>
      </c>
      <c r="C825" s="31" t="s">
        <v>151</v>
      </c>
      <c r="D825" s="30" t="s">
        <v>16794</v>
      </c>
      <c r="E825" s="30" t="s">
        <v>151</v>
      </c>
      <c r="F825" s="30" t="s">
        <v>16795</v>
      </c>
      <c r="G825" s="30" t="s">
        <v>151</v>
      </c>
      <c r="H825" s="30" t="s">
        <v>151</v>
      </c>
      <c r="I825" s="30" t="s">
        <v>16796</v>
      </c>
      <c r="J825" s="30" t="s">
        <v>16792</v>
      </c>
      <c r="K825" s="30" t="s">
        <v>16797</v>
      </c>
      <c r="L825" s="30" t="s">
        <v>616</v>
      </c>
      <c r="M825" s="30" t="s">
        <v>834</v>
      </c>
      <c r="N825" s="30" t="s">
        <v>835</v>
      </c>
      <c r="O825" s="30" t="s">
        <v>1992</v>
      </c>
      <c r="P825" s="30" t="s">
        <v>1153</v>
      </c>
      <c r="Q825" s="30" t="s">
        <v>16798</v>
      </c>
      <c r="R825" s="30" t="s">
        <v>151</v>
      </c>
      <c r="S825" s="30" t="s">
        <v>162</v>
      </c>
      <c r="T825" s="37">
        <v>17.3</v>
      </c>
      <c r="U825" s="30" t="s">
        <v>163</v>
      </c>
      <c r="V825" s="30" t="s">
        <v>164</v>
      </c>
      <c r="W825" s="30" t="s">
        <v>165</v>
      </c>
      <c r="X825" s="28" t="s">
        <v>16799</v>
      </c>
      <c r="Y825" s="28" t="s">
        <v>16800</v>
      </c>
      <c r="Z825" s="40">
        <v>29</v>
      </c>
      <c r="AA825" s="30" t="s">
        <v>16801</v>
      </c>
      <c r="AB825" s="30" t="s">
        <v>151</v>
      </c>
      <c r="AC825" s="30" t="s">
        <v>151</v>
      </c>
      <c r="AD825" s="39">
        <v>2020</v>
      </c>
      <c r="AE825" s="30" t="s">
        <v>151</v>
      </c>
      <c r="AF825" s="35">
        <v>45547</v>
      </c>
      <c r="AG825" s="30" t="s">
        <v>151</v>
      </c>
      <c r="AH825" s="30" t="s">
        <v>151</v>
      </c>
      <c r="AI825" s="38" t="s">
        <v>151</v>
      </c>
      <c r="AJ825" s="32" t="s">
        <v>151</v>
      </c>
      <c r="AK825" s="38" t="s">
        <v>151</v>
      </c>
      <c r="AL825" s="38" t="s">
        <v>151</v>
      </c>
      <c r="AM825" s="38" t="s">
        <v>151</v>
      </c>
      <c r="AN825" s="38" t="s">
        <v>151</v>
      </c>
      <c r="AO825" s="38" t="s">
        <v>151</v>
      </c>
      <c r="AP825" s="38" t="s">
        <v>151</v>
      </c>
      <c r="AQ825" s="38" t="s">
        <v>151</v>
      </c>
      <c r="AR825" s="29" t="s">
        <v>151</v>
      </c>
      <c r="AS825" s="30" t="s">
        <v>16802</v>
      </c>
      <c r="AT825" s="30" t="s">
        <v>16803</v>
      </c>
      <c r="AU825" s="31">
        <v>16</v>
      </c>
      <c r="AV825" s="30" t="s">
        <v>151</v>
      </c>
      <c r="AW825" s="30" t="s">
        <v>151</v>
      </c>
      <c r="AX825" s="30" t="s">
        <v>151</v>
      </c>
      <c r="AY825" s="30" t="s">
        <v>16804</v>
      </c>
      <c r="AZ825" s="30" t="s">
        <v>151</v>
      </c>
      <c r="BA825" s="30" t="s">
        <v>151</v>
      </c>
      <c r="BB825" s="30" t="s">
        <v>151</v>
      </c>
      <c r="BC825" s="30" t="s">
        <v>1115</v>
      </c>
      <c r="BD825" s="30" t="s">
        <v>16805</v>
      </c>
      <c r="BE825" s="30" t="s">
        <v>16806</v>
      </c>
      <c r="BF825" s="30" t="s">
        <v>493</v>
      </c>
      <c r="BG825" s="30" t="s">
        <v>16807</v>
      </c>
      <c r="BH825" s="30" t="s">
        <v>16808</v>
      </c>
      <c r="BI825" s="30" t="s">
        <v>906</v>
      </c>
      <c r="BJ825" s="30" t="s">
        <v>16809</v>
      </c>
      <c r="BK825" s="30" t="s">
        <v>16810</v>
      </c>
      <c r="BL825" s="30" t="s">
        <v>259</v>
      </c>
      <c r="BM825" s="30" t="s">
        <v>259</v>
      </c>
      <c r="BN825" s="29" t="s">
        <v>5051</v>
      </c>
      <c r="BO825" s="30" t="s">
        <v>186</v>
      </c>
      <c r="BP825" s="29" t="s">
        <v>16808</v>
      </c>
      <c r="BQ825" s="29" t="s">
        <v>151</v>
      </c>
      <c r="BR825" s="30" t="s">
        <v>16811</v>
      </c>
      <c r="BS825" s="30" t="s">
        <v>187</v>
      </c>
      <c r="BT825" s="30" t="s">
        <v>188</v>
      </c>
      <c r="BU825" s="35">
        <v>44148</v>
      </c>
      <c r="BV825" s="37">
        <v>7.3</v>
      </c>
      <c r="BW825" s="30" t="s">
        <v>192</v>
      </c>
      <c r="BX825" s="37">
        <v>77.3</v>
      </c>
      <c r="BY825" s="30" t="s">
        <v>192</v>
      </c>
      <c r="BZ825" s="30" t="s">
        <v>293</v>
      </c>
      <c r="CA825" s="30" t="s">
        <v>293</v>
      </c>
      <c r="CB825" s="30" t="s">
        <v>151</v>
      </c>
      <c r="CC825" s="30" t="s">
        <v>165</v>
      </c>
      <c r="CD825" s="30" t="s">
        <v>151</v>
      </c>
      <c r="CE825" s="30" t="s">
        <v>191</v>
      </c>
      <c r="CF825" s="35">
        <v>44952</v>
      </c>
      <c r="CG825" s="37">
        <v>10</v>
      </c>
      <c r="CH825" s="30" t="s">
        <v>192</v>
      </c>
      <c r="CI825" s="37">
        <v>45</v>
      </c>
      <c r="CJ825" s="30" t="s">
        <v>192</v>
      </c>
      <c r="CK825" s="29">
        <v>0.45</v>
      </c>
      <c r="CL825" s="30" t="s">
        <v>231</v>
      </c>
      <c r="CM825" s="30" t="s">
        <v>232</v>
      </c>
      <c r="CN825" s="30" t="s">
        <v>151</v>
      </c>
      <c r="CO825" s="30" t="s">
        <v>165</v>
      </c>
      <c r="CP825" s="35">
        <v>44952</v>
      </c>
      <c r="CQ825" s="37" t="s">
        <v>151</v>
      </c>
      <c r="CR825" s="30" t="s">
        <v>151</v>
      </c>
      <c r="CS825" s="30" t="s">
        <v>191</v>
      </c>
      <c r="CT825" s="29">
        <v>95</v>
      </c>
      <c r="CU825" s="30" t="s">
        <v>196</v>
      </c>
      <c r="CV825" s="32">
        <v>89</v>
      </c>
      <c r="CW825" s="32">
        <v>11</v>
      </c>
      <c r="CX825" s="30" t="s">
        <v>294</v>
      </c>
      <c r="CY825" s="32">
        <v>2</v>
      </c>
      <c r="CZ825" s="32">
        <v>87</v>
      </c>
      <c r="DA825" s="37">
        <v>45</v>
      </c>
      <c r="DB825" s="35">
        <v>44952</v>
      </c>
      <c r="DC825" s="30" t="s">
        <v>231</v>
      </c>
      <c r="DD825" s="29">
        <v>0.45</v>
      </c>
      <c r="DE825" s="32">
        <v>0.98</v>
      </c>
      <c r="DF825" s="34">
        <v>96</v>
      </c>
      <c r="DG825" s="32">
        <v>0</v>
      </c>
      <c r="DH825" s="32">
        <v>0</v>
      </c>
      <c r="DI825" s="32">
        <v>2.38</v>
      </c>
      <c r="DJ825" s="34">
        <v>99</v>
      </c>
      <c r="DK825" s="32">
        <v>2.38</v>
      </c>
      <c r="DL825" s="34">
        <v>95</v>
      </c>
      <c r="DM825" s="32" t="s">
        <v>151</v>
      </c>
      <c r="DN825" s="34" t="s">
        <v>151</v>
      </c>
      <c r="DO825" s="36">
        <v>6.94</v>
      </c>
      <c r="DP825" s="34">
        <v>86</v>
      </c>
      <c r="DQ825" s="36">
        <v>0</v>
      </c>
      <c r="DR825" s="32">
        <v>0</v>
      </c>
      <c r="DS825" s="36">
        <v>11.65</v>
      </c>
      <c r="DT825" s="34">
        <v>91</v>
      </c>
      <c r="DU825" s="36">
        <v>11.65</v>
      </c>
      <c r="DV825" s="34">
        <v>88</v>
      </c>
      <c r="DW825" s="36" t="s">
        <v>151</v>
      </c>
      <c r="DX825" s="34" t="s">
        <v>151</v>
      </c>
      <c r="DY825" s="31" t="s">
        <v>151</v>
      </c>
      <c r="DZ825" s="35" t="s">
        <v>151</v>
      </c>
      <c r="EA825" s="35" t="s">
        <v>151</v>
      </c>
      <c r="EB825" s="34">
        <v>2399</v>
      </c>
      <c r="EC825" s="33">
        <v>-2</v>
      </c>
      <c r="ED825" s="32">
        <v>-0.08</v>
      </c>
      <c r="EE825" s="34" t="s">
        <v>151</v>
      </c>
      <c r="EF825" s="33" t="s">
        <v>151</v>
      </c>
      <c r="EG825" s="32" t="s">
        <v>151</v>
      </c>
      <c r="EH825" s="29" t="s">
        <v>198</v>
      </c>
      <c r="EI825" s="30" t="s">
        <v>151</v>
      </c>
      <c r="EJ825" s="30" t="s">
        <v>151</v>
      </c>
      <c r="EK825" s="31" t="s">
        <v>151</v>
      </c>
      <c r="EL825" s="31" t="s">
        <v>151</v>
      </c>
      <c r="EM825" s="31" t="s">
        <v>151</v>
      </c>
      <c r="EN825" s="31" t="s">
        <v>151</v>
      </c>
      <c r="EO825" s="31" t="s">
        <v>151</v>
      </c>
      <c r="EP825" s="30" t="s">
        <v>151</v>
      </c>
      <c r="EQ825" s="29" t="s">
        <v>151</v>
      </c>
      <c r="ER825" s="29" t="s">
        <v>151</v>
      </c>
      <c r="ES825" s="4">
        <f>HYPERLINK("https://my.pitchbook.com?c=463451-32","View Company Online")</f>
      </c>
    </row>
    <row r="826">
      <c r="A826" s="17" t="s">
        <v>16812</v>
      </c>
      <c r="B826" s="17" t="s">
        <v>16813</v>
      </c>
      <c r="C826" s="18" t="s">
        <v>151</v>
      </c>
      <c r="D826" s="17" t="s">
        <v>151</v>
      </c>
      <c r="E826" s="17" t="s">
        <v>16814</v>
      </c>
      <c r="F826" s="17" t="s">
        <v>151</v>
      </c>
      <c r="G826" s="17" t="s">
        <v>151</v>
      </c>
      <c r="H826" s="17" t="s">
        <v>151</v>
      </c>
      <c r="I826" s="17" t="s">
        <v>151</v>
      </c>
      <c r="J826" s="17" t="s">
        <v>16812</v>
      </c>
      <c r="K826" s="17" t="s">
        <v>16815</v>
      </c>
      <c r="L826" s="17" t="s">
        <v>205</v>
      </c>
      <c r="M826" s="17" t="s">
        <v>206</v>
      </c>
      <c r="N826" s="17" t="s">
        <v>917</v>
      </c>
      <c r="O826" s="17" t="s">
        <v>11152</v>
      </c>
      <c r="P826" s="17" t="s">
        <v>2640</v>
      </c>
      <c r="Q826" s="17" t="s">
        <v>16816</v>
      </c>
      <c r="R826" s="17" t="s">
        <v>151</v>
      </c>
      <c r="S826" s="17" t="s">
        <v>162</v>
      </c>
      <c r="T826" s="24">
        <v>0.25</v>
      </c>
      <c r="U826" s="17" t="s">
        <v>163</v>
      </c>
      <c r="V826" s="17" t="s">
        <v>164</v>
      </c>
      <c r="W826" s="17" t="s">
        <v>165</v>
      </c>
      <c r="X826" s="15" t="s">
        <v>16817</v>
      </c>
      <c r="Y826" s="15" t="s">
        <v>16818</v>
      </c>
      <c r="Z826" s="27" t="s">
        <v>151</v>
      </c>
      <c r="AA826" s="17" t="s">
        <v>151</v>
      </c>
      <c r="AB826" s="17" t="s">
        <v>151</v>
      </c>
      <c r="AC826" s="17" t="s">
        <v>151</v>
      </c>
      <c r="AD826" s="26">
        <v>2021</v>
      </c>
      <c r="AE826" s="17" t="s">
        <v>151</v>
      </c>
      <c r="AF826" s="22">
        <v>45351</v>
      </c>
      <c r="AG826" s="17" t="s">
        <v>151</v>
      </c>
      <c r="AH826" s="17" t="s">
        <v>151</v>
      </c>
      <c r="AI826" s="25" t="s">
        <v>151</v>
      </c>
      <c r="AJ826" s="19" t="s">
        <v>151</v>
      </c>
      <c r="AK826" s="25" t="s">
        <v>151</v>
      </c>
      <c r="AL826" s="25" t="s">
        <v>151</v>
      </c>
      <c r="AM826" s="25" t="s">
        <v>151</v>
      </c>
      <c r="AN826" s="25" t="s">
        <v>151</v>
      </c>
      <c r="AO826" s="25" t="s">
        <v>151</v>
      </c>
      <c r="AP826" s="25" t="s">
        <v>151</v>
      </c>
      <c r="AQ826" s="25" t="s">
        <v>151</v>
      </c>
      <c r="AR826" s="16" t="s">
        <v>151</v>
      </c>
      <c r="AS826" s="17" t="s">
        <v>16819</v>
      </c>
      <c r="AT826" s="17" t="s">
        <v>16820</v>
      </c>
      <c r="AU826" s="18">
        <v>1</v>
      </c>
      <c r="AV826" s="17" t="s">
        <v>151</v>
      </c>
      <c r="AW826" s="17" t="s">
        <v>151</v>
      </c>
      <c r="AX826" s="17" t="s">
        <v>151</v>
      </c>
      <c r="AY826" s="17" t="s">
        <v>16821</v>
      </c>
      <c r="AZ826" s="17" t="s">
        <v>151</v>
      </c>
      <c r="BA826" s="17" t="s">
        <v>151</v>
      </c>
      <c r="BB826" s="17" t="s">
        <v>151</v>
      </c>
      <c r="BC826" s="17" t="s">
        <v>151</v>
      </c>
      <c r="BD826" s="17" t="s">
        <v>16822</v>
      </c>
      <c r="BE826" s="17" t="s">
        <v>16823</v>
      </c>
      <c r="BF826" s="17" t="s">
        <v>403</v>
      </c>
      <c r="BG826" s="17" t="s">
        <v>16824</v>
      </c>
      <c r="BH826" s="17" t="s">
        <v>151</v>
      </c>
      <c r="BI826" s="17" t="s">
        <v>934</v>
      </c>
      <c r="BJ826" s="17" t="s">
        <v>151</v>
      </c>
      <c r="BK826" s="17" t="s">
        <v>151</v>
      </c>
      <c r="BL826" s="17" t="s">
        <v>937</v>
      </c>
      <c r="BM826" s="17" t="s">
        <v>184</v>
      </c>
      <c r="BN826" s="16" t="s">
        <v>151</v>
      </c>
      <c r="BO826" s="17" t="s">
        <v>186</v>
      </c>
      <c r="BP826" s="16" t="s">
        <v>151</v>
      </c>
      <c r="BQ826" s="16" t="s">
        <v>151</v>
      </c>
      <c r="BR826" s="17" t="s">
        <v>16825</v>
      </c>
      <c r="BS826" s="17" t="s">
        <v>187</v>
      </c>
      <c r="BT826" s="17" t="s">
        <v>188</v>
      </c>
      <c r="BU826" s="22">
        <v>44644</v>
      </c>
      <c r="BV826" s="24">
        <v>0.25</v>
      </c>
      <c r="BW826" s="17" t="s">
        <v>192</v>
      </c>
      <c r="BX826" s="24" t="s">
        <v>151</v>
      </c>
      <c r="BY826" s="17" t="s">
        <v>151</v>
      </c>
      <c r="BZ826" s="17" t="s">
        <v>293</v>
      </c>
      <c r="CA826" s="17" t="s">
        <v>293</v>
      </c>
      <c r="CB826" s="17" t="s">
        <v>151</v>
      </c>
      <c r="CC826" s="17" t="s">
        <v>165</v>
      </c>
      <c r="CD826" s="17" t="s">
        <v>151</v>
      </c>
      <c r="CE826" s="17" t="s">
        <v>191</v>
      </c>
      <c r="CF826" s="22">
        <v>44644</v>
      </c>
      <c r="CG826" s="24">
        <v>0.25</v>
      </c>
      <c r="CH826" s="17" t="s">
        <v>192</v>
      </c>
      <c r="CI826" s="24" t="s">
        <v>151</v>
      </c>
      <c r="CJ826" s="17" t="s">
        <v>151</v>
      </c>
      <c r="CK826" s="16" t="s">
        <v>151</v>
      </c>
      <c r="CL826" s="17" t="s">
        <v>293</v>
      </c>
      <c r="CM826" s="17" t="s">
        <v>293</v>
      </c>
      <c r="CN826" s="17" t="s">
        <v>151</v>
      </c>
      <c r="CO826" s="17" t="s">
        <v>165</v>
      </c>
      <c r="CP826" s="22">
        <v>44644</v>
      </c>
      <c r="CQ826" s="24" t="s">
        <v>151</v>
      </c>
      <c r="CR826" s="17" t="s">
        <v>151</v>
      </c>
      <c r="CS826" s="17" t="s">
        <v>191</v>
      </c>
      <c r="CT826" s="16" t="s">
        <v>151</v>
      </c>
      <c r="CU826" s="17" t="s">
        <v>151</v>
      </c>
      <c r="CV826" s="19" t="s">
        <v>151</v>
      </c>
      <c r="CW826" s="19" t="s">
        <v>151</v>
      </c>
      <c r="CX826" s="17" t="s">
        <v>151</v>
      </c>
      <c r="CY826" s="19" t="s">
        <v>151</v>
      </c>
      <c r="CZ826" s="19" t="s">
        <v>151</v>
      </c>
      <c r="DA826" s="24" t="s">
        <v>151</v>
      </c>
      <c r="DB826" s="22" t="s">
        <v>151</v>
      </c>
      <c r="DC826" s="17" t="s">
        <v>151</v>
      </c>
      <c r="DD826" s="16" t="s">
        <v>151</v>
      </c>
      <c r="DE826" s="19">
        <v>0</v>
      </c>
      <c r="DF826" s="21">
        <v>11</v>
      </c>
      <c r="DG826" s="19">
        <v>0</v>
      </c>
      <c r="DH826" s="19">
        <v>0</v>
      </c>
      <c r="DI826" s="19">
        <v>0</v>
      </c>
      <c r="DJ826" s="21">
        <v>10</v>
      </c>
      <c r="DK826" s="19" t="s">
        <v>151</v>
      </c>
      <c r="DL826" s="21" t="s">
        <v>151</v>
      </c>
      <c r="DM826" s="19">
        <v>0</v>
      </c>
      <c r="DN826" s="21">
        <v>10</v>
      </c>
      <c r="DO826" s="23">
        <v>1.42</v>
      </c>
      <c r="DP826" s="21">
        <v>58</v>
      </c>
      <c r="DQ826" s="23">
        <v>0</v>
      </c>
      <c r="DR826" s="19">
        <v>0</v>
      </c>
      <c r="DS826" s="23">
        <v>1.42</v>
      </c>
      <c r="DT826" s="21">
        <v>58</v>
      </c>
      <c r="DU826" s="23" t="s">
        <v>151</v>
      </c>
      <c r="DV826" s="21" t="s">
        <v>151</v>
      </c>
      <c r="DW826" s="23">
        <v>1.42</v>
      </c>
      <c r="DX826" s="21">
        <v>57</v>
      </c>
      <c r="DY826" s="18" t="s">
        <v>151</v>
      </c>
      <c r="DZ826" s="22" t="s">
        <v>151</v>
      </c>
      <c r="EA826" s="22" t="s">
        <v>151</v>
      </c>
      <c r="EB826" s="21">
        <v>386</v>
      </c>
      <c r="EC826" s="20">
        <v>16</v>
      </c>
      <c r="ED826" s="19">
        <v>4.32</v>
      </c>
      <c r="EE826" s="21">
        <v>27</v>
      </c>
      <c r="EF826" s="20">
        <v>0</v>
      </c>
      <c r="EG826" s="19">
        <v>0</v>
      </c>
      <c r="EH826" s="16" t="s">
        <v>198</v>
      </c>
      <c r="EI826" s="17" t="s">
        <v>151</v>
      </c>
      <c r="EJ826" s="17" t="s">
        <v>151</v>
      </c>
      <c r="EK826" s="18" t="s">
        <v>151</v>
      </c>
      <c r="EL826" s="18" t="s">
        <v>151</v>
      </c>
      <c r="EM826" s="18" t="s">
        <v>151</v>
      </c>
      <c r="EN826" s="18" t="s">
        <v>151</v>
      </c>
      <c r="EO826" s="18" t="s">
        <v>151</v>
      </c>
      <c r="EP826" s="17" t="s">
        <v>151</v>
      </c>
      <c r="EQ826" s="16" t="s">
        <v>151</v>
      </c>
      <c r="ER826" s="16" t="s">
        <v>151</v>
      </c>
      <c r="ES826" s="3">
        <f>HYPERLINK("https://my.pitchbook.com?c=494112-07","View Company Online")</f>
      </c>
    </row>
    <row r="827">
      <c r="A827" s="30" t="s">
        <v>16826</v>
      </c>
      <c r="B827" s="30" t="s">
        <v>16827</v>
      </c>
      <c r="C827" s="31" t="s">
        <v>151</v>
      </c>
      <c r="D827" s="30" t="s">
        <v>151</v>
      </c>
      <c r="E827" s="30" t="s">
        <v>16828</v>
      </c>
      <c r="F827" s="30" t="s">
        <v>16829</v>
      </c>
      <c r="G827" s="30" t="s">
        <v>151</v>
      </c>
      <c r="H827" s="30" t="s">
        <v>151</v>
      </c>
      <c r="I827" s="30" t="s">
        <v>151</v>
      </c>
      <c r="J827" s="30" t="s">
        <v>16826</v>
      </c>
      <c r="K827" s="30" t="s">
        <v>16830</v>
      </c>
      <c r="L827" s="30" t="s">
        <v>205</v>
      </c>
      <c r="M827" s="30" t="s">
        <v>206</v>
      </c>
      <c r="N827" s="30" t="s">
        <v>694</v>
      </c>
      <c r="O827" s="30" t="s">
        <v>16831</v>
      </c>
      <c r="P827" s="30" t="s">
        <v>2640</v>
      </c>
      <c r="Q827" s="30" t="s">
        <v>16832</v>
      </c>
      <c r="R827" s="30" t="s">
        <v>151</v>
      </c>
      <c r="S827" s="30" t="s">
        <v>162</v>
      </c>
      <c r="T827" s="37">
        <v>5.19</v>
      </c>
      <c r="U827" s="30" t="s">
        <v>163</v>
      </c>
      <c r="V827" s="30" t="s">
        <v>164</v>
      </c>
      <c r="W827" s="30" t="s">
        <v>165</v>
      </c>
      <c r="X827" s="28" t="s">
        <v>16833</v>
      </c>
      <c r="Y827" s="28" t="s">
        <v>16834</v>
      </c>
      <c r="Z827" s="40">
        <v>10</v>
      </c>
      <c r="AA827" s="30" t="s">
        <v>16835</v>
      </c>
      <c r="AB827" s="30" t="s">
        <v>151</v>
      </c>
      <c r="AC827" s="30" t="s">
        <v>151</v>
      </c>
      <c r="AD827" s="39" t="s">
        <v>151</v>
      </c>
      <c r="AE827" s="30" t="s">
        <v>151</v>
      </c>
      <c r="AF827" s="35">
        <v>45548</v>
      </c>
      <c r="AG827" s="30" t="s">
        <v>151</v>
      </c>
      <c r="AH827" s="30" t="s">
        <v>151</v>
      </c>
      <c r="AI827" s="38">
        <v>2.96</v>
      </c>
      <c r="AJ827" s="32" t="s">
        <v>151</v>
      </c>
      <c r="AK827" s="38" t="s">
        <v>151</v>
      </c>
      <c r="AL827" s="38" t="s">
        <v>151</v>
      </c>
      <c r="AM827" s="38" t="s">
        <v>151</v>
      </c>
      <c r="AN827" s="38" t="s">
        <v>151</v>
      </c>
      <c r="AO827" s="38" t="s">
        <v>151</v>
      </c>
      <c r="AP827" s="38" t="s">
        <v>151</v>
      </c>
      <c r="AQ827" s="38" t="s">
        <v>151</v>
      </c>
      <c r="AR827" s="29" t="s">
        <v>810</v>
      </c>
      <c r="AS827" s="30" t="s">
        <v>16836</v>
      </c>
      <c r="AT827" s="30" t="s">
        <v>16837</v>
      </c>
      <c r="AU827" s="31">
        <v>8</v>
      </c>
      <c r="AV827" s="30" t="s">
        <v>151</v>
      </c>
      <c r="AW827" s="30" t="s">
        <v>151</v>
      </c>
      <c r="AX827" s="30" t="s">
        <v>151</v>
      </c>
      <c r="AY827" s="30" t="s">
        <v>16838</v>
      </c>
      <c r="AZ827" s="30" t="s">
        <v>151</v>
      </c>
      <c r="BA827" s="30" t="s">
        <v>151</v>
      </c>
      <c r="BB827" s="30" t="s">
        <v>151</v>
      </c>
      <c r="BC827" s="30" t="s">
        <v>151</v>
      </c>
      <c r="BD827" s="30" t="s">
        <v>16839</v>
      </c>
      <c r="BE827" s="30" t="s">
        <v>16840</v>
      </c>
      <c r="BF827" s="30" t="s">
        <v>403</v>
      </c>
      <c r="BG827" s="30" t="s">
        <v>16841</v>
      </c>
      <c r="BH827" s="30" t="s">
        <v>16842</v>
      </c>
      <c r="BI827" s="30" t="s">
        <v>906</v>
      </c>
      <c r="BJ827" s="30" t="s">
        <v>16843</v>
      </c>
      <c r="BK827" s="30" t="s">
        <v>16844</v>
      </c>
      <c r="BL827" s="30" t="s">
        <v>259</v>
      </c>
      <c r="BM827" s="30" t="s">
        <v>259</v>
      </c>
      <c r="BN827" s="29" t="s">
        <v>10408</v>
      </c>
      <c r="BO827" s="30" t="s">
        <v>186</v>
      </c>
      <c r="BP827" s="29" t="s">
        <v>16842</v>
      </c>
      <c r="BQ827" s="29" t="s">
        <v>151</v>
      </c>
      <c r="BR827" s="30" t="s">
        <v>151</v>
      </c>
      <c r="BS827" s="30" t="s">
        <v>187</v>
      </c>
      <c r="BT827" s="30" t="s">
        <v>188</v>
      </c>
      <c r="BU827" s="35">
        <v>44370</v>
      </c>
      <c r="BV827" s="37">
        <v>5.19</v>
      </c>
      <c r="BW827" s="30" t="s">
        <v>192</v>
      </c>
      <c r="BX827" s="37">
        <v>20.69</v>
      </c>
      <c r="BY827" s="30" t="s">
        <v>192</v>
      </c>
      <c r="BZ827" s="30" t="s">
        <v>293</v>
      </c>
      <c r="CA827" s="30" t="s">
        <v>293</v>
      </c>
      <c r="CB827" s="30" t="s">
        <v>151</v>
      </c>
      <c r="CC827" s="30" t="s">
        <v>165</v>
      </c>
      <c r="CD827" s="30" t="s">
        <v>151</v>
      </c>
      <c r="CE827" s="30" t="s">
        <v>191</v>
      </c>
      <c r="CF827" s="35">
        <v>44370</v>
      </c>
      <c r="CG827" s="37">
        <v>5.19</v>
      </c>
      <c r="CH827" s="30" t="s">
        <v>192</v>
      </c>
      <c r="CI827" s="37">
        <v>20.69</v>
      </c>
      <c r="CJ827" s="30" t="s">
        <v>192</v>
      </c>
      <c r="CK827" s="29" t="s">
        <v>151</v>
      </c>
      <c r="CL827" s="30" t="s">
        <v>293</v>
      </c>
      <c r="CM827" s="30" t="s">
        <v>293</v>
      </c>
      <c r="CN827" s="30" t="s">
        <v>151</v>
      </c>
      <c r="CO827" s="30" t="s">
        <v>165</v>
      </c>
      <c r="CP827" s="35">
        <v>44370</v>
      </c>
      <c r="CQ827" s="37" t="s">
        <v>151</v>
      </c>
      <c r="CR827" s="30" t="s">
        <v>151</v>
      </c>
      <c r="CS827" s="30" t="s">
        <v>191</v>
      </c>
      <c r="CT827" s="29" t="s">
        <v>151</v>
      </c>
      <c r="CU827" s="30" t="s">
        <v>151</v>
      </c>
      <c r="CV827" s="32" t="s">
        <v>151</v>
      </c>
      <c r="CW827" s="32" t="s">
        <v>151</v>
      </c>
      <c r="CX827" s="30" t="s">
        <v>151</v>
      </c>
      <c r="CY827" s="32" t="s">
        <v>151</v>
      </c>
      <c r="CZ827" s="32" t="s">
        <v>151</v>
      </c>
      <c r="DA827" s="37">
        <v>20.69</v>
      </c>
      <c r="DB827" s="35">
        <v>44370</v>
      </c>
      <c r="DC827" s="30" t="s">
        <v>293</v>
      </c>
      <c r="DD827" s="29" t="s">
        <v>151</v>
      </c>
      <c r="DE827" s="32">
        <v>-0.57</v>
      </c>
      <c r="DF827" s="34">
        <v>6</v>
      </c>
      <c r="DG827" s="32">
        <v>0</v>
      </c>
      <c r="DH827" s="32">
        <v>0</v>
      </c>
      <c r="DI827" s="32">
        <v>0</v>
      </c>
      <c r="DJ827" s="34">
        <v>10</v>
      </c>
      <c r="DK827" s="32" t="s">
        <v>151</v>
      </c>
      <c r="DL827" s="34" t="s">
        <v>151</v>
      </c>
      <c r="DM827" s="32">
        <v>0</v>
      </c>
      <c r="DN827" s="34">
        <v>10</v>
      </c>
      <c r="DO827" s="36">
        <v>1.15</v>
      </c>
      <c r="DP827" s="34">
        <v>53</v>
      </c>
      <c r="DQ827" s="36">
        <v>0</v>
      </c>
      <c r="DR827" s="32">
        <v>0</v>
      </c>
      <c r="DS827" s="36">
        <v>1.53</v>
      </c>
      <c r="DT827" s="34">
        <v>60</v>
      </c>
      <c r="DU827" s="36" t="s">
        <v>151</v>
      </c>
      <c r="DV827" s="34" t="s">
        <v>151</v>
      </c>
      <c r="DW827" s="36">
        <v>1.53</v>
      </c>
      <c r="DX827" s="34">
        <v>59</v>
      </c>
      <c r="DY827" s="31" t="s">
        <v>151</v>
      </c>
      <c r="DZ827" s="35" t="s">
        <v>151</v>
      </c>
      <c r="EA827" s="35" t="s">
        <v>151</v>
      </c>
      <c r="EB827" s="34" t="s">
        <v>151</v>
      </c>
      <c r="EC827" s="33" t="s">
        <v>151</v>
      </c>
      <c r="ED827" s="32" t="s">
        <v>151</v>
      </c>
      <c r="EE827" s="34">
        <v>29</v>
      </c>
      <c r="EF827" s="33">
        <v>0</v>
      </c>
      <c r="EG827" s="32">
        <v>0</v>
      </c>
      <c r="EH827" s="29" t="s">
        <v>198</v>
      </c>
      <c r="EI827" s="30" t="s">
        <v>151</v>
      </c>
      <c r="EJ827" s="30" t="s">
        <v>151</v>
      </c>
      <c r="EK827" s="31" t="s">
        <v>151</v>
      </c>
      <c r="EL827" s="31" t="s">
        <v>151</v>
      </c>
      <c r="EM827" s="31" t="s">
        <v>151</v>
      </c>
      <c r="EN827" s="31" t="s">
        <v>151</v>
      </c>
      <c r="EO827" s="31" t="s">
        <v>151</v>
      </c>
      <c r="EP827" s="30" t="s">
        <v>151</v>
      </c>
      <c r="EQ827" s="29" t="s">
        <v>151</v>
      </c>
      <c r="ER827" s="29" t="s">
        <v>151</v>
      </c>
      <c r="ES827" s="4">
        <f>HYPERLINK("https://my.pitchbook.com?c=436327-21","View Company Online")</f>
      </c>
    </row>
    <row r="828">
      <c r="A828" s="17" t="s">
        <v>16845</v>
      </c>
      <c r="B828" s="17" t="s">
        <v>16846</v>
      </c>
      <c r="C828" s="18" t="s">
        <v>151</v>
      </c>
      <c r="D828" s="17" t="s">
        <v>151</v>
      </c>
      <c r="E828" s="17" t="s">
        <v>151</v>
      </c>
      <c r="F828" s="17" t="s">
        <v>16847</v>
      </c>
      <c r="G828" s="17" t="s">
        <v>151</v>
      </c>
      <c r="H828" s="17" t="s">
        <v>151</v>
      </c>
      <c r="I828" s="17" t="s">
        <v>151</v>
      </c>
      <c r="J828" s="17" t="s">
        <v>16845</v>
      </c>
      <c r="K828" s="17" t="s">
        <v>16848</v>
      </c>
      <c r="L828" s="17" t="s">
        <v>205</v>
      </c>
      <c r="M828" s="17" t="s">
        <v>448</v>
      </c>
      <c r="N828" s="17" t="s">
        <v>449</v>
      </c>
      <c r="O828" s="17" t="s">
        <v>16849</v>
      </c>
      <c r="P828" s="17" t="s">
        <v>16850</v>
      </c>
      <c r="Q828" s="17" t="s">
        <v>16851</v>
      </c>
      <c r="R828" s="17" t="s">
        <v>151</v>
      </c>
      <c r="S828" s="17" t="s">
        <v>162</v>
      </c>
      <c r="T828" s="24">
        <v>0.05</v>
      </c>
      <c r="U828" s="17" t="s">
        <v>163</v>
      </c>
      <c r="V828" s="17" t="s">
        <v>164</v>
      </c>
      <c r="W828" s="17" t="s">
        <v>165</v>
      </c>
      <c r="X828" s="15" t="s">
        <v>16852</v>
      </c>
      <c r="Y828" s="15" t="s">
        <v>16853</v>
      </c>
      <c r="Z828" s="27">
        <v>11</v>
      </c>
      <c r="AA828" s="17" t="s">
        <v>16854</v>
      </c>
      <c r="AB828" s="17" t="s">
        <v>151</v>
      </c>
      <c r="AC828" s="17" t="s">
        <v>151</v>
      </c>
      <c r="AD828" s="26">
        <v>2018</v>
      </c>
      <c r="AE828" s="17" t="s">
        <v>151</v>
      </c>
      <c r="AF828" s="22">
        <v>45495</v>
      </c>
      <c r="AG828" s="17" t="s">
        <v>151</v>
      </c>
      <c r="AH828" s="17" t="s">
        <v>151</v>
      </c>
      <c r="AI828" s="25" t="s">
        <v>151</v>
      </c>
      <c r="AJ828" s="19" t="s">
        <v>151</v>
      </c>
      <c r="AK828" s="25" t="s">
        <v>151</v>
      </c>
      <c r="AL828" s="25" t="s">
        <v>151</v>
      </c>
      <c r="AM828" s="25" t="s">
        <v>151</v>
      </c>
      <c r="AN828" s="25" t="s">
        <v>151</v>
      </c>
      <c r="AO828" s="25" t="s">
        <v>151</v>
      </c>
      <c r="AP828" s="25" t="s">
        <v>151</v>
      </c>
      <c r="AQ828" s="25" t="s">
        <v>151</v>
      </c>
      <c r="AR828" s="16" t="s">
        <v>151</v>
      </c>
      <c r="AS828" s="17" t="s">
        <v>16855</v>
      </c>
      <c r="AT828" s="17" t="s">
        <v>16856</v>
      </c>
      <c r="AU828" s="18">
        <v>1</v>
      </c>
      <c r="AV828" s="17" t="s">
        <v>151</v>
      </c>
      <c r="AW828" s="17" t="s">
        <v>151</v>
      </c>
      <c r="AX828" s="17" t="s">
        <v>151</v>
      </c>
      <c r="AY828" s="17" t="s">
        <v>16857</v>
      </c>
      <c r="AZ828" s="17" t="s">
        <v>151</v>
      </c>
      <c r="BA828" s="17" t="s">
        <v>151</v>
      </c>
      <c r="BB828" s="17" t="s">
        <v>151</v>
      </c>
      <c r="BC828" s="17" t="s">
        <v>151</v>
      </c>
      <c r="BD828" s="17" t="s">
        <v>16858</v>
      </c>
      <c r="BE828" s="17" t="s">
        <v>16859</v>
      </c>
      <c r="BF828" s="17" t="s">
        <v>4135</v>
      </c>
      <c r="BG828" s="17" t="s">
        <v>16860</v>
      </c>
      <c r="BH828" s="17" t="s">
        <v>16861</v>
      </c>
      <c r="BI828" s="17" t="s">
        <v>3802</v>
      </c>
      <c r="BJ828" s="17" t="s">
        <v>16862</v>
      </c>
      <c r="BK828" s="17" t="s">
        <v>16863</v>
      </c>
      <c r="BL828" s="17" t="s">
        <v>3804</v>
      </c>
      <c r="BM828" s="17" t="s">
        <v>289</v>
      </c>
      <c r="BN828" s="16" t="s">
        <v>16864</v>
      </c>
      <c r="BO828" s="17" t="s">
        <v>186</v>
      </c>
      <c r="BP828" s="16" t="s">
        <v>151</v>
      </c>
      <c r="BQ828" s="16" t="s">
        <v>151</v>
      </c>
      <c r="BR828" s="17" t="s">
        <v>151</v>
      </c>
      <c r="BS828" s="17" t="s">
        <v>187</v>
      </c>
      <c r="BT828" s="17" t="s">
        <v>188</v>
      </c>
      <c r="BU828" s="22">
        <v>45125</v>
      </c>
      <c r="BV828" s="24">
        <v>0.05</v>
      </c>
      <c r="BW828" s="17" t="s">
        <v>192</v>
      </c>
      <c r="BX828" s="24" t="s">
        <v>151</v>
      </c>
      <c r="BY828" s="17" t="s">
        <v>151</v>
      </c>
      <c r="BZ828" s="17" t="s">
        <v>194</v>
      </c>
      <c r="CA828" s="17" t="s">
        <v>151</v>
      </c>
      <c r="CB828" s="17" t="s">
        <v>151</v>
      </c>
      <c r="CC828" s="17" t="s">
        <v>165</v>
      </c>
      <c r="CD828" s="17" t="s">
        <v>151</v>
      </c>
      <c r="CE828" s="17" t="s">
        <v>191</v>
      </c>
      <c r="CF828" s="22">
        <v>45125</v>
      </c>
      <c r="CG828" s="24">
        <v>0.05</v>
      </c>
      <c r="CH828" s="17" t="s">
        <v>192</v>
      </c>
      <c r="CI828" s="24" t="s">
        <v>151</v>
      </c>
      <c r="CJ828" s="17" t="s">
        <v>151</v>
      </c>
      <c r="CK828" s="16" t="s">
        <v>151</v>
      </c>
      <c r="CL828" s="17" t="s">
        <v>194</v>
      </c>
      <c r="CM828" s="17" t="s">
        <v>151</v>
      </c>
      <c r="CN828" s="17" t="s">
        <v>151</v>
      </c>
      <c r="CO828" s="17" t="s">
        <v>165</v>
      </c>
      <c r="CP828" s="22">
        <v>45125</v>
      </c>
      <c r="CQ828" s="24" t="s">
        <v>151</v>
      </c>
      <c r="CR828" s="17" t="s">
        <v>151</v>
      </c>
      <c r="CS828" s="17" t="s">
        <v>191</v>
      </c>
      <c r="CT828" s="16" t="s">
        <v>151</v>
      </c>
      <c r="CU828" s="17" t="s">
        <v>151</v>
      </c>
      <c r="CV828" s="19" t="s">
        <v>151</v>
      </c>
      <c r="CW828" s="19" t="s">
        <v>151</v>
      </c>
      <c r="CX828" s="17" t="s">
        <v>151</v>
      </c>
      <c r="CY828" s="19" t="s">
        <v>151</v>
      </c>
      <c r="CZ828" s="19" t="s">
        <v>151</v>
      </c>
      <c r="DA828" s="24" t="s">
        <v>151</v>
      </c>
      <c r="DB828" s="22" t="s">
        <v>151</v>
      </c>
      <c r="DC828" s="17" t="s">
        <v>151</v>
      </c>
      <c r="DD828" s="16" t="s">
        <v>151</v>
      </c>
      <c r="DE828" s="19">
        <v>0</v>
      </c>
      <c r="DF828" s="21">
        <v>11</v>
      </c>
      <c r="DG828" s="19">
        <v>0</v>
      </c>
      <c r="DH828" s="19">
        <v>0</v>
      </c>
      <c r="DI828" s="19">
        <v>0</v>
      </c>
      <c r="DJ828" s="21">
        <v>10</v>
      </c>
      <c r="DK828" s="19" t="s">
        <v>151</v>
      </c>
      <c r="DL828" s="21" t="s">
        <v>151</v>
      </c>
      <c r="DM828" s="19">
        <v>0</v>
      </c>
      <c r="DN828" s="21">
        <v>10</v>
      </c>
      <c r="DO828" s="23">
        <v>0.9</v>
      </c>
      <c r="DP828" s="21">
        <v>48</v>
      </c>
      <c r="DQ828" s="23">
        <v>0</v>
      </c>
      <c r="DR828" s="19">
        <v>0</v>
      </c>
      <c r="DS828" s="23">
        <v>0.95</v>
      </c>
      <c r="DT828" s="21">
        <v>49</v>
      </c>
      <c r="DU828" s="23" t="s">
        <v>151</v>
      </c>
      <c r="DV828" s="21" t="s">
        <v>151</v>
      </c>
      <c r="DW828" s="23">
        <v>0.95</v>
      </c>
      <c r="DX828" s="21">
        <v>48</v>
      </c>
      <c r="DY828" s="18" t="s">
        <v>151</v>
      </c>
      <c r="DZ828" s="22" t="s">
        <v>151</v>
      </c>
      <c r="EA828" s="22" t="s">
        <v>151</v>
      </c>
      <c r="EB828" s="21">
        <v>0</v>
      </c>
      <c r="EC828" s="20">
        <v>0</v>
      </c>
      <c r="ED828" s="19">
        <v>0</v>
      </c>
      <c r="EE828" s="21">
        <v>18</v>
      </c>
      <c r="EF828" s="20">
        <v>0</v>
      </c>
      <c r="EG828" s="19">
        <v>0</v>
      </c>
      <c r="EH828" s="16" t="s">
        <v>198</v>
      </c>
      <c r="EI828" s="17" t="s">
        <v>151</v>
      </c>
      <c r="EJ828" s="17" t="s">
        <v>151</v>
      </c>
      <c r="EK828" s="18" t="s">
        <v>151</v>
      </c>
      <c r="EL828" s="18" t="s">
        <v>151</v>
      </c>
      <c r="EM828" s="18" t="s">
        <v>151</v>
      </c>
      <c r="EN828" s="18" t="s">
        <v>151</v>
      </c>
      <c r="EO828" s="18" t="s">
        <v>151</v>
      </c>
      <c r="EP828" s="17" t="s">
        <v>151</v>
      </c>
      <c r="EQ828" s="16" t="s">
        <v>151</v>
      </c>
      <c r="ER828" s="16" t="s">
        <v>151</v>
      </c>
      <c r="ES828" s="3">
        <f>HYPERLINK("https://my.pitchbook.com?c=521503-66","View Company Online")</f>
      </c>
    </row>
    <row r="829">
      <c r="A829" s="30" t="s">
        <v>16865</v>
      </c>
      <c r="B829" s="30" t="s">
        <v>16866</v>
      </c>
      <c r="C829" s="31" t="s">
        <v>151</v>
      </c>
      <c r="D829" s="30" t="s">
        <v>151</v>
      </c>
      <c r="E829" s="30" t="s">
        <v>151</v>
      </c>
      <c r="F829" s="30" t="s">
        <v>16867</v>
      </c>
      <c r="G829" s="30" t="s">
        <v>151</v>
      </c>
      <c r="H829" s="30" t="s">
        <v>151</v>
      </c>
      <c r="I829" s="30" t="s">
        <v>151</v>
      </c>
      <c r="J829" s="30" t="s">
        <v>16865</v>
      </c>
      <c r="K829" s="30" t="s">
        <v>16868</v>
      </c>
      <c r="L829" s="30" t="s">
        <v>205</v>
      </c>
      <c r="M829" s="30" t="s">
        <v>448</v>
      </c>
      <c r="N829" s="30" t="s">
        <v>478</v>
      </c>
      <c r="O829" s="30" t="s">
        <v>16869</v>
      </c>
      <c r="P829" s="30" t="s">
        <v>16870</v>
      </c>
      <c r="Q829" s="30" t="s">
        <v>16871</v>
      </c>
      <c r="R829" s="30" t="s">
        <v>16872</v>
      </c>
      <c r="S829" s="30" t="s">
        <v>162</v>
      </c>
      <c r="T829" s="37">
        <v>1.9</v>
      </c>
      <c r="U829" s="30" t="s">
        <v>163</v>
      </c>
      <c r="V829" s="30" t="s">
        <v>164</v>
      </c>
      <c r="W829" s="30" t="s">
        <v>165</v>
      </c>
      <c r="X829" s="28" t="s">
        <v>16873</v>
      </c>
      <c r="Y829" s="28" t="s">
        <v>16874</v>
      </c>
      <c r="Z829" s="40">
        <v>5</v>
      </c>
      <c r="AA829" s="30" t="s">
        <v>10755</v>
      </c>
      <c r="AB829" s="30" t="s">
        <v>151</v>
      </c>
      <c r="AC829" s="30" t="s">
        <v>151</v>
      </c>
      <c r="AD829" s="39">
        <v>2021</v>
      </c>
      <c r="AE829" s="30" t="s">
        <v>151</v>
      </c>
      <c r="AF829" s="35">
        <v>45609</v>
      </c>
      <c r="AG829" s="30" t="s">
        <v>151</v>
      </c>
      <c r="AH829" s="30" t="s">
        <v>151</v>
      </c>
      <c r="AI829" s="38" t="s">
        <v>151</v>
      </c>
      <c r="AJ829" s="32" t="s">
        <v>151</v>
      </c>
      <c r="AK829" s="38" t="s">
        <v>151</v>
      </c>
      <c r="AL829" s="38" t="s">
        <v>151</v>
      </c>
      <c r="AM829" s="38" t="s">
        <v>151</v>
      </c>
      <c r="AN829" s="38" t="s">
        <v>151</v>
      </c>
      <c r="AO829" s="38" t="s">
        <v>151</v>
      </c>
      <c r="AP829" s="38" t="s">
        <v>151</v>
      </c>
      <c r="AQ829" s="38" t="s">
        <v>151</v>
      </c>
      <c r="AR829" s="29" t="s">
        <v>151</v>
      </c>
      <c r="AS829" s="30" t="s">
        <v>16875</v>
      </c>
      <c r="AT829" s="30" t="s">
        <v>16876</v>
      </c>
      <c r="AU829" s="31">
        <v>3</v>
      </c>
      <c r="AV829" s="30" t="s">
        <v>151</v>
      </c>
      <c r="AW829" s="30" t="s">
        <v>151</v>
      </c>
      <c r="AX829" s="30" t="s">
        <v>151</v>
      </c>
      <c r="AY829" s="30" t="s">
        <v>16877</v>
      </c>
      <c r="AZ829" s="30" t="s">
        <v>151</v>
      </c>
      <c r="BA829" s="30" t="s">
        <v>151</v>
      </c>
      <c r="BB829" s="30" t="s">
        <v>151</v>
      </c>
      <c r="BC829" s="30" t="s">
        <v>151</v>
      </c>
      <c r="BD829" s="30" t="s">
        <v>16878</v>
      </c>
      <c r="BE829" s="30" t="s">
        <v>16879</v>
      </c>
      <c r="BF829" s="30" t="s">
        <v>493</v>
      </c>
      <c r="BG829" s="30" t="s">
        <v>16880</v>
      </c>
      <c r="BH829" s="30" t="s">
        <v>16881</v>
      </c>
      <c r="BI829" s="30" t="s">
        <v>16882</v>
      </c>
      <c r="BJ829" s="30" t="s">
        <v>16883</v>
      </c>
      <c r="BK829" s="30" t="s">
        <v>16884</v>
      </c>
      <c r="BL829" s="30" t="s">
        <v>16885</v>
      </c>
      <c r="BM829" s="30" t="s">
        <v>289</v>
      </c>
      <c r="BN829" s="29" t="s">
        <v>16886</v>
      </c>
      <c r="BO829" s="30" t="s">
        <v>186</v>
      </c>
      <c r="BP829" s="29" t="s">
        <v>16887</v>
      </c>
      <c r="BQ829" s="29" t="s">
        <v>151</v>
      </c>
      <c r="BR829" s="30" t="s">
        <v>151</v>
      </c>
      <c r="BS829" s="30" t="s">
        <v>187</v>
      </c>
      <c r="BT829" s="30" t="s">
        <v>188</v>
      </c>
      <c r="BU829" s="35">
        <v>44197</v>
      </c>
      <c r="BV829" s="37" t="s">
        <v>151</v>
      </c>
      <c r="BW829" s="30" t="s">
        <v>151</v>
      </c>
      <c r="BX829" s="37" t="s">
        <v>151</v>
      </c>
      <c r="BY829" s="30" t="s">
        <v>151</v>
      </c>
      <c r="BZ829" s="30" t="s">
        <v>660</v>
      </c>
      <c r="CA829" s="30" t="s">
        <v>151</v>
      </c>
      <c r="CB829" s="30" t="s">
        <v>151</v>
      </c>
      <c r="CC829" s="30" t="s">
        <v>385</v>
      </c>
      <c r="CD829" s="30" t="s">
        <v>151</v>
      </c>
      <c r="CE829" s="30" t="s">
        <v>191</v>
      </c>
      <c r="CF829" s="35">
        <v>45376</v>
      </c>
      <c r="CG829" s="37" t="s">
        <v>151</v>
      </c>
      <c r="CH829" s="30" t="s">
        <v>151</v>
      </c>
      <c r="CI829" s="37" t="s">
        <v>151</v>
      </c>
      <c r="CJ829" s="30" t="s">
        <v>151</v>
      </c>
      <c r="CK829" s="29" t="s">
        <v>151</v>
      </c>
      <c r="CL829" s="30" t="s">
        <v>293</v>
      </c>
      <c r="CM829" s="30" t="s">
        <v>326</v>
      </c>
      <c r="CN829" s="30" t="s">
        <v>151</v>
      </c>
      <c r="CO829" s="30" t="s">
        <v>165</v>
      </c>
      <c r="CP829" s="35">
        <v>45376</v>
      </c>
      <c r="CQ829" s="37" t="s">
        <v>151</v>
      </c>
      <c r="CR829" s="30" t="s">
        <v>151</v>
      </c>
      <c r="CS829" s="30" t="s">
        <v>859</v>
      </c>
      <c r="CT829" s="29" t="s">
        <v>151</v>
      </c>
      <c r="CU829" s="30" t="s">
        <v>151</v>
      </c>
      <c r="CV829" s="32" t="s">
        <v>151</v>
      </c>
      <c r="CW829" s="32" t="s">
        <v>151</v>
      </c>
      <c r="CX829" s="30" t="s">
        <v>151</v>
      </c>
      <c r="CY829" s="32" t="s">
        <v>151</v>
      </c>
      <c r="CZ829" s="32" t="s">
        <v>151</v>
      </c>
      <c r="DA829" s="37" t="s">
        <v>151</v>
      </c>
      <c r="DB829" s="35" t="s">
        <v>151</v>
      </c>
      <c r="DC829" s="30" t="s">
        <v>151</v>
      </c>
      <c r="DD829" s="29" t="s">
        <v>151</v>
      </c>
      <c r="DE829" s="32">
        <v>0</v>
      </c>
      <c r="DF829" s="34">
        <v>11</v>
      </c>
      <c r="DG829" s="32">
        <v>0</v>
      </c>
      <c r="DH829" s="32">
        <v>0</v>
      </c>
      <c r="DI829" s="32">
        <v>0</v>
      </c>
      <c r="DJ829" s="34">
        <v>10</v>
      </c>
      <c r="DK829" s="32" t="s">
        <v>151</v>
      </c>
      <c r="DL829" s="34" t="s">
        <v>151</v>
      </c>
      <c r="DM829" s="32">
        <v>0</v>
      </c>
      <c r="DN829" s="34">
        <v>10</v>
      </c>
      <c r="DO829" s="36">
        <v>3.53</v>
      </c>
      <c r="DP829" s="34">
        <v>77</v>
      </c>
      <c r="DQ829" s="36">
        <v>0</v>
      </c>
      <c r="DR829" s="32">
        <v>0</v>
      </c>
      <c r="DS829" s="36">
        <v>3.53</v>
      </c>
      <c r="DT829" s="34">
        <v>77</v>
      </c>
      <c r="DU829" s="36" t="s">
        <v>151</v>
      </c>
      <c r="DV829" s="34" t="s">
        <v>151</v>
      </c>
      <c r="DW829" s="36">
        <v>3.53</v>
      </c>
      <c r="DX829" s="34">
        <v>77</v>
      </c>
      <c r="DY829" s="31" t="s">
        <v>151</v>
      </c>
      <c r="DZ829" s="35" t="s">
        <v>151</v>
      </c>
      <c r="EA829" s="35" t="s">
        <v>151</v>
      </c>
      <c r="EB829" s="34">
        <v>5</v>
      </c>
      <c r="EC829" s="33">
        <v>-26</v>
      </c>
      <c r="ED829" s="32">
        <v>-83.87</v>
      </c>
      <c r="EE829" s="34">
        <v>67</v>
      </c>
      <c r="EF829" s="33">
        <v>-1</v>
      </c>
      <c r="EG829" s="32">
        <v>-1.47</v>
      </c>
      <c r="EH829" s="29" t="s">
        <v>198</v>
      </c>
      <c r="EI829" s="30" t="s">
        <v>151</v>
      </c>
      <c r="EJ829" s="30" t="s">
        <v>151</v>
      </c>
      <c r="EK829" s="31" t="s">
        <v>151</v>
      </c>
      <c r="EL829" s="31" t="s">
        <v>151</v>
      </c>
      <c r="EM829" s="31" t="s">
        <v>151</v>
      </c>
      <c r="EN829" s="31" t="s">
        <v>151</v>
      </c>
      <c r="EO829" s="31" t="s">
        <v>151</v>
      </c>
      <c r="EP829" s="30" t="s">
        <v>151</v>
      </c>
      <c r="EQ829" s="29" t="s">
        <v>151</v>
      </c>
      <c r="ER829" s="29" t="s">
        <v>151</v>
      </c>
      <c r="ES829" s="4">
        <f>HYPERLINK("https://my.pitchbook.com?c=500676-85","View Company Online")</f>
      </c>
    </row>
    <row r="830">
      <c r="A830" s="17" t="s">
        <v>16888</v>
      </c>
      <c r="B830" s="17" t="s">
        <v>16889</v>
      </c>
      <c r="C830" s="18" t="s">
        <v>151</v>
      </c>
      <c r="D830" s="17" t="s">
        <v>151</v>
      </c>
      <c r="E830" s="17" t="s">
        <v>16890</v>
      </c>
      <c r="F830" s="17" t="s">
        <v>16891</v>
      </c>
      <c r="G830" s="17" t="s">
        <v>151</v>
      </c>
      <c r="H830" s="17" t="s">
        <v>151</v>
      </c>
      <c r="I830" s="17" t="s">
        <v>151</v>
      </c>
      <c r="J830" s="17" t="s">
        <v>16888</v>
      </c>
      <c r="K830" s="17" t="s">
        <v>16892</v>
      </c>
      <c r="L830" s="17" t="s">
        <v>205</v>
      </c>
      <c r="M830" s="17" t="s">
        <v>206</v>
      </c>
      <c r="N830" s="17" t="s">
        <v>917</v>
      </c>
      <c r="O830" s="17" t="s">
        <v>7345</v>
      </c>
      <c r="P830" s="17" t="s">
        <v>151</v>
      </c>
      <c r="Q830" s="17" t="s">
        <v>16893</v>
      </c>
      <c r="R830" s="17" t="s">
        <v>151</v>
      </c>
      <c r="S830" s="17" t="s">
        <v>162</v>
      </c>
      <c r="T830" s="24">
        <v>1.7</v>
      </c>
      <c r="U830" s="17" t="s">
        <v>163</v>
      </c>
      <c r="V830" s="17" t="s">
        <v>164</v>
      </c>
      <c r="W830" s="17" t="s">
        <v>165</v>
      </c>
      <c r="X830" s="15" t="s">
        <v>16894</v>
      </c>
      <c r="Y830" s="15" t="s">
        <v>16895</v>
      </c>
      <c r="Z830" s="27">
        <v>5</v>
      </c>
      <c r="AA830" s="17" t="s">
        <v>6538</v>
      </c>
      <c r="AB830" s="17" t="s">
        <v>151</v>
      </c>
      <c r="AC830" s="17" t="s">
        <v>151</v>
      </c>
      <c r="AD830" s="26">
        <v>2022</v>
      </c>
      <c r="AE830" s="17" t="s">
        <v>151</v>
      </c>
      <c r="AF830" s="22">
        <v>45617</v>
      </c>
      <c r="AG830" s="17" t="s">
        <v>151</v>
      </c>
      <c r="AH830" s="17" t="s">
        <v>151</v>
      </c>
      <c r="AI830" s="25" t="s">
        <v>151</v>
      </c>
      <c r="AJ830" s="19" t="s">
        <v>151</v>
      </c>
      <c r="AK830" s="25" t="s">
        <v>151</v>
      </c>
      <c r="AL830" s="25" t="s">
        <v>151</v>
      </c>
      <c r="AM830" s="25" t="s">
        <v>151</v>
      </c>
      <c r="AN830" s="25" t="s">
        <v>151</v>
      </c>
      <c r="AO830" s="25" t="s">
        <v>151</v>
      </c>
      <c r="AP830" s="25" t="s">
        <v>151</v>
      </c>
      <c r="AQ830" s="25" t="s">
        <v>151</v>
      </c>
      <c r="AR830" s="16" t="s">
        <v>151</v>
      </c>
      <c r="AS830" s="17" t="s">
        <v>16896</v>
      </c>
      <c r="AT830" s="17" t="s">
        <v>16897</v>
      </c>
      <c r="AU830" s="18">
        <v>9</v>
      </c>
      <c r="AV830" s="17" t="s">
        <v>151</v>
      </c>
      <c r="AW830" s="17" t="s">
        <v>151</v>
      </c>
      <c r="AX830" s="17" t="s">
        <v>151</v>
      </c>
      <c r="AY830" s="17" t="s">
        <v>16898</v>
      </c>
      <c r="AZ830" s="17" t="s">
        <v>151</v>
      </c>
      <c r="BA830" s="17" t="s">
        <v>151</v>
      </c>
      <c r="BB830" s="17" t="s">
        <v>151</v>
      </c>
      <c r="BC830" s="17" t="s">
        <v>490</v>
      </c>
      <c r="BD830" s="17" t="s">
        <v>16899</v>
      </c>
      <c r="BE830" s="17" t="s">
        <v>16900</v>
      </c>
      <c r="BF830" s="17" t="s">
        <v>221</v>
      </c>
      <c r="BG830" s="17" t="s">
        <v>16901</v>
      </c>
      <c r="BH830" s="17" t="s">
        <v>16902</v>
      </c>
      <c r="BI830" s="17" t="s">
        <v>906</v>
      </c>
      <c r="BJ830" s="17" t="s">
        <v>16903</v>
      </c>
      <c r="BK830" s="17" t="s">
        <v>16904</v>
      </c>
      <c r="BL830" s="17" t="s">
        <v>259</v>
      </c>
      <c r="BM830" s="17" t="s">
        <v>259</v>
      </c>
      <c r="BN830" s="16" t="s">
        <v>4140</v>
      </c>
      <c r="BO830" s="17" t="s">
        <v>186</v>
      </c>
      <c r="BP830" s="16" t="s">
        <v>16902</v>
      </c>
      <c r="BQ830" s="16" t="s">
        <v>151</v>
      </c>
      <c r="BR830" s="17" t="s">
        <v>16905</v>
      </c>
      <c r="BS830" s="17" t="s">
        <v>187</v>
      </c>
      <c r="BT830" s="17" t="s">
        <v>188</v>
      </c>
      <c r="BU830" s="22">
        <v>44986</v>
      </c>
      <c r="BV830" s="24">
        <v>1.7</v>
      </c>
      <c r="BW830" s="17" t="s">
        <v>192</v>
      </c>
      <c r="BX830" s="24" t="s">
        <v>151</v>
      </c>
      <c r="BY830" s="17" t="s">
        <v>151</v>
      </c>
      <c r="BZ830" s="17" t="s">
        <v>293</v>
      </c>
      <c r="CA830" s="17" t="s">
        <v>293</v>
      </c>
      <c r="CB830" s="17" t="s">
        <v>151</v>
      </c>
      <c r="CC830" s="17" t="s">
        <v>165</v>
      </c>
      <c r="CD830" s="17" t="s">
        <v>151</v>
      </c>
      <c r="CE830" s="17" t="s">
        <v>191</v>
      </c>
      <c r="CF830" s="22">
        <v>45566</v>
      </c>
      <c r="CG830" s="24" t="s">
        <v>151</v>
      </c>
      <c r="CH830" s="17" t="s">
        <v>151</v>
      </c>
      <c r="CI830" s="24" t="s">
        <v>151</v>
      </c>
      <c r="CJ830" s="17" t="s">
        <v>151</v>
      </c>
      <c r="CK830" s="16" t="s">
        <v>151</v>
      </c>
      <c r="CL830" s="17" t="s">
        <v>231</v>
      </c>
      <c r="CM830" s="17" t="s">
        <v>151</v>
      </c>
      <c r="CN830" s="17" t="s">
        <v>151</v>
      </c>
      <c r="CO830" s="17" t="s">
        <v>165</v>
      </c>
      <c r="CP830" s="22">
        <v>45566</v>
      </c>
      <c r="CQ830" s="24" t="s">
        <v>151</v>
      </c>
      <c r="CR830" s="17" t="s">
        <v>151</v>
      </c>
      <c r="CS830" s="17" t="s">
        <v>191</v>
      </c>
      <c r="CT830" s="16">
        <v>66</v>
      </c>
      <c r="CU830" s="17" t="s">
        <v>196</v>
      </c>
      <c r="CV830" s="19">
        <v>62</v>
      </c>
      <c r="CW830" s="19">
        <v>38</v>
      </c>
      <c r="CX830" s="17" t="s">
        <v>294</v>
      </c>
      <c r="CY830" s="19">
        <v>1</v>
      </c>
      <c r="CZ830" s="19">
        <v>61</v>
      </c>
      <c r="DA830" s="24" t="s">
        <v>151</v>
      </c>
      <c r="DB830" s="22" t="s">
        <v>151</v>
      </c>
      <c r="DC830" s="17" t="s">
        <v>151</v>
      </c>
      <c r="DD830" s="16" t="s">
        <v>151</v>
      </c>
      <c r="DE830" s="19">
        <v>0</v>
      </c>
      <c r="DF830" s="21">
        <v>11</v>
      </c>
      <c r="DG830" s="19">
        <v>0</v>
      </c>
      <c r="DH830" s="19">
        <v>0</v>
      </c>
      <c r="DI830" s="19">
        <v>0</v>
      </c>
      <c r="DJ830" s="21">
        <v>10</v>
      </c>
      <c r="DK830" s="19" t="s">
        <v>151</v>
      </c>
      <c r="DL830" s="21" t="s">
        <v>151</v>
      </c>
      <c r="DM830" s="19">
        <v>0</v>
      </c>
      <c r="DN830" s="21">
        <v>10</v>
      </c>
      <c r="DO830" s="23">
        <v>1.68</v>
      </c>
      <c r="DP830" s="21">
        <v>62</v>
      </c>
      <c r="DQ830" s="23">
        <v>0</v>
      </c>
      <c r="DR830" s="19">
        <v>0</v>
      </c>
      <c r="DS830" s="23">
        <v>1.68</v>
      </c>
      <c r="DT830" s="21">
        <v>62</v>
      </c>
      <c r="DU830" s="23" t="s">
        <v>151</v>
      </c>
      <c r="DV830" s="21" t="s">
        <v>151</v>
      </c>
      <c r="DW830" s="23">
        <v>1.68</v>
      </c>
      <c r="DX830" s="21">
        <v>61</v>
      </c>
      <c r="DY830" s="18" t="s">
        <v>151</v>
      </c>
      <c r="DZ830" s="22" t="s">
        <v>151</v>
      </c>
      <c r="EA830" s="22" t="s">
        <v>151</v>
      </c>
      <c r="EB830" s="21">
        <v>8352</v>
      </c>
      <c r="EC830" s="20">
        <v>-250</v>
      </c>
      <c r="ED830" s="19">
        <v>-2.91</v>
      </c>
      <c r="EE830" s="21">
        <v>32</v>
      </c>
      <c r="EF830" s="20">
        <v>0</v>
      </c>
      <c r="EG830" s="19">
        <v>0</v>
      </c>
      <c r="EH830" s="16" t="s">
        <v>198</v>
      </c>
      <c r="EI830" s="17" t="s">
        <v>151</v>
      </c>
      <c r="EJ830" s="17" t="s">
        <v>151</v>
      </c>
      <c r="EK830" s="18" t="s">
        <v>151</v>
      </c>
      <c r="EL830" s="18" t="s">
        <v>151</v>
      </c>
      <c r="EM830" s="18" t="s">
        <v>151</v>
      </c>
      <c r="EN830" s="18" t="s">
        <v>151</v>
      </c>
      <c r="EO830" s="18" t="s">
        <v>151</v>
      </c>
      <c r="EP830" s="17" t="s">
        <v>151</v>
      </c>
      <c r="EQ830" s="16" t="s">
        <v>151</v>
      </c>
      <c r="ER830" s="16" t="s">
        <v>151</v>
      </c>
      <c r="ES830" s="3">
        <f>HYPERLINK("https://my.pitchbook.com?c=522486-28","View Company Online")</f>
      </c>
    </row>
    <row r="831">
      <c r="A831" s="30" t="s">
        <v>16906</v>
      </c>
      <c r="B831" s="30" t="s">
        <v>16907</v>
      </c>
      <c r="C831" s="31" t="s">
        <v>151</v>
      </c>
      <c r="D831" s="30" t="s">
        <v>16908</v>
      </c>
      <c r="E831" s="30" t="s">
        <v>151</v>
      </c>
      <c r="F831" s="30" t="s">
        <v>151</v>
      </c>
      <c r="G831" s="30" t="s">
        <v>151</v>
      </c>
      <c r="H831" s="30" t="s">
        <v>151</v>
      </c>
      <c r="I831" s="30" t="s">
        <v>151</v>
      </c>
      <c r="J831" s="30" t="s">
        <v>16906</v>
      </c>
      <c r="K831" s="30" t="s">
        <v>16909</v>
      </c>
      <c r="L831" s="30" t="s">
        <v>205</v>
      </c>
      <c r="M831" s="30" t="s">
        <v>206</v>
      </c>
      <c r="N831" s="30" t="s">
        <v>1940</v>
      </c>
      <c r="O831" s="30" t="s">
        <v>5396</v>
      </c>
      <c r="P831" s="30" t="s">
        <v>12092</v>
      </c>
      <c r="Q831" s="30" t="s">
        <v>16910</v>
      </c>
      <c r="R831" s="30" t="s">
        <v>151</v>
      </c>
      <c r="S831" s="30" t="s">
        <v>162</v>
      </c>
      <c r="T831" s="37">
        <v>0.1</v>
      </c>
      <c r="U831" s="30" t="s">
        <v>163</v>
      </c>
      <c r="V831" s="30" t="s">
        <v>164</v>
      </c>
      <c r="W831" s="30" t="s">
        <v>165</v>
      </c>
      <c r="X831" s="28" t="s">
        <v>16911</v>
      </c>
      <c r="Y831" s="28" t="s">
        <v>16912</v>
      </c>
      <c r="Z831" s="40">
        <v>14</v>
      </c>
      <c r="AA831" s="30" t="s">
        <v>16913</v>
      </c>
      <c r="AB831" s="30" t="s">
        <v>151</v>
      </c>
      <c r="AC831" s="30" t="s">
        <v>151</v>
      </c>
      <c r="AD831" s="39">
        <v>2020</v>
      </c>
      <c r="AE831" s="30" t="s">
        <v>151</v>
      </c>
      <c r="AF831" s="35">
        <v>45604</v>
      </c>
      <c r="AG831" s="30" t="s">
        <v>151</v>
      </c>
      <c r="AH831" s="30" t="s">
        <v>151</v>
      </c>
      <c r="AI831" s="38" t="s">
        <v>151</v>
      </c>
      <c r="AJ831" s="32" t="s">
        <v>151</v>
      </c>
      <c r="AK831" s="38" t="s">
        <v>151</v>
      </c>
      <c r="AL831" s="38" t="s">
        <v>151</v>
      </c>
      <c r="AM831" s="38" t="s">
        <v>151</v>
      </c>
      <c r="AN831" s="38" t="s">
        <v>151</v>
      </c>
      <c r="AO831" s="38" t="s">
        <v>151</v>
      </c>
      <c r="AP831" s="38" t="s">
        <v>151</v>
      </c>
      <c r="AQ831" s="38" t="s">
        <v>151</v>
      </c>
      <c r="AR831" s="29" t="s">
        <v>151</v>
      </c>
      <c r="AS831" s="30" t="s">
        <v>16914</v>
      </c>
      <c r="AT831" s="30" t="s">
        <v>16915</v>
      </c>
      <c r="AU831" s="31">
        <v>1</v>
      </c>
      <c r="AV831" s="30" t="s">
        <v>151</v>
      </c>
      <c r="AW831" s="30" t="s">
        <v>151</v>
      </c>
      <c r="AX831" s="30" t="s">
        <v>151</v>
      </c>
      <c r="AY831" s="30" t="s">
        <v>16916</v>
      </c>
      <c r="AZ831" s="30" t="s">
        <v>151</v>
      </c>
      <c r="BA831" s="30" t="s">
        <v>151</v>
      </c>
      <c r="BB831" s="30" t="s">
        <v>151</v>
      </c>
      <c r="BC831" s="30" t="s">
        <v>151</v>
      </c>
      <c r="BD831" s="30" t="s">
        <v>16917</v>
      </c>
      <c r="BE831" s="30" t="s">
        <v>16918</v>
      </c>
      <c r="BF831" s="30" t="s">
        <v>403</v>
      </c>
      <c r="BG831" s="30" t="s">
        <v>16919</v>
      </c>
      <c r="BH831" s="30" t="s">
        <v>151</v>
      </c>
      <c r="BI831" s="30" t="s">
        <v>764</v>
      </c>
      <c r="BJ831" s="30" t="s">
        <v>151</v>
      </c>
      <c r="BK831" s="30" t="s">
        <v>151</v>
      </c>
      <c r="BL831" s="30" t="s">
        <v>767</v>
      </c>
      <c r="BM831" s="30" t="s">
        <v>184</v>
      </c>
      <c r="BN831" s="29" t="s">
        <v>151</v>
      </c>
      <c r="BO831" s="30" t="s">
        <v>186</v>
      </c>
      <c r="BP831" s="29" t="s">
        <v>151</v>
      </c>
      <c r="BQ831" s="29" t="s">
        <v>151</v>
      </c>
      <c r="BR831" s="30" t="s">
        <v>16920</v>
      </c>
      <c r="BS831" s="30" t="s">
        <v>187</v>
      </c>
      <c r="BT831" s="30" t="s">
        <v>188</v>
      </c>
      <c r="BU831" s="35">
        <v>45427</v>
      </c>
      <c r="BV831" s="37">
        <v>0.1</v>
      </c>
      <c r="BW831" s="30" t="s">
        <v>192</v>
      </c>
      <c r="BX831" s="37" t="s">
        <v>151</v>
      </c>
      <c r="BY831" s="30" t="s">
        <v>151</v>
      </c>
      <c r="BZ831" s="30" t="s">
        <v>231</v>
      </c>
      <c r="CA831" s="30" t="s">
        <v>151</v>
      </c>
      <c r="CB831" s="30" t="s">
        <v>151</v>
      </c>
      <c r="CC831" s="30" t="s">
        <v>165</v>
      </c>
      <c r="CD831" s="30" t="s">
        <v>151</v>
      </c>
      <c r="CE831" s="30" t="s">
        <v>191</v>
      </c>
      <c r="CF831" s="35">
        <v>45427</v>
      </c>
      <c r="CG831" s="37">
        <v>0.1</v>
      </c>
      <c r="CH831" s="30" t="s">
        <v>192</v>
      </c>
      <c r="CI831" s="37" t="s">
        <v>151</v>
      </c>
      <c r="CJ831" s="30" t="s">
        <v>151</v>
      </c>
      <c r="CK831" s="29" t="s">
        <v>151</v>
      </c>
      <c r="CL831" s="30" t="s">
        <v>231</v>
      </c>
      <c r="CM831" s="30" t="s">
        <v>151</v>
      </c>
      <c r="CN831" s="30" t="s">
        <v>151</v>
      </c>
      <c r="CO831" s="30" t="s">
        <v>165</v>
      </c>
      <c r="CP831" s="35">
        <v>45427</v>
      </c>
      <c r="CQ831" s="37" t="s">
        <v>151</v>
      </c>
      <c r="CR831" s="30" t="s">
        <v>151</v>
      </c>
      <c r="CS831" s="30" t="s">
        <v>191</v>
      </c>
      <c r="CT831" s="29" t="s">
        <v>151</v>
      </c>
      <c r="CU831" s="30" t="s">
        <v>151</v>
      </c>
      <c r="CV831" s="32" t="s">
        <v>151</v>
      </c>
      <c r="CW831" s="32" t="s">
        <v>151</v>
      </c>
      <c r="CX831" s="30" t="s">
        <v>151</v>
      </c>
      <c r="CY831" s="32" t="s">
        <v>151</v>
      </c>
      <c r="CZ831" s="32" t="s">
        <v>151</v>
      </c>
      <c r="DA831" s="37" t="s">
        <v>151</v>
      </c>
      <c r="DB831" s="35" t="s">
        <v>151</v>
      </c>
      <c r="DC831" s="30" t="s">
        <v>151</v>
      </c>
      <c r="DD831" s="29" t="s">
        <v>151</v>
      </c>
      <c r="DE831" s="32">
        <v>-1.17</v>
      </c>
      <c r="DF831" s="34">
        <v>4</v>
      </c>
      <c r="DG831" s="32">
        <v>0</v>
      </c>
      <c r="DH831" s="32">
        <v>0</v>
      </c>
      <c r="DI831" s="32">
        <v>0</v>
      </c>
      <c r="DJ831" s="34">
        <v>10</v>
      </c>
      <c r="DK831" s="32" t="s">
        <v>151</v>
      </c>
      <c r="DL831" s="34" t="s">
        <v>151</v>
      </c>
      <c r="DM831" s="32">
        <v>0</v>
      </c>
      <c r="DN831" s="34">
        <v>10</v>
      </c>
      <c r="DO831" s="36">
        <v>1.7</v>
      </c>
      <c r="DP831" s="34">
        <v>63</v>
      </c>
      <c r="DQ831" s="36">
        <v>0</v>
      </c>
      <c r="DR831" s="32">
        <v>0</v>
      </c>
      <c r="DS831" s="36">
        <v>2.32</v>
      </c>
      <c r="DT831" s="34">
        <v>69</v>
      </c>
      <c r="DU831" s="36" t="s">
        <v>151</v>
      </c>
      <c r="DV831" s="34" t="s">
        <v>151</v>
      </c>
      <c r="DW831" s="36">
        <v>2.32</v>
      </c>
      <c r="DX831" s="34">
        <v>69</v>
      </c>
      <c r="DY831" s="31" t="s">
        <v>151</v>
      </c>
      <c r="DZ831" s="35" t="s">
        <v>151</v>
      </c>
      <c r="EA831" s="35" t="s">
        <v>151</v>
      </c>
      <c r="EB831" s="34">
        <v>482</v>
      </c>
      <c r="EC831" s="33">
        <v>-37</v>
      </c>
      <c r="ED831" s="32">
        <v>-7.13</v>
      </c>
      <c r="EE831" s="34">
        <v>44</v>
      </c>
      <c r="EF831" s="33">
        <v>1</v>
      </c>
      <c r="EG831" s="32">
        <v>2.33</v>
      </c>
      <c r="EH831" s="29" t="s">
        <v>198</v>
      </c>
      <c r="EI831" s="30" t="s">
        <v>151</v>
      </c>
      <c r="EJ831" s="30" t="s">
        <v>151</v>
      </c>
      <c r="EK831" s="31" t="s">
        <v>151</v>
      </c>
      <c r="EL831" s="31" t="s">
        <v>151</v>
      </c>
      <c r="EM831" s="31" t="s">
        <v>151</v>
      </c>
      <c r="EN831" s="31" t="s">
        <v>151</v>
      </c>
      <c r="EO831" s="31" t="s">
        <v>151</v>
      </c>
      <c r="EP831" s="30" t="s">
        <v>151</v>
      </c>
      <c r="EQ831" s="29" t="s">
        <v>151</v>
      </c>
      <c r="ER831" s="29" t="s">
        <v>151</v>
      </c>
      <c r="ES831" s="4">
        <f>HYPERLINK("https://my.pitchbook.com?c=537535-00","View Company Online")</f>
      </c>
    </row>
    <row r="832">
      <c r="A832" s="17" t="s">
        <v>16921</v>
      </c>
      <c r="B832" s="17" t="s">
        <v>16922</v>
      </c>
      <c r="C832" s="18" t="s">
        <v>151</v>
      </c>
      <c r="D832" s="17" t="s">
        <v>151</v>
      </c>
      <c r="E832" s="17" t="s">
        <v>151</v>
      </c>
      <c r="F832" s="17" t="s">
        <v>16923</v>
      </c>
      <c r="G832" s="17" t="s">
        <v>151</v>
      </c>
      <c r="H832" s="17" t="s">
        <v>151</v>
      </c>
      <c r="I832" s="17" t="s">
        <v>16924</v>
      </c>
      <c r="J832" s="17" t="s">
        <v>16921</v>
      </c>
      <c r="K832" s="17" t="s">
        <v>16925</v>
      </c>
      <c r="L832" s="17" t="s">
        <v>205</v>
      </c>
      <c r="M832" s="17" t="s">
        <v>206</v>
      </c>
      <c r="N832" s="17" t="s">
        <v>1268</v>
      </c>
      <c r="O832" s="17" t="s">
        <v>1269</v>
      </c>
      <c r="P832" s="17" t="s">
        <v>16926</v>
      </c>
      <c r="Q832" s="17" t="s">
        <v>16927</v>
      </c>
      <c r="R832" s="17" t="s">
        <v>16928</v>
      </c>
      <c r="S832" s="17" t="s">
        <v>162</v>
      </c>
      <c r="T832" s="24">
        <v>13.16</v>
      </c>
      <c r="U832" s="17" t="s">
        <v>163</v>
      </c>
      <c r="V832" s="17" t="s">
        <v>164</v>
      </c>
      <c r="W832" s="17" t="s">
        <v>165</v>
      </c>
      <c r="X832" s="15" t="s">
        <v>16929</v>
      </c>
      <c r="Y832" s="15" t="s">
        <v>16930</v>
      </c>
      <c r="Z832" s="27">
        <v>50</v>
      </c>
      <c r="AA832" s="17" t="s">
        <v>16931</v>
      </c>
      <c r="AB832" s="17" t="s">
        <v>151</v>
      </c>
      <c r="AC832" s="17" t="s">
        <v>151</v>
      </c>
      <c r="AD832" s="26">
        <v>2021</v>
      </c>
      <c r="AE832" s="17" t="s">
        <v>151</v>
      </c>
      <c r="AF832" s="22">
        <v>45569</v>
      </c>
      <c r="AG832" s="17" t="s">
        <v>151</v>
      </c>
      <c r="AH832" s="17" t="s">
        <v>151</v>
      </c>
      <c r="AI832" s="25" t="s">
        <v>151</v>
      </c>
      <c r="AJ832" s="19" t="s">
        <v>151</v>
      </c>
      <c r="AK832" s="25" t="s">
        <v>151</v>
      </c>
      <c r="AL832" s="25" t="s">
        <v>151</v>
      </c>
      <c r="AM832" s="25" t="s">
        <v>151</v>
      </c>
      <c r="AN832" s="25" t="s">
        <v>151</v>
      </c>
      <c r="AO832" s="25" t="s">
        <v>151</v>
      </c>
      <c r="AP832" s="25" t="s">
        <v>151</v>
      </c>
      <c r="AQ832" s="25" t="s">
        <v>151</v>
      </c>
      <c r="AR832" s="16" t="s">
        <v>151</v>
      </c>
      <c r="AS832" s="17" t="s">
        <v>16932</v>
      </c>
      <c r="AT832" s="17" t="s">
        <v>16933</v>
      </c>
      <c r="AU832" s="18">
        <v>11</v>
      </c>
      <c r="AV832" s="17" t="s">
        <v>151</v>
      </c>
      <c r="AW832" s="17" t="s">
        <v>151</v>
      </c>
      <c r="AX832" s="17" t="s">
        <v>151</v>
      </c>
      <c r="AY832" s="17" t="s">
        <v>16934</v>
      </c>
      <c r="AZ832" s="17" t="s">
        <v>151</v>
      </c>
      <c r="BA832" s="17" t="s">
        <v>151</v>
      </c>
      <c r="BB832" s="17" t="s">
        <v>16935</v>
      </c>
      <c r="BC832" s="17" t="s">
        <v>151</v>
      </c>
      <c r="BD832" s="17" t="s">
        <v>16936</v>
      </c>
      <c r="BE832" s="17" t="s">
        <v>16937</v>
      </c>
      <c r="BF832" s="17" t="s">
        <v>11488</v>
      </c>
      <c r="BG832" s="17" t="s">
        <v>151</v>
      </c>
      <c r="BH832" s="17" t="s">
        <v>16938</v>
      </c>
      <c r="BI832" s="17" t="s">
        <v>1409</v>
      </c>
      <c r="BJ832" s="17" t="s">
        <v>16939</v>
      </c>
      <c r="BK832" s="17" t="s">
        <v>151</v>
      </c>
      <c r="BL832" s="17" t="s">
        <v>1412</v>
      </c>
      <c r="BM832" s="17" t="s">
        <v>823</v>
      </c>
      <c r="BN832" s="16" t="s">
        <v>5566</v>
      </c>
      <c r="BO832" s="17" t="s">
        <v>186</v>
      </c>
      <c r="BP832" s="16" t="s">
        <v>16938</v>
      </c>
      <c r="BQ832" s="16" t="s">
        <v>151</v>
      </c>
      <c r="BR832" s="17" t="s">
        <v>16940</v>
      </c>
      <c r="BS832" s="17" t="s">
        <v>187</v>
      </c>
      <c r="BT832" s="17" t="s">
        <v>188</v>
      </c>
      <c r="BU832" s="22">
        <v>44489</v>
      </c>
      <c r="BV832" s="24">
        <v>1.15</v>
      </c>
      <c r="BW832" s="17" t="s">
        <v>193</v>
      </c>
      <c r="BX832" s="24">
        <v>5.15</v>
      </c>
      <c r="BY832" s="17" t="s">
        <v>192</v>
      </c>
      <c r="BZ832" s="17" t="s">
        <v>293</v>
      </c>
      <c r="CA832" s="17" t="s">
        <v>293</v>
      </c>
      <c r="CB832" s="17" t="s">
        <v>151</v>
      </c>
      <c r="CC832" s="17" t="s">
        <v>165</v>
      </c>
      <c r="CD832" s="17" t="s">
        <v>151</v>
      </c>
      <c r="CE832" s="17" t="s">
        <v>191</v>
      </c>
      <c r="CF832" s="22">
        <v>45392</v>
      </c>
      <c r="CG832" s="24">
        <v>12.01</v>
      </c>
      <c r="CH832" s="17" t="s">
        <v>192</v>
      </c>
      <c r="CI832" s="24">
        <v>50</v>
      </c>
      <c r="CJ832" s="17" t="s">
        <v>192</v>
      </c>
      <c r="CK832" s="16">
        <v>7.38</v>
      </c>
      <c r="CL832" s="17" t="s">
        <v>293</v>
      </c>
      <c r="CM832" s="17" t="s">
        <v>293</v>
      </c>
      <c r="CN832" s="17" t="s">
        <v>151</v>
      </c>
      <c r="CO832" s="17" t="s">
        <v>165</v>
      </c>
      <c r="CP832" s="22">
        <v>45392</v>
      </c>
      <c r="CQ832" s="24" t="s">
        <v>151</v>
      </c>
      <c r="CR832" s="17" t="s">
        <v>151</v>
      </c>
      <c r="CS832" s="17" t="s">
        <v>191</v>
      </c>
      <c r="CT832" s="16">
        <v>96</v>
      </c>
      <c r="CU832" s="17" t="s">
        <v>196</v>
      </c>
      <c r="CV832" s="19">
        <v>91</v>
      </c>
      <c r="CW832" s="19">
        <v>9</v>
      </c>
      <c r="CX832" s="17" t="s">
        <v>294</v>
      </c>
      <c r="CY832" s="19">
        <v>1</v>
      </c>
      <c r="CZ832" s="19">
        <v>90</v>
      </c>
      <c r="DA832" s="24">
        <v>50</v>
      </c>
      <c r="DB832" s="22">
        <v>45392</v>
      </c>
      <c r="DC832" s="17" t="s">
        <v>293</v>
      </c>
      <c r="DD832" s="16">
        <v>7.38</v>
      </c>
      <c r="DE832" s="19">
        <v>-0.72</v>
      </c>
      <c r="DF832" s="21">
        <v>6</v>
      </c>
      <c r="DG832" s="19">
        <v>0</v>
      </c>
      <c r="DH832" s="19">
        <v>0</v>
      </c>
      <c r="DI832" s="19">
        <v>-0.72</v>
      </c>
      <c r="DJ832" s="21">
        <v>5</v>
      </c>
      <c r="DK832" s="19" t="s">
        <v>151</v>
      </c>
      <c r="DL832" s="21" t="s">
        <v>151</v>
      </c>
      <c r="DM832" s="19">
        <v>-0.72</v>
      </c>
      <c r="DN832" s="21">
        <v>5</v>
      </c>
      <c r="DO832" s="23">
        <v>5.32</v>
      </c>
      <c r="DP832" s="21">
        <v>83</v>
      </c>
      <c r="DQ832" s="23">
        <v>0</v>
      </c>
      <c r="DR832" s="19">
        <v>0</v>
      </c>
      <c r="DS832" s="23">
        <v>5.32</v>
      </c>
      <c r="DT832" s="21">
        <v>83</v>
      </c>
      <c r="DU832" s="23" t="s">
        <v>151</v>
      </c>
      <c r="DV832" s="21" t="s">
        <v>151</v>
      </c>
      <c r="DW832" s="23">
        <v>5.32</v>
      </c>
      <c r="DX832" s="21">
        <v>83</v>
      </c>
      <c r="DY832" s="18" t="s">
        <v>151</v>
      </c>
      <c r="DZ832" s="22" t="s">
        <v>151</v>
      </c>
      <c r="EA832" s="22" t="s">
        <v>151</v>
      </c>
      <c r="EB832" s="21">
        <v>6196</v>
      </c>
      <c r="EC832" s="20">
        <v>1036</v>
      </c>
      <c r="ED832" s="19">
        <v>20.08</v>
      </c>
      <c r="EE832" s="21">
        <v>101</v>
      </c>
      <c r="EF832" s="20">
        <v>0</v>
      </c>
      <c r="EG832" s="19">
        <v>0</v>
      </c>
      <c r="EH832" s="16" t="s">
        <v>198</v>
      </c>
      <c r="EI832" s="17" t="s">
        <v>151</v>
      </c>
      <c r="EJ832" s="17" t="s">
        <v>151</v>
      </c>
      <c r="EK832" s="18" t="s">
        <v>151</v>
      </c>
      <c r="EL832" s="18" t="s">
        <v>151</v>
      </c>
      <c r="EM832" s="18" t="s">
        <v>151</v>
      </c>
      <c r="EN832" s="18" t="s">
        <v>151</v>
      </c>
      <c r="EO832" s="18" t="s">
        <v>151</v>
      </c>
      <c r="EP832" s="17" t="s">
        <v>151</v>
      </c>
      <c r="EQ832" s="16" t="s">
        <v>151</v>
      </c>
      <c r="ER832" s="16" t="s">
        <v>151</v>
      </c>
      <c r="ES832" s="3">
        <f>HYPERLINK("https://my.pitchbook.com?c=491499-37","View Company Online")</f>
      </c>
    </row>
    <row r="833">
      <c r="A833" s="30" t="s">
        <v>16941</v>
      </c>
      <c r="B833" s="30" t="s">
        <v>16942</v>
      </c>
      <c r="C833" s="31" t="s">
        <v>151</v>
      </c>
      <c r="D833" s="30" t="s">
        <v>151</v>
      </c>
      <c r="E833" s="30" t="s">
        <v>151</v>
      </c>
      <c r="F833" s="30" t="s">
        <v>16943</v>
      </c>
      <c r="G833" s="30" t="s">
        <v>151</v>
      </c>
      <c r="H833" s="30" t="s">
        <v>151</v>
      </c>
      <c r="I833" s="30" t="s">
        <v>151</v>
      </c>
      <c r="J833" s="30" t="s">
        <v>16941</v>
      </c>
      <c r="K833" s="30" t="s">
        <v>16944</v>
      </c>
      <c r="L833" s="30" t="s">
        <v>616</v>
      </c>
      <c r="M833" s="30" t="s">
        <v>834</v>
      </c>
      <c r="N833" s="30" t="s">
        <v>835</v>
      </c>
      <c r="O833" s="30" t="s">
        <v>16945</v>
      </c>
      <c r="P833" s="30" t="s">
        <v>16946</v>
      </c>
      <c r="Q833" s="30" t="s">
        <v>16947</v>
      </c>
      <c r="R833" s="30" t="s">
        <v>211</v>
      </c>
      <c r="S833" s="30" t="s">
        <v>162</v>
      </c>
      <c r="T833" s="37">
        <v>30</v>
      </c>
      <c r="U833" s="30" t="s">
        <v>163</v>
      </c>
      <c r="V833" s="30" t="s">
        <v>164</v>
      </c>
      <c r="W833" s="30" t="s">
        <v>165</v>
      </c>
      <c r="X833" s="28" t="s">
        <v>16948</v>
      </c>
      <c r="Y833" s="28" t="s">
        <v>16949</v>
      </c>
      <c r="Z833" s="40">
        <v>27</v>
      </c>
      <c r="AA833" s="30" t="s">
        <v>16950</v>
      </c>
      <c r="AB833" s="30" t="s">
        <v>151</v>
      </c>
      <c r="AC833" s="30" t="s">
        <v>151</v>
      </c>
      <c r="AD833" s="39">
        <v>2021</v>
      </c>
      <c r="AE833" s="30" t="s">
        <v>151</v>
      </c>
      <c r="AF833" s="35">
        <v>45565</v>
      </c>
      <c r="AG833" s="30" t="s">
        <v>151</v>
      </c>
      <c r="AH833" s="30" t="s">
        <v>151</v>
      </c>
      <c r="AI833" s="38" t="s">
        <v>151</v>
      </c>
      <c r="AJ833" s="32" t="s">
        <v>151</v>
      </c>
      <c r="AK833" s="38" t="s">
        <v>151</v>
      </c>
      <c r="AL833" s="38" t="s">
        <v>151</v>
      </c>
      <c r="AM833" s="38" t="s">
        <v>151</v>
      </c>
      <c r="AN833" s="38" t="s">
        <v>151</v>
      </c>
      <c r="AO833" s="38" t="s">
        <v>151</v>
      </c>
      <c r="AP833" s="38" t="s">
        <v>151</v>
      </c>
      <c r="AQ833" s="38" t="s">
        <v>151</v>
      </c>
      <c r="AR833" s="29" t="s">
        <v>151</v>
      </c>
      <c r="AS833" s="30" t="s">
        <v>16951</v>
      </c>
      <c r="AT833" s="30" t="s">
        <v>16952</v>
      </c>
      <c r="AU833" s="31">
        <v>25</v>
      </c>
      <c r="AV833" s="30" t="s">
        <v>151</v>
      </c>
      <c r="AW833" s="30" t="s">
        <v>151</v>
      </c>
      <c r="AX833" s="30" t="s">
        <v>151</v>
      </c>
      <c r="AY833" s="30" t="s">
        <v>16953</v>
      </c>
      <c r="AZ833" s="30" t="s">
        <v>151</v>
      </c>
      <c r="BA833" s="30" t="s">
        <v>151</v>
      </c>
      <c r="BB833" s="30" t="s">
        <v>151</v>
      </c>
      <c r="BC833" s="30" t="s">
        <v>151</v>
      </c>
      <c r="BD833" s="30" t="s">
        <v>16954</v>
      </c>
      <c r="BE833" s="30" t="s">
        <v>16955</v>
      </c>
      <c r="BF833" s="30" t="s">
        <v>931</v>
      </c>
      <c r="BG833" s="30" t="s">
        <v>16956</v>
      </c>
      <c r="BH833" s="30" t="s">
        <v>151</v>
      </c>
      <c r="BI833" s="30" t="s">
        <v>2289</v>
      </c>
      <c r="BJ833" s="30" t="s">
        <v>151</v>
      </c>
      <c r="BK833" s="30" t="s">
        <v>151</v>
      </c>
      <c r="BL833" s="30" t="s">
        <v>2291</v>
      </c>
      <c r="BM833" s="30" t="s">
        <v>1043</v>
      </c>
      <c r="BN833" s="29" t="s">
        <v>151</v>
      </c>
      <c r="BO833" s="30" t="s">
        <v>186</v>
      </c>
      <c r="BP833" s="29" t="s">
        <v>151</v>
      </c>
      <c r="BQ833" s="29" t="s">
        <v>151</v>
      </c>
      <c r="BR833" s="30" t="s">
        <v>16957</v>
      </c>
      <c r="BS833" s="30" t="s">
        <v>187</v>
      </c>
      <c r="BT833" s="30" t="s">
        <v>188</v>
      </c>
      <c r="BU833" s="35" t="s">
        <v>151</v>
      </c>
      <c r="BV833" s="37">
        <v>20</v>
      </c>
      <c r="BW833" s="30" t="s">
        <v>192</v>
      </c>
      <c r="BX833" s="37" t="s">
        <v>151</v>
      </c>
      <c r="BY833" s="30" t="s">
        <v>151</v>
      </c>
      <c r="BZ833" s="30" t="s">
        <v>1075</v>
      </c>
      <c r="CA833" s="30" t="s">
        <v>1075</v>
      </c>
      <c r="CB833" s="30" t="s">
        <v>151</v>
      </c>
      <c r="CC833" s="30" t="s">
        <v>585</v>
      </c>
      <c r="CD833" s="30" t="s">
        <v>151</v>
      </c>
      <c r="CE833" s="30" t="s">
        <v>191</v>
      </c>
      <c r="CF833" s="35">
        <v>44627</v>
      </c>
      <c r="CG833" s="37">
        <v>10</v>
      </c>
      <c r="CH833" s="30" t="s">
        <v>192</v>
      </c>
      <c r="CI833" s="37" t="s">
        <v>151</v>
      </c>
      <c r="CJ833" s="30" t="s">
        <v>151</v>
      </c>
      <c r="CK833" s="29" t="s">
        <v>151</v>
      </c>
      <c r="CL833" s="30" t="s">
        <v>293</v>
      </c>
      <c r="CM833" s="30" t="s">
        <v>293</v>
      </c>
      <c r="CN833" s="30" t="s">
        <v>151</v>
      </c>
      <c r="CO833" s="30" t="s">
        <v>165</v>
      </c>
      <c r="CP833" s="35">
        <v>44627</v>
      </c>
      <c r="CQ833" s="37" t="s">
        <v>151</v>
      </c>
      <c r="CR833" s="30" t="s">
        <v>151</v>
      </c>
      <c r="CS833" s="30" t="s">
        <v>191</v>
      </c>
      <c r="CT833" s="29">
        <v>66</v>
      </c>
      <c r="CU833" s="30" t="s">
        <v>196</v>
      </c>
      <c r="CV833" s="32">
        <v>60</v>
      </c>
      <c r="CW833" s="32">
        <v>40</v>
      </c>
      <c r="CX833" s="30" t="s">
        <v>294</v>
      </c>
      <c r="CY833" s="32">
        <v>3</v>
      </c>
      <c r="CZ833" s="32">
        <v>57</v>
      </c>
      <c r="DA833" s="37" t="s">
        <v>151</v>
      </c>
      <c r="DB833" s="35" t="s">
        <v>151</v>
      </c>
      <c r="DC833" s="30" t="s">
        <v>151</v>
      </c>
      <c r="DD833" s="29" t="s">
        <v>151</v>
      </c>
      <c r="DE833" s="32">
        <v>0</v>
      </c>
      <c r="DF833" s="34">
        <v>11</v>
      </c>
      <c r="DG833" s="32">
        <v>0</v>
      </c>
      <c r="DH833" s="32">
        <v>0</v>
      </c>
      <c r="DI833" s="32">
        <v>0</v>
      </c>
      <c r="DJ833" s="34">
        <v>10</v>
      </c>
      <c r="DK833" s="32">
        <v>0</v>
      </c>
      <c r="DL833" s="34">
        <v>11</v>
      </c>
      <c r="DM833" s="32" t="s">
        <v>151</v>
      </c>
      <c r="DN833" s="34" t="s">
        <v>151</v>
      </c>
      <c r="DO833" s="36">
        <v>1.45</v>
      </c>
      <c r="DP833" s="34">
        <v>59</v>
      </c>
      <c r="DQ833" s="36">
        <v>0</v>
      </c>
      <c r="DR833" s="32">
        <v>0</v>
      </c>
      <c r="DS833" s="36">
        <v>1.45</v>
      </c>
      <c r="DT833" s="34">
        <v>59</v>
      </c>
      <c r="DU833" s="36">
        <v>1.45</v>
      </c>
      <c r="DV833" s="34">
        <v>64</v>
      </c>
      <c r="DW833" s="36" t="s">
        <v>151</v>
      </c>
      <c r="DX833" s="34" t="s">
        <v>151</v>
      </c>
      <c r="DY833" s="31" t="s">
        <v>151</v>
      </c>
      <c r="DZ833" s="35" t="s">
        <v>151</v>
      </c>
      <c r="EA833" s="35" t="s">
        <v>151</v>
      </c>
      <c r="EB833" s="34">
        <v>299</v>
      </c>
      <c r="EC833" s="33">
        <v>39</v>
      </c>
      <c r="ED833" s="32">
        <v>15</v>
      </c>
      <c r="EE833" s="34" t="s">
        <v>151</v>
      </c>
      <c r="EF833" s="33" t="s">
        <v>151</v>
      </c>
      <c r="EG833" s="32" t="s">
        <v>151</v>
      </c>
      <c r="EH833" s="29" t="s">
        <v>198</v>
      </c>
      <c r="EI833" s="30" t="s">
        <v>151</v>
      </c>
      <c r="EJ833" s="30" t="s">
        <v>151</v>
      </c>
      <c r="EK833" s="31" t="s">
        <v>151</v>
      </c>
      <c r="EL833" s="31" t="s">
        <v>151</v>
      </c>
      <c r="EM833" s="31" t="s">
        <v>151</v>
      </c>
      <c r="EN833" s="31" t="s">
        <v>151</v>
      </c>
      <c r="EO833" s="31" t="s">
        <v>151</v>
      </c>
      <c r="EP833" s="30" t="s">
        <v>151</v>
      </c>
      <c r="EQ833" s="29" t="s">
        <v>151</v>
      </c>
      <c r="ER833" s="29" t="s">
        <v>151</v>
      </c>
      <c r="ES833" s="4">
        <f>HYPERLINK("https://my.pitchbook.com?c=489735-91","View Company Online")</f>
      </c>
    </row>
    <row r="834">
      <c r="A834" s="17" t="s">
        <v>16958</v>
      </c>
      <c r="B834" s="17" t="s">
        <v>16959</v>
      </c>
      <c r="C834" s="18" t="s">
        <v>151</v>
      </c>
      <c r="D834" s="17" t="s">
        <v>151</v>
      </c>
      <c r="E834" s="17" t="s">
        <v>151</v>
      </c>
      <c r="F834" s="17" t="s">
        <v>16960</v>
      </c>
      <c r="G834" s="17" t="s">
        <v>151</v>
      </c>
      <c r="H834" s="17" t="s">
        <v>151</v>
      </c>
      <c r="I834" s="17" t="s">
        <v>16961</v>
      </c>
      <c r="J834" s="17" t="s">
        <v>16958</v>
      </c>
      <c r="K834" s="17" t="s">
        <v>16962</v>
      </c>
      <c r="L834" s="17" t="s">
        <v>205</v>
      </c>
      <c r="M834" s="17" t="s">
        <v>206</v>
      </c>
      <c r="N834" s="17" t="s">
        <v>694</v>
      </c>
      <c r="O834" s="17" t="s">
        <v>16963</v>
      </c>
      <c r="P834" s="17" t="s">
        <v>2224</v>
      </c>
      <c r="Q834" s="17" t="s">
        <v>16964</v>
      </c>
      <c r="R834" s="17" t="s">
        <v>151</v>
      </c>
      <c r="S834" s="17" t="s">
        <v>162</v>
      </c>
      <c r="T834" s="24">
        <v>0.37</v>
      </c>
      <c r="U834" s="17" t="s">
        <v>163</v>
      </c>
      <c r="V834" s="17" t="s">
        <v>164</v>
      </c>
      <c r="W834" s="17" t="s">
        <v>165</v>
      </c>
      <c r="X834" s="15" t="s">
        <v>16965</v>
      </c>
      <c r="Y834" s="15" t="s">
        <v>151</v>
      </c>
      <c r="Z834" s="27" t="s">
        <v>151</v>
      </c>
      <c r="AA834" s="17" t="s">
        <v>151</v>
      </c>
      <c r="AB834" s="17" t="s">
        <v>151</v>
      </c>
      <c r="AC834" s="17" t="s">
        <v>151</v>
      </c>
      <c r="AD834" s="26">
        <v>2016</v>
      </c>
      <c r="AE834" s="17" t="s">
        <v>151</v>
      </c>
      <c r="AF834" s="22">
        <v>45555</v>
      </c>
      <c r="AG834" s="17" t="s">
        <v>151</v>
      </c>
      <c r="AH834" s="17" t="s">
        <v>151</v>
      </c>
      <c r="AI834" s="25" t="s">
        <v>151</v>
      </c>
      <c r="AJ834" s="19" t="s">
        <v>151</v>
      </c>
      <c r="AK834" s="25" t="s">
        <v>151</v>
      </c>
      <c r="AL834" s="25" t="s">
        <v>151</v>
      </c>
      <c r="AM834" s="25" t="s">
        <v>151</v>
      </c>
      <c r="AN834" s="25" t="s">
        <v>151</v>
      </c>
      <c r="AO834" s="25" t="s">
        <v>151</v>
      </c>
      <c r="AP834" s="25" t="s">
        <v>151</v>
      </c>
      <c r="AQ834" s="25" t="s">
        <v>151</v>
      </c>
      <c r="AR834" s="16" t="s">
        <v>151</v>
      </c>
      <c r="AS834" s="17" t="s">
        <v>16966</v>
      </c>
      <c r="AT834" s="17" t="s">
        <v>16967</v>
      </c>
      <c r="AU834" s="18">
        <v>6</v>
      </c>
      <c r="AV834" s="17" t="s">
        <v>151</v>
      </c>
      <c r="AW834" s="17" t="s">
        <v>151</v>
      </c>
      <c r="AX834" s="17" t="s">
        <v>151</v>
      </c>
      <c r="AY834" s="17" t="s">
        <v>16968</v>
      </c>
      <c r="AZ834" s="17" t="s">
        <v>151</v>
      </c>
      <c r="BA834" s="17" t="s">
        <v>151</v>
      </c>
      <c r="BB834" s="17" t="s">
        <v>151</v>
      </c>
      <c r="BC834" s="17" t="s">
        <v>151</v>
      </c>
      <c r="BD834" s="17" t="s">
        <v>16969</v>
      </c>
      <c r="BE834" s="17" t="s">
        <v>16970</v>
      </c>
      <c r="BF834" s="17" t="s">
        <v>5299</v>
      </c>
      <c r="BG834" s="17" t="s">
        <v>16971</v>
      </c>
      <c r="BH834" s="17" t="s">
        <v>151</v>
      </c>
      <c r="BI834" s="17" t="s">
        <v>16972</v>
      </c>
      <c r="BJ834" s="17" t="s">
        <v>16973</v>
      </c>
      <c r="BK834" s="17" t="s">
        <v>151</v>
      </c>
      <c r="BL834" s="17" t="s">
        <v>16974</v>
      </c>
      <c r="BM834" s="17" t="s">
        <v>5724</v>
      </c>
      <c r="BN834" s="16" t="s">
        <v>16975</v>
      </c>
      <c r="BO834" s="17" t="s">
        <v>186</v>
      </c>
      <c r="BP834" s="16" t="s">
        <v>151</v>
      </c>
      <c r="BQ834" s="16" t="s">
        <v>151</v>
      </c>
      <c r="BR834" s="17" t="s">
        <v>16976</v>
      </c>
      <c r="BS834" s="17" t="s">
        <v>187</v>
      </c>
      <c r="BT834" s="17" t="s">
        <v>188</v>
      </c>
      <c r="BU834" s="22">
        <v>42370</v>
      </c>
      <c r="BV834" s="24" t="s">
        <v>151</v>
      </c>
      <c r="BW834" s="17" t="s">
        <v>151</v>
      </c>
      <c r="BX834" s="24" t="s">
        <v>151</v>
      </c>
      <c r="BY834" s="17" t="s">
        <v>151</v>
      </c>
      <c r="BZ834" s="17" t="s">
        <v>660</v>
      </c>
      <c r="CA834" s="17" t="s">
        <v>151</v>
      </c>
      <c r="CB834" s="17" t="s">
        <v>151</v>
      </c>
      <c r="CC834" s="17" t="s">
        <v>385</v>
      </c>
      <c r="CD834" s="17" t="s">
        <v>151</v>
      </c>
      <c r="CE834" s="17" t="s">
        <v>191</v>
      </c>
      <c r="CF834" s="22">
        <v>44236</v>
      </c>
      <c r="CG834" s="24">
        <v>0.37</v>
      </c>
      <c r="CH834" s="17" t="s">
        <v>192</v>
      </c>
      <c r="CI834" s="24" t="s">
        <v>151</v>
      </c>
      <c r="CJ834" s="17" t="s">
        <v>151</v>
      </c>
      <c r="CK834" s="16" t="s">
        <v>151</v>
      </c>
      <c r="CL834" s="17" t="s">
        <v>293</v>
      </c>
      <c r="CM834" s="17" t="s">
        <v>293</v>
      </c>
      <c r="CN834" s="17" t="s">
        <v>151</v>
      </c>
      <c r="CO834" s="17" t="s">
        <v>165</v>
      </c>
      <c r="CP834" s="22">
        <v>44236</v>
      </c>
      <c r="CQ834" s="24">
        <v>0.15</v>
      </c>
      <c r="CR834" s="17" t="s">
        <v>11429</v>
      </c>
      <c r="CS834" s="17" t="s">
        <v>191</v>
      </c>
      <c r="CT834" s="16" t="s">
        <v>151</v>
      </c>
      <c r="CU834" s="17" t="s">
        <v>151</v>
      </c>
      <c r="CV834" s="19" t="s">
        <v>151</v>
      </c>
      <c r="CW834" s="19" t="s">
        <v>151</v>
      </c>
      <c r="CX834" s="17" t="s">
        <v>151</v>
      </c>
      <c r="CY834" s="19" t="s">
        <v>151</v>
      </c>
      <c r="CZ834" s="19" t="s">
        <v>151</v>
      </c>
      <c r="DA834" s="24" t="s">
        <v>151</v>
      </c>
      <c r="DB834" s="22" t="s">
        <v>151</v>
      </c>
      <c r="DC834" s="17" t="s">
        <v>151</v>
      </c>
      <c r="DD834" s="16" t="s">
        <v>151</v>
      </c>
      <c r="DE834" s="19" t="s">
        <v>151</v>
      </c>
      <c r="DF834" s="21" t="s">
        <v>151</v>
      </c>
      <c r="DG834" s="19" t="s">
        <v>151</v>
      </c>
      <c r="DH834" s="19" t="s">
        <v>151</v>
      </c>
      <c r="DI834" s="19" t="s">
        <v>151</v>
      </c>
      <c r="DJ834" s="21" t="s">
        <v>151</v>
      </c>
      <c r="DK834" s="19" t="s">
        <v>151</v>
      </c>
      <c r="DL834" s="21" t="s">
        <v>151</v>
      </c>
      <c r="DM834" s="19" t="s">
        <v>151</v>
      </c>
      <c r="DN834" s="21" t="s">
        <v>151</v>
      </c>
      <c r="DO834" s="23" t="s">
        <v>151</v>
      </c>
      <c r="DP834" s="21" t="s">
        <v>151</v>
      </c>
      <c r="DQ834" s="23" t="s">
        <v>151</v>
      </c>
      <c r="DR834" s="19" t="s">
        <v>151</v>
      </c>
      <c r="DS834" s="23" t="s">
        <v>151</v>
      </c>
      <c r="DT834" s="21" t="s">
        <v>151</v>
      </c>
      <c r="DU834" s="23" t="s">
        <v>151</v>
      </c>
      <c r="DV834" s="21" t="s">
        <v>151</v>
      </c>
      <c r="DW834" s="23" t="s">
        <v>151</v>
      </c>
      <c r="DX834" s="21" t="s">
        <v>151</v>
      </c>
      <c r="DY834" s="18" t="s">
        <v>151</v>
      </c>
      <c r="DZ834" s="22" t="s">
        <v>151</v>
      </c>
      <c r="EA834" s="22" t="s">
        <v>151</v>
      </c>
      <c r="EB834" s="21" t="s">
        <v>151</v>
      </c>
      <c r="EC834" s="20" t="s">
        <v>151</v>
      </c>
      <c r="ED834" s="19" t="s">
        <v>151</v>
      </c>
      <c r="EE834" s="21" t="s">
        <v>151</v>
      </c>
      <c r="EF834" s="20" t="s">
        <v>151</v>
      </c>
      <c r="EG834" s="19" t="s">
        <v>151</v>
      </c>
      <c r="EH834" s="16" t="s">
        <v>198</v>
      </c>
      <c r="EI834" s="17" t="s">
        <v>151</v>
      </c>
      <c r="EJ834" s="17" t="s">
        <v>151</v>
      </c>
      <c r="EK834" s="18" t="s">
        <v>151</v>
      </c>
      <c r="EL834" s="18" t="s">
        <v>151</v>
      </c>
      <c r="EM834" s="18" t="s">
        <v>151</v>
      </c>
      <c r="EN834" s="18" t="s">
        <v>151</v>
      </c>
      <c r="EO834" s="18" t="s">
        <v>151</v>
      </c>
      <c r="EP834" s="17" t="s">
        <v>151</v>
      </c>
      <c r="EQ834" s="16" t="s">
        <v>151</v>
      </c>
      <c r="ER834" s="16" t="s">
        <v>151</v>
      </c>
      <c r="ES834" s="3">
        <f>HYPERLINK("https://my.pitchbook.com?c=266501-98","View Company Online")</f>
      </c>
    </row>
    <row r="835">
      <c r="A835" s="30" t="s">
        <v>16977</v>
      </c>
      <c r="B835" s="30" t="s">
        <v>16978</v>
      </c>
      <c r="C835" s="31" t="s">
        <v>151</v>
      </c>
      <c r="D835" s="30" t="s">
        <v>151</v>
      </c>
      <c r="E835" s="30" t="s">
        <v>16979</v>
      </c>
      <c r="F835" s="30" t="s">
        <v>16980</v>
      </c>
      <c r="G835" s="30" t="s">
        <v>151</v>
      </c>
      <c r="H835" s="30" t="s">
        <v>151</v>
      </c>
      <c r="I835" s="30" t="s">
        <v>151</v>
      </c>
      <c r="J835" s="30" t="s">
        <v>16977</v>
      </c>
      <c r="K835" s="30" t="s">
        <v>16981</v>
      </c>
      <c r="L835" s="30" t="s">
        <v>205</v>
      </c>
      <c r="M835" s="30" t="s">
        <v>206</v>
      </c>
      <c r="N835" s="30" t="s">
        <v>269</v>
      </c>
      <c r="O835" s="30" t="s">
        <v>4805</v>
      </c>
      <c r="P835" s="30" t="s">
        <v>1652</v>
      </c>
      <c r="Q835" s="30" t="s">
        <v>16982</v>
      </c>
      <c r="R835" s="30" t="s">
        <v>151</v>
      </c>
      <c r="S835" s="30" t="s">
        <v>162</v>
      </c>
      <c r="T835" s="37">
        <v>28.12</v>
      </c>
      <c r="U835" s="30" t="s">
        <v>163</v>
      </c>
      <c r="V835" s="30" t="s">
        <v>164</v>
      </c>
      <c r="W835" s="30" t="s">
        <v>165</v>
      </c>
      <c r="X835" s="28" t="s">
        <v>16983</v>
      </c>
      <c r="Y835" s="28" t="s">
        <v>16984</v>
      </c>
      <c r="Z835" s="40">
        <v>200</v>
      </c>
      <c r="AA835" s="30" t="s">
        <v>16985</v>
      </c>
      <c r="AB835" s="30" t="s">
        <v>151</v>
      </c>
      <c r="AC835" s="30" t="s">
        <v>151</v>
      </c>
      <c r="AD835" s="39">
        <v>2018</v>
      </c>
      <c r="AE835" s="30" t="s">
        <v>151</v>
      </c>
      <c r="AF835" s="35">
        <v>45551</v>
      </c>
      <c r="AG835" s="30" t="s">
        <v>151</v>
      </c>
      <c r="AH835" s="30" t="s">
        <v>151</v>
      </c>
      <c r="AI835" s="38" t="s">
        <v>151</v>
      </c>
      <c r="AJ835" s="32" t="s">
        <v>151</v>
      </c>
      <c r="AK835" s="38" t="s">
        <v>151</v>
      </c>
      <c r="AL835" s="38" t="s">
        <v>151</v>
      </c>
      <c r="AM835" s="38" t="s">
        <v>151</v>
      </c>
      <c r="AN835" s="38" t="s">
        <v>151</v>
      </c>
      <c r="AO835" s="38" t="s">
        <v>151</v>
      </c>
      <c r="AP835" s="38" t="s">
        <v>151</v>
      </c>
      <c r="AQ835" s="38" t="s">
        <v>151</v>
      </c>
      <c r="AR835" s="29" t="s">
        <v>151</v>
      </c>
      <c r="AS835" s="30" t="s">
        <v>16986</v>
      </c>
      <c r="AT835" s="30" t="s">
        <v>16987</v>
      </c>
      <c r="AU835" s="31">
        <v>5</v>
      </c>
      <c r="AV835" s="30" t="s">
        <v>151</v>
      </c>
      <c r="AW835" s="30" t="s">
        <v>151</v>
      </c>
      <c r="AX835" s="30" t="s">
        <v>151</v>
      </c>
      <c r="AY835" s="30" t="s">
        <v>16988</v>
      </c>
      <c r="AZ835" s="30" t="s">
        <v>151</v>
      </c>
      <c r="BA835" s="30" t="s">
        <v>151</v>
      </c>
      <c r="BB835" s="30" t="s">
        <v>1705</v>
      </c>
      <c r="BC835" s="30" t="s">
        <v>2424</v>
      </c>
      <c r="BD835" s="30" t="s">
        <v>16989</v>
      </c>
      <c r="BE835" s="30" t="s">
        <v>16990</v>
      </c>
      <c r="BF835" s="30" t="s">
        <v>221</v>
      </c>
      <c r="BG835" s="30" t="s">
        <v>16991</v>
      </c>
      <c r="BH835" s="30" t="s">
        <v>151</v>
      </c>
      <c r="BI835" s="30" t="s">
        <v>764</v>
      </c>
      <c r="BJ835" s="30" t="s">
        <v>16992</v>
      </c>
      <c r="BK835" s="30" t="s">
        <v>16993</v>
      </c>
      <c r="BL835" s="30" t="s">
        <v>767</v>
      </c>
      <c r="BM835" s="30" t="s">
        <v>184</v>
      </c>
      <c r="BN835" s="29" t="s">
        <v>4531</v>
      </c>
      <c r="BO835" s="30" t="s">
        <v>186</v>
      </c>
      <c r="BP835" s="29" t="s">
        <v>151</v>
      </c>
      <c r="BQ835" s="29" t="s">
        <v>151</v>
      </c>
      <c r="BR835" s="30" t="s">
        <v>16994</v>
      </c>
      <c r="BS835" s="30" t="s">
        <v>187</v>
      </c>
      <c r="BT835" s="30" t="s">
        <v>188</v>
      </c>
      <c r="BU835" s="35">
        <v>44607</v>
      </c>
      <c r="BV835" s="37">
        <v>19.96</v>
      </c>
      <c r="BW835" s="30" t="s">
        <v>192</v>
      </c>
      <c r="BX835" s="37">
        <v>120</v>
      </c>
      <c r="BY835" s="30" t="s">
        <v>192</v>
      </c>
      <c r="BZ835" s="30" t="s">
        <v>231</v>
      </c>
      <c r="CA835" s="30" t="s">
        <v>232</v>
      </c>
      <c r="CB835" s="30" t="s">
        <v>151</v>
      </c>
      <c r="CC835" s="30" t="s">
        <v>165</v>
      </c>
      <c r="CD835" s="30" t="s">
        <v>151</v>
      </c>
      <c r="CE835" s="30" t="s">
        <v>191</v>
      </c>
      <c r="CF835" s="35">
        <v>44896</v>
      </c>
      <c r="CG835" s="37">
        <v>8</v>
      </c>
      <c r="CH835" s="30" t="s">
        <v>193</v>
      </c>
      <c r="CI835" s="37">
        <v>128</v>
      </c>
      <c r="CJ835" s="30" t="s">
        <v>192</v>
      </c>
      <c r="CK835" s="29">
        <v>1</v>
      </c>
      <c r="CL835" s="30" t="s">
        <v>231</v>
      </c>
      <c r="CM835" s="30" t="s">
        <v>151</v>
      </c>
      <c r="CN835" s="30" t="s">
        <v>151</v>
      </c>
      <c r="CO835" s="30" t="s">
        <v>165</v>
      </c>
      <c r="CP835" s="35">
        <v>44896</v>
      </c>
      <c r="CQ835" s="37" t="s">
        <v>151</v>
      </c>
      <c r="CR835" s="30" t="s">
        <v>151</v>
      </c>
      <c r="CS835" s="30" t="s">
        <v>191</v>
      </c>
      <c r="CT835" s="29">
        <v>75</v>
      </c>
      <c r="CU835" s="30" t="s">
        <v>196</v>
      </c>
      <c r="CV835" s="32">
        <v>69</v>
      </c>
      <c r="CW835" s="32">
        <v>31</v>
      </c>
      <c r="CX835" s="30" t="s">
        <v>294</v>
      </c>
      <c r="CY835" s="32">
        <v>2</v>
      </c>
      <c r="CZ835" s="32">
        <v>67</v>
      </c>
      <c r="DA835" s="37">
        <v>128</v>
      </c>
      <c r="DB835" s="35">
        <v>44896</v>
      </c>
      <c r="DC835" s="30" t="s">
        <v>231</v>
      </c>
      <c r="DD835" s="29">
        <v>1</v>
      </c>
      <c r="DE835" s="32">
        <v>0.56</v>
      </c>
      <c r="DF835" s="34">
        <v>94</v>
      </c>
      <c r="DG835" s="32">
        <v>0</v>
      </c>
      <c r="DH835" s="32">
        <v>0</v>
      </c>
      <c r="DI835" s="32">
        <v>0.93</v>
      </c>
      <c r="DJ835" s="34">
        <v>96</v>
      </c>
      <c r="DK835" s="32" t="s">
        <v>151</v>
      </c>
      <c r="DL835" s="34" t="s">
        <v>151</v>
      </c>
      <c r="DM835" s="32">
        <v>0.93</v>
      </c>
      <c r="DN835" s="34">
        <v>96</v>
      </c>
      <c r="DO835" s="36">
        <v>16.56</v>
      </c>
      <c r="DP835" s="34">
        <v>94</v>
      </c>
      <c r="DQ835" s="36">
        <v>0</v>
      </c>
      <c r="DR835" s="32">
        <v>0</v>
      </c>
      <c r="DS835" s="36">
        <v>17.74</v>
      </c>
      <c r="DT835" s="34">
        <v>94</v>
      </c>
      <c r="DU835" s="36" t="s">
        <v>151</v>
      </c>
      <c r="DV835" s="34" t="s">
        <v>151</v>
      </c>
      <c r="DW835" s="36">
        <v>17.74</v>
      </c>
      <c r="DX835" s="34">
        <v>94</v>
      </c>
      <c r="DY835" s="31" t="s">
        <v>151</v>
      </c>
      <c r="DZ835" s="35" t="s">
        <v>151</v>
      </c>
      <c r="EA835" s="35" t="s">
        <v>151</v>
      </c>
      <c r="EB835" s="34">
        <v>3392</v>
      </c>
      <c r="EC835" s="33">
        <v>-183</v>
      </c>
      <c r="ED835" s="32">
        <v>-5.12</v>
      </c>
      <c r="EE835" s="34">
        <v>337</v>
      </c>
      <c r="EF835" s="33">
        <v>2</v>
      </c>
      <c r="EG835" s="32">
        <v>0.6</v>
      </c>
      <c r="EH835" s="29" t="s">
        <v>198</v>
      </c>
      <c r="EI835" s="30" t="s">
        <v>151</v>
      </c>
      <c r="EJ835" s="30" t="s">
        <v>151</v>
      </c>
      <c r="EK835" s="31" t="s">
        <v>151</v>
      </c>
      <c r="EL835" s="31" t="s">
        <v>151</v>
      </c>
      <c r="EM835" s="31" t="s">
        <v>151</v>
      </c>
      <c r="EN835" s="31" t="s">
        <v>151</v>
      </c>
      <c r="EO835" s="31" t="s">
        <v>151</v>
      </c>
      <c r="EP835" s="30" t="s">
        <v>151</v>
      </c>
      <c r="EQ835" s="29" t="s">
        <v>151</v>
      </c>
      <c r="ER835" s="29" t="s">
        <v>151</v>
      </c>
      <c r="ES835" s="4">
        <f>HYPERLINK("https://my.pitchbook.com?c=436107-70","View Company Online")</f>
      </c>
    </row>
    <row r="836">
      <c r="A836" s="17" t="s">
        <v>16995</v>
      </c>
      <c r="B836" s="17" t="s">
        <v>16996</v>
      </c>
      <c r="C836" s="18" t="s">
        <v>151</v>
      </c>
      <c r="D836" s="17" t="s">
        <v>151</v>
      </c>
      <c r="E836" s="17" t="s">
        <v>151</v>
      </c>
      <c r="F836" s="17" t="s">
        <v>16997</v>
      </c>
      <c r="G836" s="17" t="s">
        <v>151</v>
      </c>
      <c r="H836" s="17" t="s">
        <v>151</v>
      </c>
      <c r="I836" s="17" t="s">
        <v>16998</v>
      </c>
      <c r="J836" s="17" t="s">
        <v>16995</v>
      </c>
      <c r="K836" s="17" t="s">
        <v>16999</v>
      </c>
      <c r="L836" s="17" t="s">
        <v>205</v>
      </c>
      <c r="M836" s="17" t="s">
        <v>206</v>
      </c>
      <c r="N836" s="17" t="s">
        <v>269</v>
      </c>
      <c r="O836" s="17" t="s">
        <v>4805</v>
      </c>
      <c r="P836" s="17" t="s">
        <v>2618</v>
      </c>
      <c r="Q836" s="17" t="s">
        <v>17000</v>
      </c>
      <c r="R836" s="17" t="s">
        <v>151</v>
      </c>
      <c r="S836" s="17" t="s">
        <v>162</v>
      </c>
      <c r="T836" s="24">
        <v>1.45</v>
      </c>
      <c r="U836" s="17" t="s">
        <v>163</v>
      </c>
      <c r="V836" s="17" t="s">
        <v>164</v>
      </c>
      <c r="W836" s="17" t="s">
        <v>165</v>
      </c>
      <c r="X836" s="15" t="s">
        <v>17001</v>
      </c>
      <c r="Y836" s="15" t="s">
        <v>17002</v>
      </c>
      <c r="Z836" s="27">
        <v>20</v>
      </c>
      <c r="AA836" s="17" t="s">
        <v>17003</v>
      </c>
      <c r="AB836" s="17" t="s">
        <v>151</v>
      </c>
      <c r="AC836" s="17" t="s">
        <v>151</v>
      </c>
      <c r="AD836" s="26">
        <v>2021</v>
      </c>
      <c r="AE836" s="17" t="s">
        <v>151</v>
      </c>
      <c r="AF836" s="22">
        <v>45587</v>
      </c>
      <c r="AG836" s="17" t="s">
        <v>151</v>
      </c>
      <c r="AH836" s="17" t="s">
        <v>151</v>
      </c>
      <c r="AI836" s="25">
        <v>0.2</v>
      </c>
      <c r="AJ836" s="19">
        <v>-69.23</v>
      </c>
      <c r="AK836" s="25" t="s">
        <v>151</v>
      </c>
      <c r="AL836" s="25" t="s">
        <v>151</v>
      </c>
      <c r="AM836" s="25" t="s">
        <v>151</v>
      </c>
      <c r="AN836" s="25" t="s">
        <v>151</v>
      </c>
      <c r="AO836" s="25" t="s">
        <v>151</v>
      </c>
      <c r="AP836" s="25" t="s">
        <v>151</v>
      </c>
      <c r="AQ836" s="25" t="s">
        <v>151</v>
      </c>
      <c r="AR836" s="16" t="s">
        <v>841</v>
      </c>
      <c r="AS836" s="17" t="s">
        <v>17004</v>
      </c>
      <c r="AT836" s="17" t="s">
        <v>17005</v>
      </c>
      <c r="AU836" s="18">
        <v>8</v>
      </c>
      <c r="AV836" s="17" t="s">
        <v>151</v>
      </c>
      <c r="AW836" s="17" t="s">
        <v>151</v>
      </c>
      <c r="AX836" s="17" t="s">
        <v>151</v>
      </c>
      <c r="AY836" s="17" t="s">
        <v>17006</v>
      </c>
      <c r="AZ836" s="17" t="s">
        <v>151</v>
      </c>
      <c r="BA836" s="17" t="s">
        <v>151</v>
      </c>
      <c r="BB836" s="17" t="s">
        <v>17007</v>
      </c>
      <c r="BC836" s="17" t="s">
        <v>1115</v>
      </c>
      <c r="BD836" s="17" t="s">
        <v>17008</v>
      </c>
      <c r="BE836" s="17" t="s">
        <v>17009</v>
      </c>
      <c r="BF836" s="17" t="s">
        <v>221</v>
      </c>
      <c r="BG836" s="17" t="s">
        <v>17010</v>
      </c>
      <c r="BH836" s="17" t="s">
        <v>17011</v>
      </c>
      <c r="BI836" s="17" t="s">
        <v>12265</v>
      </c>
      <c r="BJ836" s="17" t="s">
        <v>17012</v>
      </c>
      <c r="BK836" s="17" t="s">
        <v>151</v>
      </c>
      <c r="BL836" s="17" t="s">
        <v>12268</v>
      </c>
      <c r="BM836" s="17" t="s">
        <v>855</v>
      </c>
      <c r="BN836" s="16" t="s">
        <v>17013</v>
      </c>
      <c r="BO836" s="17" t="s">
        <v>186</v>
      </c>
      <c r="BP836" s="16" t="s">
        <v>151</v>
      </c>
      <c r="BQ836" s="16" t="s">
        <v>151</v>
      </c>
      <c r="BR836" s="17" t="s">
        <v>151</v>
      </c>
      <c r="BS836" s="17" t="s">
        <v>187</v>
      </c>
      <c r="BT836" s="17" t="s">
        <v>188</v>
      </c>
      <c r="BU836" s="22">
        <v>44531</v>
      </c>
      <c r="BV836" s="24">
        <v>1</v>
      </c>
      <c r="BW836" s="17" t="s">
        <v>192</v>
      </c>
      <c r="BX836" s="24">
        <v>5.5</v>
      </c>
      <c r="BY836" s="17" t="s">
        <v>192</v>
      </c>
      <c r="BZ836" s="17" t="s">
        <v>293</v>
      </c>
      <c r="CA836" s="17" t="s">
        <v>293</v>
      </c>
      <c r="CB836" s="17" t="s">
        <v>151</v>
      </c>
      <c r="CC836" s="17" t="s">
        <v>165</v>
      </c>
      <c r="CD836" s="17" t="s">
        <v>151</v>
      </c>
      <c r="CE836" s="17" t="s">
        <v>191</v>
      </c>
      <c r="CF836" s="22" t="s">
        <v>151</v>
      </c>
      <c r="CG836" s="24" t="s">
        <v>151</v>
      </c>
      <c r="CH836" s="17" t="s">
        <v>151</v>
      </c>
      <c r="CI836" s="24" t="s">
        <v>151</v>
      </c>
      <c r="CJ836" s="17" t="s">
        <v>151</v>
      </c>
      <c r="CK836" s="16" t="s">
        <v>151</v>
      </c>
      <c r="CL836" s="17" t="s">
        <v>231</v>
      </c>
      <c r="CM836" s="17" t="s">
        <v>151</v>
      </c>
      <c r="CN836" s="17" t="s">
        <v>151</v>
      </c>
      <c r="CO836" s="17" t="s">
        <v>165</v>
      </c>
      <c r="CP836" s="22" t="s">
        <v>151</v>
      </c>
      <c r="CQ836" s="24" t="s">
        <v>151</v>
      </c>
      <c r="CR836" s="17" t="s">
        <v>151</v>
      </c>
      <c r="CS836" s="17" t="s">
        <v>1125</v>
      </c>
      <c r="CT836" s="16">
        <v>84</v>
      </c>
      <c r="CU836" s="17" t="s">
        <v>196</v>
      </c>
      <c r="CV836" s="19">
        <v>76</v>
      </c>
      <c r="CW836" s="19">
        <v>24</v>
      </c>
      <c r="CX836" s="17" t="s">
        <v>294</v>
      </c>
      <c r="CY836" s="19">
        <v>1</v>
      </c>
      <c r="CZ836" s="19">
        <v>75</v>
      </c>
      <c r="DA836" s="24">
        <v>6</v>
      </c>
      <c r="DB836" s="22">
        <v>45047</v>
      </c>
      <c r="DC836" s="17" t="s">
        <v>293</v>
      </c>
      <c r="DD836" s="16">
        <v>1.04</v>
      </c>
      <c r="DE836" s="19">
        <v>1.35</v>
      </c>
      <c r="DF836" s="21">
        <v>97</v>
      </c>
      <c r="DG836" s="19">
        <v>0</v>
      </c>
      <c r="DH836" s="19">
        <v>0</v>
      </c>
      <c r="DI836" s="19" t="s">
        <v>151</v>
      </c>
      <c r="DJ836" s="21" t="s">
        <v>151</v>
      </c>
      <c r="DK836" s="19" t="s">
        <v>151</v>
      </c>
      <c r="DL836" s="21" t="s">
        <v>151</v>
      </c>
      <c r="DM836" s="19" t="s">
        <v>151</v>
      </c>
      <c r="DN836" s="21" t="s">
        <v>151</v>
      </c>
      <c r="DO836" s="23">
        <v>1.54</v>
      </c>
      <c r="DP836" s="21">
        <v>60</v>
      </c>
      <c r="DQ836" s="23">
        <v>0</v>
      </c>
      <c r="DR836" s="19">
        <v>0</v>
      </c>
      <c r="DS836" s="23" t="s">
        <v>151</v>
      </c>
      <c r="DT836" s="21" t="s">
        <v>151</v>
      </c>
      <c r="DU836" s="23" t="s">
        <v>151</v>
      </c>
      <c r="DV836" s="21" t="s">
        <v>151</v>
      </c>
      <c r="DW836" s="23" t="s">
        <v>151</v>
      </c>
      <c r="DX836" s="21" t="s">
        <v>151</v>
      </c>
      <c r="DY836" s="18" t="s">
        <v>151</v>
      </c>
      <c r="DZ836" s="22" t="s">
        <v>151</v>
      </c>
      <c r="EA836" s="22" t="s">
        <v>151</v>
      </c>
      <c r="EB836" s="21">
        <v>261</v>
      </c>
      <c r="EC836" s="20">
        <v>77</v>
      </c>
      <c r="ED836" s="19">
        <v>41.85</v>
      </c>
      <c r="EE836" s="21" t="s">
        <v>151</v>
      </c>
      <c r="EF836" s="20" t="s">
        <v>151</v>
      </c>
      <c r="EG836" s="19" t="s">
        <v>151</v>
      </c>
      <c r="EH836" s="16" t="s">
        <v>198</v>
      </c>
      <c r="EI836" s="17" t="s">
        <v>151</v>
      </c>
      <c r="EJ836" s="17" t="s">
        <v>151</v>
      </c>
      <c r="EK836" s="18" t="s">
        <v>151</v>
      </c>
      <c r="EL836" s="18" t="s">
        <v>151</v>
      </c>
      <c r="EM836" s="18" t="s">
        <v>151</v>
      </c>
      <c r="EN836" s="18" t="s">
        <v>151</v>
      </c>
      <c r="EO836" s="18" t="s">
        <v>151</v>
      </c>
      <c r="EP836" s="17" t="s">
        <v>151</v>
      </c>
      <c r="EQ836" s="16" t="s">
        <v>151</v>
      </c>
      <c r="ER836" s="16" t="s">
        <v>151</v>
      </c>
      <c r="ES836" s="3">
        <f>HYPERLINK("https://my.pitchbook.com?c=491405-05","View Company Online")</f>
      </c>
    </row>
    <row r="837">
      <c r="A837" s="30" t="s">
        <v>17014</v>
      </c>
      <c r="B837" s="30" t="s">
        <v>17015</v>
      </c>
      <c r="C837" s="31" t="s">
        <v>151</v>
      </c>
      <c r="D837" s="30" t="s">
        <v>17016</v>
      </c>
      <c r="E837" s="30" t="s">
        <v>17017</v>
      </c>
      <c r="F837" s="30" t="s">
        <v>17018</v>
      </c>
      <c r="G837" s="30" t="s">
        <v>151</v>
      </c>
      <c r="H837" s="30" t="s">
        <v>151</v>
      </c>
      <c r="I837" s="30" t="s">
        <v>151</v>
      </c>
      <c r="J837" s="30" t="s">
        <v>17014</v>
      </c>
      <c r="K837" s="30" t="s">
        <v>17019</v>
      </c>
      <c r="L837" s="30" t="s">
        <v>1178</v>
      </c>
      <c r="M837" s="30" t="s">
        <v>17020</v>
      </c>
      <c r="N837" s="30" t="s">
        <v>17021</v>
      </c>
      <c r="O837" s="30" t="s">
        <v>17022</v>
      </c>
      <c r="P837" s="30" t="s">
        <v>17023</v>
      </c>
      <c r="Q837" s="30" t="s">
        <v>17024</v>
      </c>
      <c r="R837" s="30" t="s">
        <v>151</v>
      </c>
      <c r="S837" s="30" t="s">
        <v>162</v>
      </c>
      <c r="T837" s="37">
        <v>3.99</v>
      </c>
      <c r="U837" s="30" t="s">
        <v>163</v>
      </c>
      <c r="V837" s="30" t="s">
        <v>164</v>
      </c>
      <c r="W837" s="30" t="s">
        <v>165</v>
      </c>
      <c r="X837" s="28" t="s">
        <v>17025</v>
      </c>
      <c r="Y837" s="28" t="s">
        <v>17026</v>
      </c>
      <c r="Z837" s="40">
        <v>6</v>
      </c>
      <c r="AA837" s="30" t="s">
        <v>17027</v>
      </c>
      <c r="AB837" s="30" t="s">
        <v>151</v>
      </c>
      <c r="AC837" s="30" t="s">
        <v>151</v>
      </c>
      <c r="AD837" s="39">
        <v>2021</v>
      </c>
      <c r="AE837" s="30" t="s">
        <v>151</v>
      </c>
      <c r="AF837" s="35">
        <v>45615</v>
      </c>
      <c r="AG837" s="30" t="s">
        <v>151</v>
      </c>
      <c r="AH837" s="30" t="s">
        <v>151</v>
      </c>
      <c r="AI837" s="38" t="s">
        <v>151</v>
      </c>
      <c r="AJ837" s="32" t="s">
        <v>151</v>
      </c>
      <c r="AK837" s="38" t="s">
        <v>151</v>
      </c>
      <c r="AL837" s="38" t="s">
        <v>151</v>
      </c>
      <c r="AM837" s="38" t="s">
        <v>151</v>
      </c>
      <c r="AN837" s="38" t="s">
        <v>151</v>
      </c>
      <c r="AO837" s="38" t="s">
        <v>151</v>
      </c>
      <c r="AP837" s="38" t="s">
        <v>151</v>
      </c>
      <c r="AQ837" s="38" t="s">
        <v>151</v>
      </c>
      <c r="AR837" s="29" t="s">
        <v>151</v>
      </c>
      <c r="AS837" s="30" t="s">
        <v>17028</v>
      </c>
      <c r="AT837" s="30" t="s">
        <v>17029</v>
      </c>
      <c r="AU837" s="31">
        <v>5</v>
      </c>
      <c r="AV837" s="30" t="s">
        <v>151</v>
      </c>
      <c r="AW837" s="30" t="s">
        <v>151</v>
      </c>
      <c r="AX837" s="30" t="s">
        <v>151</v>
      </c>
      <c r="AY837" s="30" t="s">
        <v>17030</v>
      </c>
      <c r="AZ837" s="30" t="s">
        <v>151</v>
      </c>
      <c r="BA837" s="30" t="s">
        <v>151</v>
      </c>
      <c r="BB837" s="30" t="s">
        <v>151</v>
      </c>
      <c r="BC837" s="30" t="s">
        <v>374</v>
      </c>
      <c r="BD837" s="30" t="s">
        <v>17031</v>
      </c>
      <c r="BE837" s="30" t="s">
        <v>17032</v>
      </c>
      <c r="BF837" s="30" t="s">
        <v>282</v>
      </c>
      <c r="BG837" s="30" t="s">
        <v>17033</v>
      </c>
      <c r="BH837" s="30" t="s">
        <v>17034</v>
      </c>
      <c r="BI837" s="30" t="s">
        <v>8215</v>
      </c>
      <c r="BJ837" s="30" t="s">
        <v>8216</v>
      </c>
      <c r="BK837" s="30" t="s">
        <v>17035</v>
      </c>
      <c r="BL837" s="30" t="s">
        <v>8218</v>
      </c>
      <c r="BM837" s="30" t="s">
        <v>184</v>
      </c>
      <c r="BN837" s="29" t="s">
        <v>8219</v>
      </c>
      <c r="BO837" s="30" t="s">
        <v>186</v>
      </c>
      <c r="BP837" s="29" t="s">
        <v>17034</v>
      </c>
      <c r="BQ837" s="29" t="s">
        <v>151</v>
      </c>
      <c r="BR837" s="30" t="s">
        <v>17036</v>
      </c>
      <c r="BS837" s="30" t="s">
        <v>187</v>
      </c>
      <c r="BT837" s="30" t="s">
        <v>188</v>
      </c>
      <c r="BU837" s="35">
        <v>44417</v>
      </c>
      <c r="BV837" s="37">
        <v>2</v>
      </c>
      <c r="BW837" s="30" t="s">
        <v>192</v>
      </c>
      <c r="BX837" s="37">
        <v>10</v>
      </c>
      <c r="BY837" s="30" t="s">
        <v>192</v>
      </c>
      <c r="BZ837" s="30" t="s">
        <v>231</v>
      </c>
      <c r="CA837" s="30" t="s">
        <v>151</v>
      </c>
      <c r="CB837" s="30" t="s">
        <v>151</v>
      </c>
      <c r="CC837" s="30" t="s">
        <v>165</v>
      </c>
      <c r="CD837" s="30" t="s">
        <v>151</v>
      </c>
      <c r="CE837" s="30" t="s">
        <v>191</v>
      </c>
      <c r="CF837" s="35">
        <v>45614</v>
      </c>
      <c r="CG837" s="37">
        <v>1.99</v>
      </c>
      <c r="CH837" s="30" t="s">
        <v>192</v>
      </c>
      <c r="CI837" s="37" t="s">
        <v>151</v>
      </c>
      <c r="CJ837" s="30" t="s">
        <v>151</v>
      </c>
      <c r="CK837" s="29" t="s">
        <v>151</v>
      </c>
      <c r="CL837" s="30" t="s">
        <v>231</v>
      </c>
      <c r="CM837" s="30" t="s">
        <v>151</v>
      </c>
      <c r="CN837" s="30" t="s">
        <v>151</v>
      </c>
      <c r="CO837" s="30" t="s">
        <v>165</v>
      </c>
      <c r="CP837" s="35">
        <v>45614</v>
      </c>
      <c r="CQ837" s="37" t="s">
        <v>151</v>
      </c>
      <c r="CR837" s="30" t="s">
        <v>355</v>
      </c>
      <c r="CS837" s="30" t="s">
        <v>191</v>
      </c>
      <c r="CT837" s="29">
        <v>52</v>
      </c>
      <c r="CU837" s="30" t="s">
        <v>196</v>
      </c>
      <c r="CV837" s="32">
        <v>50</v>
      </c>
      <c r="CW837" s="32">
        <v>50</v>
      </c>
      <c r="CX837" s="30" t="s">
        <v>294</v>
      </c>
      <c r="CY837" s="32">
        <v>1</v>
      </c>
      <c r="CZ837" s="32">
        <v>49</v>
      </c>
      <c r="DA837" s="37">
        <v>10</v>
      </c>
      <c r="DB837" s="35">
        <v>44417</v>
      </c>
      <c r="DC837" s="30" t="s">
        <v>231</v>
      </c>
      <c r="DD837" s="29" t="s">
        <v>151</v>
      </c>
      <c r="DE837" s="32">
        <v>-0.24</v>
      </c>
      <c r="DF837" s="34">
        <v>9</v>
      </c>
      <c r="DG837" s="32">
        <v>0</v>
      </c>
      <c r="DH837" s="32">
        <v>0</v>
      </c>
      <c r="DI837" s="32">
        <v>-0.48</v>
      </c>
      <c r="DJ837" s="34">
        <v>7</v>
      </c>
      <c r="DK837" s="32" t="s">
        <v>151</v>
      </c>
      <c r="DL837" s="34" t="s">
        <v>151</v>
      </c>
      <c r="DM837" s="32">
        <v>-0.48</v>
      </c>
      <c r="DN837" s="34">
        <v>7</v>
      </c>
      <c r="DO837" s="36">
        <v>2.31</v>
      </c>
      <c r="DP837" s="34">
        <v>69</v>
      </c>
      <c r="DQ837" s="36">
        <v>0</v>
      </c>
      <c r="DR837" s="32">
        <v>0</v>
      </c>
      <c r="DS837" s="36">
        <v>4.16</v>
      </c>
      <c r="DT837" s="34">
        <v>80</v>
      </c>
      <c r="DU837" s="36" t="s">
        <v>151</v>
      </c>
      <c r="DV837" s="34" t="s">
        <v>151</v>
      </c>
      <c r="DW837" s="36">
        <v>4.16</v>
      </c>
      <c r="DX837" s="34">
        <v>79</v>
      </c>
      <c r="DY837" s="31" t="s">
        <v>151</v>
      </c>
      <c r="DZ837" s="35" t="s">
        <v>151</v>
      </c>
      <c r="EA837" s="35" t="s">
        <v>151</v>
      </c>
      <c r="EB837" s="34">
        <v>323</v>
      </c>
      <c r="EC837" s="33">
        <v>16</v>
      </c>
      <c r="ED837" s="32">
        <v>5.21</v>
      </c>
      <c r="EE837" s="34">
        <v>79</v>
      </c>
      <c r="EF837" s="33">
        <v>0</v>
      </c>
      <c r="EG837" s="32">
        <v>0</v>
      </c>
      <c r="EH837" s="29" t="s">
        <v>198</v>
      </c>
      <c r="EI837" s="30" t="s">
        <v>151</v>
      </c>
      <c r="EJ837" s="30" t="s">
        <v>151</v>
      </c>
      <c r="EK837" s="31" t="s">
        <v>151</v>
      </c>
      <c r="EL837" s="31" t="s">
        <v>151</v>
      </c>
      <c r="EM837" s="31" t="s">
        <v>151</v>
      </c>
      <c r="EN837" s="31" t="s">
        <v>151</v>
      </c>
      <c r="EO837" s="31" t="s">
        <v>151</v>
      </c>
      <c r="EP837" s="30" t="s">
        <v>151</v>
      </c>
      <c r="EQ837" s="29" t="s">
        <v>151</v>
      </c>
      <c r="ER837" s="29" t="s">
        <v>151</v>
      </c>
      <c r="ES837" s="4">
        <f>HYPERLINK("https://my.pitchbook.com?c=472232-98","View Company Online")</f>
      </c>
    </row>
    <row r="838">
      <c r="A838" s="17" t="s">
        <v>17037</v>
      </c>
      <c r="B838" s="17" t="s">
        <v>17038</v>
      </c>
      <c r="C838" s="18" t="s">
        <v>151</v>
      </c>
      <c r="D838" s="17" t="s">
        <v>151</v>
      </c>
      <c r="E838" s="17" t="s">
        <v>17039</v>
      </c>
      <c r="F838" s="17" t="s">
        <v>17040</v>
      </c>
      <c r="G838" s="17" t="s">
        <v>151</v>
      </c>
      <c r="H838" s="17" t="s">
        <v>151</v>
      </c>
      <c r="I838" s="17" t="s">
        <v>17041</v>
      </c>
      <c r="J838" s="17" t="s">
        <v>17037</v>
      </c>
      <c r="K838" s="17" t="s">
        <v>17042</v>
      </c>
      <c r="L838" s="17" t="s">
        <v>205</v>
      </c>
      <c r="M838" s="17" t="s">
        <v>206</v>
      </c>
      <c r="N838" s="17" t="s">
        <v>1082</v>
      </c>
      <c r="O838" s="17" t="s">
        <v>17043</v>
      </c>
      <c r="P838" s="17" t="s">
        <v>17044</v>
      </c>
      <c r="Q838" s="17" t="s">
        <v>17045</v>
      </c>
      <c r="R838" s="17" t="s">
        <v>151</v>
      </c>
      <c r="S838" s="17" t="s">
        <v>162</v>
      </c>
      <c r="T838" s="24">
        <v>41.15</v>
      </c>
      <c r="U838" s="17" t="s">
        <v>163</v>
      </c>
      <c r="V838" s="17" t="s">
        <v>164</v>
      </c>
      <c r="W838" s="17" t="s">
        <v>165</v>
      </c>
      <c r="X838" s="15" t="s">
        <v>17046</v>
      </c>
      <c r="Y838" s="15" t="s">
        <v>17047</v>
      </c>
      <c r="Z838" s="27">
        <v>109</v>
      </c>
      <c r="AA838" s="17" t="s">
        <v>17048</v>
      </c>
      <c r="AB838" s="17" t="s">
        <v>151</v>
      </c>
      <c r="AC838" s="17" t="s">
        <v>151</v>
      </c>
      <c r="AD838" s="26">
        <v>2009</v>
      </c>
      <c r="AE838" s="17" t="s">
        <v>151</v>
      </c>
      <c r="AF838" s="22">
        <v>45524</v>
      </c>
      <c r="AG838" s="17" t="s">
        <v>151</v>
      </c>
      <c r="AH838" s="17" t="s">
        <v>151</v>
      </c>
      <c r="AI838" s="25">
        <v>6.4</v>
      </c>
      <c r="AJ838" s="19">
        <v>-0.75</v>
      </c>
      <c r="AK838" s="25" t="s">
        <v>151</v>
      </c>
      <c r="AL838" s="25" t="s">
        <v>151</v>
      </c>
      <c r="AM838" s="25" t="s">
        <v>151</v>
      </c>
      <c r="AN838" s="25" t="s">
        <v>151</v>
      </c>
      <c r="AO838" s="25" t="s">
        <v>151</v>
      </c>
      <c r="AP838" s="25" t="s">
        <v>151</v>
      </c>
      <c r="AQ838" s="25" t="s">
        <v>151</v>
      </c>
      <c r="AR838" s="16" t="s">
        <v>6674</v>
      </c>
      <c r="AS838" s="17" t="s">
        <v>17049</v>
      </c>
      <c r="AT838" s="17" t="s">
        <v>17050</v>
      </c>
      <c r="AU838" s="18">
        <v>6</v>
      </c>
      <c r="AV838" s="17" t="s">
        <v>151</v>
      </c>
      <c r="AW838" s="17" t="s">
        <v>151</v>
      </c>
      <c r="AX838" s="17" t="s">
        <v>151</v>
      </c>
      <c r="AY838" s="17" t="s">
        <v>17051</v>
      </c>
      <c r="AZ838" s="17" t="s">
        <v>151</v>
      </c>
      <c r="BA838" s="17" t="s">
        <v>151</v>
      </c>
      <c r="BB838" s="17" t="s">
        <v>151</v>
      </c>
      <c r="BC838" s="17" t="s">
        <v>874</v>
      </c>
      <c r="BD838" s="17" t="s">
        <v>17052</v>
      </c>
      <c r="BE838" s="17" t="s">
        <v>17053</v>
      </c>
      <c r="BF838" s="17" t="s">
        <v>3909</v>
      </c>
      <c r="BG838" s="17" t="s">
        <v>17054</v>
      </c>
      <c r="BH838" s="17" t="s">
        <v>17055</v>
      </c>
      <c r="BI838" s="17" t="s">
        <v>2885</v>
      </c>
      <c r="BJ838" s="17" t="s">
        <v>17056</v>
      </c>
      <c r="BK838" s="17" t="s">
        <v>17057</v>
      </c>
      <c r="BL838" s="17" t="s">
        <v>2888</v>
      </c>
      <c r="BM838" s="17" t="s">
        <v>1957</v>
      </c>
      <c r="BN838" s="16" t="s">
        <v>2889</v>
      </c>
      <c r="BO838" s="17" t="s">
        <v>186</v>
      </c>
      <c r="BP838" s="16" t="s">
        <v>17055</v>
      </c>
      <c r="BQ838" s="16" t="s">
        <v>151</v>
      </c>
      <c r="BR838" s="17" t="s">
        <v>151</v>
      </c>
      <c r="BS838" s="17" t="s">
        <v>187</v>
      </c>
      <c r="BT838" s="17" t="s">
        <v>188</v>
      </c>
      <c r="BU838" s="22">
        <v>44160</v>
      </c>
      <c r="BV838" s="24">
        <v>10.15</v>
      </c>
      <c r="BW838" s="17" t="s">
        <v>192</v>
      </c>
      <c r="BX838" s="24">
        <v>27.15</v>
      </c>
      <c r="BY838" s="17" t="s">
        <v>192</v>
      </c>
      <c r="BZ838" s="17" t="s">
        <v>194</v>
      </c>
      <c r="CA838" s="17" t="s">
        <v>232</v>
      </c>
      <c r="CB838" s="17" t="s">
        <v>151</v>
      </c>
      <c r="CC838" s="17" t="s">
        <v>165</v>
      </c>
      <c r="CD838" s="17" t="s">
        <v>151</v>
      </c>
      <c r="CE838" s="17" t="s">
        <v>191</v>
      </c>
      <c r="CF838" s="22">
        <v>44895</v>
      </c>
      <c r="CG838" s="24">
        <v>31</v>
      </c>
      <c r="CH838" s="17" t="s">
        <v>192</v>
      </c>
      <c r="CI838" s="24">
        <v>115.26</v>
      </c>
      <c r="CJ838" s="17" t="s">
        <v>192</v>
      </c>
      <c r="CK838" s="16">
        <v>3.2</v>
      </c>
      <c r="CL838" s="17" t="s">
        <v>194</v>
      </c>
      <c r="CM838" s="17" t="s">
        <v>326</v>
      </c>
      <c r="CN838" s="17" t="s">
        <v>151</v>
      </c>
      <c r="CO838" s="17" t="s">
        <v>165</v>
      </c>
      <c r="CP838" s="22">
        <v>44895</v>
      </c>
      <c r="CQ838" s="24">
        <v>2.74</v>
      </c>
      <c r="CR838" s="17" t="s">
        <v>17058</v>
      </c>
      <c r="CS838" s="17" t="s">
        <v>191</v>
      </c>
      <c r="CT838" s="16">
        <v>80</v>
      </c>
      <c r="CU838" s="17" t="s">
        <v>196</v>
      </c>
      <c r="CV838" s="19">
        <v>89</v>
      </c>
      <c r="CW838" s="19">
        <v>11</v>
      </c>
      <c r="CX838" s="17" t="s">
        <v>294</v>
      </c>
      <c r="CY838" s="19">
        <v>1</v>
      </c>
      <c r="CZ838" s="19">
        <v>88</v>
      </c>
      <c r="DA838" s="24">
        <v>115.26</v>
      </c>
      <c r="DB838" s="22">
        <v>44895</v>
      </c>
      <c r="DC838" s="17" t="s">
        <v>194</v>
      </c>
      <c r="DD838" s="16">
        <v>3.2</v>
      </c>
      <c r="DE838" s="19">
        <v>-0.67</v>
      </c>
      <c r="DF838" s="21">
        <v>6</v>
      </c>
      <c r="DG838" s="19">
        <v>0</v>
      </c>
      <c r="DH838" s="19">
        <v>0</v>
      </c>
      <c r="DI838" s="19">
        <v>-1.93</v>
      </c>
      <c r="DJ838" s="21">
        <v>2</v>
      </c>
      <c r="DK838" s="19" t="s">
        <v>151</v>
      </c>
      <c r="DL838" s="21" t="s">
        <v>151</v>
      </c>
      <c r="DM838" s="19">
        <v>-1.93</v>
      </c>
      <c r="DN838" s="21">
        <v>2</v>
      </c>
      <c r="DO838" s="23">
        <v>7.59</v>
      </c>
      <c r="DP838" s="21">
        <v>87</v>
      </c>
      <c r="DQ838" s="23">
        <v>0</v>
      </c>
      <c r="DR838" s="19">
        <v>0</v>
      </c>
      <c r="DS838" s="23">
        <v>6.79</v>
      </c>
      <c r="DT838" s="21">
        <v>86</v>
      </c>
      <c r="DU838" s="23" t="s">
        <v>151</v>
      </c>
      <c r="DV838" s="21" t="s">
        <v>151</v>
      </c>
      <c r="DW838" s="23">
        <v>6.79</v>
      </c>
      <c r="DX838" s="21">
        <v>86</v>
      </c>
      <c r="DY838" s="18">
        <v>9</v>
      </c>
      <c r="DZ838" s="22">
        <v>45056</v>
      </c>
      <c r="EA838" s="22" t="s">
        <v>151</v>
      </c>
      <c r="EB838" s="21" t="s">
        <v>151</v>
      </c>
      <c r="EC838" s="20" t="s">
        <v>151</v>
      </c>
      <c r="ED838" s="19" t="s">
        <v>151</v>
      </c>
      <c r="EE838" s="21">
        <v>129</v>
      </c>
      <c r="EF838" s="20">
        <v>1</v>
      </c>
      <c r="EG838" s="19">
        <v>0.78</v>
      </c>
      <c r="EH838" s="16" t="s">
        <v>198</v>
      </c>
      <c r="EI838" s="17" t="s">
        <v>151</v>
      </c>
      <c r="EJ838" s="17" t="s">
        <v>151</v>
      </c>
      <c r="EK838" s="18" t="s">
        <v>151</v>
      </c>
      <c r="EL838" s="18" t="s">
        <v>151</v>
      </c>
      <c r="EM838" s="18" t="s">
        <v>151</v>
      </c>
      <c r="EN838" s="18" t="s">
        <v>151</v>
      </c>
      <c r="EO838" s="18" t="s">
        <v>151</v>
      </c>
      <c r="EP838" s="17" t="s">
        <v>151</v>
      </c>
      <c r="EQ838" s="16" t="s">
        <v>151</v>
      </c>
      <c r="ER838" s="16" t="s">
        <v>151</v>
      </c>
      <c r="ES838" s="3">
        <f>HYPERLINK("https://my.pitchbook.com?c=128664-55","View Company Online")</f>
      </c>
    </row>
    <row r="839">
      <c r="A839" s="30" t="s">
        <v>17059</v>
      </c>
      <c r="B839" s="30" t="s">
        <v>17060</v>
      </c>
      <c r="C839" s="31" t="s">
        <v>151</v>
      </c>
      <c r="D839" s="30" t="s">
        <v>151</v>
      </c>
      <c r="E839" s="30" t="s">
        <v>151</v>
      </c>
      <c r="F839" s="30" t="s">
        <v>17061</v>
      </c>
      <c r="G839" s="30" t="s">
        <v>151</v>
      </c>
      <c r="H839" s="30" t="s">
        <v>151</v>
      </c>
      <c r="I839" s="30" t="s">
        <v>151</v>
      </c>
      <c r="J839" s="30" t="s">
        <v>17059</v>
      </c>
      <c r="K839" s="30" t="s">
        <v>17062</v>
      </c>
      <c r="L839" s="30" t="s">
        <v>205</v>
      </c>
      <c r="M839" s="30" t="s">
        <v>206</v>
      </c>
      <c r="N839" s="30" t="s">
        <v>207</v>
      </c>
      <c r="O839" s="30" t="s">
        <v>17063</v>
      </c>
      <c r="P839" s="30" t="s">
        <v>17064</v>
      </c>
      <c r="Q839" s="30" t="s">
        <v>17065</v>
      </c>
      <c r="R839" s="30" t="s">
        <v>151</v>
      </c>
      <c r="S839" s="30" t="s">
        <v>162</v>
      </c>
      <c r="T839" s="37">
        <v>1.7</v>
      </c>
      <c r="U839" s="30" t="s">
        <v>163</v>
      </c>
      <c r="V839" s="30" t="s">
        <v>164</v>
      </c>
      <c r="W839" s="30" t="s">
        <v>165</v>
      </c>
      <c r="X839" s="28" t="s">
        <v>17066</v>
      </c>
      <c r="Y839" s="28" t="s">
        <v>17067</v>
      </c>
      <c r="Z839" s="40">
        <v>9</v>
      </c>
      <c r="AA839" s="30" t="s">
        <v>17068</v>
      </c>
      <c r="AB839" s="30" t="s">
        <v>151</v>
      </c>
      <c r="AC839" s="30" t="s">
        <v>151</v>
      </c>
      <c r="AD839" s="39">
        <v>2017</v>
      </c>
      <c r="AE839" s="30" t="s">
        <v>151</v>
      </c>
      <c r="AF839" s="35">
        <v>45366</v>
      </c>
      <c r="AG839" s="30" t="s">
        <v>151</v>
      </c>
      <c r="AH839" s="30" t="s">
        <v>151</v>
      </c>
      <c r="AI839" s="38" t="s">
        <v>151</v>
      </c>
      <c r="AJ839" s="32" t="s">
        <v>151</v>
      </c>
      <c r="AK839" s="38" t="s">
        <v>151</v>
      </c>
      <c r="AL839" s="38" t="s">
        <v>151</v>
      </c>
      <c r="AM839" s="38" t="s">
        <v>151</v>
      </c>
      <c r="AN839" s="38" t="s">
        <v>151</v>
      </c>
      <c r="AO839" s="38" t="s">
        <v>151</v>
      </c>
      <c r="AP839" s="38" t="s">
        <v>151</v>
      </c>
      <c r="AQ839" s="38" t="s">
        <v>151</v>
      </c>
      <c r="AR839" s="29" t="s">
        <v>151</v>
      </c>
      <c r="AS839" s="30" t="s">
        <v>17069</v>
      </c>
      <c r="AT839" s="30" t="s">
        <v>17070</v>
      </c>
      <c r="AU839" s="31">
        <v>1</v>
      </c>
      <c r="AV839" s="30" t="s">
        <v>151</v>
      </c>
      <c r="AW839" s="30" t="s">
        <v>151</v>
      </c>
      <c r="AX839" s="30" t="s">
        <v>151</v>
      </c>
      <c r="AY839" s="30" t="s">
        <v>17071</v>
      </c>
      <c r="AZ839" s="30" t="s">
        <v>151</v>
      </c>
      <c r="BA839" s="30" t="s">
        <v>151</v>
      </c>
      <c r="BB839" s="30" t="s">
        <v>151</v>
      </c>
      <c r="BC839" s="30" t="s">
        <v>151</v>
      </c>
      <c r="BD839" s="30" t="s">
        <v>17072</v>
      </c>
      <c r="BE839" s="30" t="s">
        <v>17073</v>
      </c>
      <c r="BF839" s="30" t="s">
        <v>221</v>
      </c>
      <c r="BG839" s="30" t="s">
        <v>17074</v>
      </c>
      <c r="BH839" s="30" t="s">
        <v>151</v>
      </c>
      <c r="BI839" s="30" t="s">
        <v>906</v>
      </c>
      <c r="BJ839" s="30" t="s">
        <v>17075</v>
      </c>
      <c r="BK839" s="30" t="s">
        <v>151</v>
      </c>
      <c r="BL839" s="30" t="s">
        <v>259</v>
      </c>
      <c r="BM839" s="30" t="s">
        <v>259</v>
      </c>
      <c r="BN839" s="29" t="s">
        <v>1476</v>
      </c>
      <c r="BO839" s="30" t="s">
        <v>186</v>
      </c>
      <c r="BP839" s="29" t="s">
        <v>151</v>
      </c>
      <c r="BQ839" s="29" t="s">
        <v>151</v>
      </c>
      <c r="BR839" s="30" t="s">
        <v>17076</v>
      </c>
      <c r="BS839" s="30" t="s">
        <v>187</v>
      </c>
      <c r="BT839" s="30" t="s">
        <v>188</v>
      </c>
      <c r="BU839" s="35">
        <v>44397</v>
      </c>
      <c r="BV839" s="37">
        <v>1.7</v>
      </c>
      <c r="BW839" s="30" t="s">
        <v>192</v>
      </c>
      <c r="BX839" s="37" t="s">
        <v>151</v>
      </c>
      <c r="BY839" s="30" t="s">
        <v>151</v>
      </c>
      <c r="BZ839" s="30" t="s">
        <v>293</v>
      </c>
      <c r="CA839" s="30" t="s">
        <v>293</v>
      </c>
      <c r="CB839" s="30" t="s">
        <v>151</v>
      </c>
      <c r="CC839" s="30" t="s">
        <v>165</v>
      </c>
      <c r="CD839" s="30" t="s">
        <v>151</v>
      </c>
      <c r="CE839" s="30" t="s">
        <v>191</v>
      </c>
      <c r="CF839" s="35">
        <v>44397</v>
      </c>
      <c r="CG839" s="37">
        <v>1.7</v>
      </c>
      <c r="CH839" s="30" t="s">
        <v>192</v>
      </c>
      <c r="CI839" s="37" t="s">
        <v>151</v>
      </c>
      <c r="CJ839" s="30" t="s">
        <v>151</v>
      </c>
      <c r="CK839" s="29" t="s">
        <v>151</v>
      </c>
      <c r="CL839" s="30" t="s">
        <v>293</v>
      </c>
      <c r="CM839" s="30" t="s">
        <v>293</v>
      </c>
      <c r="CN839" s="30" t="s">
        <v>151</v>
      </c>
      <c r="CO839" s="30" t="s">
        <v>165</v>
      </c>
      <c r="CP839" s="35">
        <v>44397</v>
      </c>
      <c r="CQ839" s="37" t="s">
        <v>151</v>
      </c>
      <c r="CR839" s="30" t="s">
        <v>151</v>
      </c>
      <c r="CS839" s="30" t="s">
        <v>191</v>
      </c>
      <c r="CT839" s="29" t="s">
        <v>151</v>
      </c>
      <c r="CU839" s="30" t="s">
        <v>151</v>
      </c>
      <c r="CV839" s="32" t="s">
        <v>151</v>
      </c>
      <c r="CW839" s="32" t="s">
        <v>151</v>
      </c>
      <c r="CX839" s="30" t="s">
        <v>151</v>
      </c>
      <c r="CY839" s="32" t="s">
        <v>151</v>
      </c>
      <c r="CZ839" s="32" t="s">
        <v>151</v>
      </c>
      <c r="DA839" s="37" t="s">
        <v>151</v>
      </c>
      <c r="DB839" s="35" t="s">
        <v>151</v>
      </c>
      <c r="DC839" s="30" t="s">
        <v>151</v>
      </c>
      <c r="DD839" s="29" t="s">
        <v>151</v>
      </c>
      <c r="DE839" s="32">
        <v>0</v>
      </c>
      <c r="DF839" s="34">
        <v>11</v>
      </c>
      <c r="DG839" s="32">
        <v>0</v>
      </c>
      <c r="DH839" s="32">
        <v>0</v>
      </c>
      <c r="DI839" s="32">
        <v>0</v>
      </c>
      <c r="DJ839" s="34">
        <v>10</v>
      </c>
      <c r="DK839" s="32" t="s">
        <v>151</v>
      </c>
      <c r="DL839" s="34" t="s">
        <v>151</v>
      </c>
      <c r="DM839" s="32">
        <v>0</v>
      </c>
      <c r="DN839" s="34">
        <v>10</v>
      </c>
      <c r="DO839" s="36">
        <v>5.05</v>
      </c>
      <c r="DP839" s="34">
        <v>82</v>
      </c>
      <c r="DQ839" s="36">
        <v>0</v>
      </c>
      <c r="DR839" s="32">
        <v>0</v>
      </c>
      <c r="DS839" s="36">
        <v>5.05</v>
      </c>
      <c r="DT839" s="34">
        <v>82</v>
      </c>
      <c r="DU839" s="36" t="s">
        <v>151</v>
      </c>
      <c r="DV839" s="34" t="s">
        <v>151</v>
      </c>
      <c r="DW839" s="36">
        <v>5.05</v>
      </c>
      <c r="DX839" s="34">
        <v>82</v>
      </c>
      <c r="DY839" s="31" t="s">
        <v>151</v>
      </c>
      <c r="DZ839" s="35" t="s">
        <v>151</v>
      </c>
      <c r="EA839" s="35" t="s">
        <v>151</v>
      </c>
      <c r="EB839" s="34">
        <v>1117</v>
      </c>
      <c r="EC839" s="33">
        <v>23</v>
      </c>
      <c r="ED839" s="32">
        <v>2.1</v>
      </c>
      <c r="EE839" s="34">
        <v>96</v>
      </c>
      <c r="EF839" s="33">
        <v>0</v>
      </c>
      <c r="EG839" s="32">
        <v>0</v>
      </c>
      <c r="EH839" s="29" t="s">
        <v>198</v>
      </c>
      <c r="EI839" s="30" t="s">
        <v>151</v>
      </c>
      <c r="EJ839" s="30" t="s">
        <v>151</v>
      </c>
      <c r="EK839" s="31" t="s">
        <v>151</v>
      </c>
      <c r="EL839" s="31" t="s">
        <v>151</v>
      </c>
      <c r="EM839" s="31" t="s">
        <v>151</v>
      </c>
      <c r="EN839" s="31" t="s">
        <v>151</v>
      </c>
      <c r="EO839" s="31" t="s">
        <v>151</v>
      </c>
      <c r="EP839" s="30" t="s">
        <v>151</v>
      </c>
      <c r="EQ839" s="29" t="s">
        <v>151</v>
      </c>
      <c r="ER839" s="29" t="s">
        <v>151</v>
      </c>
      <c r="ES839" s="4">
        <f>HYPERLINK("https://my.pitchbook.com?c=471267-55","View Company Online")</f>
      </c>
    </row>
    <row r="840">
      <c r="A840" s="17" t="s">
        <v>17077</v>
      </c>
      <c r="B840" s="17" t="s">
        <v>17078</v>
      </c>
      <c r="C840" s="18" t="s">
        <v>151</v>
      </c>
      <c r="D840" s="17" t="s">
        <v>151</v>
      </c>
      <c r="E840" s="17" t="s">
        <v>151</v>
      </c>
      <c r="F840" s="17" t="s">
        <v>17079</v>
      </c>
      <c r="G840" s="17" t="s">
        <v>151</v>
      </c>
      <c r="H840" s="17" t="s">
        <v>151</v>
      </c>
      <c r="I840" s="17" t="s">
        <v>151</v>
      </c>
      <c r="J840" s="17" t="s">
        <v>17077</v>
      </c>
      <c r="K840" s="17" t="s">
        <v>17080</v>
      </c>
      <c r="L840" s="17" t="s">
        <v>205</v>
      </c>
      <c r="M840" s="17" t="s">
        <v>206</v>
      </c>
      <c r="N840" s="17" t="s">
        <v>776</v>
      </c>
      <c r="O840" s="17" t="s">
        <v>5507</v>
      </c>
      <c r="P840" s="17" t="s">
        <v>17081</v>
      </c>
      <c r="Q840" s="17" t="s">
        <v>17082</v>
      </c>
      <c r="R840" s="17" t="s">
        <v>151</v>
      </c>
      <c r="S840" s="17" t="s">
        <v>162</v>
      </c>
      <c r="T840" s="24">
        <v>11.84</v>
      </c>
      <c r="U840" s="17" t="s">
        <v>163</v>
      </c>
      <c r="V840" s="17" t="s">
        <v>164</v>
      </c>
      <c r="W840" s="17" t="s">
        <v>165</v>
      </c>
      <c r="X840" s="15" t="s">
        <v>17083</v>
      </c>
      <c r="Y840" s="15" t="s">
        <v>17084</v>
      </c>
      <c r="Z840" s="27">
        <v>12</v>
      </c>
      <c r="AA840" s="17" t="s">
        <v>17085</v>
      </c>
      <c r="AB840" s="17" t="s">
        <v>151</v>
      </c>
      <c r="AC840" s="17" t="s">
        <v>151</v>
      </c>
      <c r="AD840" s="26">
        <v>2018</v>
      </c>
      <c r="AE840" s="17" t="s">
        <v>151</v>
      </c>
      <c r="AF840" s="22">
        <v>45547</v>
      </c>
      <c r="AG840" s="17" t="s">
        <v>151</v>
      </c>
      <c r="AH840" s="17" t="s">
        <v>151</v>
      </c>
      <c r="AI840" s="25" t="s">
        <v>151</v>
      </c>
      <c r="AJ840" s="19" t="s">
        <v>151</v>
      </c>
      <c r="AK840" s="25" t="s">
        <v>151</v>
      </c>
      <c r="AL840" s="25" t="s">
        <v>151</v>
      </c>
      <c r="AM840" s="25" t="s">
        <v>151</v>
      </c>
      <c r="AN840" s="25" t="s">
        <v>151</v>
      </c>
      <c r="AO840" s="25" t="s">
        <v>151</v>
      </c>
      <c r="AP840" s="25" t="s">
        <v>151</v>
      </c>
      <c r="AQ840" s="25" t="s">
        <v>151</v>
      </c>
      <c r="AR840" s="16" t="s">
        <v>151</v>
      </c>
      <c r="AS840" s="17" t="s">
        <v>17086</v>
      </c>
      <c r="AT840" s="17" t="s">
        <v>17087</v>
      </c>
      <c r="AU840" s="18">
        <v>3</v>
      </c>
      <c r="AV840" s="17" t="s">
        <v>151</v>
      </c>
      <c r="AW840" s="17" t="s">
        <v>151</v>
      </c>
      <c r="AX840" s="17" t="s">
        <v>151</v>
      </c>
      <c r="AY840" s="17" t="s">
        <v>17088</v>
      </c>
      <c r="AZ840" s="17" t="s">
        <v>151</v>
      </c>
      <c r="BA840" s="17" t="s">
        <v>151</v>
      </c>
      <c r="BB840" s="17" t="s">
        <v>151</v>
      </c>
      <c r="BC840" s="17" t="s">
        <v>490</v>
      </c>
      <c r="BD840" s="17" t="s">
        <v>17089</v>
      </c>
      <c r="BE840" s="17" t="s">
        <v>17090</v>
      </c>
      <c r="BF840" s="17" t="s">
        <v>493</v>
      </c>
      <c r="BG840" s="17" t="s">
        <v>17091</v>
      </c>
      <c r="BH840" s="17" t="s">
        <v>5126</v>
      </c>
      <c r="BI840" s="17" t="s">
        <v>6124</v>
      </c>
      <c r="BJ840" s="17" t="s">
        <v>17092</v>
      </c>
      <c r="BK840" s="17" t="s">
        <v>17093</v>
      </c>
      <c r="BL840" s="17" t="s">
        <v>6127</v>
      </c>
      <c r="BM840" s="17" t="s">
        <v>1388</v>
      </c>
      <c r="BN840" s="16" t="s">
        <v>17094</v>
      </c>
      <c r="BO840" s="17" t="s">
        <v>186</v>
      </c>
      <c r="BP840" s="16" t="s">
        <v>5126</v>
      </c>
      <c r="BQ840" s="16" t="s">
        <v>151</v>
      </c>
      <c r="BR840" s="17" t="s">
        <v>17095</v>
      </c>
      <c r="BS840" s="17" t="s">
        <v>187</v>
      </c>
      <c r="BT840" s="17" t="s">
        <v>188</v>
      </c>
      <c r="BU840" s="22">
        <v>44675</v>
      </c>
      <c r="BV840" s="24">
        <v>3.14</v>
      </c>
      <c r="BW840" s="17" t="s">
        <v>192</v>
      </c>
      <c r="BX840" s="24">
        <v>10.14</v>
      </c>
      <c r="BY840" s="17" t="s">
        <v>192</v>
      </c>
      <c r="BZ840" s="17" t="s">
        <v>293</v>
      </c>
      <c r="CA840" s="17" t="s">
        <v>293</v>
      </c>
      <c r="CB840" s="17" t="s">
        <v>151</v>
      </c>
      <c r="CC840" s="17" t="s">
        <v>165</v>
      </c>
      <c r="CD840" s="17" t="s">
        <v>151</v>
      </c>
      <c r="CE840" s="17" t="s">
        <v>191</v>
      </c>
      <c r="CF840" s="22">
        <v>44906</v>
      </c>
      <c r="CG840" s="24">
        <v>8.7</v>
      </c>
      <c r="CH840" s="17" t="s">
        <v>192</v>
      </c>
      <c r="CI840" s="24" t="s">
        <v>151</v>
      </c>
      <c r="CJ840" s="17" t="s">
        <v>151</v>
      </c>
      <c r="CK840" s="16" t="s">
        <v>151</v>
      </c>
      <c r="CL840" s="17" t="s">
        <v>231</v>
      </c>
      <c r="CM840" s="17" t="s">
        <v>232</v>
      </c>
      <c r="CN840" s="17" t="s">
        <v>151</v>
      </c>
      <c r="CO840" s="17" t="s">
        <v>165</v>
      </c>
      <c r="CP840" s="22">
        <v>44906</v>
      </c>
      <c r="CQ840" s="24" t="s">
        <v>151</v>
      </c>
      <c r="CR840" s="17" t="s">
        <v>151</v>
      </c>
      <c r="CS840" s="17" t="s">
        <v>191</v>
      </c>
      <c r="CT840" s="16">
        <v>61</v>
      </c>
      <c r="CU840" s="17" t="s">
        <v>196</v>
      </c>
      <c r="CV840" s="19">
        <v>58</v>
      </c>
      <c r="CW840" s="19">
        <v>42</v>
      </c>
      <c r="CX840" s="17" t="s">
        <v>294</v>
      </c>
      <c r="CY840" s="19">
        <v>1</v>
      </c>
      <c r="CZ840" s="19">
        <v>57</v>
      </c>
      <c r="DA840" s="24">
        <v>10.14</v>
      </c>
      <c r="DB840" s="22">
        <v>44675</v>
      </c>
      <c r="DC840" s="17" t="s">
        <v>293</v>
      </c>
      <c r="DD840" s="16" t="s">
        <v>151</v>
      </c>
      <c r="DE840" s="19">
        <v>0.09</v>
      </c>
      <c r="DF840" s="21">
        <v>90</v>
      </c>
      <c r="DG840" s="19">
        <v>0</v>
      </c>
      <c r="DH840" s="19">
        <v>0</v>
      </c>
      <c r="DI840" s="19">
        <v>1.15</v>
      </c>
      <c r="DJ840" s="21">
        <v>97</v>
      </c>
      <c r="DK840" s="19" t="s">
        <v>151</v>
      </c>
      <c r="DL840" s="21" t="s">
        <v>151</v>
      </c>
      <c r="DM840" s="19">
        <v>1.15</v>
      </c>
      <c r="DN840" s="21">
        <v>97</v>
      </c>
      <c r="DO840" s="23">
        <v>11.36</v>
      </c>
      <c r="DP840" s="21">
        <v>91</v>
      </c>
      <c r="DQ840" s="23">
        <v>0</v>
      </c>
      <c r="DR840" s="19">
        <v>0</v>
      </c>
      <c r="DS840" s="23">
        <v>21.79</v>
      </c>
      <c r="DT840" s="21">
        <v>95</v>
      </c>
      <c r="DU840" s="23" t="s">
        <v>151</v>
      </c>
      <c r="DV840" s="21" t="s">
        <v>151</v>
      </c>
      <c r="DW840" s="23">
        <v>21.79</v>
      </c>
      <c r="DX840" s="21">
        <v>95</v>
      </c>
      <c r="DY840" s="18" t="s">
        <v>151</v>
      </c>
      <c r="DZ840" s="22" t="s">
        <v>151</v>
      </c>
      <c r="EA840" s="22" t="s">
        <v>151</v>
      </c>
      <c r="EB840" s="21">
        <v>12092</v>
      </c>
      <c r="EC840" s="20">
        <v>-578</v>
      </c>
      <c r="ED840" s="19">
        <v>-4.56</v>
      </c>
      <c r="EE840" s="21">
        <v>414</v>
      </c>
      <c r="EF840" s="20">
        <v>2</v>
      </c>
      <c r="EG840" s="19">
        <v>0.49</v>
      </c>
      <c r="EH840" s="16" t="s">
        <v>198</v>
      </c>
      <c r="EI840" s="17" t="s">
        <v>151</v>
      </c>
      <c r="EJ840" s="17" t="s">
        <v>151</v>
      </c>
      <c r="EK840" s="18" t="s">
        <v>151</v>
      </c>
      <c r="EL840" s="18" t="s">
        <v>151</v>
      </c>
      <c r="EM840" s="18" t="s">
        <v>151</v>
      </c>
      <c r="EN840" s="18" t="s">
        <v>151</v>
      </c>
      <c r="EO840" s="18" t="s">
        <v>151</v>
      </c>
      <c r="EP840" s="17" t="s">
        <v>151</v>
      </c>
      <c r="EQ840" s="16" t="s">
        <v>151</v>
      </c>
      <c r="ER840" s="16" t="s">
        <v>151</v>
      </c>
      <c r="ES840" s="3">
        <f>HYPERLINK("https://my.pitchbook.com?c=495833-41","View Company Online")</f>
      </c>
    </row>
    <row r="841">
      <c r="A841" s="30" t="s">
        <v>17096</v>
      </c>
      <c r="B841" s="30" t="s">
        <v>17097</v>
      </c>
      <c r="C841" s="31" t="s">
        <v>151</v>
      </c>
      <c r="D841" s="30" t="s">
        <v>151</v>
      </c>
      <c r="E841" s="30" t="s">
        <v>17098</v>
      </c>
      <c r="F841" s="30" t="s">
        <v>17099</v>
      </c>
      <c r="G841" s="30" t="s">
        <v>151</v>
      </c>
      <c r="H841" s="30" t="s">
        <v>151</v>
      </c>
      <c r="I841" s="30" t="s">
        <v>151</v>
      </c>
      <c r="J841" s="30" t="s">
        <v>17096</v>
      </c>
      <c r="K841" s="30" t="s">
        <v>17100</v>
      </c>
      <c r="L841" s="30" t="s">
        <v>155</v>
      </c>
      <c r="M841" s="30" t="s">
        <v>2320</v>
      </c>
      <c r="N841" s="30" t="s">
        <v>2321</v>
      </c>
      <c r="O841" s="30" t="s">
        <v>2322</v>
      </c>
      <c r="P841" s="30" t="s">
        <v>13239</v>
      </c>
      <c r="Q841" s="30" t="s">
        <v>17101</v>
      </c>
      <c r="R841" s="30" t="s">
        <v>151</v>
      </c>
      <c r="S841" s="30" t="s">
        <v>162</v>
      </c>
      <c r="T841" s="37">
        <v>0.98</v>
      </c>
      <c r="U841" s="30" t="s">
        <v>163</v>
      </c>
      <c r="V841" s="30" t="s">
        <v>164</v>
      </c>
      <c r="W841" s="30" t="s">
        <v>420</v>
      </c>
      <c r="X841" s="28" t="s">
        <v>17102</v>
      </c>
      <c r="Y841" s="28" t="s">
        <v>17103</v>
      </c>
      <c r="Z841" s="40">
        <v>8</v>
      </c>
      <c r="AA841" s="30" t="s">
        <v>17104</v>
      </c>
      <c r="AB841" s="30" t="s">
        <v>151</v>
      </c>
      <c r="AC841" s="30" t="s">
        <v>151</v>
      </c>
      <c r="AD841" s="39">
        <v>2018</v>
      </c>
      <c r="AE841" s="30" t="s">
        <v>151</v>
      </c>
      <c r="AF841" s="35">
        <v>45533</v>
      </c>
      <c r="AG841" s="30" t="s">
        <v>151</v>
      </c>
      <c r="AH841" s="30" t="s">
        <v>151</v>
      </c>
      <c r="AI841" s="38" t="s">
        <v>151</v>
      </c>
      <c r="AJ841" s="32" t="s">
        <v>151</v>
      </c>
      <c r="AK841" s="38" t="s">
        <v>151</v>
      </c>
      <c r="AL841" s="38" t="s">
        <v>151</v>
      </c>
      <c r="AM841" s="38" t="s">
        <v>151</v>
      </c>
      <c r="AN841" s="38" t="s">
        <v>151</v>
      </c>
      <c r="AO841" s="38" t="s">
        <v>151</v>
      </c>
      <c r="AP841" s="38" t="s">
        <v>151</v>
      </c>
      <c r="AQ841" s="38" t="s">
        <v>151</v>
      </c>
      <c r="AR841" s="29" t="s">
        <v>151</v>
      </c>
      <c r="AS841" s="30" t="s">
        <v>17105</v>
      </c>
      <c r="AT841" s="30" t="s">
        <v>17106</v>
      </c>
      <c r="AU841" s="31">
        <v>4</v>
      </c>
      <c r="AV841" s="30" t="s">
        <v>151</v>
      </c>
      <c r="AW841" s="30" t="s">
        <v>151</v>
      </c>
      <c r="AX841" s="30" t="s">
        <v>151</v>
      </c>
      <c r="AY841" s="30" t="s">
        <v>17107</v>
      </c>
      <c r="AZ841" s="30" t="s">
        <v>151</v>
      </c>
      <c r="BA841" s="30" t="s">
        <v>151</v>
      </c>
      <c r="BB841" s="30" t="s">
        <v>16369</v>
      </c>
      <c r="BC841" s="30" t="s">
        <v>17108</v>
      </c>
      <c r="BD841" s="30" t="s">
        <v>17109</v>
      </c>
      <c r="BE841" s="30" t="s">
        <v>17110</v>
      </c>
      <c r="BF841" s="30" t="s">
        <v>221</v>
      </c>
      <c r="BG841" s="30" t="s">
        <v>17111</v>
      </c>
      <c r="BH841" s="30" t="s">
        <v>151</v>
      </c>
      <c r="BI841" s="30" t="s">
        <v>17112</v>
      </c>
      <c r="BJ841" s="30" t="s">
        <v>17113</v>
      </c>
      <c r="BK841" s="30" t="s">
        <v>151</v>
      </c>
      <c r="BL841" s="30" t="s">
        <v>17114</v>
      </c>
      <c r="BM841" s="30" t="s">
        <v>184</v>
      </c>
      <c r="BN841" s="29" t="s">
        <v>17115</v>
      </c>
      <c r="BO841" s="30" t="s">
        <v>186</v>
      </c>
      <c r="BP841" s="29" t="s">
        <v>151</v>
      </c>
      <c r="BQ841" s="29" t="s">
        <v>151</v>
      </c>
      <c r="BR841" s="30" t="s">
        <v>151</v>
      </c>
      <c r="BS841" s="30" t="s">
        <v>187</v>
      </c>
      <c r="BT841" s="30" t="s">
        <v>188</v>
      </c>
      <c r="BU841" s="35">
        <v>43983</v>
      </c>
      <c r="BV841" s="37">
        <v>0.5</v>
      </c>
      <c r="BW841" s="30" t="s">
        <v>192</v>
      </c>
      <c r="BX841" s="37" t="s">
        <v>151</v>
      </c>
      <c r="BY841" s="30" t="s">
        <v>151</v>
      </c>
      <c r="BZ841" s="30" t="s">
        <v>231</v>
      </c>
      <c r="CA841" s="30" t="s">
        <v>151</v>
      </c>
      <c r="CB841" s="30" t="s">
        <v>151</v>
      </c>
      <c r="CC841" s="30" t="s">
        <v>165</v>
      </c>
      <c r="CD841" s="30" t="s">
        <v>151</v>
      </c>
      <c r="CE841" s="30" t="s">
        <v>191</v>
      </c>
      <c r="CF841" s="35">
        <v>44681</v>
      </c>
      <c r="CG841" s="37">
        <v>0.48</v>
      </c>
      <c r="CH841" s="30" t="s">
        <v>192</v>
      </c>
      <c r="CI841" s="37" t="s">
        <v>151</v>
      </c>
      <c r="CJ841" s="30" t="s">
        <v>151</v>
      </c>
      <c r="CK841" s="29" t="s">
        <v>151</v>
      </c>
      <c r="CL841" s="30" t="s">
        <v>527</v>
      </c>
      <c r="CM841" s="30" t="s">
        <v>151</v>
      </c>
      <c r="CN841" s="30" t="s">
        <v>151</v>
      </c>
      <c r="CO841" s="30" t="s">
        <v>439</v>
      </c>
      <c r="CP841" s="35">
        <v>44681</v>
      </c>
      <c r="CQ841" s="37">
        <v>0.48</v>
      </c>
      <c r="CR841" s="30" t="s">
        <v>17116</v>
      </c>
      <c r="CS841" s="30" t="s">
        <v>191</v>
      </c>
      <c r="CT841" s="29" t="s">
        <v>151</v>
      </c>
      <c r="CU841" s="30" t="s">
        <v>151</v>
      </c>
      <c r="CV841" s="32" t="s">
        <v>151</v>
      </c>
      <c r="CW841" s="32" t="s">
        <v>151</v>
      </c>
      <c r="CX841" s="30" t="s">
        <v>151</v>
      </c>
      <c r="CY841" s="32" t="s">
        <v>151</v>
      </c>
      <c r="CZ841" s="32" t="s">
        <v>151</v>
      </c>
      <c r="DA841" s="37" t="s">
        <v>151</v>
      </c>
      <c r="DB841" s="35" t="s">
        <v>151</v>
      </c>
      <c r="DC841" s="30" t="s">
        <v>151</v>
      </c>
      <c r="DD841" s="29" t="s">
        <v>151</v>
      </c>
      <c r="DE841" s="32">
        <v>0.09</v>
      </c>
      <c r="DF841" s="34">
        <v>90</v>
      </c>
      <c r="DG841" s="32">
        <v>0</v>
      </c>
      <c r="DH841" s="32">
        <v>-0.02</v>
      </c>
      <c r="DI841" s="32">
        <v>0.12</v>
      </c>
      <c r="DJ841" s="34">
        <v>93</v>
      </c>
      <c r="DK841" s="32" t="s">
        <v>151</v>
      </c>
      <c r="DL841" s="34" t="s">
        <v>151</v>
      </c>
      <c r="DM841" s="32">
        <v>0.12</v>
      </c>
      <c r="DN841" s="34">
        <v>93</v>
      </c>
      <c r="DO841" s="36">
        <v>65.44</v>
      </c>
      <c r="DP841" s="34">
        <v>99</v>
      </c>
      <c r="DQ841" s="36">
        <v>0.02</v>
      </c>
      <c r="DR841" s="32">
        <v>0.03</v>
      </c>
      <c r="DS841" s="36">
        <v>75.95</v>
      </c>
      <c r="DT841" s="34">
        <v>99</v>
      </c>
      <c r="DU841" s="36" t="s">
        <v>151</v>
      </c>
      <c r="DV841" s="34" t="s">
        <v>151</v>
      </c>
      <c r="DW841" s="36">
        <v>75.95</v>
      </c>
      <c r="DX841" s="34">
        <v>99</v>
      </c>
      <c r="DY841" s="31" t="s">
        <v>151</v>
      </c>
      <c r="DZ841" s="35" t="s">
        <v>151</v>
      </c>
      <c r="EA841" s="35" t="s">
        <v>151</v>
      </c>
      <c r="EB841" s="34">
        <v>20705</v>
      </c>
      <c r="EC841" s="33">
        <v>-1012</v>
      </c>
      <c r="ED841" s="32">
        <v>-4.66</v>
      </c>
      <c r="EE841" s="34">
        <v>1443</v>
      </c>
      <c r="EF841" s="33">
        <v>-7</v>
      </c>
      <c r="EG841" s="32">
        <v>-0.48</v>
      </c>
      <c r="EH841" s="29" t="s">
        <v>198</v>
      </c>
      <c r="EI841" s="30" t="s">
        <v>151</v>
      </c>
      <c r="EJ841" s="30" t="s">
        <v>151</v>
      </c>
      <c r="EK841" s="31" t="s">
        <v>151</v>
      </c>
      <c r="EL841" s="31" t="s">
        <v>151</v>
      </c>
      <c r="EM841" s="31" t="s">
        <v>151</v>
      </c>
      <c r="EN841" s="31" t="s">
        <v>151</v>
      </c>
      <c r="EO841" s="31" t="s">
        <v>151</v>
      </c>
      <c r="EP841" s="30" t="s">
        <v>151</v>
      </c>
      <c r="EQ841" s="29" t="s">
        <v>151</v>
      </c>
      <c r="ER841" s="29" t="s">
        <v>151</v>
      </c>
      <c r="ES841" s="4">
        <f>HYPERLINK("https://my.pitchbook.com?c=327396-61","View Company Online")</f>
      </c>
    </row>
    <row r="842">
      <c r="A842" s="17" t="s">
        <v>17117</v>
      </c>
      <c r="B842" s="17" t="s">
        <v>17118</v>
      </c>
      <c r="C842" s="18" t="s">
        <v>151</v>
      </c>
      <c r="D842" s="17" t="s">
        <v>151</v>
      </c>
      <c r="E842" s="17" t="s">
        <v>151</v>
      </c>
      <c r="F842" s="17" t="s">
        <v>17119</v>
      </c>
      <c r="G842" s="17" t="s">
        <v>151</v>
      </c>
      <c r="H842" s="17" t="s">
        <v>151</v>
      </c>
      <c r="I842" s="17" t="s">
        <v>151</v>
      </c>
      <c r="J842" s="17" t="s">
        <v>17117</v>
      </c>
      <c r="K842" s="17" t="s">
        <v>17120</v>
      </c>
      <c r="L842" s="17" t="s">
        <v>205</v>
      </c>
      <c r="M842" s="17" t="s">
        <v>206</v>
      </c>
      <c r="N842" s="17" t="s">
        <v>269</v>
      </c>
      <c r="O842" s="17" t="s">
        <v>1819</v>
      </c>
      <c r="P842" s="17" t="s">
        <v>1107</v>
      </c>
      <c r="Q842" s="17" t="s">
        <v>17121</v>
      </c>
      <c r="R842" s="17" t="s">
        <v>151</v>
      </c>
      <c r="S842" s="17" t="s">
        <v>162</v>
      </c>
      <c r="T842" s="24">
        <v>1.22</v>
      </c>
      <c r="U842" s="17" t="s">
        <v>163</v>
      </c>
      <c r="V842" s="17" t="s">
        <v>164</v>
      </c>
      <c r="W842" s="17" t="s">
        <v>165</v>
      </c>
      <c r="X842" s="15" t="s">
        <v>17122</v>
      </c>
      <c r="Y842" s="15" t="s">
        <v>17123</v>
      </c>
      <c r="Z842" s="27">
        <v>10</v>
      </c>
      <c r="AA842" s="17" t="s">
        <v>10058</v>
      </c>
      <c r="AB842" s="17" t="s">
        <v>151</v>
      </c>
      <c r="AC842" s="17" t="s">
        <v>151</v>
      </c>
      <c r="AD842" s="26">
        <v>2022</v>
      </c>
      <c r="AE842" s="17" t="s">
        <v>151</v>
      </c>
      <c r="AF842" s="22">
        <v>45401</v>
      </c>
      <c r="AG842" s="17" t="s">
        <v>151</v>
      </c>
      <c r="AH842" s="17" t="s">
        <v>151</v>
      </c>
      <c r="AI842" s="25" t="s">
        <v>151</v>
      </c>
      <c r="AJ842" s="19" t="s">
        <v>151</v>
      </c>
      <c r="AK842" s="25" t="s">
        <v>151</v>
      </c>
      <c r="AL842" s="25" t="s">
        <v>151</v>
      </c>
      <c r="AM842" s="25" t="s">
        <v>151</v>
      </c>
      <c r="AN842" s="25" t="s">
        <v>151</v>
      </c>
      <c r="AO842" s="25" t="s">
        <v>151</v>
      </c>
      <c r="AP842" s="25" t="s">
        <v>151</v>
      </c>
      <c r="AQ842" s="25" t="s">
        <v>151</v>
      </c>
      <c r="AR842" s="16" t="s">
        <v>151</v>
      </c>
      <c r="AS842" s="17" t="s">
        <v>17124</v>
      </c>
      <c r="AT842" s="17" t="s">
        <v>17125</v>
      </c>
      <c r="AU842" s="18">
        <v>3</v>
      </c>
      <c r="AV842" s="17" t="s">
        <v>151</v>
      </c>
      <c r="AW842" s="17" t="s">
        <v>151</v>
      </c>
      <c r="AX842" s="17" t="s">
        <v>151</v>
      </c>
      <c r="AY842" s="17" t="s">
        <v>17126</v>
      </c>
      <c r="AZ842" s="17" t="s">
        <v>151</v>
      </c>
      <c r="BA842" s="17" t="s">
        <v>151</v>
      </c>
      <c r="BB842" s="17" t="s">
        <v>151</v>
      </c>
      <c r="BC842" s="17" t="s">
        <v>151</v>
      </c>
      <c r="BD842" s="17" t="s">
        <v>17127</v>
      </c>
      <c r="BE842" s="17" t="s">
        <v>17128</v>
      </c>
      <c r="BF842" s="17" t="s">
        <v>403</v>
      </c>
      <c r="BG842" s="17" t="s">
        <v>17129</v>
      </c>
      <c r="BH842" s="17" t="s">
        <v>17130</v>
      </c>
      <c r="BI842" s="17" t="s">
        <v>906</v>
      </c>
      <c r="BJ842" s="17" t="s">
        <v>17131</v>
      </c>
      <c r="BK842" s="17" t="s">
        <v>17132</v>
      </c>
      <c r="BL842" s="17" t="s">
        <v>259</v>
      </c>
      <c r="BM842" s="17" t="s">
        <v>259</v>
      </c>
      <c r="BN842" s="16" t="s">
        <v>151</v>
      </c>
      <c r="BO842" s="17" t="s">
        <v>186</v>
      </c>
      <c r="BP842" s="16" t="s">
        <v>151</v>
      </c>
      <c r="BQ842" s="16" t="s">
        <v>151</v>
      </c>
      <c r="BR842" s="17" t="s">
        <v>17133</v>
      </c>
      <c r="BS842" s="17" t="s">
        <v>187</v>
      </c>
      <c r="BT842" s="17" t="s">
        <v>188</v>
      </c>
      <c r="BU842" s="22">
        <v>44974</v>
      </c>
      <c r="BV842" s="24">
        <v>0.12</v>
      </c>
      <c r="BW842" s="17" t="s">
        <v>192</v>
      </c>
      <c r="BX842" s="24">
        <v>0.33</v>
      </c>
      <c r="BY842" s="17" t="s">
        <v>193</v>
      </c>
      <c r="BZ842" s="17" t="s">
        <v>189</v>
      </c>
      <c r="CA842" s="17" t="s">
        <v>151</v>
      </c>
      <c r="CB842" s="17" t="s">
        <v>151</v>
      </c>
      <c r="CC842" s="17" t="s">
        <v>190</v>
      </c>
      <c r="CD842" s="17" t="s">
        <v>151</v>
      </c>
      <c r="CE842" s="17" t="s">
        <v>191</v>
      </c>
      <c r="CF842" s="22">
        <v>45196</v>
      </c>
      <c r="CG842" s="24">
        <v>1.1</v>
      </c>
      <c r="CH842" s="17" t="s">
        <v>192</v>
      </c>
      <c r="CI842" s="24" t="s">
        <v>151</v>
      </c>
      <c r="CJ842" s="17" t="s">
        <v>151</v>
      </c>
      <c r="CK842" s="16" t="s">
        <v>151</v>
      </c>
      <c r="CL842" s="17" t="s">
        <v>231</v>
      </c>
      <c r="CM842" s="17" t="s">
        <v>151</v>
      </c>
      <c r="CN842" s="17" t="s">
        <v>151</v>
      </c>
      <c r="CO842" s="17" t="s">
        <v>165</v>
      </c>
      <c r="CP842" s="22">
        <v>45196</v>
      </c>
      <c r="CQ842" s="24" t="s">
        <v>151</v>
      </c>
      <c r="CR842" s="17" t="s">
        <v>7125</v>
      </c>
      <c r="CS842" s="17" t="s">
        <v>191</v>
      </c>
      <c r="CT842" s="16" t="s">
        <v>151</v>
      </c>
      <c r="CU842" s="17" t="s">
        <v>151</v>
      </c>
      <c r="CV842" s="19" t="s">
        <v>151</v>
      </c>
      <c r="CW842" s="19" t="s">
        <v>151</v>
      </c>
      <c r="CX842" s="17" t="s">
        <v>151</v>
      </c>
      <c r="CY842" s="19" t="s">
        <v>151</v>
      </c>
      <c r="CZ842" s="19" t="s">
        <v>151</v>
      </c>
      <c r="DA842" s="24">
        <v>0.33</v>
      </c>
      <c r="DB842" s="22">
        <v>44974</v>
      </c>
      <c r="DC842" s="17" t="s">
        <v>189</v>
      </c>
      <c r="DD842" s="16" t="s">
        <v>151</v>
      </c>
      <c r="DE842" s="19">
        <v>0</v>
      </c>
      <c r="DF842" s="21">
        <v>11</v>
      </c>
      <c r="DG842" s="19">
        <v>0</v>
      </c>
      <c r="DH842" s="19">
        <v>0</v>
      </c>
      <c r="DI842" s="19">
        <v>0</v>
      </c>
      <c r="DJ842" s="21">
        <v>10</v>
      </c>
      <c r="DK842" s="19" t="s">
        <v>151</v>
      </c>
      <c r="DL842" s="21" t="s">
        <v>151</v>
      </c>
      <c r="DM842" s="19">
        <v>0</v>
      </c>
      <c r="DN842" s="21">
        <v>10</v>
      </c>
      <c r="DO842" s="23">
        <v>1.23</v>
      </c>
      <c r="DP842" s="21">
        <v>55</v>
      </c>
      <c r="DQ842" s="23">
        <v>0</v>
      </c>
      <c r="DR842" s="19">
        <v>0</v>
      </c>
      <c r="DS842" s="23">
        <v>1.68</v>
      </c>
      <c r="DT842" s="21">
        <v>62</v>
      </c>
      <c r="DU842" s="23" t="s">
        <v>151</v>
      </c>
      <c r="DV842" s="21" t="s">
        <v>151</v>
      </c>
      <c r="DW842" s="23">
        <v>1.68</v>
      </c>
      <c r="DX842" s="21">
        <v>61</v>
      </c>
      <c r="DY842" s="18" t="s">
        <v>151</v>
      </c>
      <c r="DZ842" s="22" t="s">
        <v>151</v>
      </c>
      <c r="EA842" s="22" t="s">
        <v>151</v>
      </c>
      <c r="EB842" s="21">
        <v>255</v>
      </c>
      <c r="EC842" s="20">
        <v>44</v>
      </c>
      <c r="ED842" s="19">
        <v>20.85</v>
      </c>
      <c r="EE842" s="21">
        <v>32</v>
      </c>
      <c r="EF842" s="20">
        <v>0</v>
      </c>
      <c r="EG842" s="19">
        <v>0</v>
      </c>
      <c r="EH842" s="16" t="s">
        <v>198</v>
      </c>
      <c r="EI842" s="17" t="s">
        <v>151</v>
      </c>
      <c r="EJ842" s="17" t="s">
        <v>151</v>
      </c>
      <c r="EK842" s="18" t="s">
        <v>151</v>
      </c>
      <c r="EL842" s="18" t="s">
        <v>151</v>
      </c>
      <c r="EM842" s="18" t="s">
        <v>151</v>
      </c>
      <c r="EN842" s="18" t="s">
        <v>151</v>
      </c>
      <c r="EO842" s="18" t="s">
        <v>151</v>
      </c>
      <c r="EP842" s="17" t="s">
        <v>151</v>
      </c>
      <c r="EQ842" s="16" t="s">
        <v>151</v>
      </c>
      <c r="ER842" s="16" t="s">
        <v>151</v>
      </c>
      <c r="ES842" s="3">
        <f>HYPERLINK("https://my.pitchbook.com?c=521422-75","View Company Online")</f>
      </c>
    </row>
    <row r="843">
      <c r="A843" s="30" t="s">
        <v>17134</v>
      </c>
      <c r="B843" s="30" t="s">
        <v>17135</v>
      </c>
      <c r="C843" s="31" t="s">
        <v>151</v>
      </c>
      <c r="D843" s="30" t="s">
        <v>151</v>
      </c>
      <c r="E843" s="30" t="s">
        <v>151</v>
      </c>
      <c r="F843" s="30" t="s">
        <v>17136</v>
      </c>
      <c r="G843" s="30" t="s">
        <v>151</v>
      </c>
      <c r="H843" s="30" t="s">
        <v>151</v>
      </c>
      <c r="I843" s="30" t="s">
        <v>151</v>
      </c>
      <c r="J843" s="30" t="s">
        <v>17134</v>
      </c>
      <c r="K843" s="30" t="s">
        <v>17137</v>
      </c>
      <c r="L843" s="30" t="s">
        <v>1178</v>
      </c>
      <c r="M843" s="30" t="s">
        <v>1179</v>
      </c>
      <c r="N843" s="30" t="s">
        <v>1179</v>
      </c>
      <c r="O843" s="30" t="s">
        <v>1180</v>
      </c>
      <c r="P843" s="30" t="s">
        <v>9384</v>
      </c>
      <c r="Q843" s="30" t="s">
        <v>17138</v>
      </c>
      <c r="R843" s="30" t="s">
        <v>151</v>
      </c>
      <c r="S843" s="30" t="s">
        <v>162</v>
      </c>
      <c r="T843" s="37">
        <v>1.7</v>
      </c>
      <c r="U843" s="30" t="s">
        <v>163</v>
      </c>
      <c r="V843" s="30" t="s">
        <v>164</v>
      </c>
      <c r="W843" s="30" t="s">
        <v>165</v>
      </c>
      <c r="X843" s="28" t="s">
        <v>17139</v>
      </c>
      <c r="Y843" s="28" t="s">
        <v>17140</v>
      </c>
      <c r="Z843" s="40">
        <v>9</v>
      </c>
      <c r="AA843" s="30" t="s">
        <v>17141</v>
      </c>
      <c r="AB843" s="30" t="s">
        <v>151</v>
      </c>
      <c r="AC843" s="30" t="s">
        <v>151</v>
      </c>
      <c r="AD843" s="39">
        <v>2021</v>
      </c>
      <c r="AE843" s="30" t="s">
        <v>151</v>
      </c>
      <c r="AF843" s="35">
        <v>45288</v>
      </c>
      <c r="AG843" s="30" t="s">
        <v>151</v>
      </c>
      <c r="AH843" s="30" t="s">
        <v>151</v>
      </c>
      <c r="AI843" s="38">
        <v>0.01</v>
      </c>
      <c r="AJ843" s="32" t="s">
        <v>151</v>
      </c>
      <c r="AK843" s="38" t="s">
        <v>151</v>
      </c>
      <c r="AL843" s="38">
        <v>-0.03</v>
      </c>
      <c r="AM843" s="38" t="s">
        <v>151</v>
      </c>
      <c r="AN843" s="38" t="s">
        <v>151</v>
      </c>
      <c r="AO843" s="38" t="s">
        <v>151</v>
      </c>
      <c r="AP843" s="38" t="s">
        <v>151</v>
      </c>
      <c r="AQ843" s="38" t="s">
        <v>151</v>
      </c>
      <c r="AR843" s="29" t="s">
        <v>810</v>
      </c>
      <c r="AS843" s="30" t="s">
        <v>17142</v>
      </c>
      <c r="AT843" s="30" t="s">
        <v>17143</v>
      </c>
      <c r="AU843" s="31">
        <v>11</v>
      </c>
      <c r="AV843" s="30" t="s">
        <v>151</v>
      </c>
      <c r="AW843" s="30" t="s">
        <v>151</v>
      </c>
      <c r="AX843" s="30" t="s">
        <v>151</v>
      </c>
      <c r="AY843" s="30" t="s">
        <v>17144</v>
      </c>
      <c r="AZ843" s="30" t="s">
        <v>151</v>
      </c>
      <c r="BA843" s="30" t="s">
        <v>151</v>
      </c>
      <c r="BB843" s="30" t="s">
        <v>151</v>
      </c>
      <c r="BC843" s="30" t="s">
        <v>2626</v>
      </c>
      <c r="BD843" s="30" t="s">
        <v>17145</v>
      </c>
      <c r="BE843" s="30" t="s">
        <v>17146</v>
      </c>
      <c r="BF843" s="30" t="s">
        <v>2427</v>
      </c>
      <c r="BG843" s="30" t="s">
        <v>151</v>
      </c>
      <c r="BH843" s="30" t="s">
        <v>151</v>
      </c>
      <c r="BI843" s="30" t="s">
        <v>17147</v>
      </c>
      <c r="BJ843" s="30" t="s">
        <v>17148</v>
      </c>
      <c r="BK843" s="30" t="s">
        <v>151</v>
      </c>
      <c r="BL843" s="30" t="s">
        <v>17149</v>
      </c>
      <c r="BM843" s="30" t="s">
        <v>184</v>
      </c>
      <c r="BN843" s="29" t="s">
        <v>17150</v>
      </c>
      <c r="BO843" s="30" t="s">
        <v>186</v>
      </c>
      <c r="BP843" s="29" t="s">
        <v>151</v>
      </c>
      <c r="BQ843" s="29" t="s">
        <v>151</v>
      </c>
      <c r="BR843" s="30" t="s">
        <v>17151</v>
      </c>
      <c r="BS843" s="30" t="s">
        <v>187</v>
      </c>
      <c r="BT843" s="30" t="s">
        <v>188</v>
      </c>
      <c r="BU843" s="35">
        <v>44396</v>
      </c>
      <c r="BV843" s="37">
        <v>0.02</v>
      </c>
      <c r="BW843" s="30" t="s">
        <v>192</v>
      </c>
      <c r="BX843" s="37">
        <v>0.33</v>
      </c>
      <c r="BY843" s="30" t="s">
        <v>192</v>
      </c>
      <c r="BZ843" s="30" t="s">
        <v>189</v>
      </c>
      <c r="CA843" s="30" t="s">
        <v>151</v>
      </c>
      <c r="CB843" s="30" t="s">
        <v>151</v>
      </c>
      <c r="CC843" s="30" t="s">
        <v>190</v>
      </c>
      <c r="CD843" s="30" t="s">
        <v>151</v>
      </c>
      <c r="CE843" s="30" t="s">
        <v>191</v>
      </c>
      <c r="CF843" s="35">
        <v>45046</v>
      </c>
      <c r="CG843" s="37">
        <v>0.1</v>
      </c>
      <c r="CH843" s="30" t="s">
        <v>192</v>
      </c>
      <c r="CI843" s="37" t="s">
        <v>151</v>
      </c>
      <c r="CJ843" s="30" t="s">
        <v>151</v>
      </c>
      <c r="CK843" s="29" t="s">
        <v>151</v>
      </c>
      <c r="CL843" s="30" t="s">
        <v>1363</v>
      </c>
      <c r="CM843" s="30" t="s">
        <v>151</v>
      </c>
      <c r="CN843" s="30" t="s">
        <v>151</v>
      </c>
      <c r="CO843" s="30" t="s">
        <v>585</v>
      </c>
      <c r="CP843" s="35">
        <v>45046</v>
      </c>
      <c r="CQ843" s="37" t="s">
        <v>151</v>
      </c>
      <c r="CR843" s="30" t="s">
        <v>151</v>
      </c>
      <c r="CS843" s="30" t="s">
        <v>191</v>
      </c>
      <c r="CT843" s="29" t="s">
        <v>151</v>
      </c>
      <c r="CU843" s="30" t="s">
        <v>151</v>
      </c>
      <c r="CV843" s="32" t="s">
        <v>151</v>
      </c>
      <c r="CW843" s="32" t="s">
        <v>151</v>
      </c>
      <c r="CX843" s="30" t="s">
        <v>151</v>
      </c>
      <c r="CY843" s="32" t="s">
        <v>151</v>
      </c>
      <c r="CZ843" s="32" t="s">
        <v>151</v>
      </c>
      <c r="DA843" s="37">
        <v>0.33</v>
      </c>
      <c r="DB843" s="35">
        <v>44396</v>
      </c>
      <c r="DC843" s="30" t="s">
        <v>189</v>
      </c>
      <c r="DD843" s="29" t="s">
        <v>151</v>
      </c>
      <c r="DE843" s="32">
        <v>0.78</v>
      </c>
      <c r="DF843" s="34">
        <v>95</v>
      </c>
      <c r="DG843" s="32">
        <v>0</v>
      </c>
      <c r="DH843" s="32">
        <v>0</v>
      </c>
      <c r="DI843" s="32">
        <v>0</v>
      </c>
      <c r="DJ843" s="34">
        <v>10</v>
      </c>
      <c r="DK843" s="32" t="s">
        <v>151</v>
      </c>
      <c r="DL843" s="34" t="s">
        <v>151</v>
      </c>
      <c r="DM843" s="32">
        <v>0</v>
      </c>
      <c r="DN843" s="34">
        <v>10</v>
      </c>
      <c r="DO843" s="36">
        <v>1.37</v>
      </c>
      <c r="DP843" s="34">
        <v>57</v>
      </c>
      <c r="DQ843" s="36">
        <v>0</v>
      </c>
      <c r="DR843" s="32">
        <v>0</v>
      </c>
      <c r="DS843" s="36">
        <v>2.05</v>
      </c>
      <c r="DT843" s="34">
        <v>67</v>
      </c>
      <c r="DU843" s="36" t="s">
        <v>151</v>
      </c>
      <c r="DV843" s="34" t="s">
        <v>151</v>
      </c>
      <c r="DW843" s="36">
        <v>2.05</v>
      </c>
      <c r="DX843" s="34">
        <v>66</v>
      </c>
      <c r="DY843" s="31" t="s">
        <v>151</v>
      </c>
      <c r="DZ843" s="35" t="s">
        <v>151</v>
      </c>
      <c r="EA843" s="35" t="s">
        <v>151</v>
      </c>
      <c r="EB843" s="34">
        <v>0</v>
      </c>
      <c r="EC843" s="33">
        <v>0</v>
      </c>
      <c r="ED843" s="32">
        <v>0</v>
      </c>
      <c r="EE843" s="34">
        <v>39</v>
      </c>
      <c r="EF843" s="33">
        <v>0</v>
      </c>
      <c r="EG843" s="32">
        <v>0</v>
      </c>
      <c r="EH843" s="29" t="s">
        <v>198</v>
      </c>
      <c r="EI843" s="30" t="s">
        <v>151</v>
      </c>
      <c r="EJ843" s="30" t="s">
        <v>151</v>
      </c>
      <c r="EK843" s="31" t="s">
        <v>151</v>
      </c>
      <c r="EL843" s="31" t="s">
        <v>151</v>
      </c>
      <c r="EM843" s="31" t="s">
        <v>151</v>
      </c>
      <c r="EN843" s="31" t="s">
        <v>151</v>
      </c>
      <c r="EO843" s="31" t="s">
        <v>151</v>
      </c>
      <c r="EP843" s="30" t="s">
        <v>151</v>
      </c>
      <c r="EQ843" s="29" t="s">
        <v>151</v>
      </c>
      <c r="ER843" s="29" t="s">
        <v>151</v>
      </c>
      <c r="ES843" s="4">
        <f>HYPERLINK("https://my.pitchbook.com?c=482506-84","View Company Online")</f>
      </c>
    </row>
    <row r="844">
      <c r="A844" s="17" t="s">
        <v>17152</v>
      </c>
      <c r="B844" s="17" t="s">
        <v>17153</v>
      </c>
      <c r="C844" s="18" t="s">
        <v>151</v>
      </c>
      <c r="D844" s="17" t="s">
        <v>151</v>
      </c>
      <c r="E844" s="17" t="s">
        <v>151</v>
      </c>
      <c r="F844" s="17" t="s">
        <v>17154</v>
      </c>
      <c r="G844" s="17" t="s">
        <v>151</v>
      </c>
      <c r="H844" s="17" t="s">
        <v>151</v>
      </c>
      <c r="I844" s="17" t="s">
        <v>151</v>
      </c>
      <c r="J844" s="17" t="s">
        <v>17152</v>
      </c>
      <c r="K844" s="17" t="s">
        <v>17155</v>
      </c>
      <c r="L844" s="17" t="s">
        <v>205</v>
      </c>
      <c r="M844" s="17" t="s">
        <v>206</v>
      </c>
      <c r="N844" s="17" t="s">
        <v>917</v>
      </c>
      <c r="O844" s="17" t="s">
        <v>17156</v>
      </c>
      <c r="P844" s="17" t="s">
        <v>17157</v>
      </c>
      <c r="Q844" s="17" t="s">
        <v>17158</v>
      </c>
      <c r="R844" s="17" t="s">
        <v>151</v>
      </c>
      <c r="S844" s="17" t="s">
        <v>162</v>
      </c>
      <c r="T844" s="24">
        <v>2.16</v>
      </c>
      <c r="U844" s="17" t="s">
        <v>163</v>
      </c>
      <c r="V844" s="17" t="s">
        <v>164</v>
      </c>
      <c r="W844" s="17" t="s">
        <v>165</v>
      </c>
      <c r="X844" s="15" t="s">
        <v>17159</v>
      </c>
      <c r="Y844" s="15" t="s">
        <v>17160</v>
      </c>
      <c r="Z844" s="27">
        <v>10</v>
      </c>
      <c r="AA844" s="17" t="s">
        <v>17161</v>
      </c>
      <c r="AB844" s="17" t="s">
        <v>151</v>
      </c>
      <c r="AC844" s="17" t="s">
        <v>151</v>
      </c>
      <c r="AD844" s="26">
        <v>2019</v>
      </c>
      <c r="AE844" s="17" t="s">
        <v>151</v>
      </c>
      <c r="AF844" s="22">
        <v>45561</v>
      </c>
      <c r="AG844" s="17" t="s">
        <v>151</v>
      </c>
      <c r="AH844" s="17" t="s">
        <v>151</v>
      </c>
      <c r="AI844" s="25" t="s">
        <v>151</v>
      </c>
      <c r="AJ844" s="19" t="s">
        <v>151</v>
      </c>
      <c r="AK844" s="25" t="s">
        <v>151</v>
      </c>
      <c r="AL844" s="25" t="s">
        <v>151</v>
      </c>
      <c r="AM844" s="25" t="s">
        <v>151</v>
      </c>
      <c r="AN844" s="25" t="s">
        <v>151</v>
      </c>
      <c r="AO844" s="25" t="s">
        <v>151</v>
      </c>
      <c r="AP844" s="25" t="s">
        <v>151</v>
      </c>
      <c r="AQ844" s="25" t="s">
        <v>151</v>
      </c>
      <c r="AR844" s="16" t="s">
        <v>151</v>
      </c>
      <c r="AS844" s="17" t="s">
        <v>17162</v>
      </c>
      <c r="AT844" s="17" t="s">
        <v>17163</v>
      </c>
      <c r="AU844" s="18">
        <v>12</v>
      </c>
      <c r="AV844" s="17" t="s">
        <v>151</v>
      </c>
      <c r="AW844" s="17" t="s">
        <v>151</v>
      </c>
      <c r="AX844" s="17" t="s">
        <v>151</v>
      </c>
      <c r="AY844" s="17" t="s">
        <v>17164</v>
      </c>
      <c r="AZ844" s="17" t="s">
        <v>151</v>
      </c>
      <c r="BA844" s="17" t="s">
        <v>151</v>
      </c>
      <c r="BB844" s="17" t="s">
        <v>151</v>
      </c>
      <c r="BC844" s="17" t="s">
        <v>151</v>
      </c>
      <c r="BD844" s="17" t="s">
        <v>17165</v>
      </c>
      <c r="BE844" s="17" t="s">
        <v>17166</v>
      </c>
      <c r="BF844" s="17" t="s">
        <v>493</v>
      </c>
      <c r="BG844" s="17" t="s">
        <v>17167</v>
      </c>
      <c r="BH844" s="17" t="s">
        <v>229</v>
      </c>
      <c r="BI844" s="17" t="s">
        <v>3627</v>
      </c>
      <c r="BJ844" s="17" t="s">
        <v>9872</v>
      </c>
      <c r="BK844" s="17" t="s">
        <v>151</v>
      </c>
      <c r="BL844" s="17" t="s">
        <v>3628</v>
      </c>
      <c r="BM844" s="17" t="s">
        <v>3217</v>
      </c>
      <c r="BN844" s="16" t="s">
        <v>9354</v>
      </c>
      <c r="BO844" s="17" t="s">
        <v>186</v>
      </c>
      <c r="BP844" s="16" t="s">
        <v>229</v>
      </c>
      <c r="BQ844" s="16" t="s">
        <v>151</v>
      </c>
      <c r="BR844" s="17" t="s">
        <v>17168</v>
      </c>
      <c r="BS844" s="17" t="s">
        <v>187</v>
      </c>
      <c r="BT844" s="17" t="s">
        <v>188</v>
      </c>
      <c r="BU844" s="22">
        <v>44081</v>
      </c>
      <c r="BV844" s="24">
        <v>0.03</v>
      </c>
      <c r="BW844" s="17" t="s">
        <v>192</v>
      </c>
      <c r="BX844" s="24">
        <v>1.5</v>
      </c>
      <c r="BY844" s="17" t="s">
        <v>192</v>
      </c>
      <c r="BZ844" s="17" t="s">
        <v>293</v>
      </c>
      <c r="CA844" s="17" t="s">
        <v>293</v>
      </c>
      <c r="CB844" s="17" t="s">
        <v>151</v>
      </c>
      <c r="CC844" s="17" t="s">
        <v>165</v>
      </c>
      <c r="CD844" s="17" t="s">
        <v>151</v>
      </c>
      <c r="CE844" s="17" t="s">
        <v>191</v>
      </c>
      <c r="CF844" s="22">
        <v>45336</v>
      </c>
      <c r="CG844" s="24" t="s">
        <v>151</v>
      </c>
      <c r="CH844" s="17" t="s">
        <v>151</v>
      </c>
      <c r="CI844" s="24" t="s">
        <v>151</v>
      </c>
      <c r="CJ844" s="17" t="s">
        <v>151</v>
      </c>
      <c r="CK844" s="16" t="s">
        <v>151</v>
      </c>
      <c r="CL844" s="17" t="s">
        <v>231</v>
      </c>
      <c r="CM844" s="17" t="s">
        <v>151</v>
      </c>
      <c r="CN844" s="17" t="s">
        <v>151</v>
      </c>
      <c r="CO844" s="17" t="s">
        <v>165</v>
      </c>
      <c r="CP844" s="22">
        <v>45336</v>
      </c>
      <c r="CQ844" s="24" t="s">
        <v>151</v>
      </c>
      <c r="CR844" s="17" t="s">
        <v>151</v>
      </c>
      <c r="CS844" s="17" t="s">
        <v>191</v>
      </c>
      <c r="CT844" s="16">
        <v>74</v>
      </c>
      <c r="CU844" s="17" t="s">
        <v>196</v>
      </c>
      <c r="CV844" s="19">
        <v>69</v>
      </c>
      <c r="CW844" s="19">
        <v>31</v>
      </c>
      <c r="CX844" s="17" t="s">
        <v>294</v>
      </c>
      <c r="CY844" s="19">
        <v>1</v>
      </c>
      <c r="CZ844" s="19">
        <v>68</v>
      </c>
      <c r="DA844" s="24">
        <v>5.5</v>
      </c>
      <c r="DB844" s="22">
        <v>44418</v>
      </c>
      <c r="DC844" s="17" t="s">
        <v>293</v>
      </c>
      <c r="DD844" s="16">
        <v>2.63</v>
      </c>
      <c r="DE844" s="19">
        <v>3.94</v>
      </c>
      <c r="DF844" s="21">
        <v>100</v>
      </c>
      <c r="DG844" s="19">
        <v>0</v>
      </c>
      <c r="DH844" s="19">
        <v>0</v>
      </c>
      <c r="DI844" s="19">
        <v>3.94</v>
      </c>
      <c r="DJ844" s="21">
        <v>100</v>
      </c>
      <c r="DK844" s="19" t="s">
        <v>151</v>
      </c>
      <c r="DL844" s="21" t="s">
        <v>151</v>
      </c>
      <c r="DM844" s="19">
        <v>3.94</v>
      </c>
      <c r="DN844" s="21">
        <v>100</v>
      </c>
      <c r="DO844" s="23">
        <v>10.95</v>
      </c>
      <c r="DP844" s="21">
        <v>91</v>
      </c>
      <c r="DQ844" s="23">
        <v>0</v>
      </c>
      <c r="DR844" s="19">
        <v>0</v>
      </c>
      <c r="DS844" s="23">
        <v>10.95</v>
      </c>
      <c r="DT844" s="21">
        <v>91</v>
      </c>
      <c r="DU844" s="23" t="s">
        <v>151</v>
      </c>
      <c r="DV844" s="21" t="s">
        <v>151</v>
      </c>
      <c r="DW844" s="23">
        <v>10.95</v>
      </c>
      <c r="DX844" s="21">
        <v>91</v>
      </c>
      <c r="DY844" s="18" t="s">
        <v>151</v>
      </c>
      <c r="DZ844" s="22" t="s">
        <v>151</v>
      </c>
      <c r="EA844" s="22" t="s">
        <v>151</v>
      </c>
      <c r="EB844" s="21">
        <v>672</v>
      </c>
      <c r="EC844" s="20">
        <v>-159</v>
      </c>
      <c r="ED844" s="19">
        <v>-19.13</v>
      </c>
      <c r="EE844" s="21">
        <v>208</v>
      </c>
      <c r="EF844" s="20">
        <v>3</v>
      </c>
      <c r="EG844" s="19">
        <v>1.46</v>
      </c>
      <c r="EH844" s="16" t="s">
        <v>198</v>
      </c>
      <c r="EI844" s="17" t="s">
        <v>151</v>
      </c>
      <c r="EJ844" s="17" t="s">
        <v>151</v>
      </c>
      <c r="EK844" s="18" t="s">
        <v>151</v>
      </c>
      <c r="EL844" s="18" t="s">
        <v>151</v>
      </c>
      <c r="EM844" s="18" t="s">
        <v>151</v>
      </c>
      <c r="EN844" s="18" t="s">
        <v>151</v>
      </c>
      <c r="EO844" s="18" t="s">
        <v>151</v>
      </c>
      <c r="EP844" s="17" t="s">
        <v>151</v>
      </c>
      <c r="EQ844" s="16" t="s">
        <v>151</v>
      </c>
      <c r="ER844" s="16" t="s">
        <v>151</v>
      </c>
      <c r="ES844" s="3">
        <f>HYPERLINK("https://my.pitchbook.com?c=437151-25","View Company Online")</f>
      </c>
    </row>
    <row r="845">
      <c r="A845" s="30" t="s">
        <v>17169</v>
      </c>
      <c r="B845" s="30" t="s">
        <v>17170</v>
      </c>
      <c r="C845" s="31" t="s">
        <v>151</v>
      </c>
      <c r="D845" s="30" t="s">
        <v>151</v>
      </c>
      <c r="E845" s="30" t="s">
        <v>151</v>
      </c>
      <c r="F845" s="30" t="s">
        <v>17171</v>
      </c>
      <c r="G845" s="30" t="s">
        <v>151</v>
      </c>
      <c r="H845" s="30" t="s">
        <v>151</v>
      </c>
      <c r="I845" s="30" t="s">
        <v>151</v>
      </c>
      <c r="J845" s="30" t="s">
        <v>17169</v>
      </c>
      <c r="K845" s="30" t="s">
        <v>17172</v>
      </c>
      <c r="L845" s="30" t="s">
        <v>205</v>
      </c>
      <c r="M845" s="30" t="s">
        <v>206</v>
      </c>
      <c r="N845" s="30" t="s">
        <v>776</v>
      </c>
      <c r="O845" s="30" t="s">
        <v>2749</v>
      </c>
      <c r="P845" s="30" t="s">
        <v>6596</v>
      </c>
      <c r="Q845" s="30" t="s">
        <v>17173</v>
      </c>
      <c r="R845" s="30" t="s">
        <v>151</v>
      </c>
      <c r="S845" s="30" t="s">
        <v>162</v>
      </c>
      <c r="T845" s="37">
        <v>1.5</v>
      </c>
      <c r="U845" s="30" t="s">
        <v>163</v>
      </c>
      <c r="V845" s="30" t="s">
        <v>164</v>
      </c>
      <c r="W845" s="30" t="s">
        <v>165</v>
      </c>
      <c r="X845" s="28" t="s">
        <v>17174</v>
      </c>
      <c r="Y845" s="28" t="s">
        <v>17175</v>
      </c>
      <c r="Z845" s="40">
        <v>9</v>
      </c>
      <c r="AA845" s="30" t="s">
        <v>17176</v>
      </c>
      <c r="AB845" s="30" t="s">
        <v>151</v>
      </c>
      <c r="AC845" s="30" t="s">
        <v>151</v>
      </c>
      <c r="AD845" s="39">
        <v>2019</v>
      </c>
      <c r="AE845" s="30" t="s">
        <v>151</v>
      </c>
      <c r="AF845" s="35">
        <v>45231</v>
      </c>
      <c r="AG845" s="30" t="s">
        <v>151</v>
      </c>
      <c r="AH845" s="30" t="s">
        <v>151</v>
      </c>
      <c r="AI845" s="38" t="s">
        <v>151</v>
      </c>
      <c r="AJ845" s="32" t="s">
        <v>151</v>
      </c>
      <c r="AK845" s="38" t="s">
        <v>151</v>
      </c>
      <c r="AL845" s="38" t="s">
        <v>151</v>
      </c>
      <c r="AM845" s="38" t="s">
        <v>151</v>
      </c>
      <c r="AN845" s="38" t="s">
        <v>151</v>
      </c>
      <c r="AO845" s="38" t="s">
        <v>151</v>
      </c>
      <c r="AP845" s="38" t="s">
        <v>151</v>
      </c>
      <c r="AQ845" s="38" t="s">
        <v>151</v>
      </c>
      <c r="AR845" s="29" t="s">
        <v>151</v>
      </c>
      <c r="AS845" s="30" t="s">
        <v>17177</v>
      </c>
      <c r="AT845" s="30" t="s">
        <v>17178</v>
      </c>
      <c r="AU845" s="31">
        <v>13</v>
      </c>
      <c r="AV845" s="30" t="s">
        <v>151</v>
      </c>
      <c r="AW845" s="30" t="s">
        <v>6699</v>
      </c>
      <c r="AX845" s="30" t="s">
        <v>151</v>
      </c>
      <c r="AY845" s="30" t="s">
        <v>17179</v>
      </c>
      <c r="AZ845" s="30" t="s">
        <v>6701</v>
      </c>
      <c r="BA845" s="30" t="s">
        <v>151</v>
      </c>
      <c r="BB845" s="30" t="s">
        <v>151</v>
      </c>
      <c r="BC845" s="30" t="s">
        <v>151</v>
      </c>
      <c r="BD845" s="30" t="s">
        <v>17180</v>
      </c>
      <c r="BE845" s="30" t="s">
        <v>17181</v>
      </c>
      <c r="BF845" s="30" t="s">
        <v>403</v>
      </c>
      <c r="BG845" s="30" t="s">
        <v>17182</v>
      </c>
      <c r="BH845" s="30" t="s">
        <v>151</v>
      </c>
      <c r="BI845" s="30" t="s">
        <v>1040</v>
      </c>
      <c r="BJ845" s="30" t="s">
        <v>17183</v>
      </c>
      <c r="BK845" s="30" t="s">
        <v>3531</v>
      </c>
      <c r="BL845" s="30" t="s">
        <v>1042</v>
      </c>
      <c r="BM845" s="30" t="s">
        <v>1043</v>
      </c>
      <c r="BN845" s="29" t="s">
        <v>17184</v>
      </c>
      <c r="BO845" s="30" t="s">
        <v>186</v>
      </c>
      <c r="BP845" s="29" t="s">
        <v>151</v>
      </c>
      <c r="BQ845" s="29" t="s">
        <v>151</v>
      </c>
      <c r="BR845" s="30" t="s">
        <v>151</v>
      </c>
      <c r="BS845" s="30" t="s">
        <v>187</v>
      </c>
      <c r="BT845" s="30" t="s">
        <v>188</v>
      </c>
      <c r="BU845" s="35" t="s">
        <v>151</v>
      </c>
      <c r="BV845" s="37">
        <v>0.2</v>
      </c>
      <c r="BW845" s="30" t="s">
        <v>192</v>
      </c>
      <c r="BX845" s="37" t="s">
        <v>151</v>
      </c>
      <c r="BY845" s="30" t="s">
        <v>151</v>
      </c>
      <c r="BZ845" s="30" t="s">
        <v>1075</v>
      </c>
      <c r="CA845" s="30" t="s">
        <v>1075</v>
      </c>
      <c r="CB845" s="30" t="s">
        <v>151</v>
      </c>
      <c r="CC845" s="30" t="s">
        <v>585</v>
      </c>
      <c r="CD845" s="30" t="s">
        <v>151</v>
      </c>
      <c r="CE845" s="30" t="s">
        <v>191</v>
      </c>
      <c r="CF845" s="35" t="s">
        <v>151</v>
      </c>
      <c r="CG845" s="37" t="s">
        <v>151</v>
      </c>
      <c r="CH845" s="30" t="s">
        <v>151</v>
      </c>
      <c r="CI845" s="37" t="s">
        <v>151</v>
      </c>
      <c r="CJ845" s="30" t="s">
        <v>151</v>
      </c>
      <c r="CK845" s="29" t="s">
        <v>151</v>
      </c>
      <c r="CL845" s="30" t="s">
        <v>911</v>
      </c>
      <c r="CM845" s="30" t="s">
        <v>151</v>
      </c>
      <c r="CN845" s="30" t="s">
        <v>151</v>
      </c>
      <c r="CO845" s="30" t="s">
        <v>165</v>
      </c>
      <c r="CP845" s="35" t="s">
        <v>151</v>
      </c>
      <c r="CQ845" s="37" t="s">
        <v>151</v>
      </c>
      <c r="CR845" s="30" t="s">
        <v>151</v>
      </c>
      <c r="CS845" s="30" t="s">
        <v>191</v>
      </c>
      <c r="CT845" s="29">
        <v>16</v>
      </c>
      <c r="CU845" s="30" t="s">
        <v>263</v>
      </c>
      <c r="CV845" s="32">
        <v>18</v>
      </c>
      <c r="CW845" s="32">
        <v>82</v>
      </c>
      <c r="CX845" s="30" t="s">
        <v>263</v>
      </c>
      <c r="CY845" s="32">
        <v>1</v>
      </c>
      <c r="CZ845" s="32">
        <v>17</v>
      </c>
      <c r="DA845" s="37" t="s">
        <v>151</v>
      </c>
      <c r="DB845" s="35" t="s">
        <v>151</v>
      </c>
      <c r="DC845" s="30" t="s">
        <v>151</v>
      </c>
      <c r="DD845" s="29" t="s">
        <v>151</v>
      </c>
      <c r="DE845" s="32">
        <v>0</v>
      </c>
      <c r="DF845" s="34">
        <v>11</v>
      </c>
      <c r="DG845" s="32">
        <v>0</v>
      </c>
      <c r="DH845" s="32">
        <v>0</v>
      </c>
      <c r="DI845" s="32">
        <v>0</v>
      </c>
      <c r="DJ845" s="34">
        <v>10</v>
      </c>
      <c r="DK845" s="32" t="s">
        <v>151</v>
      </c>
      <c r="DL845" s="34" t="s">
        <v>151</v>
      </c>
      <c r="DM845" s="32">
        <v>0</v>
      </c>
      <c r="DN845" s="34">
        <v>10</v>
      </c>
      <c r="DO845" s="36">
        <v>1.37</v>
      </c>
      <c r="DP845" s="34">
        <v>57</v>
      </c>
      <c r="DQ845" s="36">
        <v>0</v>
      </c>
      <c r="DR845" s="32">
        <v>0</v>
      </c>
      <c r="DS845" s="36">
        <v>1.37</v>
      </c>
      <c r="DT845" s="34">
        <v>57</v>
      </c>
      <c r="DU845" s="36" t="s">
        <v>151</v>
      </c>
      <c r="DV845" s="34" t="s">
        <v>151</v>
      </c>
      <c r="DW845" s="36">
        <v>1.37</v>
      </c>
      <c r="DX845" s="34">
        <v>57</v>
      </c>
      <c r="DY845" s="31" t="s">
        <v>151</v>
      </c>
      <c r="DZ845" s="35" t="s">
        <v>151</v>
      </c>
      <c r="EA845" s="35" t="s">
        <v>151</v>
      </c>
      <c r="EB845" s="34">
        <v>77</v>
      </c>
      <c r="EC845" s="33">
        <v>3</v>
      </c>
      <c r="ED845" s="32">
        <v>4.05</v>
      </c>
      <c r="EE845" s="34">
        <v>26</v>
      </c>
      <c r="EF845" s="33">
        <v>0</v>
      </c>
      <c r="EG845" s="32">
        <v>0</v>
      </c>
      <c r="EH845" s="29" t="s">
        <v>198</v>
      </c>
      <c r="EI845" s="30" t="s">
        <v>151</v>
      </c>
      <c r="EJ845" s="30" t="s">
        <v>151</v>
      </c>
      <c r="EK845" s="31" t="s">
        <v>151</v>
      </c>
      <c r="EL845" s="31" t="s">
        <v>151</v>
      </c>
      <c r="EM845" s="31" t="s">
        <v>151</v>
      </c>
      <c r="EN845" s="31" t="s">
        <v>151</v>
      </c>
      <c r="EO845" s="31" t="s">
        <v>151</v>
      </c>
      <c r="EP845" s="30" t="s">
        <v>151</v>
      </c>
      <c r="EQ845" s="29" t="s">
        <v>151</v>
      </c>
      <c r="ER845" s="29" t="s">
        <v>151</v>
      </c>
      <c r="ES845" s="4">
        <f>HYPERLINK("https://my.pitchbook.com?c=462472-93","View Company Online")</f>
      </c>
    </row>
    <row r="846">
      <c r="A846" s="17" t="s">
        <v>17185</v>
      </c>
      <c r="B846" s="17" t="s">
        <v>17186</v>
      </c>
      <c r="C846" s="18" t="s">
        <v>151</v>
      </c>
      <c r="D846" s="17" t="s">
        <v>151</v>
      </c>
      <c r="E846" s="17" t="s">
        <v>151</v>
      </c>
      <c r="F846" s="17" t="s">
        <v>17187</v>
      </c>
      <c r="G846" s="17" t="s">
        <v>151</v>
      </c>
      <c r="H846" s="17" t="s">
        <v>151</v>
      </c>
      <c r="I846" s="17" t="s">
        <v>17188</v>
      </c>
      <c r="J846" s="17" t="s">
        <v>17185</v>
      </c>
      <c r="K846" s="17" t="s">
        <v>17189</v>
      </c>
      <c r="L846" s="17" t="s">
        <v>155</v>
      </c>
      <c r="M846" s="17" t="s">
        <v>2320</v>
      </c>
      <c r="N846" s="17" t="s">
        <v>3427</v>
      </c>
      <c r="O846" s="17" t="s">
        <v>17190</v>
      </c>
      <c r="P846" s="17" t="s">
        <v>151</v>
      </c>
      <c r="Q846" s="17" t="s">
        <v>17191</v>
      </c>
      <c r="R846" s="17" t="s">
        <v>151</v>
      </c>
      <c r="S846" s="17" t="s">
        <v>162</v>
      </c>
      <c r="T846" s="24">
        <v>8</v>
      </c>
      <c r="U846" s="17" t="s">
        <v>163</v>
      </c>
      <c r="V846" s="17" t="s">
        <v>164</v>
      </c>
      <c r="W846" s="17" t="s">
        <v>165</v>
      </c>
      <c r="X846" s="15" t="s">
        <v>17192</v>
      </c>
      <c r="Y846" s="15" t="s">
        <v>17193</v>
      </c>
      <c r="Z846" s="27">
        <v>20</v>
      </c>
      <c r="AA846" s="17" t="s">
        <v>17194</v>
      </c>
      <c r="AB846" s="17" t="s">
        <v>151</v>
      </c>
      <c r="AC846" s="17" t="s">
        <v>151</v>
      </c>
      <c r="AD846" s="26">
        <v>2022</v>
      </c>
      <c r="AE846" s="17" t="s">
        <v>151</v>
      </c>
      <c r="AF846" s="22">
        <v>45461</v>
      </c>
      <c r="AG846" s="17" t="s">
        <v>151</v>
      </c>
      <c r="AH846" s="17" t="s">
        <v>151</v>
      </c>
      <c r="AI846" s="25" t="s">
        <v>151</v>
      </c>
      <c r="AJ846" s="19" t="s">
        <v>151</v>
      </c>
      <c r="AK846" s="25" t="s">
        <v>151</v>
      </c>
      <c r="AL846" s="25" t="s">
        <v>151</v>
      </c>
      <c r="AM846" s="25" t="s">
        <v>151</v>
      </c>
      <c r="AN846" s="25" t="s">
        <v>151</v>
      </c>
      <c r="AO846" s="25" t="s">
        <v>151</v>
      </c>
      <c r="AP846" s="25" t="s">
        <v>151</v>
      </c>
      <c r="AQ846" s="25" t="s">
        <v>151</v>
      </c>
      <c r="AR846" s="16" t="s">
        <v>151</v>
      </c>
      <c r="AS846" s="17" t="s">
        <v>17195</v>
      </c>
      <c r="AT846" s="17" t="s">
        <v>17196</v>
      </c>
      <c r="AU846" s="18">
        <v>4</v>
      </c>
      <c r="AV846" s="17" t="s">
        <v>151</v>
      </c>
      <c r="AW846" s="17" t="s">
        <v>151</v>
      </c>
      <c r="AX846" s="17" t="s">
        <v>151</v>
      </c>
      <c r="AY846" s="17" t="s">
        <v>17197</v>
      </c>
      <c r="AZ846" s="17" t="s">
        <v>151</v>
      </c>
      <c r="BA846" s="17" t="s">
        <v>151</v>
      </c>
      <c r="BB846" s="17" t="s">
        <v>151</v>
      </c>
      <c r="BC846" s="17" t="s">
        <v>151</v>
      </c>
      <c r="BD846" s="17" t="s">
        <v>17198</v>
      </c>
      <c r="BE846" s="17" t="s">
        <v>17199</v>
      </c>
      <c r="BF846" s="17" t="s">
        <v>221</v>
      </c>
      <c r="BG846" s="17" t="s">
        <v>151</v>
      </c>
      <c r="BH846" s="17" t="s">
        <v>151</v>
      </c>
      <c r="BI846" s="17" t="s">
        <v>8795</v>
      </c>
      <c r="BJ846" s="17" t="s">
        <v>17200</v>
      </c>
      <c r="BK846" s="17" t="s">
        <v>17201</v>
      </c>
      <c r="BL846" s="17" t="s">
        <v>8797</v>
      </c>
      <c r="BM846" s="17" t="s">
        <v>184</v>
      </c>
      <c r="BN846" s="16" t="s">
        <v>8798</v>
      </c>
      <c r="BO846" s="17" t="s">
        <v>186</v>
      </c>
      <c r="BP846" s="16" t="s">
        <v>151</v>
      </c>
      <c r="BQ846" s="16" t="s">
        <v>151</v>
      </c>
      <c r="BR846" s="17" t="s">
        <v>151</v>
      </c>
      <c r="BS846" s="17" t="s">
        <v>187</v>
      </c>
      <c r="BT846" s="17" t="s">
        <v>188</v>
      </c>
      <c r="BU846" s="22">
        <v>45455</v>
      </c>
      <c r="BV846" s="24">
        <v>8</v>
      </c>
      <c r="BW846" s="17" t="s">
        <v>192</v>
      </c>
      <c r="BX846" s="24" t="s">
        <v>151</v>
      </c>
      <c r="BY846" s="17" t="s">
        <v>151</v>
      </c>
      <c r="BZ846" s="17" t="s">
        <v>231</v>
      </c>
      <c r="CA846" s="17" t="s">
        <v>151</v>
      </c>
      <c r="CB846" s="17" t="s">
        <v>151</v>
      </c>
      <c r="CC846" s="17" t="s">
        <v>165</v>
      </c>
      <c r="CD846" s="17" t="s">
        <v>151</v>
      </c>
      <c r="CE846" s="17" t="s">
        <v>191</v>
      </c>
      <c r="CF846" s="22">
        <v>45455</v>
      </c>
      <c r="CG846" s="24">
        <v>8</v>
      </c>
      <c r="CH846" s="17" t="s">
        <v>192</v>
      </c>
      <c r="CI846" s="24" t="s">
        <v>151</v>
      </c>
      <c r="CJ846" s="17" t="s">
        <v>151</v>
      </c>
      <c r="CK846" s="16" t="s">
        <v>151</v>
      </c>
      <c r="CL846" s="17" t="s">
        <v>231</v>
      </c>
      <c r="CM846" s="17" t="s">
        <v>151</v>
      </c>
      <c r="CN846" s="17" t="s">
        <v>151</v>
      </c>
      <c r="CO846" s="17" t="s">
        <v>165</v>
      </c>
      <c r="CP846" s="22">
        <v>45455</v>
      </c>
      <c r="CQ846" s="24" t="s">
        <v>151</v>
      </c>
      <c r="CR846" s="17" t="s">
        <v>151</v>
      </c>
      <c r="CS846" s="17" t="s">
        <v>191</v>
      </c>
      <c r="CT846" s="16" t="s">
        <v>151</v>
      </c>
      <c r="CU846" s="17" t="s">
        <v>151</v>
      </c>
      <c r="CV846" s="19" t="s">
        <v>151</v>
      </c>
      <c r="CW846" s="19" t="s">
        <v>151</v>
      </c>
      <c r="CX846" s="17" t="s">
        <v>151</v>
      </c>
      <c r="CY846" s="19" t="s">
        <v>151</v>
      </c>
      <c r="CZ846" s="19" t="s">
        <v>151</v>
      </c>
      <c r="DA846" s="24" t="s">
        <v>151</v>
      </c>
      <c r="DB846" s="22" t="s">
        <v>151</v>
      </c>
      <c r="DC846" s="17" t="s">
        <v>151</v>
      </c>
      <c r="DD846" s="16" t="s">
        <v>151</v>
      </c>
      <c r="DE846" s="19">
        <v>2.09</v>
      </c>
      <c r="DF846" s="21">
        <v>98</v>
      </c>
      <c r="DG846" s="19">
        <v>0</v>
      </c>
      <c r="DH846" s="19">
        <v>0</v>
      </c>
      <c r="DI846" s="19" t="s">
        <v>151</v>
      </c>
      <c r="DJ846" s="21" t="s">
        <v>151</v>
      </c>
      <c r="DK846" s="19" t="s">
        <v>151</v>
      </c>
      <c r="DL846" s="21" t="s">
        <v>151</v>
      </c>
      <c r="DM846" s="19" t="s">
        <v>151</v>
      </c>
      <c r="DN846" s="21" t="s">
        <v>151</v>
      </c>
      <c r="DO846" s="23">
        <v>1.54</v>
      </c>
      <c r="DP846" s="21">
        <v>60</v>
      </c>
      <c r="DQ846" s="23">
        <v>0</v>
      </c>
      <c r="DR846" s="19">
        <v>0</v>
      </c>
      <c r="DS846" s="23" t="s">
        <v>151</v>
      </c>
      <c r="DT846" s="21" t="s">
        <v>151</v>
      </c>
      <c r="DU846" s="23" t="s">
        <v>151</v>
      </c>
      <c r="DV846" s="21" t="s">
        <v>151</v>
      </c>
      <c r="DW846" s="23" t="s">
        <v>151</v>
      </c>
      <c r="DX846" s="21" t="s">
        <v>151</v>
      </c>
      <c r="DY846" s="18" t="s">
        <v>151</v>
      </c>
      <c r="DZ846" s="22" t="s">
        <v>151</v>
      </c>
      <c r="EA846" s="22" t="s">
        <v>151</v>
      </c>
      <c r="EB846" s="21" t="s">
        <v>151</v>
      </c>
      <c r="EC846" s="20" t="s">
        <v>151</v>
      </c>
      <c r="ED846" s="19" t="s">
        <v>151</v>
      </c>
      <c r="EE846" s="21">
        <v>20</v>
      </c>
      <c r="EF846" s="20">
        <v>0</v>
      </c>
      <c r="EG846" s="19">
        <v>0</v>
      </c>
      <c r="EH846" s="16" t="s">
        <v>198</v>
      </c>
      <c r="EI846" s="17" t="s">
        <v>151</v>
      </c>
      <c r="EJ846" s="17" t="s">
        <v>151</v>
      </c>
      <c r="EK846" s="18" t="s">
        <v>151</v>
      </c>
      <c r="EL846" s="18" t="s">
        <v>151</v>
      </c>
      <c r="EM846" s="18" t="s">
        <v>151</v>
      </c>
      <c r="EN846" s="18" t="s">
        <v>151</v>
      </c>
      <c r="EO846" s="18" t="s">
        <v>151</v>
      </c>
      <c r="EP846" s="17" t="s">
        <v>151</v>
      </c>
      <c r="EQ846" s="16" t="s">
        <v>151</v>
      </c>
      <c r="ER846" s="16" t="s">
        <v>151</v>
      </c>
      <c r="ES846" s="3">
        <f>HYPERLINK("https://my.pitchbook.com?c=601807-15","View Company Online")</f>
      </c>
    </row>
    <row r="847">
      <c r="A847" s="30" t="s">
        <v>17202</v>
      </c>
      <c r="B847" s="30" t="s">
        <v>17203</v>
      </c>
      <c r="C847" s="31" t="s">
        <v>151</v>
      </c>
      <c r="D847" s="30" t="s">
        <v>151</v>
      </c>
      <c r="E847" s="30" t="s">
        <v>17204</v>
      </c>
      <c r="F847" s="30" t="s">
        <v>17205</v>
      </c>
      <c r="G847" s="30" t="s">
        <v>151</v>
      </c>
      <c r="H847" s="30" t="s">
        <v>151</v>
      </c>
      <c r="I847" s="30" t="s">
        <v>17206</v>
      </c>
      <c r="J847" s="30" t="s">
        <v>17202</v>
      </c>
      <c r="K847" s="30" t="s">
        <v>17207</v>
      </c>
      <c r="L847" s="30" t="s">
        <v>205</v>
      </c>
      <c r="M847" s="30" t="s">
        <v>206</v>
      </c>
      <c r="N847" s="30" t="s">
        <v>269</v>
      </c>
      <c r="O847" s="30" t="s">
        <v>563</v>
      </c>
      <c r="P847" s="30" t="s">
        <v>696</v>
      </c>
      <c r="Q847" s="30" t="s">
        <v>17208</v>
      </c>
      <c r="R847" s="30" t="s">
        <v>151</v>
      </c>
      <c r="S847" s="30" t="s">
        <v>162</v>
      </c>
      <c r="T847" s="37">
        <v>15.51</v>
      </c>
      <c r="U847" s="30" t="s">
        <v>163</v>
      </c>
      <c r="V847" s="30" t="s">
        <v>164</v>
      </c>
      <c r="W847" s="30" t="s">
        <v>165</v>
      </c>
      <c r="X847" s="28" t="s">
        <v>17209</v>
      </c>
      <c r="Y847" s="28" t="s">
        <v>17210</v>
      </c>
      <c r="Z847" s="40">
        <v>34</v>
      </c>
      <c r="AA847" s="30" t="s">
        <v>17211</v>
      </c>
      <c r="AB847" s="30" t="s">
        <v>151</v>
      </c>
      <c r="AC847" s="30" t="s">
        <v>151</v>
      </c>
      <c r="AD847" s="39">
        <v>2017</v>
      </c>
      <c r="AE847" s="30" t="s">
        <v>151</v>
      </c>
      <c r="AF847" s="35">
        <v>45587</v>
      </c>
      <c r="AG847" s="30" t="s">
        <v>151</v>
      </c>
      <c r="AH847" s="30" t="s">
        <v>151</v>
      </c>
      <c r="AI847" s="38" t="s">
        <v>151</v>
      </c>
      <c r="AJ847" s="32" t="s">
        <v>151</v>
      </c>
      <c r="AK847" s="38" t="s">
        <v>151</v>
      </c>
      <c r="AL847" s="38" t="s">
        <v>151</v>
      </c>
      <c r="AM847" s="38" t="s">
        <v>151</v>
      </c>
      <c r="AN847" s="38" t="s">
        <v>151</v>
      </c>
      <c r="AO847" s="38" t="s">
        <v>151</v>
      </c>
      <c r="AP847" s="38" t="s">
        <v>151</v>
      </c>
      <c r="AQ847" s="38" t="s">
        <v>151</v>
      </c>
      <c r="AR847" s="29" t="s">
        <v>151</v>
      </c>
      <c r="AS847" s="30" t="s">
        <v>17212</v>
      </c>
      <c r="AT847" s="30" t="s">
        <v>17213</v>
      </c>
      <c r="AU847" s="31">
        <v>21</v>
      </c>
      <c r="AV847" s="30" t="s">
        <v>151</v>
      </c>
      <c r="AW847" s="30" t="s">
        <v>151</v>
      </c>
      <c r="AX847" s="30" t="s">
        <v>151</v>
      </c>
      <c r="AY847" s="30" t="s">
        <v>17214</v>
      </c>
      <c r="AZ847" s="30" t="s">
        <v>151</v>
      </c>
      <c r="BA847" s="30" t="s">
        <v>151</v>
      </c>
      <c r="BB847" s="30" t="s">
        <v>17215</v>
      </c>
      <c r="BC847" s="30" t="s">
        <v>17216</v>
      </c>
      <c r="BD847" s="30" t="s">
        <v>17217</v>
      </c>
      <c r="BE847" s="30" t="s">
        <v>17218</v>
      </c>
      <c r="BF847" s="30" t="s">
        <v>493</v>
      </c>
      <c r="BG847" s="30" t="s">
        <v>17219</v>
      </c>
      <c r="BH847" s="30" t="s">
        <v>17220</v>
      </c>
      <c r="BI847" s="30" t="s">
        <v>1954</v>
      </c>
      <c r="BJ847" s="30" t="s">
        <v>17221</v>
      </c>
      <c r="BK847" s="30" t="s">
        <v>151</v>
      </c>
      <c r="BL847" s="30" t="s">
        <v>1956</v>
      </c>
      <c r="BM847" s="30" t="s">
        <v>1957</v>
      </c>
      <c r="BN847" s="29" t="s">
        <v>1958</v>
      </c>
      <c r="BO847" s="30" t="s">
        <v>186</v>
      </c>
      <c r="BP847" s="29" t="s">
        <v>17222</v>
      </c>
      <c r="BQ847" s="29" t="s">
        <v>151</v>
      </c>
      <c r="BR847" s="30" t="s">
        <v>17223</v>
      </c>
      <c r="BS847" s="30" t="s">
        <v>187</v>
      </c>
      <c r="BT847" s="30" t="s">
        <v>188</v>
      </c>
      <c r="BU847" s="35">
        <v>44131</v>
      </c>
      <c r="BV847" s="37">
        <v>1.5</v>
      </c>
      <c r="BW847" s="30" t="s">
        <v>192</v>
      </c>
      <c r="BX847" s="37" t="s">
        <v>151</v>
      </c>
      <c r="BY847" s="30" t="s">
        <v>151</v>
      </c>
      <c r="BZ847" s="30" t="s">
        <v>293</v>
      </c>
      <c r="CA847" s="30" t="s">
        <v>293</v>
      </c>
      <c r="CB847" s="30" t="s">
        <v>151</v>
      </c>
      <c r="CC847" s="30" t="s">
        <v>165</v>
      </c>
      <c r="CD847" s="30" t="s">
        <v>151</v>
      </c>
      <c r="CE847" s="30" t="s">
        <v>191</v>
      </c>
      <c r="CF847" s="35">
        <v>45336</v>
      </c>
      <c r="CG847" s="37" t="s">
        <v>151</v>
      </c>
      <c r="CH847" s="30" t="s">
        <v>151</v>
      </c>
      <c r="CI847" s="37" t="s">
        <v>151</v>
      </c>
      <c r="CJ847" s="30" t="s">
        <v>151</v>
      </c>
      <c r="CK847" s="29" t="s">
        <v>151</v>
      </c>
      <c r="CL847" s="30" t="s">
        <v>194</v>
      </c>
      <c r="CM847" s="30" t="s">
        <v>151</v>
      </c>
      <c r="CN847" s="30" t="s">
        <v>151</v>
      </c>
      <c r="CO847" s="30" t="s">
        <v>165</v>
      </c>
      <c r="CP847" s="35">
        <v>45336</v>
      </c>
      <c r="CQ847" s="37" t="s">
        <v>151</v>
      </c>
      <c r="CR847" s="30" t="s">
        <v>151</v>
      </c>
      <c r="CS847" s="30" t="s">
        <v>191</v>
      </c>
      <c r="CT847" s="29">
        <v>97</v>
      </c>
      <c r="CU847" s="30" t="s">
        <v>196</v>
      </c>
      <c r="CV847" s="32">
        <v>92</v>
      </c>
      <c r="CW847" s="32">
        <v>8</v>
      </c>
      <c r="CX847" s="30" t="s">
        <v>294</v>
      </c>
      <c r="CY847" s="32">
        <v>1</v>
      </c>
      <c r="CZ847" s="32">
        <v>91</v>
      </c>
      <c r="DA847" s="37">
        <v>24.01</v>
      </c>
      <c r="DB847" s="35">
        <v>44614</v>
      </c>
      <c r="DC847" s="30" t="s">
        <v>293</v>
      </c>
      <c r="DD847" s="29" t="s">
        <v>151</v>
      </c>
      <c r="DE847" s="32">
        <v>2.17</v>
      </c>
      <c r="DF847" s="34">
        <v>98</v>
      </c>
      <c r="DG847" s="32">
        <v>0</v>
      </c>
      <c r="DH847" s="32">
        <v>0</v>
      </c>
      <c r="DI847" s="32">
        <v>0.43</v>
      </c>
      <c r="DJ847" s="34">
        <v>94</v>
      </c>
      <c r="DK847" s="32">
        <v>0.68</v>
      </c>
      <c r="DL847" s="34">
        <v>91</v>
      </c>
      <c r="DM847" s="32">
        <v>0.17</v>
      </c>
      <c r="DN847" s="34">
        <v>93</v>
      </c>
      <c r="DO847" s="36">
        <v>26.83</v>
      </c>
      <c r="DP847" s="34">
        <v>96</v>
      </c>
      <c r="DQ847" s="36">
        <v>0</v>
      </c>
      <c r="DR847" s="32">
        <v>0</v>
      </c>
      <c r="DS847" s="36">
        <v>51.04</v>
      </c>
      <c r="DT847" s="34">
        <v>98</v>
      </c>
      <c r="DU847" s="36">
        <v>29.98</v>
      </c>
      <c r="DV847" s="34">
        <v>93</v>
      </c>
      <c r="DW847" s="36">
        <v>72.11</v>
      </c>
      <c r="DX847" s="34">
        <v>99</v>
      </c>
      <c r="DY847" s="31">
        <v>1</v>
      </c>
      <c r="DZ847" s="35">
        <v>45105</v>
      </c>
      <c r="EA847" s="35" t="s">
        <v>151</v>
      </c>
      <c r="EB847" s="34">
        <v>6146</v>
      </c>
      <c r="EC847" s="33">
        <v>90</v>
      </c>
      <c r="ED847" s="32">
        <v>1.49</v>
      </c>
      <c r="EE847" s="34">
        <v>1370</v>
      </c>
      <c r="EF847" s="33">
        <v>2</v>
      </c>
      <c r="EG847" s="32">
        <v>0.15</v>
      </c>
      <c r="EH847" s="29" t="s">
        <v>198</v>
      </c>
      <c r="EI847" s="30" t="s">
        <v>151</v>
      </c>
      <c r="EJ847" s="30" t="s">
        <v>151</v>
      </c>
      <c r="EK847" s="31" t="s">
        <v>151</v>
      </c>
      <c r="EL847" s="31" t="s">
        <v>151</v>
      </c>
      <c r="EM847" s="31" t="s">
        <v>151</v>
      </c>
      <c r="EN847" s="31" t="s">
        <v>151</v>
      </c>
      <c r="EO847" s="31" t="s">
        <v>151</v>
      </c>
      <c r="EP847" s="30" t="s">
        <v>151</v>
      </c>
      <c r="EQ847" s="29" t="s">
        <v>151</v>
      </c>
      <c r="ER847" s="29" t="s">
        <v>151</v>
      </c>
      <c r="ES847" s="4">
        <f>HYPERLINK("https://my.pitchbook.com?c=443024-56","View Company Online")</f>
      </c>
    </row>
    <row r="848">
      <c r="A848" s="17" t="s">
        <v>17224</v>
      </c>
      <c r="B848" s="17" t="s">
        <v>17225</v>
      </c>
      <c r="C848" s="18" t="s">
        <v>151</v>
      </c>
      <c r="D848" s="17" t="s">
        <v>151</v>
      </c>
      <c r="E848" s="17" t="s">
        <v>151</v>
      </c>
      <c r="F848" s="17" t="s">
        <v>17226</v>
      </c>
      <c r="G848" s="17" t="s">
        <v>151</v>
      </c>
      <c r="H848" s="17" t="s">
        <v>151</v>
      </c>
      <c r="I848" s="17" t="s">
        <v>151</v>
      </c>
      <c r="J848" s="17" t="s">
        <v>17224</v>
      </c>
      <c r="K848" s="17" t="s">
        <v>17227</v>
      </c>
      <c r="L848" s="17" t="s">
        <v>1792</v>
      </c>
      <c r="M848" s="17" t="s">
        <v>2199</v>
      </c>
      <c r="N848" s="17" t="s">
        <v>2200</v>
      </c>
      <c r="O848" s="17" t="s">
        <v>3201</v>
      </c>
      <c r="P848" s="17" t="s">
        <v>7696</v>
      </c>
      <c r="Q848" s="17" t="s">
        <v>17228</v>
      </c>
      <c r="R848" s="17" t="s">
        <v>151</v>
      </c>
      <c r="S848" s="17" t="s">
        <v>162</v>
      </c>
      <c r="T848" s="24">
        <v>3.37</v>
      </c>
      <c r="U848" s="17" t="s">
        <v>163</v>
      </c>
      <c r="V848" s="17" t="s">
        <v>164</v>
      </c>
      <c r="W848" s="17" t="s">
        <v>165</v>
      </c>
      <c r="X848" s="15" t="s">
        <v>17229</v>
      </c>
      <c r="Y848" s="15" t="s">
        <v>17230</v>
      </c>
      <c r="Z848" s="27">
        <v>7</v>
      </c>
      <c r="AA848" s="17" t="s">
        <v>17231</v>
      </c>
      <c r="AB848" s="17" t="s">
        <v>151</v>
      </c>
      <c r="AC848" s="17" t="s">
        <v>151</v>
      </c>
      <c r="AD848" s="26">
        <v>2019</v>
      </c>
      <c r="AE848" s="17" t="s">
        <v>151</v>
      </c>
      <c r="AF848" s="22">
        <v>45611</v>
      </c>
      <c r="AG848" s="17" t="s">
        <v>151</v>
      </c>
      <c r="AH848" s="17" t="s">
        <v>151</v>
      </c>
      <c r="AI848" s="25" t="s">
        <v>151</v>
      </c>
      <c r="AJ848" s="19" t="s">
        <v>151</v>
      </c>
      <c r="AK848" s="25" t="s">
        <v>151</v>
      </c>
      <c r="AL848" s="25" t="s">
        <v>151</v>
      </c>
      <c r="AM848" s="25" t="s">
        <v>151</v>
      </c>
      <c r="AN848" s="25" t="s">
        <v>151</v>
      </c>
      <c r="AO848" s="25" t="s">
        <v>151</v>
      </c>
      <c r="AP848" s="25" t="s">
        <v>151</v>
      </c>
      <c r="AQ848" s="25" t="s">
        <v>151</v>
      </c>
      <c r="AR848" s="16" t="s">
        <v>151</v>
      </c>
      <c r="AS848" s="17" t="s">
        <v>17232</v>
      </c>
      <c r="AT848" s="17" t="s">
        <v>17233</v>
      </c>
      <c r="AU848" s="18">
        <v>8</v>
      </c>
      <c r="AV848" s="17" t="s">
        <v>151</v>
      </c>
      <c r="AW848" s="17" t="s">
        <v>151</v>
      </c>
      <c r="AX848" s="17" t="s">
        <v>151</v>
      </c>
      <c r="AY848" s="17" t="s">
        <v>17234</v>
      </c>
      <c r="AZ848" s="17" t="s">
        <v>151</v>
      </c>
      <c r="BA848" s="17" t="s">
        <v>151</v>
      </c>
      <c r="BB848" s="17" t="s">
        <v>151</v>
      </c>
      <c r="BC848" s="17" t="s">
        <v>17235</v>
      </c>
      <c r="BD848" s="17" t="s">
        <v>17236</v>
      </c>
      <c r="BE848" s="17" t="s">
        <v>17237</v>
      </c>
      <c r="BF848" s="17" t="s">
        <v>17238</v>
      </c>
      <c r="BG848" s="17" t="s">
        <v>17239</v>
      </c>
      <c r="BH848" s="17" t="s">
        <v>151</v>
      </c>
      <c r="BI848" s="17" t="s">
        <v>17240</v>
      </c>
      <c r="BJ848" s="17" t="s">
        <v>17241</v>
      </c>
      <c r="BK848" s="17" t="s">
        <v>17242</v>
      </c>
      <c r="BL848" s="17" t="s">
        <v>17243</v>
      </c>
      <c r="BM848" s="17" t="s">
        <v>1576</v>
      </c>
      <c r="BN848" s="16" t="s">
        <v>17244</v>
      </c>
      <c r="BO848" s="17" t="s">
        <v>186</v>
      </c>
      <c r="BP848" s="16" t="s">
        <v>151</v>
      </c>
      <c r="BQ848" s="16" t="s">
        <v>151</v>
      </c>
      <c r="BR848" s="17" t="s">
        <v>17245</v>
      </c>
      <c r="BS848" s="17" t="s">
        <v>187</v>
      </c>
      <c r="BT848" s="17" t="s">
        <v>188</v>
      </c>
      <c r="BU848" s="22">
        <v>43847</v>
      </c>
      <c r="BV848" s="24">
        <v>0.02</v>
      </c>
      <c r="BW848" s="17" t="s">
        <v>192</v>
      </c>
      <c r="BX848" s="24">
        <v>0.33</v>
      </c>
      <c r="BY848" s="17" t="s">
        <v>192</v>
      </c>
      <c r="BZ848" s="17" t="s">
        <v>189</v>
      </c>
      <c r="CA848" s="17" t="s">
        <v>151</v>
      </c>
      <c r="CB848" s="17" t="s">
        <v>151</v>
      </c>
      <c r="CC848" s="17" t="s">
        <v>190</v>
      </c>
      <c r="CD848" s="17" t="s">
        <v>151</v>
      </c>
      <c r="CE848" s="17" t="s">
        <v>191</v>
      </c>
      <c r="CF848" s="22">
        <v>44971</v>
      </c>
      <c r="CG848" s="24">
        <v>2.5</v>
      </c>
      <c r="CH848" s="17" t="s">
        <v>192</v>
      </c>
      <c r="CI848" s="24">
        <v>10</v>
      </c>
      <c r="CJ848" s="17" t="s">
        <v>192</v>
      </c>
      <c r="CK848" s="16">
        <v>2.14</v>
      </c>
      <c r="CL848" s="17" t="s">
        <v>293</v>
      </c>
      <c r="CM848" s="17" t="s">
        <v>293</v>
      </c>
      <c r="CN848" s="17" t="s">
        <v>151</v>
      </c>
      <c r="CO848" s="17" t="s">
        <v>165</v>
      </c>
      <c r="CP848" s="22">
        <v>44971</v>
      </c>
      <c r="CQ848" s="24" t="s">
        <v>151</v>
      </c>
      <c r="CR848" s="17" t="s">
        <v>151</v>
      </c>
      <c r="CS848" s="17" t="s">
        <v>191</v>
      </c>
      <c r="CT848" s="16">
        <v>39</v>
      </c>
      <c r="CU848" s="17" t="s">
        <v>263</v>
      </c>
      <c r="CV848" s="19">
        <v>39</v>
      </c>
      <c r="CW848" s="19">
        <v>61</v>
      </c>
      <c r="CX848" s="17" t="s">
        <v>263</v>
      </c>
      <c r="CY848" s="19">
        <v>1</v>
      </c>
      <c r="CZ848" s="19">
        <v>38</v>
      </c>
      <c r="DA848" s="24">
        <v>10</v>
      </c>
      <c r="DB848" s="22">
        <v>44971</v>
      </c>
      <c r="DC848" s="17" t="s">
        <v>293</v>
      </c>
      <c r="DD848" s="16">
        <v>2.14</v>
      </c>
      <c r="DE848" s="19" t="s">
        <v>151</v>
      </c>
      <c r="DF848" s="21" t="s">
        <v>151</v>
      </c>
      <c r="DG848" s="19" t="s">
        <v>151</v>
      </c>
      <c r="DH848" s="19" t="s">
        <v>151</v>
      </c>
      <c r="DI848" s="19" t="s">
        <v>151</v>
      </c>
      <c r="DJ848" s="21" t="s">
        <v>151</v>
      </c>
      <c r="DK848" s="19" t="s">
        <v>151</v>
      </c>
      <c r="DL848" s="21" t="s">
        <v>151</v>
      </c>
      <c r="DM848" s="19" t="s">
        <v>151</v>
      </c>
      <c r="DN848" s="21" t="s">
        <v>151</v>
      </c>
      <c r="DO848" s="23" t="s">
        <v>151</v>
      </c>
      <c r="DP848" s="21" t="s">
        <v>151</v>
      </c>
      <c r="DQ848" s="23" t="s">
        <v>151</v>
      </c>
      <c r="DR848" s="19" t="s">
        <v>151</v>
      </c>
      <c r="DS848" s="23" t="s">
        <v>151</v>
      </c>
      <c r="DT848" s="21" t="s">
        <v>151</v>
      </c>
      <c r="DU848" s="23" t="s">
        <v>151</v>
      </c>
      <c r="DV848" s="21" t="s">
        <v>151</v>
      </c>
      <c r="DW848" s="23" t="s">
        <v>151</v>
      </c>
      <c r="DX848" s="21" t="s">
        <v>151</v>
      </c>
      <c r="DY848" s="18" t="s">
        <v>151</v>
      </c>
      <c r="DZ848" s="22" t="s">
        <v>151</v>
      </c>
      <c r="EA848" s="22" t="s">
        <v>151</v>
      </c>
      <c r="EB848" s="21" t="s">
        <v>151</v>
      </c>
      <c r="EC848" s="20" t="s">
        <v>151</v>
      </c>
      <c r="ED848" s="19" t="s">
        <v>151</v>
      </c>
      <c r="EE848" s="21" t="s">
        <v>151</v>
      </c>
      <c r="EF848" s="20" t="s">
        <v>151</v>
      </c>
      <c r="EG848" s="19" t="s">
        <v>151</v>
      </c>
      <c r="EH848" s="16" t="s">
        <v>198</v>
      </c>
      <c r="EI848" s="17" t="s">
        <v>151</v>
      </c>
      <c r="EJ848" s="17" t="s">
        <v>151</v>
      </c>
      <c r="EK848" s="18" t="s">
        <v>151</v>
      </c>
      <c r="EL848" s="18" t="s">
        <v>151</v>
      </c>
      <c r="EM848" s="18" t="s">
        <v>151</v>
      </c>
      <c r="EN848" s="18" t="s">
        <v>151</v>
      </c>
      <c r="EO848" s="18" t="s">
        <v>151</v>
      </c>
      <c r="EP848" s="17" t="s">
        <v>151</v>
      </c>
      <c r="EQ848" s="16" t="s">
        <v>151</v>
      </c>
      <c r="ER848" s="16" t="s">
        <v>151</v>
      </c>
      <c r="ES848" s="3">
        <f>HYPERLINK("https://my.pitchbook.com?c=432634-42","View Company Online")</f>
      </c>
    </row>
    <row r="849">
      <c r="A849" s="30" t="s">
        <v>17246</v>
      </c>
      <c r="B849" s="30" t="s">
        <v>17247</v>
      </c>
      <c r="C849" s="31" t="s">
        <v>151</v>
      </c>
      <c r="D849" s="30" t="s">
        <v>17248</v>
      </c>
      <c r="E849" s="30" t="s">
        <v>151</v>
      </c>
      <c r="F849" s="30" t="s">
        <v>17249</v>
      </c>
      <c r="G849" s="30" t="s">
        <v>151</v>
      </c>
      <c r="H849" s="30" t="s">
        <v>151</v>
      </c>
      <c r="I849" s="30" t="s">
        <v>17250</v>
      </c>
      <c r="J849" s="30" t="s">
        <v>17246</v>
      </c>
      <c r="K849" s="30" t="s">
        <v>17251</v>
      </c>
      <c r="L849" s="30" t="s">
        <v>205</v>
      </c>
      <c r="M849" s="30" t="s">
        <v>206</v>
      </c>
      <c r="N849" s="30" t="s">
        <v>269</v>
      </c>
      <c r="O849" s="30" t="s">
        <v>563</v>
      </c>
      <c r="P849" s="30" t="s">
        <v>6963</v>
      </c>
      <c r="Q849" s="30" t="s">
        <v>17252</v>
      </c>
      <c r="R849" s="30" t="s">
        <v>151</v>
      </c>
      <c r="S849" s="30" t="s">
        <v>162</v>
      </c>
      <c r="T849" s="37">
        <v>19.09</v>
      </c>
      <c r="U849" s="30" t="s">
        <v>163</v>
      </c>
      <c r="V849" s="30" t="s">
        <v>164</v>
      </c>
      <c r="W849" s="30" t="s">
        <v>165</v>
      </c>
      <c r="X849" s="28" t="s">
        <v>17253</v>
      </c>
      <c r="Y849" s="28" t="s">
        <v>17254</v>
      </c>
      <c r="Z849" s="40">
        <v>69</v>
      </c>
      <c r="AA849" s="30" t="s">
        <v>17255</v>
      </c>
      <c r="AB849" s="30" t="s">
        <v>151</v>
      </c>
      <c r="AC849" s="30" t="s">
        <v>151</v>
      </c>
      <c r="AD849" s="39">
        <v>2021</v>
      </c>
      <c r="AE849" s="30" t="s">
        <v>151</v>
      </c>
      <c r="AF849" s="35">
        <v>45400</v>
      </c>
      <c r="AG849" s="30" t="s">
        <v>151</v>
      </c>
      <c r="AH849" s="30" t="s">
        <v>151</v>
      </c>
      <c r="AI849" s="38" t="s">
        <v>151</v>
      </c>
      <c r="AJ849" s="32" t="s">
        <v>151</v>
      </c>
      <c r="AK849" s="38" t="s">
        <v>151</v>
      </c>
      <c r="AL849" s="38" t="s">
        <v>151</v>
      </c>
      <c r="AM849" s="38" t="s">
        <v>151</v>
      </c>
      <c r="AN849" s="38" t="s">
        <v>151</v>
      </c>
      <c r="AO849" s="38" t="s">
        <v>151</v>
      </c>
      <c r="AP849" s="38" t="s">
        <v>151</v>
      </c>
      <c r="AQ849" s="38" t="s">
        <v>151</v>
      </c>
      <c r="AR849" s="29" t="s">
        <v>151</v>
      </c>
      <c r="AS849" s="30" t="s">
        <v>17256</v>
      </c>
      <c r="AT849" s="30" t="s">
        <v>17257</v>
      </c>
      <c r="AU849" s="31">
        <v>11</v>
      </c>
      <c r="AV849" s="30" t="s">
        <v>151</v>
      </c>
      <c r="AW849" s="30" t="s">
        <v>151</v>
      </c>
      <c r="AX849" s="30" t="s">
        <v>151</v>
      </c>
      <c r="AY849" s="30" t="s">
        <v>17258</v>
      </c>
      <c r="AZ849" s="30" t="s">
        <v>151</v>
      </c>
      <c r="BA849" s="30" t="s">
        <v>151</v>
      </c>
      <c r="BB849" s="30" t="s">
        <v>151</v>
      </c>
      <c r="BC849" s="30" t="s">
        <v>1115</v>
      </c>
      <c r="BD849" s="30" t="s">
        <v>17259</v>
      </c>
      <c r="BE849" s="30" t="s">
        <v>17260</v>
      </c>
      <c r="BF849" s="30" t="s">
        <v>493</v>
      </c>
      <c r="BG849" s="30" t="s">
        <v>17261</v>
      </c>
      <c r="BH849" s="30" t="s">
        <v>151</v>
      </c>
      <c r="BI849" s="30" t="s">
        <v>17262</v>
      </c>
      <c r="BJ849" s="30" t="s">
        <v>17263</v>
      </c>
      <c r="BK849" s="30" t="s">
        <v>151</v>
      </c>
      <c r="BL849" s="30" t="s">
        <v>17264</v>
      </c>
      <c r="BM849" s="30" t="s">
        <v>470</v>
      </c>
      <c r="BN849" s="29" t="s">
        <v>17265</v>
      </c>
      <c r="BO849" s="30" t="s">
        <v>186</v>
      </c>
      <c r="BP849" s="29" t="s">
        <v>17266</v>
      </c>
      <c r="BQ849" s="29" t="s">
        <v>151</v>
      </c>
      <c r="BR849" s="30" t="s">
        <v>17267</v>
      </c>
      <c r="BS849" s="30" t="s">
        <v>187</v>
      </c>
      <c r="BT849" s="30" t="s">
        <v>188</v>
      </c>
      <c r="BU849" s="35">
        <v>44926</v>
      </c>
      <c r="BV849" s="37" t="s">
        <v>151</v>
      </c>
      <c r="BW849" s="30" t="s">
        <v>151</v>
      </c>
      <c r="BX849" s="37" t="s">
        <v>151</v>
      </c>
      <c r="BY849" s="30" t="s">
        <v>151</v>
      </c>
      <c r="BZ849" s="30" t="s">
        <v>189</v>
      </c>
      <c r="CA849" s="30" t="s">
        <v>151</v>
      </c>
      <c r="CB849" s="30" t="s">
        <v>151</v>
      </c>
      <c r="CC849" s="30" t="s">
        <v>190</v>
      </c>
      <c r="CD849" s="30" t="s">
        <v>151</v>
      </c>
      <c r="CE849" s="30" t="s">
        <v>191</v>
      </c>
      <c r="CF849" s="35">
        <v>45006</v>
      </c>
      <c r="CG849" s="37">
        <v>4</v>
      </c>
      <c r="CH849" s="30" t="s">
        <v>192</v>
      </c>
      <c r="CI849" s="37">
        <v>77</v>
      </c>
      <c r="CJ849" s="30" t="s">
        <v>192</v>
      </c>
      <c r="CK849" s="29">
        <v>1.21</v>
      </c>
      <c r="CL849" s="30" t="s">
        <v>231</v>
      </c>
      <c r="CM849" s="30" t="s">
        <v>232</v>
      </c>
      <c r="CN849" s="30" t="s">
        <v>151</v>
      </c>
      <c r="CO849" s="30" t="s">
        <v>165</v>
      </c>
      <c r="CP849" s="35">
        <v>45006</v>
      </c>
      <c r="CQ849" s="37" t="s">
        <v>151</v>
      </c>
      <c r="CR849" s="30" t="s">
        <v>151</v>
      </c>
      <c r="CS849" s="30" t="s">
        <v>191</v>
      </c>
      <c r="CT849" s="29" t="s">
        <v>151</v>
      </c>
      <c r="CU849" s="30" t="s">
        <v>151</v>
      </c>
      <c r="CV849" s="32" t="s">
        <v>151</v>
      </c>
      <c r="CW849" s="32" t="s">
        <v>151</v>
      </c>
      <c r="CX849" s="30" t="s">
        <v>151</v>
      </c>
      <c r="CY849" s="32" t="s">
        <v>151</v>
      </c>
      <c r="CZ849" s="32" t="s">
        <v>151</v>
      </c>
      <c r="DA849" s="37">
        <v>77</v>
      </c>
      <c r="DB849" s="35">
        <v>45006</v>
      </c>
      <c r="DC849" s="30" t="s">
        <v>231</v>
      </c>
      <c r="DD849" s="29">
        <v>1.21</v>
      </c>
      <c r="DE849" s="32">
        <v>-5.61</v>
      </c>
      <c r="DF849" s="34">
        <v>1</v>
      </c>
      <c r="DG849" s="32">
        <v>0</v>
      </c>
      <c r="DH849" s="32">
        <v>0</v>
      </c>
      <c r="DI849" s="32">
        <v>-11.4</v>
      </c>
      <c r="DJ849" s="34">
        <v>1</v>
      </c>
      <c r="DK849" s="32" t="s">
        <v>151</v>
      </c>
      <c r="DL849" s="34" t="s">
        <v>151</v>
      </c>
      <c r="DM849" s="32">
        <v>-11.4</v>
      </c>
      <c r="DN849" s="34">
        <v>1</v>
      </c>
      <c r="DO849" s="36">
        <v>10.13</v>
      </c>
      <c r="DP849" s="34">
        <v>90</v>
      </c>
      <c r="DQ849" s="36">
        <v>0</v>
      </c>
      <c r="DR849" s="32">
        <v>0</v>
      </c>
      <c r="DS849" s="36">
        <v>14.95</v>
      </c>
      <c r="DT849" s="34">
        <v>93</v>
      </c>
      <c r="DU849" s="36" t="s">
        <v>151</v>
      </c>
      <c r="DV849" s="34" t="s">
        <v>151</v>
      </c>
      <c r="DW849" s="36">
        <v>14.95</v>
      </c>
      <c r="DX849" s="34">
        <v>93</v>
      </c>
      <c r="DY849" s="31" t="s">
        <v>151</v>
      </c>
      <c r="DZ849" s="35" t="s">
        <v>151</v>
      </c>
      <c r="EA849" s="35" t="s">
        <v>151</v>
      </c>
      <c r="EB849" s="34">
        <v>6057</v>
      </c>
      <c r="EC849" s="33">
        <v>274</v>
      </c>
      <c r="ED849" s="32">
        <v>4.74</v>
      </c>
      <c r="EE849" s="34">
        <v>284</v>
      </c>
      <c r="EF849" s="33">
        <v>-73</v>
      </c>
      <c r="EG849" s="32">
        <v>-20.45</v>
      </c>
      <c r="EH849" s="29" t="s">
        <v>198</v>
      </c>
      <c r="EI849" s="30" t="s">
        <v>151</v>
      </c>
      <c r="EJ849" s="30" t="s">
        <v>151</v>
      </c>
      <c r="EK849" s="31" t="s">
        <v>151</v>
      </c>
      <c r="EL849" s="31" t="s">
        <v>151</v>
      </c>
      <c r="EM849" s="31" t="s">
        <v>151</v>
      </c>
      <c r="EN849" s="31" t="s">
        <v>151</v>
      </c>
      <c r="EO849" s="31" t="s">
        <v>151</v>
      </c>
      <c r="EP849" s="30" t="s">
        <v>151</v>
      </c>
      <c r="EQ849" s="29" t="s">
        <v>151</v>
      </c>
      <c r="ER849" s="29" t="s">
        <v>151</v>
      </c>
      <c r="ES849" s="4">
        <f>HYPERLINK("https://my.pitchbook.com?c=495383-86","View Company Online")</f>
      </c>
    </row>
    <row r="850">
      <c r="A850" s="17" t="s">
        <v>17268</v>
      </c>
      <c r="B850" s="17" t="s">
        <v>17269</v>
      </c>
      <c r="C850" s="18" t="s">
        <v>151</v>
      </c>
      <c r="D850" s="17" t="s">
        <v>151</v>
      </c>
      <c r="E850" s="17" t="s">
        <v>151</v>
      </c>
      <c r="F850" s="17" t="s">
        <v>17270</v>
      </c>
      <c r="G850" s="17" t="s">
        <v>151</v>
      </c>
      <c r="H850" s="17" t="s">
        <v>151</v>
      </c>
      <c r="I850" s="17" t="s">
        <v>151</v>
      </c>
      <c r="J850" s="17" t="s">
        <v>17268</v>
      </c>
      <c r="K850" s="17" t="s">
        <v>17271</v>
      </c>
      <c r="L850" s="17" t="s">
        <v>205</v>
      </c>
      <c r="M850" s="17" t="s">
        <v>206</v>
      </c>
      <c r="N850" s="17" t="s">
        <v>1940</v>
      </c>
      <c r="O850" s="17" t="s">
        <v>17272</v>
      </c>
      <c r="P850" s="17" t="s">
        <v>4922</v>
      </c>
      <c r="Q850" s="17" t="s">
        <v>17273</v>
      </c>
      <c r="R850" s="17" t="s">
        <v>151</v>
      </c>
      <c r="S850" s="17" t="s">
        <v>162</v>
      </c>
      <c r="T850" s="24">
        <v>3.25</v>
      </c>
      <c r="U850" s="17" t="s">
        <v>163</v>
      </c>
      <c r="V850" s="17" t="s">
        <v>164</v>
      </c>
      <c r="W850" s="17" t="s">
        <v>165</v>
      </c>
      <c r="X850" s="15" t="s">
        <v>17274</v>
      </c>
      <c r="Y850" s="15" t="s">
        <v>17275</v>
      </c>
      <c r="Z850" s="27">
        <v>30</v>
      </c>
      <c r="AA850" s="17" t="s">
        <v>17276</v>
      </c>
      <c r="AB850" s="17" t="s">
        <v>151</v>
      </c>
      <c r="AC850" s="17" t="s">
        <v>151</v>
      </c>
      <c r="AD850" s="26">
        <v>2016</v>
      </c>
      <c r="AE850" s="17" t="s">
        <v>151</v>
      </c>
      <c r="AF850" s="22">
        <v>45596</v>
      </c>
      <c r="AG850" s="17" t="s">
        <v>151</v>
      </c>
      <c r="AH850" s="17" t="s">
        <v>151</v>
      </c>
      <c r="AI850" s="25" t="s">
        <v>151</v>
      </c>
      <c r="AJ850" s="19" t="s">
        <v>151</v>
      </c>
      <c r="AK850" s="25" t="s">
        <v>151</v>
      </c>
      <c r="AL850" s="25" t="s">
        <v>151</v>
      </c>
      <c r="AM850" s="25" t="s">
        <v>151</v>
      </c>
      <c r="AN850" s="25" t="s">
        <v>151</v>
      </c>
      <c r="AO850" s="25" t="s">
        <v>151</v>
      </c>
      <c r="AP850" s="25" t="s">
        <v>151</v>
      </c>
      <c r="AQ850" s="25" t="s">
        <v>151</v>
      </c>
      <c r="AR850" s="16" t="s">
        <v>151</v>
      </c>
      <c r="AS850" s="17" t="s">
        <v>17277</v>
      </c>
      <c r="AT850" s="17" t="s">
        <v>17278</v>
      </c>
      <c r="AU850" s="18">
        <v>7</v>
      </c>
      <c r="AV850" s="17" t="s">
        <v>151</v>
      </c>
      <c r="AW850" s="17" t="s">
        <v>151</v>
      </c>
      <c r="AX850" s="17" t="s">
        <v>151</v>
      </c>
      <c r="AY850" s="17" t="s">
        <v>17279</v>
      </c>
      <c r="AZ850" s="17" t="s">
        <v>151</v>
      </c>
      <c r="BA850" s="17" t="s">
        <v>151</v>
      </c>
      <c r="BB850" s="17" t="s">
        <v>151</v>
      </c>
      <c r="BC850" s="17" t="s">
        <v>151</v>
      </c>
      <c r="BD850" s="17" t="s">
        <v>17280</v>
      </c>
      <c r="BE850" s="17" t="s">
        <v>17281</v>
      </c>
      <c r="BF850" s="17" t="s">
        <v>221</v>
      </c>
      <c r="BG850" s="17" t="s">
        <v>17282</v>
      </c>
      <c r="BH850" s="17" t="s">
        <v>17283</v>
      </c>
      <c r="BI850" s="17" t="s">
        <v>16162</v>
      </c>
      <c r="BJ850" s="17" t="s">
        <v>17284</v>
      </c>
      <c r="BK850" s="17" t="s">
        <v>17285</v>
      </c>
      <c r="BL850" s="17" t="s">
        <v>16164</v>
      </c>
      <c r="BM850" s="17" t="s">
        <v>1043</v>
      </c>
      <c r="BN850" s="16" t="s">
        <v>16165</v>
      </c>
      <c r="BO850" s="17" t="s">
        <v>186</v>
      </c>
      <c r="BP850" s="16" t="s">
        <v>17283</v>
      </c>
      <c r="BQ850" s="16" t="s">
        <v>151</v>
      </c>
      <c r="BR850" s="17" t="s">
        <v>17286</v>
      </c>
      <c r="BS850" s="17" t="s">
        <v>187</v>
      </c>
      <c r="BT850" s="17" t="s">
        <v>188</v>
      </c>
      <c r="BU850" s="22">
        <v>44682</v>
      </c>
      <c r="BV850" s="24">
        <v>3.25</v>
      </c>
      <c r="BW850" s="17" t="s">
        <v>192</v>
      </c>
      <c r="BX850" s="24" t="s">
        <v>151</v>
      </c>
      <c r="BY850" s="17" t="s">
        <v>151</v>
      </c>
      <c r="BZ850" s="17" t="s">
        <v>293</v>
      </c>
      <c r="CA850" s="17" t="s">
        <v>472</v>
      </c>
      <c r="CB850" s="17" t="s">
        <v>151</v>
      </c>
      <c r="CC850" s="17" t="s">
        <v>165</v>
      </c>
      <c r="CD850" s="17" t="s">
        <v>151</v>
      </c>
      <c r="CE850" s="17" t="s">
        <v>191</v>
      </c>
      <c r="CF850" s="22">
        <v>45323</v>
      </c>
      <c r="CG850" s="24" t="s">
        <v>151</v>
      </c>
      <c r="CH850" s="17" t="s">
        <v>151</v>
      </c>
      <c r="CI850" s="24" t="s">
        <v>151</v>
      </c>
      <c r="CJ850" s="17" t="s">
        <v>151</v>
      </c>
      <c r="CK850" s="16" t="s">
        <v>151</v>
      </c>
      <c r="CL850" s="17" t="s">
        <v>189</v>
      </c>
      <c r="CM850" s="17" t="s">
        <v>151</v>
      </c>
      <c r="CN850" s="17" t="s">
        <v>151</v>
      </c>
      <c r="CO850" s="17" t="s">
        <v>190</v>
      </c>
      <c r="CP850" s="22">
        <v>45323</v>
      </c>
      <c r="CQ850" s="24" t="s">
        <v>151</v>
      </c>
      <c r="CR850" s="17" t="s">
        <v>151</v>
      </c>
      <c r="CS850" s="17" t="s">
        <v>191</v>
      </c>
      <c r="CT850" s="16">
        <v>60</v>
      </c>
      <c r="CU850" s="17" t="s">
        <v>196</v>
      </c>
      <c r="CV850" s="19">
        <v>57</v>
      </c>
      <c r="CW850" s="19">
        <v>43</v>
      </c>
      <c r="CX850" s="17" t="s">
        <v>294</v>
      </c>
      <c r="CY850" s="19">
        <v>2</v>
      </c>
      <c r="CZ850" s="19">
        <v>55</v>
      </c>
      <c r="DA850" s="24" t="s">
        <v>151</v>
      </c>
      <c r="DB850" s="22" t="s">
        <v>151</v>
      </c>
      <c r="DC850" s="17" t="s">
        <v>151</v>
      </c>
      <c r="DD850" s="16" t="s">
        <v>151</v>
      </c>
      <c r="DE850" s="19">
        <v>0</v>
      </c>
      <c r="DF850" s="21">
        <v>11</v>
      </c>
      <c r="DG850" s="19">
        <v>0</v>
      </c>
      <c r="DH850" s="19">
        <v>0</v>
      </c>
      <c r="DI850" s="19">
        <v>0</v>
      </c>
      <c r="DJ850" s="21">
        <v>10</v>
      </c>
      <c r="DK850" s="19" t="s">
        <v>151</v>
      </c>
      <c r="DL850" s="21" t="s">
        <v>151</v>
      </c>
      <c r="DM850" s="19">
        <v>0</v>
      </c>
      <c r="DN850" s="21">
        <v>10</v>
      </c>
      <c r="DO850" s="23">
        <v>2.59</v>
      </c>
      <c r="DP850" s="21">
        <v>72</v>
      </c>
      <c r="DQ850" s="23">
        <v>0</v>
      </c>
      <c r="DR850" s="19">
        <v>0</v>
      </c>
      <c r="DS850" s="23">
        <v>3.95</v>
      </c>
      <c r="DT850" s="21">
        <v>79</v>
      </c>
      <c r="DU850" s="23" t="s">
        <v>151</v>
      </c>
      <c r="DV850" s="21" t="s">
        <v>151</v>
      </c>
      <c r="DW850" s="23">
        <v>3.95</v>
      </c>
      <c r="DX850" s="21">
        <v>78</v>
      </c>
      <c r="DY850" s="18" t="s">
        <v>151</v>
      </c>
      <c r="DZ850" s="22" t="s">
        <v>151</v>
      </c>
      <c r="EA850" s="22" t="s">
        <v>151</v>
      </c>
      <c r="EB850" s="21">
        <v>1450</v>
      </c>
      <c r="EC850" s="20">
        <v>71</v>
      </c>
      <c r="ED850" s="19">
        <v>5.15</v>
      </c>
      <c r="EE850" s="21">
        <v>75</v>
      </c>
      <c r="EF850" s="20">
        <v>0</v>
      </c>
      <c r="EG850" s="19">
        <v>0</v>
      </c>
      <c r="EH850" s="16" t="s">
        <v>198</v>
      </c>
      <c r="EI850" s="17" t="s">
        <v>151</v>
      </c>
      <c r="EJ850" s="17" t="s">
        <v>151</v>
      </c>
      <c r="EK850" s="18" t="s">
        <v>151</v>
      </c>
      <c r="EL850" s="18" t="s">
        <v>151</v>
      </c>
      <c r="EM850" s="18" t="s">
        <v>151</v>
      </c>
      <c r="EN850" s="18" t="s">
        <v>151</v>
      </c>
      <c r="EO850" s="18" t="s">
        <v>151</v>
      </c>
      <c r="EP850" s="17" t="s">
        <v>151</v>
      </c>
      <c r="EQ850" s="16" t="s">
        <v>151</v>
      </c>
      <c r="ER850" s="16" t="s">
        <v>151</v>
      </c>
      <c r="ES850" s="3">
        <f>HYPERLINK("https://my.pitchbook.com?c=482264-02","View Company Online")</f>
      </c>
    </row>
    <row r="851">
      <c r="A851" s="30" t="s">
        <v>17287</v>
      </c>
      <c r="B851" s="30" t="s">
        <v>17288</v>
      </c>
      <c r="C851" s="31" t="s">
        <v>151</v>
      </c>
      <c r="D851" s="30" t="s">
        <v>151</v>
      </c>
      <c r="E851" s="30" t="s">
        <v>151</v>
      </c>
      <c r="F851" s="30" t="s">
        <v>17289</v>
      </c>
      <c r="G851" s="30" t="s">
        <v>151</v>
      </c>
      <c r="H851" s="30" t="s">
        <v>151</v>
      </c>
      <c r="I851" s="30" t="s">
        <v>151</v>
      </c>
      <c r="J851" s="30" t="s">
        <v>17287</v>
      </c>
      <c r="K851" s="30" t="s">
        <v>17290</v>
      </c>
      <c r="L851" s="30" t="s">
        <v>205</v>
      </c>
      <c r="M851" s="30" t="s">
        <v>206</v>
      </c>
      <c r="N851" s="30" t="s">
        <v>269</v>
      </c>
      <c r="O851" s="30" t="s">
        <v>563</v>
      </c>
      <c r="P851" s="30" t="s">
        <v>7675</v>
      </c>
      <c r="Q851" s="30" t="s">
        <v>17291</v>
      </c>
      <c r="R851" s="30" t="s">
        <v>151</v>
      </c>
      <c r="S851" s="30" t="s">
        <v>162</v>
      </c>
      <c r="T851" s="37">
        <v>2.85</v>
      </c>
      <c r="U851" s="30" t="s">
        <v>163</v>
      </c>
      <c r="V851" s="30" t="s">
        <v>164</v>
      </c>
      <c r="W851" s="30" t="s">
        <v>165</v>
      </c>
      <c r="X851" s="28" t="s">
        <v>17292</v>
      </c>
      <c r="Y851" s="28" t="s">
        <v>17293</v>
      </c>
      <c r="Z851" s="40">
        <v>13</v>
      </c>
      <c r="AA851" s="30" t="s">
        <v>17294</v>
      </c>
      <c r="AB851" s="30" t="s">
        <v>151</v>
      </c>
      <c r="AC851" s="30" t="s">
        <v>151</v>
      </c>
      <c r="AD851" s="39">
        <v>2018</v>
      </c>
      <c r="AE851" s="30" t="s">
        <v>151</v>
      </c>
      <c r="AF851" s="35">
        <v>45581</v>
      </c>
      <c r="AG851" s="30" t="s">
        <v>151</v>
      </c>
      <c r="AH851" s="30" t="s">
        <v>151</v>
      </c>
      <c r="AI851" s="38" t="s">
        <v>151</v>
      </c>
      <c r="AJ851" s="32" t="s">
        <v>151</v>
      </c>
      <c r="AK851" s="38" t="s">
        <v>151</v>
      </c>
      <c r="AL851" s="38" t="s">
        <v>151</v>
      </c>
      <c r="AM851" s="38" t="s">
        <v>151</v>
      </c>
      <c r="AN851" s="38" t="s">
        <v>151</v>
      </c>
      <c r="AO851" s="38" t="s">
        <v>151</v>
      </c>
      <c r="AP851" s="38" t="s">
        <v>151</v>
      </c>
      <c r="AQ851" s="38" t="s">
        <v>151</v>
      </c>
      <c r="AR851" s="29" t="s">
        <v>151</v>
      </c>
      <c r="AS851" s="30" t="s">
        <v>17295</v>
      </c>
      <c r="AT851" s="30" t="s">
        <v>17296</v>
      </c>
      <c r="AU851" s="31">
        <v>21</v>
      </c>
      <c r="AV851" s="30" t="s">
        <v>151</v>
      </c>
      <c r="AW851" s="30" t="s">
        <v>954</v>
      </c>
      <c r="AX851" s="30" t="s">
        <v>151</v>
      </c>
      <c r="AY851" s="30" t="s">
        <v>17297</v>
      </c>
      <c r="AZ851" s="30" t="s">
        <v>956</v>
      </c>
      <c r="BA851" s="30" t="s">
        <v>151</v>
      </c>
      <c r="BB851" s="30" t="s">
        <v>151</v>
      </c>
      <c r="BC851" s="30" t="s">
        <v>17298</v>
      </c>
      <c r="BD851" s="30" t="s">
        <v>17299</v>
      </c>
      <c r="BE851" s="30" t="s">
        <v>17300</v>
      </c>
      <c r="BF851" s="30" t="s">
        <v>17301</v>
      </c>
      <c r="BG851" s="30" t="s">
        <v>17302</v>
      </c>
      <c r="BH851" s="30" t="s">
        <v>17303</v>
      </c>
      <c r="BI851" s="30" t="s">
        <v>2430</v>
      </c>
      <c r="BJ851" s="30" t="s">
        <v>17304</v>
      </c>
      <c r="BK851" s="30" t="s">
        <v>1597</v>
      </c>
      <c r="BL851" s="30" t="s">
        <v>2432</v>
      </c>
      <c r="BM851" s="30" t="s">
        <v>322</v>
      </c>
      <c r="BN851" s="29" t="s">
        <v>17305</v>
      </c>
      <c r="BO851" s="30" t="s">
        <v>186</v>
      </c>
      <c r="BP851" s="29" t="s">
        <v>17303</v>
      </c>
      <c r="BQ851" s="29" t="s">
        <v>151</v>
      </c>
      <c r="BR851" s="30" t="s">
        <v>17306</v>
      </c>
      <c r="BS851" s="30" t="s">
        <v>187</v>
      </c>
      <c r="BT851" s="30" t="s">
        <v>188</v>
      </c>
      <c r="BU851" s="35">
        <v>43672</v>
      </c>
      <c r="BV851" s="37">
        <v>0.02</v>
      </c>
      <c r="BW851" s="30" t="s">
        <v>192</v>
      </c>
      <c r="BX851" s="37" t="s">
        <v>151</v>
      </c>
      <c r="BY851" s="30" t="s">
        <v>151</v>
      </c>
      <c r="BZ851" s="30" t="s">
        <v>501</v>
      </c>
      <c r="CA851" s="30" t="s">
        <v>151</v>
      </c>
      <c r="CB851" s="30" t="s">
        <v>151</v>
      </c>
      <c r="CC851" s="30" t="s">
        <v>190</v>
      </c>
      <c r="CD851" s="30" t="s">
        <v>151</v>
      </c>
      <c r="CE851" s="30" t="s">
        <v>191</v>
      </c>
      <c r="CF851" s="35">
        <v>45566</v>
      </c>
      <c r="CG851" s="37" t="s">
        <v>151</v>
      </c>
      <c r="CH851" s="30" t="s">
        <v>151</v>
      </c>
      <c r="CI851" s="37" t="s">
        <v>151</v>
      </c>
      <c r="CJ851" s="30" t="s">
        <v>151</v>
      </c>
      <c r="CK851" s="29" t="s">
        <v>151</v>
      </c>
      <c r="CL851" s="30" t="s">
        <v>189</v>
      </c>
      <c r="CM851" s="30" t="s">
        <v>151</v>
      </c>
      <c r="CN851" s="30" t="s">
        <v>151</v>
      </c>
      <c r="CO851" s="30" t="s">
        <v>190</v>
      </c>
      <c r="CP851" s="35">
        <v>45566</v>
      </c>
      <c r="CQ851" s="37" t="s">
        <v>151</v>
      </c>
      <c r="CR851" s="30" t="s">
        <v>151</v>
      </c>
      <c r="CS851" s="30" t="s">
        <v>191</v>
      </c>
      <c r="CT851" s="29">
        <v>74</v>
      </c>
      <c r="CU851" s="30" t="s">
        <v>196</v>
      </c>
      <c r="CV851" s="32">
        <v>68</v>
      </c>
      <c r="CW851" s="32">
        <v>32</v>
      </c>
      <c r="CX851" s="30" t="s">
        <v>294</v>
      </c>
      <c r="CY851" s="32">
        <v>1</v>
      </c>
      <c r="CZ851" s="32">
        <v>67</v>
      </c>
      <c r="DA851" s="37">
        <v>8.89</v>
      </c>
      <c r="DB851" s="35">
        <v>44753</v>
      </c>
      <c r="DC851" s="30" t="s">
        <v>293</v>
      </c>
      <c r="DD851" s="29" t="s">
        <v>151</v>
      </c>
      <c r="DE851" s="32">
        <v>0.49</v>
      </c>
      <c r="DF851" s="34">
        <v>94</v>
      </c>
      <c r="DG851" s="32">
        <v>0</v>
      </c>
      <c r="DH851" s="32">
        <v>0</v>
      </c>
      <c r="DI851" s="32">
        <v>0.49</v>
      </c>
      <c r="DJ851" s="34">
        <v>95</v>
      </c>
      <c r="DK851" s="32" t="s">
        <v>151</v>
      </c>
      <c r="DL851" s="34" t="s">
        <v>151</v>
      </c>
      <c r="DM851" s="32">
        <v>0.49</v>
      </c>
      <c r="DN851" s="34">
        <v>95</v>
      </c>
      <c r="DO851" s="36">
        <v>5.47</v>
      </c>
      <c r="DP851" s="34">
        <v>83</v>
      </c>
      <c r="DQ851" s="36">
        <v>0</v>
      </c>
      <c r="DR851" s="32">
        <v>0</v>
      </c>
      <c r="DS851" s="36">
        <v>5.47</v>
      </c>
      <c r="DT851" s="34">
        <v>83</v>
      </c>
      <c r="DU851" s="36" t="s">
        <v>151</v>
      </c>
      <c r="DV851" s="34" t="s">
        <v>151</v>
      </c>
      <c r="DW851" s="36">
        <v>5.47</v>
      </c>
      <c r="DX851" s="34">
        <v>83</v>
      </c>
      <c r="DY851" s="31" t="s">
        <v>151</v>
      </c>
      <c r="DZ851" s="35" t="s">
        <v>151</v>
      </c>
      <c r="EA851" s="35" t="s">
        <v>151</v>
      </c>
      <c r="EB851" s="34">
        <v>628</v>
      </c>
      <c r="EC851" s="33">
        <v>75</v>
      </c>
      <c r="ED851" s="32">
        <v>13.56</v>
      </c>
      <c r="EE851" s="34">
        <v>104</v>
      </c>
      <c r="EF851" s="33">
        <v>1</v>
      </c>
      <c r="EG851" s="32">
        <v>0.97</v>
      </c>
      <c r="EH851" s="29" t="s">
        <v>198</v>
      </c>
      <c r="EI851" s="30" t="s">
        <v>151</v>
      </c>
      <c r="EJ851" s="30" t="s">
        <v>151</v>
      </c>
      <c r="EK851" s="31" t="s">
        <v>151</v>
      </c>
      <c r="EL851" s="31" t="s">
        <v>151</v>
      </c>
      <c r="EM851" s="31" t="s">
        <v>151</v>
      </c>
      <c r="EN851" s="31" t="s">
        <v>151</v>
      </c>
      <c r="EO851" s="31" t="s">
        <v>151</v>
      </c>
      <c r="EP851" s="30" t="s">
        <v>151</v>
      </c>
      <c r="EQ851" s="29" t="s">
        <v>151</v>
      </c>
      <c r="ER851" s="29" t="s">
        <v>151</v>
      </c>
      <c r="ES851" s="4">
        <f>HYPERLINK("https://my.pitchbook.com?c=454723-03","View Company Online")</f>
      </c>
    </row>
    <row r="852">
      <c r="A852" s="17" t="s">
        <v>17307</v>
      </c>
      <c r="B852" s="17" t="s">
        <v>17308</v>
      </c>
      <c r="C852" s="18" t="s">
        <v>151</v>
      </c>
      <c r="D852" s="17" t="s">
        <v>151</v>
      </c>
      <c r="E852" s="17" t="s">
        <v>151</v>
      </c>
      <c r="F852" s="17" t="s">
        <v>17309</v>
      </c>
      <c r="G852" s="17" t="s">
        <v>151</v>
      </c>
      <c r="H852" s="17" t="s">
        <v>151</v>
      </c>
      <c r="I852" s="17" t="s">
        <v>151</v>
      </c>
      <c r="J852" s="17" t="s">
        <v>17307</v>
      </c>
      <c r="K852" s="17" t="s">
        <v>17310</v>
      </c>
      <c r="L852" s="17" t="s">
        <v>205</v>
      </c>
      <c r="M852" s="17" t="s">
        <v>206</v>
      </c>
      <c r="N852" s="17" t="s">
        <v>269</v>
      </c>
      <c r="O852" s="17" t="s">
        <v>17311</v>
      </c>
      <c r="P852" s="17" t="s">
        <v>1000</v>
      </c>
      <c r="Q852" s="17" t="s">
        <v>17312</v>
      </c>
      <c r="R852" s="17" t="s">
        <v>151</v>
      </c>
      <c r="S852" s="17" t="s">
        <v>162</v>
      </c>
      <c r="T852" s="24">
        <v>2.51</v>
      </c>
      <c r="U852" s="17" t="s">
        <v>163</v>
      </c>
      <c r="V852" s="17" t="s">
        <v>164</v>
      </c>
      <c r="W852" s="17" t="s">
        <v>165</v>
      </c>
      <c r="X852" s="15" t="s">
        <v>17313</v>
      </c>
      <c r="Y852" s="15" t="s">
        <v>17314</v>
      </c>
      <c r="Z852" s="27">
        <v>10</v>
      </c>
      <c r="AA852" s="17" t="s">
        <v>17315</v>
      </c>
      <c r="AB852" s="17" t="s">
        <v>151</v>
      </c>
      <c r="AC852" s="17" t="s">
        <v>151</v>
      </c>
      <c r="AD852" s="26">
        <v>2017</v>
      </c>
      <c r="AE852" s="17" t="s">
        <v>151</v>
      </c>
      <c r="AF852" s="22">
        <v>45527</v>
      </c>
      <c r="AG852" s="17" t="s">
        <v>151</v>
      </c>
      <c r="AH852" s="17" t="s">
        <v>151</v>
      </c>
      <c r="AI852" s="25" t="s">
        <v>151</v>
      </c>
      <c r="AJ852" s="19" t="s">
        <v>151</v>
      </c>
      <c r="AK852" s="25" t="s">
        <v>151</v>
      </c>
      <c r="AL852" s="25" t="s">
        <v>151</v>
      </c>
      <c r="AM852" s="25" t="s">
        <v>151</v>
      </c>
      <c r="AN852" s="25" t="s">
        <v>151</v>
      </c>
      <c r="AO852" s="25" t="s">
        <v>151</v>
      </c>
      <c r="AP852" s="25" t="s">
        <v>151</v>
      </c>
      <c r="AQ852" s="25" t="s">
        <v>151</v>
      </c>
      <c r="AR852" s="16" t="s">
        <v>151</v>
      </c>
      <c r="AS852" s="17" t="s">
        <v>17316</v>
      </c>
      <c r="AT852" s="17" t="s">
        <v>17317</v>
      </c>
      <c r="AU852" s="18">
        <v>7</v>
      </c>
      <c r="AV852" s="17" t="s">
        <v>151</v>
      </c>
      <c r="AW852" s="17" t="s">
        <v>151</v>
      </c>
      <c r="AX852" s="17" t="s">
        <v>151</v>
      </c>
      <c r="AY852" s="17" t="s">
        <v>17318</v>
      </c>
      <c r="AZ852" s="17" t="s">
        <v>151</v>
      </c>
      <c r="BA852" s="17" t="s">
        <v>151</v>
      </c>
      <c r="BB852" s="17" t="s">
        <v>151</v>
      </c>
      <c r="BC852" s="17" t="s">
        <v>151</v>
      </c>
      <c r="BD852" s="17" t="s">
        <v>17319</v>
      </c>
      <c r="BE852" s="17" t="s">
        <v>17320</v>
      </c>
      <c r="BF852" s="17" t="s">
        <v>17321</v>
      </c>
      <c r="BG852" s="17" t="s">
        <v>17322</v>
      </c>
      <c r="BH852" s="17" t="s">
        <v>151</v>
      </c>
      <c r="BI852" s="17" t="s">
        <v>906</v>
      </c>
      <c r="BJ852" s="17" t="s">
        <v>151</v>
      </c>
      <c r="BK852" s="17" t="s">
        <v>151</v>
      </c>
      <c r="BL852" s="17" t="s">
        <v>259</v>
      </c>
      <c r="BM852" s="17" t="s">
        <v>259</v>
      </c>
      <c r="BN852" s="16" t="s">
        <v>151</v>
      </c>
      <c r="BO852" s="17" t="s">
        <v>186</v>
      </c>
      <c r="BP852" s="16" t="s">
        <v>151</v>
      </c>
      <c r="BQ852" s="16" t="s">
        <v>151</v>
      </c>
      <c r="BR852" s="17" t="s">
        <v>17323</v>
      </c>
      <c r="BS852" s="17" t="s">
        <v>187</v>
      </c>
      <c r="BT852" s="17" t="s">
        <v>188</v>
      </c>
      <c r="BU852" s="22">
        <v>44621</v>
      </c>
      <c r="BV852" s="24">
        <v>0.71</v>
      </c>
      <c r="BW852" s="17" t="s">
        <v>193</v>
      </c>
      <c r="BX852" s="24">
        <v>2.86</v>
      </c>
      <c r="BY852" s="17" t="s">
        <v>192</v>
      </c>
      <c r="BZ852" s="17" t="s">
        <v>293</v>
      </c>
      <c r="CA852" s="17" t="s">
        <v>661</v>
      </c>
      <c r="CB852" s="17" t="s">
        <v>151</v>
      </c>
      <c r="CC852" s="17" t="s">
        <v>165</v>
      </c>
      <c r="CD852" s="17" t="s">
        <v>151</v>
      </c>
      <c r="CE852" s="17" t="s">
        <v>191</v>
      </c>
      <c r="CF852" s="22">
        <v>45183</v>
      </c>
      <c r="CG852" s="24">
        <v>1.8</v>
      </c>
      <c r="CH852" s="17" t="s">
        <v>192</v>
      </c>
      <c r="CI852" s="24">
        <v>6</v>
      </c>
      <c r="CJ852" s="17" t="s">
        <v>192</v>
      </c>
      <c r="CK852" s="16">
        <v>1.47</v>
      </c>
      <c r="CL852" s="17" t="s">
        <v>293</v>
      </c>
      <c r="CM852" s="17" t="s">
        <v>661</v>
      </c>
      <c r="CN852" s="17" t="s">
        <v>151</v>
      </c>
      <c r="CO852" s="17" t="s">
        <v>165</v>
      </c>
      <c r="CP852" s="22">
        <v>45183</v>
      </c>
      <c r="CQ852" s="24" t="s">
        <v>151</v>
      </c>
      <c r="CR852" s="17" t="s">
        <v>151</v>
      </c>
      <c r="CS852" s="17" t="s">
        <v>191</v>
      </c>
      <c r="CT852" s="16">
        <v>64</v>
      </c>
      <c r="CU852" s="17" t="s">
        <v>196</v>
      </c>
      <c r="CV852" s="19">
        <v>60</v>
      </c>
      <c r="CW852" s="19">
        <v>40</v>
      </c>
      <c r="CX852" s="17" t="s">
        <v>294</v>
      </c>
      <c r="CY852" s="19">
        <v>1</v>
      </c>
      <c r="CZ852" s="19">
        <v>59</v>
      </c>
      <c r="DA852" s="24">
        <v>6</v>
      </c>
      <c r="DB852" s="22">
        <v>45183</v>
      </c>
      <c r="DC852" s="17" t="s">
        <v>293</v>
      </c>
      <c r="DD852" s="16">
        <v>1.47</v>
      </c>
      <c r="DE852" s="19" t="s">
        <v>151</v>
      </c>
      <c r="DF852" s="21" t="s">
        <v>151</v>
      </c>
      <c r="DG852" s="19" t="s">
        <v>151</v>
      </c>
      <c r="DH852" s="19" t="s">
        <v>151</v>
      </c>
      <c r="DI852" s="19" t="s">
        <v>151</v>
      </c>
      <c r="DJ852" s="21" t="s">
        <v>151</v>
      </c>
      <c r="DK852" s="19" t="s">
        <v>151</v>
      </c>
      <c r="DL852" s="21" t="s">
        <v>151</v>
      </c>
      <c r="DM852" s="19" t="s">
        <v>151</v>
      </c>
      <c r="DN852" s="21" t="s">
        <v>151</v>
      </c>
      <c r="DO852" s="23" t="s">
        <v>151</v>
      </c>
      <c r="DP852" s="21" t="s">
        <v>151</v>
      </c>
      <c r="DQ852" s="23" t="s">
        <v>151</v>
      </c>
      <c r="DR852" s="19" t="s">
        <v>151</v>
      </c>
      <c r="DS852" s="23" t="s">
        <v>151</v>
      </c>
      <c r="DT852" s="21" t="s">
        <v>151</v>
      </c>
      <c r="DU852" s="23" t="s">
        <v>151</v>
      </c>
      <c r="DV852" s="21" t="s">
        <v>151</v>
      </c>
      <c r="DW852" s="23" t="s">
        <v>151</v>
      </c>
      <c r="DX852" s="21" t="s">
        <v>151</v>
      </c>
      <c r="DY852" s="18" t="s">
        <v>151</v>
      </c>
      <c r="DZ852" s="22" t="s">
        <v>151</v>
      </c>
      <c r="EA852" s="22" t="s">
        <v>151</v>
      </c>
      <c r="EB852" s="21" t="s">
        <v>151</v>
      </c>
      <c r="EC852" s="20" t="s">
        <v>151</v>
      </c>
      <c r="ED852" s="19" t="s">
        <v>151</v>
      </c>
      <c r="EE852" s="21" t="s">
        <v>151</v>
      </c>
      <c r="EF852" s="20" t="s">
        <v>151</v>
      </c>
      <c r="EG852" s="19" t="s">
        <v>151</v>
      </c>
      <c r="EH852" s="16" t="s">
        <v>198</v>
      </c>
      <c r="EI852" s="17" t="s">
        <v>151</v>
      </c>
      <c r="EJ852" s="17" t="s">
        <v>151</v>
      </c>
      <c r="EK852" s="18" t="s">
        <v>151</v>
      </c>
      <c r="EL852" s="18" t="s">
        <v>151</v>
      </c>
      <c r="EM852" s="18" t="s">
        <v>151</v>
      </c>
      <c r="EN852" s="18" t="s">
        <v>151</v>
      </c>
      <c r="EO852" s="18" t="s">
        <v>151</v>
      </c>
      <c r="EP852" s="17" t="s">
        <v>151</v>
      </c>
      <c r="EQ852" s="16" t="s">
        <v>151</v>
      </c>
      <c r="ER852" s="16" t="s">
        <v>151</v>
      </c>
      <c r="ES852" s="3">
        <f>HYPERLINK("https://my.pitchbook.com?c=493701-85","View Company Online")</f>
      </c>
    </row>
    <row r="853">
      <c r="A853" s="30" t="s">
        <v>17324</v>
      </c>
      <c r="B853" s="30" t="s">
        <v>17325</v>
      </c>
      <c r="C853" s="31" t="s">
        <v>151</v>
      </c>
      <c r="D853" s="30" t="s">
        <v>17326</v>
      </c>
      <c r="E853" s="30" t="s">
        <v>17327</v>
      </c>
      <c r="F853" s="30" t="s">
        <v>17328</v>
      </c>
      <c r="G853" s="30" t="s">
        <v>151</v>
      </c>
      <c r="H853" s="30" t="s">
        <v>151</v>
      </c>
      <c r="I853" s="30" t="s">
        <v>17329</v>
      </c>
      <c r="J853" s="30" t="s">
        <v>17324</v>
      </c>
      <c r="K853" s="30" t="s">
        <v>17330</v>
      </c>
      <c r="L853" s="30" t="s">
        <v>205</v>
      </c>
      <c r="M853" s="30" t="s">
        <v>206</v>
      </c>
      <c r="N853" s="30" t="s">
        <v>269</v>
      </c>
      <c r="O853" s="30" t="s">
        <v>3056</v>
      </c>
      <c r="P853" s="30" t="s">
        <v>1153</v>
      </c>
      <c r="Q853" s="30" t="s">
        <v>17331</v>
      </c>
      <c r="R853" s="30" t="s">
        <v>151</v>
      </c>
      <c r="S853" s="30" t="s">
        <v>162</v>
      </c>
      <c r="T853" s="37">
        <v>6.33</v>
      </c>
      <c r="U853" s="30" t="s">
        <v>163</v>
      </c>
      <c r="V853" s="30" t="s">
        <v>164</v>
      </c>
      <c r="W853" s="30" t="s">
        <v>165</v>
      </c>
      <c r="X853" s="28" t="s">
        <v>17332</v>
      </c>
      <c r="Y853" s="28" t="s">
        <v>17333</v>
      </c>
      <c r="Z853" s="40">
        <v>17</v>
      </c>
      <c r="AA853" s="30" t="s">
        <v>17334</v>
      </c>
      <c r="AB853" s="30" t="s">
        <v>151</v>
      </c>
      <c r="AC853" s="30" t="s">
        <v>151</v>
      </c>
      <c r="AD853" s="39">
        <v>2019</v>
      </c>
      <c r="AE853" s="30" t="s">
        <v>151</v>
      </c>
      <c r="AF853" s="35">
        <v>45469</v>
      </c>
      <c r="AG853" s="30" t="s">
        <v>151</v>
      </c>
      <c r="AH853" s="30" t="s">
        <v>151</v>
      </c>
      <c r="AI853" s="38">
        <v>3</v>
      </c>
      <c r="AJ853" s="32">
        <v>140</v>
      </c>
      <c r="AK853" s="38" t="s">
        <v>151</v>
      </c>
      <c r="AL853" s="38" t="s">
        <v>151</v>
      </c>
      <c r="AM853" s="38" t="s">
        <v>151</v>
      </c>
      <c r="AN853" s="38" t="s">
        <v>151</v>
      </c>
      <c r="AO853" s="38" t="s">
        <v>151</v>
      </c>
      <c r="AP853" s="38" t="s">
        <v>151</v>
      </c>
      <c r="AQ853" s="38" t="s">
        <v>151</v>
      </c>
      <c r="AR853" s="29" t="s">
        <v>170</v>
      </c>
      <c r="AS853" s="30" t="s">
        <v>17335</v>
      </c>
      <c r="AT853" s="30" t="s">
        <v>17336</v>
      </c>
      <c r="AU853" s="31">
        <v>12</v>
      </c>
      <c r="AV853" s="30" t="s">
        <v>151</v>
      </c>
      <c r="AW853" s="30" t="s">
        <v>151</v>
      </c>
      <c r="AX853" s="30" t="s">
        <v>151</v>
      </c>
      <c r="AY853" s="30" t="s">
        <v>17337</v>
      </c>
      <c r="AZ853" s="30" t="s">
        <v>151</v>
      </c>
      <c r="BA853" s="30" t="s">
        <v>151</v>
      </c>
      <c r="BB853" s="30" t="s">
        <v>17338</v>
      </c>
      <c r="BC853" s="30" t="s">
        <v>17339</v>
      </c>
      <c r="BD853" s="30" t="s">
        <v>17340</v>
      </c>
      <c r="BE853" s="30" t="s">
        <v>17341</v>
      </c>
      <c r="BF853" s="30" t="s">
        <v>493</v>
      </c>
      <c r="BG853" s="30" t="s">
        <v>17342</v>
      </c>
      <c r="BH853" s="30" t="s">
        <v>17343</v>
      </c>
      <c r="BI853" s="30" t="s">
        <v>15399</v>
      </c>
      <c r="BJ853" s="30" t="s">
        <v>17344</v>
      </c>
      <c r="BK853" s="30" t="s">
        <v>151</v>
      </c>
      <c r="BL853" s="30" t="s">
        <v>15401</v>
      </c>
      <c r="BM853" s="30" t="s">
        <v>15402</v>
      </c>
      <c r="BN853" s="29" t="s">
        <v>17345</v>
      </c>
      <c r="BO853" s="30" t="s">
        <v>186</v>
      </c>
      <c r="BP853" s="29" t="s">
        <v>17346</v>
      </c>
      <c r="BQ853" s="29" t="s">
        <v>151</v>
      </c>
      <c r="BR853" s="30" t="s">
        <v>17347</v>
      </c>
      <c r="BS853" s="30" t="s">
        <v>187</v>
      </c>
      <c r="BT853" s="30" t="s">
        <v>188</v>
      </c>
      <c r="BU853" s="35">
        <v>43861</v>
      </c>
      <c r="BV853" s="37">
        <v>0.15</v>
      </c>
      <c r="BW853" s="30" t="s">
        <v>192</v>
      </c>
      <c r="BX853" s="37" t="s">
        <v>151</v>
      </c>
      <c r="BY853" s="30" t="s">
        <v>151</v>
      </c>
      <c r="BZ853" s="30" t="s">
        <v>1075</v>
      </c>
      <c r="CA853" s="30" t="s">
        <v>1075</v>
      </c>
      <c r="CB853" s="30" t="s">
        <v>151</v>
      </c>
      <c r="CC853" s="30" t="s">
        <v>585</v>
      </c>
      <c r="CD853" s="30" t="s">
        <v>17348</v>
      </c>
      <c r="CE853" s="30" t="s">
        <v>191</v>
      </c>
      <c r="CF853" s="35">
        <v>44960</v>
      </c>
      <c r="CG853" s="37">
        <v>2</v>
      </c>
      <c r="CH853" s="30" t="s">
        <v>192</v>
      </c>
      <c r="CI853" s="37" t="s">
        <v>151</v>
      </c>
      <c r="CJ853" s="30" t="s">
        <v>151</v>
      </c>
      <c r="CK853" s="29" t="s">
        <v>151</v>
      </c>
      <c r="CL853" s="30" t="s">
        <v>231</v>
      </c>
      <c r="CM853" s="30" t="s">
        <v>151</v>
      </c>
      <c r="CN853" s="30" t="s">
        <v>151</v>
      </c>
      <c r="CO853" s="30" t="s">
        <v>165</v>
      </c>
      <c r="CP853" s="35">
        <v>44960</v>
      </c>
      <c r="CQ853" s="37" t="s">
        <v>151</v>
      </c>
      <c r="CR853" s="30" t="s">
        <v>151</v>
      </c>
      <c r="CS853" s="30" t="s">
        <v>191</v>
      </c>
      <c r="CT853" s="29">
        <v>45</v>
      </c>
      <c r="CU853" s="30" t="s">
        <v>263</v>
      </c>
      <c r="CV853" s="32">
        <v>44</v>
      </c>
      <c r="CW853" s="32">
        <v>56</v>
      </c>
      <c r="CX853" s="30" t="s">
        <v>263</v>
      </c>
      <c r="CY853" s="32">
        <v>1</v>
      </c>
      <c r="CZ853" s="32">
        <v>43</v>
      </c>
      <c r="DA853" s="37">
        <v>20</v>
      </c>
      <c r="DB853" s="35">
        <v>44866</v>
      </c>
      <c r="DC853" s="30" t="s">
        <v>231</v>
      </c>
      <c r="DD853" s="29">
        <v>1.44</v>
      </c>
      <c r="DE853" s="32">
        <v>0</v>
      </c>
      <c r="DF853" s="34">
        <v>11</v>
      </c>
      <c r="DG853" s="32">
        <v>0</v>
      </c>
      <c r="DH853" s="32">
        <v>0</v>
      </c>
      <c r="DI853" s="32">
        <v>0</v>
      </c>
      <c r="DJ853" s="34">
        <v>10</v>
      </c>
      <c r="DK853" s="32" t="s">
        <v>151</v>
      </c>
      <c r="DL853" s="34" t="s">
        <v>151</v>
      </c>
      <c r="DM853" s="32">
        <v>0</v>
      </c>
      <c r="DN853" s="34">
        <v>10</v>
      </c>
      <c r="DO853" s="36">
        <v>2.34</v>
      </c>
      <c r="DP853" s="34">
        <v>70</v>
      </c>
      <c r="DQ853" s="36">
        <v>0</v>
      </c>
      <c r="DR853" s="32">
        <v>0</v>
      </c>
      <c r="DS853" s="36">
        <v>3.37</v>
      </c>
      <c r="DT853" s="34">
        <v>76</v>
      </c>
      <c r="DU853" s="36" t="s">
        <v>151</v>
      </c>
      <c r="DV853" s="34" t="s">
        <v>151</v>
      </c>
      <c r="DW853" s="36">
        <v>3.37</v>
      </c>
      <c r="DX853" s="34">
        <v>76</v>
      </c>
      <c r="DY853" s="31">
        <v>2</v>
      </c>
      <c r="DZ853" s="35">
        <v>45056</v>
      </c>
      <c r="EA853" s="35" t="s">
        <v>151</v>
      </c>
      <c r="EB853" s="34">
        <v>216</v>
      </c>
      <c r="EC853" s="33">
        <v>48</v>
      </c>
      <c r="ED853" s="32">
        <v>28.57</v>
      </c>
      <c r="EE853" s="34">
        <v>64</v>
      </c>
      <c r="EF853" s="33">
        <v>0</v>
      </c>
      <c r="EG853" s="32">
        <v>0</v>
      </c>
      <c r="EH853" s="29" t="s">
        <v>198</v>
      </c>
      <c r="EI853" s="30" t="s">
        <v>151</v>
      </c>
      <c r="EJ853" s="30" t="s">
        <v>151</v>
      </c>
      <c r="EK853" s="31" t="s">
        <v>151</v>
      </c>
      <c r="EL853" s="31" t="s">
        <v>151</v>
      </c>
      <c r="EM853" s="31" t="s">
        <v>151</v>
      </c>
      <c r="EN853" s="31" t="s">
        <v>151</v>
      </c>
      <c r="EO853" s="31" t="s">
        <v>151</v>
      </c>
      <c r="EP853" s="30" t="s">
        <v>151</v>
      </c>
      <c r="EQ853" s="29" t="s">
        <v>151</v>
      </c>
      <c r="ER853" s="29" t="s">
        <v>151</v>
      </c>
      <c r="ES853" s="4">
        <f>HYPERLINK("https://my.pitchbook.com?c=279813-34","View Company Online")</f>
      </c>
    </row>
    <row r="854">
      <c r="A854" s="17" t="s">
        <v>17349</v>
      </c>
      <c r="B854" s="17" t="s">
        <v>17350</v>
      </c>
      <c r="C854" s="18" t="s">
        <v>151</v>
      </c>
      <c r="D854" s="17" t="s">
        <v>151</v>
      </c>
      <c r="E854" s="17" t="s">
        <v>151</v>
      </c>
      <c r="F854" s="17" t="s">
        <v>17351</v>
      </c>
      <c r="G854" s="17" t="s">
        <v>151</v>
      </c>
      <c r="H854" s="17" t="s">
        <v>151</v>
      </c>
      <c r="I854" s="17" t="s">
        <v>17352</v>
      </c>
      <c r="J854" s="17" t="s">
        <v>17349</v>
      </c>
      <c r="K854" s="17" t="s">
        <v>17353</v>
      </c>
      <c r="L854" s="17" t="s">
        <v>205</v>
      </c>
      <c r="M854" s="17" t="s">
        <v>206</v>
      </c>
      <c r="N854" s="17" t="s">
        <v>694</v>
      </c>
      <c r="O854" s="17" t="s">
        <v>12731</v>
      </c>
      <c r="P854" s="17" t="s">
        <v>2301</v>
      </c>
      <c r="Q854" s="17" t="s">
        <v>17354</v>
      </c>
      <c r="R854" s="17" t="s">
        <v>151</v>
      </c>
      <c r="S854" s="17" t="s">
        <v>162</v>
      </c>
      <c r="T854" s="24">
        <v>0.42</v>
      </c>
      <c r="U854" s="17" t="s">
        <v>163</v>
      </c>
      <c r="V854" s="17" t="s">
        <v>164</v>
      </c>
      <c r="W854" s="17" t="s">
        <v>165</v>
      </c>
      <c r="X854" s="15" t="s">
        <v>17355</v>
      </c>
      <c r="Y854" s="15" t="s">
        <v>17356</v>
      </c>
      <c r="Z854" s="27">
        <v>4</v>
      </c>
      <c r="AA854" s="17" t="s">
        <v>17357</v>
      </c>
      <c r="AB854" s="17" t="s">
        <v>151</v>
      </c>
      <c r="AC854" s="17" t="s">
        <v>151</v>
      </c>
      <c r="AD854" s="26">
        <v>2020</v>
      </c>
      <c r="AE854" s="17" t="s">
        <v>151</v>
      </c>
      <c r="AF854" s="22">
        <v>45288</v>
      </c>
      <c r="AG854" s="17" t="s">
        <v>151</v>
      </c>
      <c r="AH854" s="17" t="s">
        <v>151</v>
      </c>
      <c r="AI854" s="25" t="s">
        <v>151</v>
      </c>
      <c r="AJ854" s="19" t="s">
        <v>151</v>
      </c>
      <c r="AK854" s="25" t="s">
        <v>151</v>
      </c>
      <c r="AL854" s="25" t="s">
        <v>151</v>
      </c>
      <c r="AM854" s="25" t="s">
        <v>151</v>
      </c>
      <c r="AN854" s="25" t="s">
        <v>151</v>
      </c>
      <c r="AO854" s="25" t="s">
        <v>151</v>
      </c>
      <c r="AP854" s="25" t="s">
        <v>151</v>
      </c>
      <c r="AQ854" s="25" t="s">
        <v>151</v>
      </c>
      <c r="AR854" s="16" t="s">
        <v>151</v>
      </c>
      <c r="AS854" s="17" t="s">
        <v>17358</v>
      </c>
      <c r="AT854" s="17" t="s">
        <v>17359</v>
      </c>
      <c r="AU854" s="18">
        <v>3</v>
      </c>
      <c r="AV854" s="17" t="s">
        <v>151</v>
      </c>
      <c r="AW854" s="17" t="s">
        <v>151</v>
      </c>
      <c r="AX854" s="17" t="s">
        <v>151</v>
      </c>
      <c r="AY854" s="17" t="s">
        <v>17360</v>
      </c>
      <c r="AZ854" s="17" t="s">
        <v>151</v>
      </c>
      <c r="BA854" s="17" t="s">
        <v>151</v>
      </c>
      <c r="BB854" s="17" t="s">
        <v>151</v>
      </c>
      <c r="BC854" s="17" t="s">
        <v>151</v>
      </c>
      <c r="BD854" s="17" t="s">
        <v>17361</v>
      </c>
      <c r="BE854" s="17" t="s">
        <v>17362</v>
      </c>
      <c r="BF854" s="17" t="s">
        <v>221</v>
      </c>
      <c r="BG854" s="17" t="s">
        <v>17363</v>
      </c>
      <c r="BH854" s="17" t="s">
        <v>151</v>
      </c>
      <c r="BI854" s="17" t="s">
        <v>764</v>
      </c>
      <c r="BJ854" s="17" t="s">
        <v>151</v>
      </c>
      <c r="BK854" s="17" t="s">
        <v>151</v>
      </c>
      <c r="BL854" s="17" t="s">
        <v>767</v>
      </c>
      <c r="BM854" s="17" t="s">
        <v>184</v>
      </c>
      <c r="BN854" s="16" t="s">
        <v>151</v>
      </c>
      <c r="BO854" s="17" t="s">
        <v>186</v>
      </c>
      <c r="BP854" s="16" t="s">
        <v>151</v>
      </c>
      <c r="BQ854" s="16" t="s">
        <v>151</v>
      </c>
      <c r="BR854" s="17" t="s">
        <v>17364</v>
      </c>
      <c r="BS854" s="17" t="s">
        <v>187</v>
      </c>
      <c r="BT854" s="17" t="s">
        <v>188</v>
      </c>
      <c r="BU854" s="22">
        <v>44221</v>
      </c>
      <c r="BV854" s="24">
        <v>0.02</v>
      </c>
      <c r="BW854" s="17" t="s">
        <v>192</v>
      </c>
      <c r="BX854" s="24">
        <v>0.33</v>
      </c>
      <c r="BY854" s="17" t="s">
        <v>192</v>
      </c>
      <c r="BZ854" s="17" t="s">
        <v>189</v>
      </c>
      <c r="CA854" s="17" t="s">
        <v>151</v>
      </c>
      <c r="CB854" s="17" t="s">
        <v>151</v>
      </c>
      <c r="CC854" s="17" t="s">
        <v>190</v>
      </c>
      <c r="CD854" s="17" t="s">
        <v>151</v>
      </c>
      <c r="CE854" s="17" t="s">
        <v>191</v>
      </c>
      <c r="CF854" s="22">
        <v>44682</v>
      </c>
      <c r="CG854" s="24" t="s">
        <v>151</v>
      </c>
      <c r="CH854" s="17" t="s">
        <v>151</v>
      </c>
      <c r="CI854" s="24" t="s">
        <v>151</v>
      </c>
      <c r="CJ854" s="17" t="s">
        <v>151</v>
      </c>
      <c r="CK854" s="16" t="s">
        <v>151</v>
      </c>
      <c r="CL854" s="17" t="s">
        <v>293</v>
      </c>
      <c r="CM854" s="17" t="s">
        <v>293</v>
      </c>
      <c r="CN854" s="17" t="s">
        <v>151</v>
      </c>
      <c r="CO854" s="17" t="s">
        <v>165</v>
      </c>
      <c r="CP854" s="22">
        <v>44682</v>
      </c>
      <c r="CQ854" s="24" t="s">
        <v>151</v>
      </c>
      <c r="CR854" s="17" t="s">
        <v>151</v>
      </c>
      <c r="CS854" s="17" t="s">
        <v>191</v>
      </c>
      <c r="CT854" s="16">
        <v>20</v>
      </c>
      <c r="CU854" s="17" t="s">
        <v>263</v>
      </c>
      <c r="CV854" s="19">
        <v>22</v>
      </c>
      <c r="CW854" s="19">
        <v>78</v>
      </c>
      <c r="CX854" s="17" t="s">
        <v>263</v>
      </c>
      <c r="CY854" s="19">
        <v>1</v>
      </c>
      <c r="CZ854" s="19">
        <v>21</v>
      </c>
      <c r="DA854" s="24">
        <v>0.33</v>
      </c>
      <c r="DB854" s="22">
        <v>44221</v>
      </c>
      <c r="DC854" s="17" t="s">
        <v>189</v>
      </c>
      <c r="DD854" s="16" t="s">
        <v>151</v>
      </c>
      <c r="DE854" s="19">
        <v>0</v>
      </c>
      <c r="DF854" s="21">
        <v>11</v>
      </c>
      <c r="DG854" s="19">
        <v>0</v>
      </c>
      <c r="DH854" s="19">
        <v>0</v>
      </c>
      <c r="DI854" s="19">
        <v>0</v>
      </c>
      <c r="DJ854" s="21">
        <v>10</v>
      </c>
      <c r="DK854" s="19" t="s">
        <v>151</v>
      </c>
      <c r="DL854" s="21" t="s">
        <v>151</v>
      </c>
      <c r="DM854" s="19">
        <v>0</v>
      </c>
      <c r="DN854" s="21">
        <v>10</v>
      </c>
      <c r="DO854" s="23">
        <v>2.02</v>
      </c>
      <c r="DP854" s="21">
        <v>67</v>
      </c>
      <c r="DQ854" s="23">
        <v>0</v>
      </c>
      <c r="DR854" s="19">
        <v>0</v>
      </c>
      <c r="DS854" s="23">
        <v>3.74</v>
      </c>
      <c r="DT854" s="21">
        <v>78</v>
      </c>
      <c r="DU854" s="23" t="s">
        <v>151</v>
      </c>
      <c r="DV854" s="21" t="s">
        <v>151</v>
      </c>
      <c r="DW854" s="23">
        <v>3.74</v>
      </c>
      <c r="DX854" s="21">
        <v>77</v>
      </c>
      <c r="DY854" s="18" t="s">
        <v>151</v>
      </c>
      <c r="DZ854" s="22" t="s">
        <v>151</v>
      </c>
      <c r="EA854" s="22" t="s">
        <v>151</v>
      </c>
      <c r="EB854" s="21">
        <v>0</v>
      </c>
      <c r="EC854" s="20">
        <v>0</v>
      </c>
      <c r="ED854" s="19">
        <v>0</v>
      </c>
      <c r="EE854" s="21">
        <v>71</v>
      </c>
      <c r="EF854" s="20">
        <v>0</v>
      </c>
      <c r="EG854" s="19">
        <v>0</v>
      </c>
      <c r="EH854" s="16" t="s">
        <v>198</v>
      </c>
      <c r="EI854" s="17" t="s">
        <v>151</v>
      </c>
      <c r="EJ854" s="17" t="s">
        <v>151</v>
      </c>
      <c r="EK854" s="18" t="s">
        <v>151</v>
      </c>
      <c r="EL854" s="18" t="s">
        <v>151</v>
      </c>
      <c r="EM854" s="18" t="s">
        <v>151</v>
      </c>
      <c r="EN854" s="18" t="s">
        <v>151</v>
      </c>
      <c r="EO854" s="18" t="s">
        <v>151</v>
      </c>
      <c r="EP854" s="17" t="s">
        <v>151</v>
      </c>
      <c r="EQ854" s="16" t="s">
        <v>151</v>
      </c>
      <c r="ER854" s="16" t="s">
        <v>151</v>
      </c>
      <c r="ES854" s="3">
        <f>HYPERLINK("https://my.pitchbook.com?c=464224-15","View Company Online")</f>
      </c>
    </row>
    <row r="855">
      <c r="A855" s="30" t="s">
        <v>17365</v>
      </c>
      <c r="B855" s="30" t="s">
        <v>17366</v>
      </c>
      <c r="C855" s="31" t="s">
        <v>151</v>
      </c>
      <c r="D855" s="30" t="s">
        <v>151</v>
      </c>
      <c r="E855" s="30" t="s">
        <v>151</v>
      </c>
      <c r="F855" s="30" t="s">
        <v>17367</v>
      </c>
      <c r="G855" s="30" t="s">
        <v>151</v>
      </c>
      <c r="H855" s="30" t="s">
        <v>151</v>
      </c>
      <c r="I855" s="30" t="s">
        <v>151</v>
      </c>
      <c r="J855" s="30" t="s">
        <v>17365</v>
      </c>
      <c r="K855" s="30" t="s">
        <v>17368</v>
      </c>
      <c r="L855" s="30" t="s">
        <v>616</v>
      </c>
      <c r="M855" s="30" t="s">
        <v>834</v>
      </c>
      <c r="N855" s="30" t="s">
        <v>835</v>
      </c>
      <c r="O855" s="30" t="s">
        <v>1992</v>
      </c>
      <c r="P855" s="30" t="s">
        <v>2301</v>
      </c>
      <c r="Q855" s="30" t="s">
        <v>17369</v>
      </c>
      <c r="R855" s="30" t="s">
        <v>151</v>
      </c>
      <c r="S855" s="30" t="s">
        <v>162</v>
      </c>
      <c r="T855" s="37">
        <v>8.89</v>
      </c>
      <c r="U855" s="30" t="s">
        <v>163</v>
      </c>
      <c r="V855" s="30" t="s">
        <v>164</v>
      </c>
      <c r="W855" s="30" t="s">
        <v>165</v>
      </c>
      <c r="X855" s="28" t="s">
        <v>17370</v>
      </c>
      <c r="Y855" s="28" t="s">
        <v>17371</v>
      </c>
      <c r="Z855" s="40">
        <v>20</v>
      </c>
      <c r="AA855" s="30" t="s">
        <v>17372</v>
      </c>
      <c r="AB855" s="30" t="s">
        <v>151</v>
      </c>
      <c r="AC855" s="30" t="s">
        <v>151</v>
      </c>
      <c r="AD855" s="39">
        <v>2021</v>
      </c>
      <c r="AE855" s="30" t="s">
        <v>151</v>
      </c>
      <c r="AF855" s="35">
        <v>45532</v>
      </c>
      <c r="AG855" s="30" t="s">
        <v>151</v>
      </c>
      <c r="AH855" s="30" t="s">
        <v>151</v>
      </c>
      <c r="AI855" s="38">
        <v>18</v>
      </c>
      <c r="AJ855" s="32">
        <v>157.14</v>
      </c>
      <c r="AK855" s="38" t="s">
        <v>151</v>
      </c>
      <c r="AL855" s="38" t="s">
        <v>151</v>
      </c>
      <c r="AM855" s="38" t="s">
        <v>151</v>
      </c>
      <c r="AN855" s="38" t="s">
        <v>151</v>
      </c>
      <c r="AO855" s="38" t="s">
        <v>151</v>
      </c>
      <c r="AP855" s="38" t="s">
        <v>151</v>
      </c>
      <c r="AQ855" s="38" t="s">
        <v>151</v>
      </c>
      <c r="AR855" s="29" t="s">
        <v>170</v>
      </c>
      <c r="AS855" s="30" t="s">
        <v>17373</v>
      </c>
      <c r="AT855" s="30" t="s">
        <v>17374</v>
      </c>
      <c r="AU855" s="31">
        <v>4</v>
      </c>
      <c r="AV855" s="30" t="s">
        <v>151</v>
      </c>
      <c r="AW855" s="30" t="s">
        <v>151</v>
      </c>
      <c r="AX855" s="30" t="s">
        <v>151</v>
      </c>
      <c r="AY855" s="30" t="s">
        <v>17375</v>
      </c>
      <c r="AZ855" s="30" t="s">
        <v>151</v>
      </c>
      <c r="BA855" s="30" t="s">
        <v>151</v>
      </c>
      <c r="BB855" s="30" t="s">
        <v>151</v>
      </c>
      <c r="BC855" s="30" t="s">
        <v>151</v>
      </c>
      <c r="BD855" s="30" t="s">
        <v>17376</v>
      </c>
      <c r="BE855" s="30" t="s">
        <v>17377</v>
      </c>
      <c r="BF855" s="30" t="s">
        <v>931</v>
      </c>
      <c r="BG855" s="30" t="s">
        <v>17378</v>
      </c>
      <c r="BH855" s="30" t="s">
        <v>17379</v>
      </c>
      <c r="BI855" s="30" t="s">
        <v>906</v>
      </c>
      <c r="BJ855" s="30" t="s">
        <v>17380</v>
      </c>
      <c r="BK855" s="30" t="s">
        <v>151</v>
      </c>
      <c r="BL855" s="30" t="s">
        <v>259</v>
      </c>
      <c r="BM855" s="30" t="s">
        <v>259</v>
      </c>
      <c r="BN855" s="29" t="s">
        <v>15460</v>
      </c>
      <c r="BO855" s="30" t="s">
        <v>186</v>
      </c>
      <c r="BP855" s="29" t="s">
        <v>17379</v>
      </c>
      <c r="BQ855" s="29" t="s">
        <v>151</v>
      </c>
      <c r="BR855" s="30" t="s">
        <v>17381</v>
      </c>
      <c r="BS855" s="30" t="s">
        <v>187</v>
      </c>
      <c r="BT855" s="30" t="s">
        <v>188</v>
      </c>
      <c r="BU855" s="35">
        <v>45257</v>
      </c>
      <c r="BV855" s="37">
        <v>8.89</v>
      </c>
      <c r="BW855" s="30" t="s">
        <v>193</v>
      </c>
      <c r="BX855" s="37">
        <v>20.89</v>
      </c>
      <c r="BY855" s="30" t="s">
        <v>193</v>
      </c>
      <c r="BZ855" s="30" t="s">
        <v>293</v>
      </c>
      <c r="CA855" s="30" t="s">
        <v>293</v>
      </c>
      <c r="CB855" s="30" t="s">
        <v>151</v>
      </c>
      <c r="CC855" s="30" t="s">
        <v>165</v>
      </c>
      <c r="CD855" s="30" t="s">
        <v>151</v>
      </c>
      <c r="CE855" s="30" t="s">
        <v>191</v>
      </c>
      <c r="CF855" s="35">
        <v>45497</v>
      </c>
      <c r="CG855" s="37">
        <v>10</v>
      </c>
      <c r="CH855" s="30" t="s">
        <v>192</v>
      </c>
      <c r="CI855" s="37" t="s">
        <v>151</v>
      </c>
      <c r="CJ855" s="30" t="s">
        <v>151</v>
      </c>
      <c r="CK855" s="29" t="s">
        <v>151</v>
      </c>
      <c r="CL855" s="30" t="s">
        <v>231</v>
      </c>
      <c r="CM855" s="30" t="s">
        <v>232</v>
      </c>
      <c r="CN855" s="30" t="s">
        <v>151</v>
      </c>
      <c r="CO855" s="30" t="s">
        <v>165</v>
      </c>
      <c r="CP855" s="35">
        <v>45497</v>
      </c>
      <c r="CQ855" s="37" t="s">
        <v>151</v>
      </c>
      <c r="CR855" s="30" t="s">
        <v>151</v>
      </c>
      <c r="CS855" s="30" t="s">
        <v>859</v>
      </c>
      <c r="CT855" s="29" t="s">
        <v>151</v>
      </c>
      <c r="CU855" s="30" t="s">
        <v>151</v>
      </c>
      <c r="CV855" s="32" t="s">
        <v>151</v>
      </c>
      <c r="CW855" s="32" t="s">
        <v>151</v>
      </c>
      <c r="CX855" s="30" t="s">
        <v>151</v>
      </c>
      <c r="CY855" s="32" t="s">
        <v>151</v>
      </c>
      <c r="CZ855" s="32" t="s">
        <v>151</v>
      </c>
      <c r="DA855" s="37">
        <v>20.89</v>
      </c>
      <c r="DB855" s="35">
        <v>45257</v>
      </c>
      <c r="DC855" s="30" t="s">
        <v>293</v>
      </c>
      <c r="DD855" s="29" t="s">
        <v>151</v>
      </c>
      <c r="DE855" s="32">
        <v>0</v>
      </c>
      <c r="DF855" s="34">
        <v>11</v>
      </c>
      <c r="DG855" s="32">
        <v>0</v>
      </c>
      <c r="DH855" s="32">
        <v>0</v>
      </c>
      <c r="DI855" s="32">
        <v>0</v>
      </c>
      <c r="DJ855" s="34">
        <v>10</v>
      </c>
      <c r="DK855" s="32" t="s">
        <v>151</v>
      </c>
      <c r="DL855" s="34" t="s">
        <v>151</v>
      </c>
      <c r="DM855" s="32">
        <v>0</v>
      </c>
      <c r="DN855" s="34">
        <v>10</v>
      </c>
      <c r="DO855" s="36">
        <v>0.63</v>
      </c>
      <c r="DP855" s="34">
        <v>38</v>
      </c>
      <c r="DQ855" s="36">
        <v>0</v>
      </c>
      <c r="DR855" s="32">
        <v>0</v>
      </c>
      <c r="DS855" s="36">
        <v>0.63</v>
      </c>
      <c r="DT855" s="34">
        <v>39</v>
      </c>
      <c r="DU855" s="36" t="s">
        <v>151</v>
      </c>
      <c r="DV855" s="34" t="s">
        <v>151</v>
      </c>
      <c r="DW855" s="36">
        <v>0.63</v>
      </c>
      <c r="DX855" s="34">
        <v>38</v>
      </c>
      <c r="DY855" s="31">
        <v>1</v>
      </c>
      <c r="DZ855" s="35">
        <v>45167</v>
      </c>
      <c r="EA855" s="35" t="s">
        <v>151</v>
      </c>
      <c r="EB855" s="34">
        <v>240</v>
      </c>
      <c r="EC855" s="33">
        <v>0</v>
      </c>
      <c r="ED855" s="32">
        <v>0</v>
      </c>
      <c r="EE855" s="34">
        <v>12</v>
      </c>
      <c r="EF855" s="33">
        <v>1</v>
      </c>
      <c r="EG855" s="32">
        <v>9.09</v>
      </c>
      <c r="EH855" s="29" t="s">
        <v>198</v>
      </c>
      <c r="EI855" s="30" t="s">
        <v>151</v>
      </c>
      <c r="EJ855" s="30" t="s">
        <v>151</v>
      </c>
      <c r="EK855" s="31" t="s">
        <v>151</v>
      </c>
      <c r="EL855" s="31" t="s">
        <v>151</v>
      </c>
      <c r="EM855" s="31" t="s">
        <v>151</v>
      </c>
      <c r="EN855" s="31" t="s">
        <v>151</v>
      </c>
      <c r="EO855" s="31" t="s">
        <v>151</v>
      </c>
      <c r="EP855" s="30" t="s">
        <v>151</v>
      </c>
      <c r="EQ855" s="29" t="s">
        <v>151</v>
      </c>
      <c r="ER855" s="29" t="s">
        <v>151</v>
      </c>
      <c r="ES855" s="4">
        <f>HYPERLINK("https://my.pitchbook.com?c=541499-77","View Company Online")</f>
      </c>
    </row>
    <row r="856">
      <c r="A856" s="17" t="s">
        <v>17382</v>
      </c>
      <c r="B856" s="17" t="s">
        <v>17383</v>
      </c>
      <c r="C856" s="18" t="s">
        <v>151</v>
      </c>
      <c r="D856" s="17" t="s">
        <v>151</v>
      </c>
      <c r="E856" s="17" t="s">
        <v>17366</v>
      </c>
      <c r="F856" s="17" t="s">
        <v>17384</v>
      </c>
      <c r="G856" s="17" t="s">
        <v>151</v>
      </c>
      <c r="H856" s="17" t="s">
        <v>151</v>
      </c>
      <c r="I856" s="17" t="s">
        <v>151</v>
      </c>
      <c r="J856" s="17" t="s">
        <v>17382</v>
      </c>
      <c r="K856" s="17" t="s">
        <v>17385</v>
      </c>
      <c r="L856" s="17" t="s">
        <v>1178</v>
      </c>
      <c r="M856" s="17" t="s">
        <v>1179</v>
      </c>
      <c r="N856" s="17" t="s">
        <v>1179</v>
      </c>
      <c r="O856" s="17" t="s">
        <v>1180</v>
      </c>
      <c r="P856" s="17" t="s">
        <v>1181</v>
      </c>
      <c r="Q856" s="17" t="s">
        <v>17386</v>
      </c>
      <c r="R856" s="17" t="s">
        <v>151</v>
      </c>
      <c r="S856" s="17" t="s">
        <v>162</v>
      </c>
      <c r="T856" s="24">
        <v>4.71</v>
      </c>
      <c r="U856" s="17" t="s">
        <v>163</v>
      </c>
      <c r="V856" s="17" t="s">
        <v>164</v>
      </c>
      <c r="W856" s="17" t="s">
        <v>165</v>
      </c>
      <c r="X856" s="15" t="s">
        <v>17387</v>
      </c>
      <c r="Y856" s="15" t="s">
        <v>17388</v>
      </c>
      <c r="Z856" s="27">
        <v>8</v>
      </c>
      <c r="AA856" s="17" t="s">
        <v>9632</v>
      </c>
      <c r="AB856" s="17" t="s">
        <v>151</v>
      </c>
      <c r="AC856" s="17" t="s">
        <v>151</v>
      </c>
      <c r="AD856" s="26">
        <v>2022</v>
      </c>
      <c r="AE856" s="17" t="s">
        <v>151</v>
      </c>
      <c r="AF856" s="22">
        <v>45554</v>
      </c>
      <c r="AG856" s="17" t="s">
        <v>151</v>
      </c>
      <c r="AH856" s="17" t="s">
        <v>151</v>
      </c>
      <c r="AI856" s="25" t="s">
        <v>151</v>
      </c>
      <c r="AJ856" s="19" t="s">
        <v>151</v>
      </c>
      <c r="AK856" s="25" t="s">
        <v>151</v>
      </c>
      <c r="AL856" s="25" t="s">
        <v>151</v>
      </c>
      <c r="AM856" s="25" t="s">
        <v>151</v>
      </c>
      <c r="AN856" s="25" t="s">
        <v>151</v>
      </c>
      <c r="AO856" s="25" t="s">
        <v>151</v>
      </c>
      <c r="AP856" s="25" t="s">
        <v>151</v>
      </c>
      <c r="AQ856" s="25" t="s">
        <v>151</v>
      </c>
      <c r="AR856" s="16" t="s">
        <v>151</v>
      </c>
      <c r="AS856" s="17" t="s">
        <v>17389</v>
      </c>
      <c r="AT856" s="17" t="s">
        <v>17390</v>
      </c>
      <c r="AU856" s="18">
        <v>4</v>
      </c>
      <c r="AV856" s="17" t="s">
        <v>151</v>
      </c>
      <c r="AW856" s="17" t="s">
        <v>151</v>
      </c>
      <c r="AX856" s="17" t="s">
        <v>151</v>
      </c>
      <c r="AY856" s="17" t="s">
        <v>17391</v>
      </c>
      <c r="AZ856" s="17" t="s">
        <v>151</v>
      </c>
      <c r="BA856" s="17" t="s">
        <v>151</v>
      </c>
      <c r="BB856" s="17" t="s">
        <v>151</v>
      </c>
      <c r="BC856" s="17" t="s">
        <v>151</v>
      </c>
      <c r="BD856" s="17" t="s">
        <v>17392</v>
      </c>
      <c r="BE856" s="17" t="s">
        <v>17393</v>
      </c>
      <c r="BF856" s="17" t="s">
        <v>546</v>
      </c>
      <c r="BG856" s="17" t="s">
        <v>17394</v>
      </c>
      <c r="BH856" s="17" t="s">
        <v>17395</v>
      </c>
      <c r="BI856" s="17" t="s">
        <v>906</v>
      </c>
      <c r="BJ856" s="17" t="s">
        <v>17396</v>
      </c>
      <c r="BK856" s="17" t="s">
        <v>2957</v>
      </c>
      <c r="BL856" s="17" t="s">
        <v>259</v>
      </c>
      <c r="BM856" s="17" t="s">
        <v>259</v>
      </c>
      <c r="BN856" s="16" t="s">
        <v>2958</v>
      </c>
      <c r="BO856" s="17" t="s">
        <v>186</v>
      </c>
      <c r="BP856" s="16" t="s">
        <v>17395</v>
      </c>
      <c r="BQ856" s="16" t="s">
        <v>151</v>
      </c>
      <c r="BR856" s="17" t="s">
        <v>17397</v>
      </c>
      <c r="BS856" s="17" t="s">
        <v>187</v>
      </c>
      <c r="BT856" s="17" t="s">
        <v>188</v>
      </c>
      <c r="BU856" s="22">
        <v>45526</v>
      </c>
      <c r="BV856" s="24">
        <v>4.71</v>
      </c>
      <c r="BW856" s="17" t="s">
        <v>192</v>
      </c>
      <c r="BX856" s="24">
        <v>19.21</v>
      </c>
      <c r="BY856" s="17" t="s">
        <v>192</v>
      </c>
      <c r="BZ856" s="17" t="s">
        <v>293</v>
      </c>
      <c r="CA856" s="17" t="s">
        <v>293</v>
      </c>
      <c r="CB856" s="17" t="s">
        <v>151</v>
      </c>
      <c r="CC856" s="17" t="s">
        <v>165</v>
      </c>
      <c r="CD856" s="17" t="s">
        <v>151</v>
      </c>
      <c r="CE856" s="17" t="s">
        <v>191</v>
      </c>
      <c r="CF856" s="22">
        <v>45526</v>
      </c>
      <c r="CG856" s="24">
        <v>4.71</v>
      </c>
      <c r="CH856" s="17" t="s">
        <v>192</v>
      </c>
      <c r="CI856" s="24">
        <v>19.21</v>
      </c>
      <c r="CJ856" s="17" t="s">
        <v>192</v>
      </c>
      <c r="CK856" s="16" t="s">
        <v>151</v>
      </c>
      <c r="CL856" s="17" t="s">
        <v>293</v>
      </c>
      <c r="CM856" s="17" t="s">
        <v>293</v>
      </c>
      <c r="CN856" s="17" t="s">
        <v>151</v>
      </c>
      <c r="CO856" s="17" t="s">
        <v>165</v>
      </c>
      <c r="CP856" s="22">
        <v>45526</v>
      </c>
      <c r="CQ856" s="24" t="s">
        <v>151</v>
      </c>
      <c r="CR856" s="17" t="s">
        <v>151</v>
      </c>
      <c r="CS856" s="17" t="s">
        <v>191</v>
      </c>
      <c r="CT856" s="16" t="s">
        <v>151</v>
      </c>
      <c r="CU856" s="17" t="s">
        <v>151</v>
      </c>
      <c r="CV856" s="19" t="s">
        <v>151</v>
      </c>
      <c r="CW856" s="19" t="s">
        <v>151</v>
      </c>
      <c r="CX856" s="17" t="s">
        <v>151</v>
      </c>
      <c r="CY856" s="19" t="s">
        <v>151</v>
      </c>
      <c r="CZ856" s="19" t="s">
        <v>151</v>
      </c>
      <c r="DA856" s="24">
        <v>19.21</v>
      </c>
      <c r="DB856" s="22">
        <v>45526</v>
      </c>
      <c r="DC856" s="17" t="s">
        <v>293</v>
      </c>
      <c r="DD856" s="16" t="s">
        <v>151</v>
      </c>
      <c r="DE856" s="19">
        <v>2.5</v>
      </c>
      <c r="DF856" s="21">
        <v>99</v>
      </c>
      <c r="DG856" s="19">
        <v>0</v>
      </c>
      <c r="DH856" s="19">
        <v>0</v>
      </c>
      <c r="DI856" s="19">
        <v>0</v>
      </c>
      <c r="DJ856" s="21">
        <v>10</v>
      </c>
      <c r="DK856" s="19" t="s">
        <v>151</v>
      </c>
      <c r="DL856" s="21" t="s">
        <v>151</v>
      </c>
      <c r="DM856" s="19">
        <v>0</v>
      </c>
      <c r="DN856" s="21">
        <v>10</v>
      </c>
      <c r="DO856" s="23">
        <v>1.91</v>
      </c>
      <c r="DP856" s="21">
        <v>65</v>
      </c>
      <c r="DQ856" s="23">
        <v>0</v>
      </c>
      <c r="DR856" s="19">
        <v>0</v>
      </c>
      <c r="DS856" s="23">
        <v>3.37</v>
      </c>
      <c r="DT856" s="21">
        <v>76</v>
      </c>
      <c r="DU856" s="23" t="s">
        <v>151</v>
      </c>
      <c r="DV856" s="21" t="s">
        <v>151</v>
      </c>
      <c r="DW856" s="23">
        <v>3.37</v>
      </c>
      <c r="DX856" s="21">
        <v>76</v>
      </c>
      <c r="DY856" s="18" t="s">
        <v>151</v>
      </c>
      <c r="DZ856" s="22" t="s">
        <v>151</v>
      </c>
      <c r="EA856" s="22" t="s">
        <v>151</v>
      </c>
      <c r="EB856" s="21" t="s">
        <v>151</v>
      </c>
      <c r="EC856" s="20" t="s">
        <v>151</v>
      </c>
      <c r="ED856" s="19" t="s">
        <v>151</v>
      </c>
      <c r="EE856" s="21">
        <v>64</v>
      </c>
      <c r="EF856" s="20">
        <v>4</v>
      </c>
      <c r="EG856" s="19">
        <v>6.67</v>
      </c>
      <c r="EH856" s="16" t="s">
        <v>198</v>
      </c>
      <c r="EI856" s="17" t="s">
        <v>151</v>
      </c>
      <c r="EJ856" s="17" t="s">
        <v>151</v>
      </c>
      <c r="EK856" s="18" t="s">
        <v>151</v>
      </c>
      <c r="EL856" s="18" t="s">
        <v>151</v>
      </c>
      <c r="EM856" s="18" t="s">
        <v>151</v>
      </c>
      <c r="EN856" s="18" t="s">
        <v>151</v>
      </c>
      <c r="EO856" s="18" t="s">
        <v>151</v>
      </c>
      <c r="EP856" s="17" t="s">
        <v>151</v>
      </c>
      <c r="EQ856" s="16" t="s">
        <v>151</v>
      </c>
      <c r="ER856" s="16" t="s">
        <v>151</v>
      </c>
      <c r="ES856" s="3">
        <f>HYPERLINK("https://my.pitchbook.com?c=620743-78","View Company Online")</f>
      </c>
    </row>
    <row r="857">
      <c r="A857" s="30" t="s">
        <v>17398</v>
      </c>
      <c r="B857" s="30" t="s">
        <v>17399</v>
      </c>
      <c r="C857" s="31" t="s">
        <v>151</v>
      </c>
      <c r="D857" s="30" t="s">
        <v>151</v>
      </c>
      <c r="E857" s="30" t="s">
        <v>151</v>
      </c>
      <c r="F857" s="30" t="s">
        <v>17400</v>
      </c>
      <c r="G857" s="30" t="s">
        <v>151</v>
      </c>
      <c r="H857" s="30" t="s">
        <v>151</v>
      </c>
      <c r="I857" s="30" t="s">
        <v>151</v>
      </c>
      <c r="J857" s="30" t="s">
        <v>17398</v>
      </c>
      <c r="K857" s="30" t="s">
        <v>17401</v>
      </c>
      <c r="L857" s="30" t="s">
        <v>205</v>
      </c>
      <c r="M857" s="30" t="s">
        <v>206</v>
      </c>
      <c r="N857" s="30" t="s">
        <v>269</v>
      </c>
      <c r="O857" s="30" t="s">
        <v>1420</v>
      </c>
      <c r="P857" s="30" t="s">
        <v>17402</v>
      </c>
      <c r="Q857" s="30" t="s">
        <v>17403</v>
      </c>
      <c r="R857" s="30" t="s">
        <v>151</v>
      </c>
      <c r="S857" s="30" t="s">
        <v>162</v>
      </c>
      <c r="T857" s="37">
        <v>2.83</v>
      </c>
      <c r="U857" s="30" t="s">
        <v>163</v>
      </c>
      <c r="V857" s="30" t="s">
        <v>164</v>
      </c>
      <c r="W857" s="30" t="s">
        <v>165</v>
      </c>
      <c r="X857" s="28" t="s">
        <v>17404</v>
      </c>
      <c r="Y857" s="28" t="s">
        <v>17405</v>
      </c>
      <c r="Z857" s="40">
        <v>12</v>
      </c>
      <c r="AA857" s="30" t="s">
        <v>17406</v>
      </c>
      <c r="AB857" s="30" t="s">
        <v>151</v>
      </c>
      <c r="AC857" s="30" t="s">
        <v>151</v>
      </c>
      <c r="AD857" s="39">
        <v>2017</v>
      </c>
      <c r="AE857" s="30" t="s">
        <v>151</v>
      </c>
      <c r="AF857" s="35">
        <v>45510</v>
      </c>
      <c r="AG857" s="30" t="s">
        <v>151</v>
      </c>
      <c r="AH857" s="30" t="s">
        <v>151</v>
      </c>
      <c r="AI857" s="38" t="s">
        <v>151</v>
      </c>
      <c r="AJ857" s="32" t="s">
        <v>151</v>
      </c>
      <c r="AK857" s="38" t="s">
        <v>151</v>
      </c>
      <c r="AL857" s="38" t="s">
        <v>151</v>
      </c>
      <c r="AM857" s="38" t="s">
        <v>151</v>
      </c>
      <c r="AN857" s="38" t="s">
        <v>151</v>
      </c>
      <c r="AO857" s="38" t="s">
        <v>151</v>
      </c>
      <c r="AP857" s="38" t="s">
        <v>151</v>
      </c>
      <c r="AQ857" s="38" t="s">
        <v>151</v>
      </c>
      <c r="AR857" s="29" t="s">
        <v>151</v>
      </c>
      <c r="AS857" s="30" t="s">
        <v>17407</v>
      </c>
      <c r="AT857" s="30" t="s">
        <v>17408</v>
      </c>
      <c r="AU857" s="31">
        <v>6</v>
      </c>
      <c r="AV857" s="30" t="s">
        <v>151</v>
      </c>
      <c r="AW857" s="30" t="s">
        <v>151</v>
      </c>
      <c r="AX857" s="30" t="s">
        <v>151</v>
      </c>
      <c r="AY857" s="30" t="s">
        <v>17409</v>
      </c>
      <c r="AZ857" s="30" t="s">
        <v>151</v>
      </c>
      <c r="BA857" s="30" t="s">
        <v>151</v>
      </c>
      <c r="BB857" s="30" t="s">
        <v>151</v>
      </c>
      <c r="BC857" s="30" t="s">
        <v>151</v>
      </c>
      <c r="BD857" s="30" t="s">
        <v>17410</v>
      </c>
      <c r="BE857" s="30" t="s">
        <v>17411</v>
      </c>
      <c r="BF857" s="30" t="s">
        <v>546</v>
      </c>
      <c r="BG857" s="30" t="s">
        <v>17412</v>
      </c>
      <c r="BH857" s="30" t="s">
        <v>17413</v>
      </c>
      <c r="BI857" s="30" t="s">
        <v>17414</v>
      </c>
      <c r="BJ857" s="30" t="s">
        <v>17415</v>
      </c>
      <c r="BK857" s="30" t="s">
        <v>151</v>
      </c>
      <c r="BL857" s="30" t="s">
        <v>17416</v>
      </c>
      <c r="BM857" s="30" t="s">
        <v>1983</v>
      </c>
      <c r="BN857" s="29" t="s">
        <v>17417</v>
      </c>
      <c r="BO857" s="30" t="s">
        <v>186</v>
      </c>
      <c r="BP857" s="29" t="s">
        <v>17413</v>
      </c>
      <c r="BQ857" s="29" t="s">
        <v>151</v>
      </c>
      <c r="BR857" s="30" t="s">
        <v>151</v>
      </c>
      <c r="BS857" s="30" t="s">
        <v>187</v>
      </c>
      <c r="BT857" s="30" t="s">
        <v>188</v>
      </c>
      <c r="BU857" s="35">
        <v>43728</v>
      </c>
      <c r="BV857" s="37">
        <v>0.01</v>
      </c>
      <c r="BW857" s="30" t="s">
        <v>192</v>
      </c>
      <c r="BX857" s="37" t="s">
        <v>151</v>
      </c>
      <c r="BY857" s="30" t="s">
        <v>151</v>
      </c>
      <c r="BZ857" s="30" t="s">
        <v>501</v>
      </c>
      <c r="CA857" s="30" t="s">
        <v>151</v>
      </c>
      <c r="CB857" s="30" t="s">
        <v>151</v>
      </c>
      <c r="CC857" s="30" t="s">
        <v>190</v>
      </c>
      <c r="CD857" s="30" t="s">
        <v>151</v>
      </c>
      <c r="CE857" s="30" t="s">
        <v>191</v>
      </c>
      <c r="CF857" s="35">
        <v>45092</v>
      </c>
      <c r="CG857" s="37" t="s">
        <v>151</v>
      </c>
      <c r="CH857" s="30" t="s">
        <v>151</v>
      </c>
      <c r="CI857" s="37" t="s">
        <v>151</v>
      </c>
      <c r="CJ857" s="30" t="s">
        <v>151</v>
      </c>
      <c r="CK857" s="29" t="s">
        <v>151</v>
      </c>
      <c r="CL857" s="30" t="s">
        <v>194</v>
      </c>
      <c r="CM857" s="30" t="s">
        <v>151</v>
      </c>
      <c r="CN857" s="30" t="s">
        <v>151</v>
      </c>
      <c r="CO857" s="30" t="s">
        <v>165</v>
      </c>
      <c r="CP857" s="35">
        <v>45092</v>
      </c>
      <c r="CQ857" s="37" t="s">
        <v>151</v>
      </c>
      <c r="CR857" s="30" t="s">
        <v>151</v>
      </c>
      <c r="CS857" s="30" t="s">
        <v>191</v>
      </c>
      <c r="CT857" s="29">
        <v>31</v>
      </c>
      <c r="CU857" s="30" t="s">
        <v>263</v>
      </c>
      <c r="CV857" s="32">
        <v>32</v>
      </c>
      <c r="CW857" s="32">
        <v>68</v>
      </c>
      <c r="CX857" s="30" t="s">
        <v>263</v>
      </c>
      <c r="CY857" s="32">
        <v>1</v>
      </c>
      <c r="CZ857" s="32">
        <v>31</v>
      </c>
      <c r="DA857" s="37">
        <v>7.64</v>
      </c>
      <c r="DB857" s="35">
        <v>44690</v>
      </c>
      <c r="DC857" s="30" t="s">
        <v>194</v>
      </c>
      <c r="DD857" s="29">
        <v>1</v>
      </c>
      <c r="DE857" s="32">
        <v>0.64</v>
      </c>
      <c r="DF857" s="34">
        <v>95</v>
      </c>
      <c r="DG857" s="32">
        <v>0</v>
      </c>
      <c r="DH857" s="32">
        <v>0</v>
      </c>
      <c r="DI857" s="32">
        <v>0.64</v>
      </c>
      <c r="DJ857" s="34">
        <v>95</v>
      </c>
      <c r="DK857" s="32" t="s">
        <v>151</v>
      </c>
      <c r="DL857" s="34" t="s">
        <v>151</v>
      </c>
      <c r="DM857" s="32">
        <v>0.64</v>
      </c>
      <c r="DN857" s="34">
        <v>96</v>
      </c>
      <c r="DO857" s="36">
        <v>11.79</v>
      </c>
      <c r="DP857" s="34">
        <v>92</v>
      </c>
      <c r="DQ857" s="36">
        <v>0</v>
      </c>
      <c r="DR857" s="32">
        <v>0</v>
      </c>
      <c r="DS857" s="36">
        <v>11.79</v>
      </c>
      <c r="DT857" s="34">
        <v>91</v>
      </c>
      <c r="DU857" s="36" t="s">
        <v>151</v>
      </c>
      <c r="DV857" s="34" t="s">
        <v>151</v>
      </c>
      <c r="DW857" s="36">
        <v>11.79</v>
      </c>
      <c r="DX857" s="34">
        <v>91</v>
      </c>
      <c r="DY857" s="31">
        <v>4</v>
      </c>
      <c r="DZ857" s="35">
        <v>44062</v>
      </c>
      <c r="EA857" s="35" t="s">
        <v>151</v>
      </c>
      <c r="EB857" s="34">
        <v>1865</v>
      </c>
      <c r="EC857" s="33">
        <v>-114</v>
      </c>
      <c r="ED857" s="32">
        <v>-5.76</v>
      </c>
      <c r="EE857" s="34">
        <v>224</v>
      </c>
      <c r="EF857" s="33">
        <v>0</v>
      </c>
      <c r="EG857" s="32">
        <v>0</v>
      </c>
      <c r="EH857" s="29" t="s">
        <v>198</v>
      </c>
      <c r="EI857" s="30" t="s">
        <v>151</v>
      </c>
      <c r="EJ857" s="30" t="s">
        <v>151</v>
      </c>
      <c r="EK857" s="31" t="s">
        <v>151</v>
      </c>
      <c r="EL857" s="31" t="s">
        <v>151</v>
      </c>
      <c r="EM857" s="31" t="s">
        <v>151</v>
      </c>
      <c r="EN857" s="31" t="s">
        <v>151</v>
      </c>
      <c r="EO857" s="31" t="s">
        <v>151</v>
      </c>
      <c r="EP857" s="30" t="s">
        <v>151</v>
      </c>
      <c r="EQ857" s="29" t="s">
        <v>151</v>
      </c>
      <c r="ER857" s="29" t="s">
        <v>151</v>
      </c>
      <c r="ES857" s="4">
        <f>HYPERLINK("https://my.pitchbook.com?c=308594-35","View Company Online")</f>
      </c>
    </row>
    <row r="858">
      <c r="A858" s="17" t="s">
        <v>17418</v>
      </c>
      <c r="B858" s="17" t="s">
        <v>17419</v>
      </c>
      <c r="C858" s="18" t="s">
        <v>151</v>
      </c>
      <c r="D858" s="17" t="s">
        <v>17420</v>
      </c>
      <c r="E858" s="17" t="s">
        <v>17421</v>
      </c>
      <c r="F858" s="17" t="s">
        <v>17422</v>
      </c>
      <c r="G858" s="17" t="s">
        <v>151</v>
      </c>
      <c r="H858" s="17" t="s">
        <v>151</v>
      </c>
      <c r="I858" s="17" t="s">
        <v>17423</v>
      </c>
      <c r="J858" s="17" t="s">
        <v>17418</v>
      </c>
      <c r="K858" s="17" t="s">
        <v>17424</v>
      </c>
      <c r="L858" s="17" t="s">
        <v>205</v>
      </c>
      <c r="M858" s="17" t="s">
        <v>206</v>
      </c>
      <c r="N858" s="17" t="s">
        <v>269</v>
      </c>
      <c r="O858" s="17" t="s">
        <v>2661</v>
      </c>
      <c r="P858" s="17" t="s">
        <v>2662</v>
      </c>
      <c r="Q858" s="17" t="s">
        <v>17425</v>
      </c>
      <c r="R858" s="17" t="s">
        <v>151</v>
      </c>
      <c r="S858" s="17" t="s">
        <v>162</v>
      </c>
      <c r="T858" s="24">
        <v>5.25</v>
      </c>
      <c r="U858" s="17" t="s">
        <v>163</v>
      </c>
      <c r="V858" s="17" t="s">
        <v>164</v>
      </c>
      <c r="W858" s="17" t="s">
        <v>165</v>
      </c>
      <c r="X858" s="15" t="s">
        <v>17426</v>
      </c>
      <c r="Y858" s="15" t="s">
        <v>17427</v>
      </c>
      <c r="Z858" s="27">
        <v>20</v>
      </c>
      <c r="AA858" s="17" t="s">
        <v>17428</v>
      </c>
      <c r="AB858" s="17" t="s">
        <v>151</v>
      </c>
      <c r="AC858" s="17" t="s">
        <v>151</v>
      </c>
      <c r="AD858" s="26">
        <v>2019</v>
      </c>
      <c r="AE858" s="17" t="s">
        <v>151</v>
      </c>
      <c r="AF858" s="22">
        <v>45616</v>
      </c>
      <c r="AG858" s="17" t="s">
        <v>151</v>
      </c>
      <c r="AH858" s="17" t="s">
        <v>151</v>
      </c>
      <c r="AI858" s="25" t="s">
        <v>151</v>
      </c>
      <c r="AJ858" s="19" t="s">
        <v>151</v>
      </c>
      <c r="AK858" s="25" t="s">
        <v>151</v>
      </c>
      <c r="AL858" s="25" t="s">
        <v>151</v>
      </c>
      <c r="AM858" s="25" t="s">
        <v>151</v>
      </c>
      <c r="AN858" s="25" t="s">
        <v>151</v>
      </c>
      <c r="AO858" s="25" t="s">
        <v>151</v>
      </c>
      <c r="AP858" s="25" t="s">
        <v>151</v>
      </c>
      <c r="AQ858" s="25" t="s">
        <v>151</v>
      </c>
      <c r="AR858" s="16" t="s">
        <v>151</v>
      </c>
      <c r="AS858" s="17" t="s">
        <v>17429</v>
      </c>
      <c r="AT858" s="17" t="s">
        <v>17430</v>
      </c>
      <c r="AU858" s="18">
        <v>7</v>
      </c>
      <c r="AV858" s="17" t="s">
        <v>151</v>
      </c>
      <c r="AW858" s="17" t="s">
        <v>151</v>
      </c>
      <c r="AX858" s="17" t="s">
        <v>151</v>
      </c>
      <c r="AY858" s="17" t="s">
        <v>17431</v>
      </c>
      <c r="AZ858" s="17" t="s">
        <v>151</v>
      </c>
      <c r="BA858" s="17" t="s">
        <v>151</v>
      </c>
      <c r="BB858" s="17" t="s">
        <v>151</v>
      </c>
      <c r="BC858" s="17" t="s">
        <v>374</v>
      </c>
      <c r="BD858" s="17" t="s">
        <v>17432</v>
      </c>
      <c r="BE858" s="17" t="s">
        <v>17433</v>
      </c>
      <c r="BF858" s="17" t="s">
        <v>17434</v>
      </c>
      <c r="BG858" s="17" t="s">
        <v>17435</v>
      </c>
      <c r="BH858" s="17" t="s">
        <v>151</v>
      </c>
      <c r="BI858" s="17" t="s">
        <v>5235</v>
      </c>
      <c r="BJ858" s="17" t="s">
        <v>13251</v>
      </c>
      <c r="BK858" s="17" t="s">
        <v>17436</v>
      </c>
      <c r="BL858" s="17" t="s">
        <v>5236</v>
      </c>
      <c r="BM858" s="17" t="s">
        <v>184</v>
      </c>
      <c r="BN858" s="16" t="s">
        <v>7857</v>
      </c>
      <c r="BO858" s="17" t="s">
        <v>186</v>
      </c>
      <c r="BP858" s="16" t="s">
        <v>151</v>
      </c>
      <c r="BQ858" s="16" t="s">
        <v>151</v>
      </c>
      <c r="BR858" s="17" t="s">
        <v>151</v>
      </c>
      <c r="BS858" s="17" t="s">
        <v>187</v>
      </c>
      <c r="BT858" s="17" t="s">
        <v>188</v>
      </c>
      <c r="BU858" s="22">
        <v>44867</v>
      </c>
      <c r="BV858" s="24">
        <v>3</v>
      </c>
      <c r="BW858" s="17" t="s">
        <v>192</v>
      </c>
      <c r="BX858" s="24" t="s">
        <v>151</v>
      </c>
      <c r="BY858" s="17" t="s">
        <v>151</v>
      </c>
      <c r="BZ858" s="17" t="s">
        <v>293</v>
      </c>
      <c r="CA858" s="17" t="s">
        <v>293</v>
      </c>
      <c r="CB858" s="17" t="s">
        <v>151</v>
      </c>
      <c r="CC858" s="17" t="s">
        <v>165</v>
      </c>
      <c r="CD858" s="17" t="s">
        <v>151</v>
      </c>
      <c r="CE858" s="17" t="s">
        <v>191</v>
      </c>
      <c r="CF858" s="22" t="s">
        <v>151</v>
      </c>
      <c r="CG858" s="24">
        <v>2.25</v>
      </c>
      <c r="CH858" s="17" t="s">
        <v>192</v>
      </c>
      <c r="CI858" s="24" t="s">
        <v>151</v>
      </c>
      <c r="CJ858" s="17" t="s">
        <v>151</v>
      </c>
      <c r="CK858" s="16" t="s">
        <v>151</v>
      </c>
      <c r="CL858" s="17" t="s">
        <v>231</v>
      </c>
      <c r="CM858" s="17" t="s">
        <v>151</v>
      </c>
      <c r="CN858" s="17" t="s">
        <v>151</v>
      </c>
      <c r="CO858" s="17" t="s">
        <v>165</v>
      </c>
      <c r="CP858" s="22" t="s">
        <v>151</v>
      </c>
      <c r="CQ858" s="24" t="s">
        <v>151</v>
      </c>
      <c r="CR858" s="17" t="s">
        <v>151</v>
      </c>
      <c r="CS858" s="17" t="s">
        <v>191</v>
      </c>
      <c r="CT858" s="16">
        <v>86</v>
      </c>
      <c r="CU858" s="17" t="s">
        <v>196</v>
      </c>
      <c r="CV858" s="19">
        <v>78</v>
      </c>
      <c r="CW858" s="19">
        <v>22</v>
      </c>
      <c r="CX858" s="17" t="s">
        <v>294</v>
      </c>
      <c r="CY858" s="19">
        <v>1</v>
      </c>
      <c r="CZ858" s="19">
        <v>77</v>
      </c>
      <c r="DA858" s="24" t="s">
        <v>151</v>
      </c>
      <c r="DB858" s="22" t="s">
        <v>151</v>
      </c>
      <c r="DC858" s="17" t="s">
        <v>151</v>
      </c>
      <c r="DD858" s="16" t="s">
        <v>151</v>
      </c>
      <c r="DE858" s="19">
        <v>-0.58</v>
      </c>
      <c r="DF858" s="21">
        <v>6</v>
      </c>
      <c r="DG858" s="19">
        <v>0</v>
      </c>
      <c r="DH858" s="19">
        <v>0</v>
      </c>
      <c r="DI858" s="19">
        <v>0</v>
      </c>
      <c r="DJ858" s="21">
        <v>10</v>
      </c>
      <c r="DK858" s="19" t="s">
        <v>151</v>
      </c>
      <c r="DL858" s="21" t="s">
        <v>151</v>
      </c>
      <c r="DM858" s="19">
        <v>0</v>
      </c>
      <c r="DN858" s="21">
        <v>10</v>
      </c>
      <c r="DO858" s="23">
        <v>3.19</v>
      </c>
      <c r="DP858" s="21">
        <v>75</v>
      </c>
      <c r="DQ858" s="23">
        <v>0</v>
      </c>
      <c r="DR858" s="19">
        <v>0</v>
      </c>
      <c r="DS858" s="23">
        <v>4.84</v>
      </c>
      <c r="DT858" s="21">
        <v>82</v>
      </c>
      <c r="DU858" s="23" t="s">
        <v>151</v>
      </c>
      <c r="DV858" s="21" t="s">
        <v>151</v>
      </c>
      <c r="DW858" s="23">
        <v>4.84</v>
      </c>
      <c r="DX858" s="21">
        <v>81</v>
      </c>
      <c r="DY858" s="18" t="s">
        <v>151</v>
      </c>
      <c r="DZ858" s="22" t="s">
        <v>151</v>
      </c>
      <c r="EA858" s="22" t="s">
        <v>151</v>
      </c>
      <c r="EB858" s="21">
        <v>1626</v>
      </c>
      <c r="EC858" s="20">
        <v>-63</v>
      </c>
      <c r="ED858" s="19">
        <v>-3.73</v>
      </c>
      <c r="EE858" s="21">
        <v>92</v>
      </c>
      <c r="EF858" s="20">
        <v>4</v>
      </c>
      <c r="EG858" s="19">
        <v>4.55</v>
      </c>
      <c r="EH858" s="16" t="s">
        <v>198</v>
      </c>
      <c r="EI858" s="17" t="s">
        <v>151</v>
      </c>
      <c r="EJ858" s="17" t="s">
        <v>151</v>
      </c>
      <c r="EK858" s="18" t="s">
        <v>151</v>
      </c>
      <c r="EL858" s="18" t="s">
        <v>151</v>
      </c>
      <c r="EM858" s="18" t="s">
        <v>151</v>
      </c>
      <c r="EN858" s="18" t="s">
        <v>151</v>
      </c>
      <c r="EO858" s="18" t="s">
        <v>151</v>
      </c>
      <c r="EP858" s="17" t="s">
        <v>151</v>
      </c>
      <c r="EQ858" s="16" t="s">
        <v>151</v>
      </c>
      <c r="ER858" s="16" t="s">
        <v>151</v>
      </c>
      <c r="ES858" s="3">
        <f>HYPERLINK("https://my.pitchbook.com?c=501883-30","View Company Online")</f>
      </c>
    </row>
    <row r="859">
      <c r="A859" s="30" t="s">
        <v>17437</v>
      </c>
      <c r="B859" s="30" t="s">
        <v>17438</v>
      </c>
      <c r="C859" s="31" t="s">
        <v>151</v>
      </c>
      <c r="D859" s="30" t="s">
        <v>151</v>
      </c>
      <c r="E859" s="30" t="s">
        <v>588</v>
      </c>
      <c r="F859" s="30" t="s">
        <v>17439</v>
      </c>
      <c r="G859" s="30" t="s">
        <v>151</v>
      </c>
      <c r="H859" s="30" t="s">
        <v>151</v>
      </c>
      <c r="I859" s="30" t="s">
        <v>151</v>
      </c>
      <c r="J859" s="30" t="s">
        <v>17437</v>
      </c>
      <c r="K859" s="30" t="s">
        <v>17440</v>
      </c>
      <c r="L859" s="30" t="s">
        <v>205</v>
      </c>
      <c r="M859" s="30" t="s">
        <v>206</v>
      </c>
      <c r="N859" s="30" t="s">
        <v>269</v>
      </c>
      <c r="O859" s="30" t="s">
        <v>563</v>
      </c>
      <c r="P859" s="30" t="s">
        <v>7675</v>
      </c>
      <c r="Q859" s="30" t="s">
        <v>17441</v>
      </c>
      <c r="R859" s="30" t="s">
        <v>151</v>
      </c>
      <c r="S859" s="30" t="s">
        <v>162</v>
      </c>
      <c r="T859" s="37">
        <v>3.98</v>
      </c>
      <c r="U859" s="30" t="s">
        <v>163</v>
      </c>
      <c r="V859" s="30" t="s">
        <v>164</v>
      </c>
      <c r="W859" s="30" t="s">
        <v>165</v>
      </c>
      <c r="X859" s="28" t="s">
        <v>17442</v>
      </c>
      <c r="Y859" s="28" t="s">
        <v>17443</v>
      </c>
      <c r="Z859" s="40">
        <v>2</v>
      </c>
      <c r="AA859" s="30" t="s">
        <v>6077</v>
      </c>
      <c r="AB859" s="30" t="s">
        <v>151</v>
      </c>
      <c r="AC859" s="30" t="s">
        <v>151</v>
      </c>
      <c r="AD859" s="39">
        <v>2023</v>
      </c>
      <c r="AE859" s="30" t="s">
        <v>151</v>
      </c>
      <c r="AF859" s="35">
        <v>45587</v>
      </c>
      <c r="AG859" s="30" t="s">
        <v>151</v>
      </c>
      <c r="AH859" s="30" t="s">
        <v>151</v>
      </c>
      <c r="AI859" s="38" t="s">
        <v>151</v>
      </c>
      <c r="AJ859" s="32" t="s">
        <v>151</v>
      </c>
      <c r="AK859" s="38" t="s">
        <v>151</v>
      </c>
      <c r="AL859" s="38" t="s">
        <v>151</v>
      </c>
      <c r="AM859" s="38" t="s">
        <v>151</v>
      </c>
      <c r="AN859" s="38" t="s">
        <v>151</v>
      </c>
      <c r="AO859" s="38" t="s">
        <v>151</v>
      </c>
      <c r="AP859" s="38" t="s">
        <v>151</v>
      </c>
      <c r="AQ859" s="38" t="s">
        <v>151</v>
      </c>
      <c r="AR859" s="29" t="s">
        <v>151</v>
      </c>
      <c r="AS859" s="30" t="s">
        <v>17444</v>
      </c>
      <c r="AT859" s="30" t="s">
        <v>17445</v>
      </c>
      <c r="AU859" s="31">
        <v>2</v>
      </c>
      <c r="AV859" s="30" t="s">
        <v>151</v>
      </c>
      <c r="AW859" s="30" t="s">
        <v>151</v>
      </c>
      <c r="AX859" s="30" t="s">
        <v>151</v>
      </c>
      <c r="AY859" s="30" t="s">
        <v>17446</v>
      </c>
      <c r="AZ859" s="30" t="s">
        <v>151</v>
      </c>
      <c r="BA859" s="30" t="s">
        <v>151</v>
      </c>
      <c r="BB859" s="30" t="s">
        <v>151</v>
      </c>
      <c r="BC859" s="30" t="s">
        <v>151</v>
      </c>
      <c r="BD859" s="30" t="s">
        <v>17447</v>
      </c>
      <c r="BE859" s="30" t="s">
        <v>17448</v>
      </c>
      <c r="BF859" s="30" t="s">
        <v>221</v>
      </c>
      <c r="BG859" s="30" t="s">
        <v>151</v>
      </c>
      <c r="BH859" s="30" t="s">
        <v>151</v>
      </c>
      <c r="BI859" s="30" t="s">
        <v>906</v>
      </c>
      <c r="BJ859" s="30" t="s">
        <v>17449</v>
      </c>
      <c r="BK859" s="30" t="s">
        <v>151</v>
      </c>
      <c r="BL859" s="30" t="s">
        <v>259</v>
      </c>
      <c r="BM859" s="30" t="s">
        <v>259</v>
      </c>
      <c r="BN859" s="29" t="s">
        <v>12050</v>
      </c>
      <c r="BO859" s="30" t="s">
        <v>186</v>
      </c>
      <c r="BP859" s="29" t="s">
        <v>151</v>
      </c>
      <c r="BQ859" s="29" t="s">
        <v>151</v>
      </c>
      <c r="BR859" s="30" t="s">
        <v>151</v>
      </c>
      <c r="BS859" s="30" t="s">
        <v>187</v>
      </c>
      <c r="BT859" s="30" t="s">
        <v>188</v>
      </c>
      <c r="BU859" s="35">
        <v>45580</v>
      </c>
      <c r="BV859" s="37">
        <v>3.98</v>
      </c>
      <c r="BW859" s="30" t="s">
        <v>192</v>
      </c>
      <c r="BX859" s="37">
        <v>15.98</v>
      </c>
      <c r="BY859" s="30" t="s">
        <v>192</v>
      </c>
      <c r="BZ859" s="30" t="s">
        <v>293</v>
      </c>
      <c r="CA859" s="30" t="s">
        <v>293</v>
      </c>
      <c r="CB859" s="30" t="s">
        <v>151</v>
      </c>
      <c r="CC859" s="30" t="s">
        <v>165</v>
      </c>
      <c r="CD859" s="30" t="s">
        <v>151</v>
      </c>
      <c r="CE859" s="30" t="s">
        <v>191</v>
      </c>
      <c r="CF859" s="35">
        <v>45580</v>
      </c>
      <c r="CG859" s="37">
        <v>3.98</v>
      </c>
      <c r="CH859" s="30" t="s">
        <v>192</v>
      </c>
      <c r="CI859" s="37">
        <v>15.98</v>
      </c>
      <c r="CJ859" s="30" t="s">
        <v>192</v>
      </c>
      <c r="CK859" s="29" t="s">
        <v>151</v>
      </c>
      <c r="CL859" s="30" t="s">
        <v>293</v>
      </c>
      <c r="CM859" s="30" t="s">
        <v>293</v>
      </c>
      <c r="CN859" s="30" t="s">
        <v>151</v>
      </c>
      <c r="CO859" s="30" t="s">
        <v>165</v>
      </c>
      <c r="CP859" s="35">
        <v>45580</v>
      </c>
      <c r="CQ859" s="37" t="s">
        <v>151</v>
      </c>
      <c r="CR859" s="30" t="s">
        <v>151</v>
      </c>
      <c r="CS859" s="30" t="s">
        <v>191</v>
      </c>
      <c r="CT859" s="29" t="s">
        <v>151</v>
      </c>
      <c r="CU859" s="30" t="s">
        <v>151</v>
      </c>
      <c r="CV859" s="32" t="s">
        <v>151</v>
      </c>
      <c r="CW859" s="32" t="s">
        <v>151</v>
      </c>
      <c r="CX859" s="30" t="s">
        <v>151</v>
      </c>
      <c r="CY859" s="32" t="s">
        <v>151</v>
      </c>
      <c r="CZ859" s="32" t="s">
        <v>151</v>
      </c>
      <c r="DA859" s="37">
        <v>15.98</v>
      </c>
      <c r="DB859" s="35">
        <v>45580</v>
      </c>
      <c r="DC859" s="30" t="s">
        <v>293</v>
      </c>
      <c r="DD859" s="29" t="s">
        <v>151</v>
      </c>
      <c r="DE859" s="32" t="s">
        <v>151</v>
      </c>
      <c r="DF859" s="34" t="s">
        <v>151</v>
      </c>
      <c r="DG859" s="32" t="s">
        <v>151</v>
      </c>
      <c r="DH859" s="32" t="s">
        <v>151</v>
      </c>
      <c r="DI859" s="32" t="s">
        <v>151</v>
      </c>
      <c r="DJ859" s="34" t="s">
        <v>151</v>
      </c>
      <c r="DK859" s="32" t="s">
        <v>151</v>
      </c>
      <c r="DL859" s="34" t="s">
        <v>151</v>
      </c>
      <c r="DM859" s="32" t="s">
        <v>151</v>
      </c>
      <c r="DN859" s="34" t="s">
        <v>151</v>
      </c>
      <c r="DO859" s="36" t="s">
        <v>151</v>
      </c>
      <c r="DP859" s="34" t="s">
        <v>151</v>
      </c>
      <c r="DQ859" s="36" t="s">
        <v>151</v>
      </c>
      <c r="DR859" s="32" t="s">
        <v>151</v>
      </c>
      <c r="DS859" s="36" t="s">
        <v>151</v>
      </c>
      <c r="DT859" s="34" t="s">
        <v>151</v>
      </c>
      <c r="DU859" s="36" t="s">
        <v>151</v>
      </c>
      <c r="DV859" s="34" t="s">
        <v>151</v>
      </c>
      <c r="DW859" s="36" t="s">
        <v>151</v>
      </c>
      <c r="DX859" s="34" t="s">
        <v>151</v>
      </c>
      <c r="DY859" s="31" t="s">
        <v>151</v>
      </c>
      <c r="DZ859" s="35" t="s">
        <v>151</v>
      </c>
      <c r="EA859" s="35" t="s">
        <v>151</v>
      </c>
      <c r="EB859" s="34" t="s">
        <v>151</v>
      </c>
      <c r="EC859" s="33" t="s">
        <v>151</v>
      </c>
      <c r="ED859" s="32" t="s">
        <v>151</v>
      </c>
      <c r="EE859" s="34" t="s">
        <v>151</v>
      </c>
      <c r="EF859" s="33" t="s">
        <v>151</v>
      </c>
      <c r="EG859" s="32" t="s">
        <v>151</v>
      </c>
      <c r="EH859" s="29" t="s">
        <v>198</v>
      </c>
      <c r="EI859" s="30" t="s">
        <v>151</v>
      </c>
      <c r="EJ859" s="30" t="s">
        <v>151</v>
      </c>
      <c r="EK859" s="31" t="s">
        <v>151</v>
      </c>
      <c r="EL859" s="31" t="s">
        <v>151</v>
      </c>
      <c r="EM859" s="31" t="s">
        <v>151</v>
      </c>
      <c r="EN859" s="31" t="s">
        <v>151</v>
      </c>
      <c r="EO859" s="31" t="s">
        <v>151</v>
      </c>
      <c r="EP859" s="30" t="s">
        <v>151</v>
      </c>
      <c r="EQ859" s="29" t="s">
        <v>151</v>
      </c>
      <c r="ER859" s="29" t="s">
        <v>151</v>
      </c>
      <c r="ES859" s="4">
        <f>HYPERLINK("https://my.pitchbook.com?c=691856-74","View Company Online")</f>
      </c>
    </row>
    <row r="860">
      <c r="A860" s="17" t="s">
        <v>17450</v>
      </c>
      <c r="B860" s="17" t="s">
        <v>17451</v>
      </c>
      <c r="C860" s="18" t="s">
        <v>151</v>
      </c>
      <c r="D860" s="17" t="s">
        <v>151</v>
      </c>
      <c r="E860" s="17" t="s">
        <v>151</v>
      </c>
      <c r="F860" s="17" t="s">
        <v>17452</v>
      </c>
      <c r="G860" s="17" t="s">
        <v>151</v>
      </c>
      <c r="H860" s="17" t="s">
        <v>151</v>
      </c>
      <c r="I860" s="17" t="s">
        <v>151</v>
      </c>
      <c r="J860" s="17" t="s">
        <v>17450</v>
      </c>
      <c r="K860" s="17" t="s">
        <v>17453</v>
      </c>
      <c r="L860" s="17" t="s">
        <v>205</v>
      </c>
      <c r="M860" s="17" t="s">
        <v>206</v>
      </c>
      <c r="N860" s="17" t="s">
        <v>694</v>
      </c>
      <c r="O860" s="17" t="s">
        <v>8108</v>
      </c>
      <c r="P860" s="17" t="s">
        <v>17454</v>
      </c>
      <c r="Q860" s="17" t="s">
        <v>17455</v>
      </c>
      <c r="R860" s="17" t="s">
        <v>151</v>
      </c>
      <c r="S860" s="17" t="s">
        <v>162</v>
      </c>
      <c r="T860" s="24">
        <v>4</v>
      </c>
      <c r="U860" s="17" t="s">
        <v>163</v>
      </c>
      <c r="V860" s="17" t="s">
        <v>164</v>
      </c>
      <c r="W860" s="17" t="s">
        <v>165</v>
      </c>
      <c r="X860" s="15" t="s">
        <v>17456</v>
      </c>
      <c r="Y860" s="15" t="s">
        <v>17457</v>
      </c>
      <c r="Z860" s="27">
        <v>15</v>
      </c>
      <c r="AA860" s="17" t="s">
        <v>17458</v>
      </c>
      <c r="AB860" s="17" t="s">
        <v>151</v>
      </c>
      <c r="AC860" s="17" t="s">
        <v>151</v>
      </c>
      <c r="AD860" s="26">
        <v>2018</v>
      </c>
      <c r="AE860" s="17" t="s">
        <v>151</v>
      </c>
      <c r="AF860" s="22">
        <v>45589</v>
      </c>
      <c r="AG860" s="17" t="s">
        <v>151</v>
      </c>
      <c r="AH860" s="17" t="s">
        <v>151</v>
      </c>
      <c r="AI860" s="25" t="s">
        <v>151</v>
      </c>
      <c r="AJ860" s="19" t="s">
        <v>151</v>
      </c>
      <c r="AK860" s="25" t="s">
        <v>151</v>
      </c>
      <c r="AL860" s="25" t="s">
        <v>151</v>
      </c>
      <c r="AM860" s="25" t="s">
        <v>151</v>
      </c>
      <c r="AN860" s="25" t="s">
        <v>151</v>
      </c>
      <c r="AO860" s="25" t="s">
        <v>151</v>
      </c>
      <c r="AP860" s="25" t="s">
        <v>151</v>
      </c>
      <c r="AQ860" s="25" t="s">
        <v>151</v>
      </c>
      <c r="AR860" s="16" t="s">
        <v>151</v>
      </c>
      <c r="AS860" s="17" t="s">
        <v>17459</v>
      </c>
      <c r="AT860" s="17" t="s">
        <v>17460</v>
      </c>
      <c r="AU860" s="18">
        <v>12</v>
      </c>
      <c r="AV860" s="17" t="s">
        <v>151</v>
      </c>
      <c r="AW860" s="17" t="s">
        <v>151</v>
      </c>
      <c r="AX860" s="17" t="s">
        <v>151</v>
      </c>
      <c r="AY860" s="17" t="s">
        <v>17461</v>
      </c>
      <c r="AZ860" s="17" t="s">
        <v>151</v>
      </c>
      <c r="BA860" s="17" t="s">
        <v>151</v>
      </c>
      <c r="BB860" s="17" t="s">
        <v>151</v>
      </c>
      <c r="BC860" s="17" t="s">
        <v>151</v>
      </c>
      <c r="BD860" s="17" t="s">
        <v>17462</v>
      </c>
      <c r="BE860" s="17" t="s">
        <v>17463</v>
      </c>
      <c r="BF860" s="17" t="s">
        <v>7524</v>
      </c>
      <c r="BG860" s="17" t="s">
        <v>17464</v>
      </c>
      <c r="BH860" s="17" t="s">
        <v>17465</v>
      </c>
      <c r="BI860" s="17" t="s">
        <v>17466</v>
      </c>
      <c r="BJ860" s="17" t="s">
        <v>17467</v>
      </c>
      <c r="BK860" s="17" t="s">
        <v>151</v>
      </c>
      <c r="BL860" s="17" t="s">
        <v>17468</v>
      </c>
      <c r="BM860" s="17" t="s">
        <v>1337</v>
      </c>
      <c r="BN860" s="16" t="s">
        <v>17469</v>
      </c>
      <c r="BO860" s="17" t="s">
        <v>186</v>
      </c>
      <c r="BP860" s="16" t="s">
        <v>17465</v>
      </c>
      <c r="BQ860" s="16" t="s">
        <v>151</v>
      </c>
      <c r="BR860" s="17" t="s">
        <v>17470</v>
      </c>
      <c r="BS860" s="17" t="s">
        <v>187</v>
      </c>
      <c r="BT860" s="17" t="s">
        <v>188</v>
      </c>
      <c r="BU860" s="22">
        <v>43500</v>
      </c>
      <c r="BV860" s="24">
        <v>0.12</v>
      </c>
      <c r="BW860" s="17" t="s">
        <v>192</v>
      </c>
      <c r="BX860" s="24" t="s">
        <v>151</v>
      </c>
      <c r="BY860" s="17" t="s">
        <v>151</v>
      </c>
      <c r="BZ860" s="17" t="s">
        <v>189</v>
      </c>
      <c r="CA860" s="17" t="s">
        <v>151</v>
      </c>
      <c r="CB860" s="17" t="s">
        <v>151</v>
      </c>
      <c r="CC860" s="17" t="s">
        <v>190</v>
      </c>
      <c r="CD860" s="17" t="s">
        <v>151</v>
      </c>
      <c r="CE860" s="17" t="s">
        <v>191</v>
      </c>
      <c r="CF860" s="22">
        <v>44888</v>
      </c>
      <c r="CG860" s="24">
        <v>3</v>
      </c>
      <c r="CH860" s="17" t="s">
        <v>193</v>
      </c>
      <c r="CI860" s="24">
        <v>13</v>
      </c>
      <c r="CJ860" s="17" t="s">
        <v>192</v>
      </c>
      <c r="CK860" s="16">
        <v>2.96</v>
      </c>
      <c r="CL860" s="17" t="s">
        <v>231</v>
      </c>
      <c r="CM860" s="17" t="s">
        <v>151</v>
      </c>
      <c r="CN860" s="17" t="s">
        <v>151</v>
      </c>
      <c r="CO860" s="17" t="s">
        <v>165</v>
      </c>
      <c r="CP860" s="22">
        <v>44888</v>
      </c>
      <c r="CQ860" s="24" t="s">
        <v>151</v>
      </c>
      <c r="CR860" s="17" t="s">
        <v>151</v>
      </c>
      <c r="CS860" s="17" t="s">
        <v>191</v>
      </c>
      <c r="CT860" s="16">
        <v>40</v>
      </c>
      <c r="CU860" s="17" t="s">
        <v>263</v>
      </c>
      <c r="CV860" s="19">
        <v>40</v>
      </c>
      <c r="CW860" s="19">
        <v>60</v>
      </c>
      <c r="CX860" s="17" t="s">
        <v>263</v>
      </c>
      <c r="CY860" s="19">
        <v>1</v>
      </c>
      <c r="CZ860" s="19">
        <v>39</v>
      </c>
      <c r="DA860" s="24">
        <v>13</v>
      </c>
      <c r="DB860" s="22">
        <v>44888</v>
      </c>
      <c r="DC860" s="17" t="s">
        <v>231</v>
      </c>
      <c r="DD860" s="16">
        <v>2.96</v>
      </c>
      <c r="DE860" s="19">
        <v>0</v>
      </c>
      <c r="DF860" s="21">
        <v>11</v>
      </c>
      <c r="DG860" s="19">
        <v>0</v>
      </c>
      <c r="DH860" s="19">
        <v>0</v>
      </c>
      <c r="DI860" s="19" t="s">
        <v>151</v>
      </c>
      <c r="DJ860" s="21" t="s">
        <v>151</v>
      </c>
      <c r="DK860" s="19" t="s">
        <v>151</v>
      </c>
      <c r="DL860" s="21" t="s">
        <v>151</v>
      </c>
      <c r="DM860" s="19" t="s">
        <v>151</v>
      </c>
      <c r="DN860" s="21" t="s">
        <v>151</v>
      </c>
      <c r="DO860" s="23">
        <v>1.15</v>
      </c>
      <c r="DP860" s="21">
        <v>53</v>
      </c>
      <c r="DQ860" s="23">
        <v>0</v>
      </c>
      <c r="DR860" s="19">
        <v>0</v>
      </c>
      <c r="DS860" s="23" t="s">
        <v>151</v>
      </c>
      <c r="DT860" s="21" t="s">
        <v>151</v>
      </c>
      <c r="DU860" s="23" t="s">
        <v>151</v>
      </c>
      <c r="DV860" s="21" t="s">
        <v>151</v>
      </c>
      <c r="DW860" s="23" t="s">
        <v>151</v>
      </c>
      <c r="DX860" s="21" t="s">
        <v>151</v>
      </c>
      <c r="DY860" s="18" t="s">
        <v>151</v>
      </c>
      <c r="DZ860" s="22" t="s">
        <v>151</v>
      </c>
      <c r="EA860" s="22" t="s">
        <v>151</v>
      </c>
      <c r="EB860" s="21">
        <v>241</v>
      </c>
      <c r="EC860" s="20">
        <v>-7</v>
      </c>
      <c r="ED860" s="19">
        <v>-2.82</v>
      </c>
      <c r="EE860" s="21" t="s">
        <v>151</v>
      </c>
      <c r="EF860" s="20" t="s">
        <v>151</v>
      </c>
      <c r="EG860" s="19" t="s">
        <v>151</v>
      </c>
      <c r="EH860" s="16" t="s">
        <v>198</v>
      </c>
      <c r="EI860" s="17" t="s">
        <v>151</v>
      </c>
      <c r="EJ860" s="17" t="s">
        <v>151</v>
      </c>
      <c r="EK860" s="18" t="s">
        <v>151</v>
      </c>
      <c r="EL860" s="18" t="s">
        <v>151</v>
      </c>
      <c r="EM860" s="18" t="s">
        <v>151</v>
      </c>
      <c r="EN860" s="18" t="s">
        <v>151</v>
      </c>
      <c r="EO860" s="18" t="s">
        <v>151</v>
      </c>
      <c r="EP860" s="17" t="s">
        <v>151</v>
      </c>
      <c r="EQ860" s="16" t="s">
        <v>151</v>
      </c>
      <c r="ER860" s="16" t="s">
        <v>151</v>
      </c>
      <c r="ES860" s="3">
        <f>HYPERLINK("https://my.pitchbook.com?c=322943-86","View Company Online")</f>
      </c>
    </row>
    <row r="861">
      <c r="A861" s="30" t="s">
        <v>17471</v>
      </c>
      <c r="B861" s="30" t="s">
        <v>17472</v>
      </c>
      <c r="C861" s="31" t="s">
        <v>151</v>
      </c>
      <c r="D861" s="30" t="s">
        <v>151</v>
      </c>
      <c r="E861" s="30" t="s">
        <v>151</v>
      </c>
      <c r="F861" s="30" t="s">
        <v>17473</v>
      </c>
      <c r="G861" s="30" t="s">
        <v>151</v>
      </c>
      <c r="H861" s="30" t="s">
        <v>151</v>
      </c>
      <c r="I861" s="30" t="s">
        <v>151</v>
      </c>
      <c r="J861" s="30" t="s">
        <v>17471</v>
      </c>
      <c r="K861" s="30" t="s">
        <v>17474</v>
      </c>
      <c r="L861" s="30" t="s">
        <v>155</v>
      </c>
      <c r="M861" s="30" t="s">
        <v>361</v>
      </c>
      <c r="N861" s="30" t="s">
        <v>3162</v>
      </c>
      <c r="O861" s="30" t="s">
        <v>17475</v>
      </c>
      <c r="P861" s="30" t="s">
        <v>2966</v>
      </c>
      <c r="Q861" s="30" t="s">
        <v>17476</v>
      </c>
      <c r="R861" s="30" t="s">
        <v>151</v>
      </c>
      <c r="S861" s="30" t="s">
        <v>162</v>
      </c>
      <c r="T861" s="37">
        <v>12.8</v>
      </c>
      <c r="U861" s="30" t="s">
        <v>163</v>
      </c>
      <c r="V861" s="30" t="s">
        <v>164</v>
      </c>
      <c r="W861" s="30" t="s">
        <v>165</v>
      </c>
      <c r="X861" s="28" t="s">
        <v>17477</v>
      </c>
      <c r="Y861" s="28" t="s">
        <v>17478</v>
      </c>
      <c r="Z861" s="40">
        <v>13</v>
      </c>
      <c r="AA861" s="30" t="s">
        <v>17479</v>
      </c>
      <c r="AB861" s="30" t="s">
        <v>151</v>
      </c>
      <c r="AC861" s="30" t="s">
        <v>151</v>
      </c>
      <c r="AD861" s="39">
        <v>2020</v>
      </c>
      <c r="AE861" s="30" t="s">
        <v>151</v>
      </c>
      <c r="AF861" s="35">
        <v>45611</v>
      </c>
      <c r="AG861" s="30" t="s">
        <v>151</v>
      </c>
      <c r="AH861" s="30" t="s">
        <v>151</v>
      </c>
      <c r="AI861" s="38" t="s">
        <v>151</v>
      </c>
      <c r="AJ861" s="32" t="s">
        <v>151</v>
      </c>
      <c r="AK861" s="38" t="s">
        <v>151</v>
      </c>
      <c r="AL861" s="38" t="s">
        <v>151</v>
      </c>
      <c r="AM861" s="38" t="s">
        <v>151</v>
      </c>
      <c r="AN861" s="38" t="s">
        <v>151</v>
      </c>
      <c r="AO861" s="38" t="s">
        <v>151</v>
      </c>
      <c r="AP861" s="38" t="s">
        <v>151</v>
      </c>
      <c r="AQ861" s="38" t="s">
        <v>151</v>
      </c>
      <c r="AR861" s="29" t="s">
        <v>151</v>
      </c>
      <c r="AS861" s="30" t="s">
        <v>17480</v>
      </c>
      <c r="AT861" s="30" t="s">
        <v>17481</v>
      </c>
      <c r="AU861" s="31">
        <v>8</v>
      </c>
      <c r="AV861" s="30" t="s">
        <v>151</v>
      </c>
      <c r="AW861" s="30" t="s">
        <v>151</v>
      </c>
      <c r="AX861" s="30" t="s">
        <v>151</v>
      </c>
      <c r="AY861" s="30" t="s">
        <v>17482</v>
      </c>
      <c r="AZ861" s="30" t="s">
        <v>151</v>
      </c>
      <c r="BA861" s="30" t="s">
        <v>151</v>
      </c>
      <c r="BB861" s="30" t="s">
        <v>151</v>
      </c>
      <c r="BC861" s="30" t="s">
        <v>151</v>
      </c>
      <c r="BD861" s="30" t="s">
        <v>17483</v>
      </c>
      <c r="BE861" s="30" t="s">
        <v>17484</v>
      </c>
      <c r="BF861" s="30" t="s">
        <v>493</v>
      </c>
      <c r="BG861" s="30" t="s">
        <v>17485</v>
      </c>
      <c r="BH861" s="30" t="s">
        <v>17486</v>
      </c>
      <c r="BI861" s="30" t="s">
        <v>906</v>
      </c>
      <c r="BJ861" s="30" t="s">
        <v>17487</v>
      </c>
      <c r="BK861" s="30" t="s">
        <v>151</v>
      </c>
      <c r="BL861" s="30" t="s">
        <v>259</v>
      </c>
      <c r="BM861" s="30" t="s">
        <v>259</v>
      </c>
      <c r="BN861" s="29" t="s">
        <v>1123</v>
      </c>
      <c r="BO861" s="30" t="s">
        <v>186</v>
      </c>
      <c r="BP861" s="29" t="s">
        <v>17488</v>
      </c>
      <c r="BQ861" s="29" t="s">
        <v>151</v>
      </c>
      <c r="BR861" s="30" t="s">
        <v>17489</v>
      </c>
      <c r="BS861" s="30" t="s">
        <v>187</v>
      </c>
      <c r="BT861" s="30" t="s">
        <v>188</v>
      </c>
      <c r="BU861" s="35">
        <v>44174</v>
      </c>
      <c r="BV861" s="37">
        <v>1.8</v>
      </c>
      <c r="BW861" s="30" t="s">
        <v>192</v>
      </c>
      <c r="BX861" s="37">
        <v>7</v>
      </c>
      <c r="BY861" s="30" t="s">
        <v>192</v>
      </c>
      <c r="BZ861" s="30" t="s">
        <v>293</v>
      </c>
      <c r="CA861" s="30" t="s">
        <v>293</v>
      </c>
      <c r="CB861" s="30" t="s">
        <v>151</v>
      </c>
      <c r="CC861" s="30" t="s">
        <v>165</v>
      </c>
      <c r="CD861" s="30" t="s">
        <v>151</v>
      </c>
      <c r="CE861" s="30" t="s">
        <v>191</v>
      </c>
      <c r="CF861" s="35">
        <v>44973</v>
      </c>
      <c r="CG861" s="37">
        <v>11</v>
      </c>
      <c r="CH861" s="30" t="s">
        <v>192</v>
      </c>
      <c r="CI861" s="37">
        <v>30</v>
      </c>
      <c r="CJ861" s="30" t="s">
        <v>192</v>
      </c>
      <c r="CK861" s="29">
        <v>2.71</v>
      </c>
      <c r="CL861" s="30" t="s">
        <v>231</v>
      </c>
      <c r="CM861" s="30" t="s">
        <v>232</v>
      </c>
      <c r="CN861" s="30" t="s">
        <v>151</v>
      </c>
      <c r="CO861" s="30" t="s">
        <v>165</v>
      </c>
      <c r="CP861" s="35">
        <v>44973</v>
      </c>
      <c r="CQ861" s="37" t="s">
        <v>151</v>
      </c>
      <c r="CR861" s="30" t="s">
        <v>151</v>
      </c>
      <c r="CS861" s="30" t="s">
        <v>191</v>
      </c>
      <c r="CT861" s="29">
        <v>88</v>
      </c>
      <c r="CU861" s="30" t="s">
        <v>196</v>
      </c>
      <c r="CV861" s="32">
        <v>80</v>
      </c>
      <c r="CW861" s="32">
        <v>20</v>
      </c>
      <c r="CX861" s="30" t="s">
        <v>294</v>
      </c>
      <c r="CY861" s="32">
        <v>1</v>
      </c>
      <c r="CZ861" s="32">
        <v>79</v>
      </c>
      <c r="DA861" s="37">
        <v>30</v>
      </c>
      <c r="DB861" s="35">
        <v>44973</v>
      </c>
      <c r="DC861" s="30" t="s">
        <v>231</v>
      </c>
      <c r="DD861" s="29">
        <v>2.71</v>
      </c>
      <c r="DE861" s="32">
        <v>0</v>
      </c>
      <c r="DF861" s="34">
        <v>11</v>
      </c>
      <c r="DG861" s="32">
        <v>0</v>
      </c>
      <c r="DH861" s="32">
        <v>0</v>
      </c>
      <c r="DI861" s="32" t="s">
        <v>151</v>
      </c>
      <c r="DJ861" s="34" t="s">
        <v>151</v>
      </c>
      <c r="DK861" s="32" t="s">
        <v>151</v>
      </c>
      <c r="DL861" s="34" t="s">
        <v>151</v>
      </c>
      <c r="DM861" s="32" t="s">
        <v>151</v>
      </c>
      <c r="DN861" s="34" t="s">
        <v>151</v>
      </c>
      <c r="DO861" s="36">
        <v>1</v>
      </c>
      <c r="DP861" s="34">
        <v>49</v>
      </c>
      <c r="DQ861" s="36">
        <v>0</v>
      </c>
      <c r="DR861" s="32">
        <v>0</v>
      </c>
      <c r="DS861" s="36" t="s">
        <v>151</v>
      </c>
      <c r="DT861" s="34" t="s">
        <v>151</v>
      </c>
      <c r="DU861" s="36" t="s">
        <v>151</v>
      </c>
      <c r="DV861" s="34" t="s">
        <v>151</v>
      </c>
      <c r="DW861" s="36" t="s">
        <v>151</v>
      </c>
      <c r="DX861" s="34" t="s">
        <v>151</v>
      </c>
      <c r="DY861" s="31" t="s">
        <v>151</v>
      </c>
      <c r="DZ861" s="35" t="s">
        <v>151</v>
      </c>
      <c r="EA861" s="35" t="s">
        <v>151</v>
      </c>
      <c r="EB861" s="34">
        <v>2383</v>
      </c>
      <c r="EC861" s="33">
        <v>14</v>
      </c>
      <c r="ED861" s="32">
        <v>0.59</v>
      </c>
      <c r="EE861" s="34" t="s">
        <v>151</v>
      </c>
      <c r="EF861" s="33" t="s">
        <v>151</v>
      </c>
      <c r="EG861" s="32" t="s">
        <v>151</v>
      </c>
      <c r="EH861" s="29" t="s">
        <v>198</v>
      </c>
      <c r="EI861" s="30" t="s">
        <v>151</v>
      </c>
      <c r="EJ861" s="30" t="s">
        <v>151</v>
      </c>
      <c r="EK861" s="31" t="s">
        <v>151</v>
      </c>
      <c r="EL861" s="31" t="s">
        <v>151</v>
      </c>
      <c r="EM861" s="31" t="s">
        <v>151</v>
      </c>
      <c r="EN861" s="31" t="s">
        <v>151</v>
      </c>
      <c r="EO861" s="31" t="s">
        <v>151</v>
      </c>
      <c r="EP861" s="30" t="s">
        <v>151</v>
      </c>
      <c r="EQ861" s="29" t="s">
        <v>151</v>
      </c>
      <c r="ER861" s="29" t="s">
        <v>151</v>
      </c>
      <c r="ES861" s="4">
        <f>HYPERLINK("https://my.pitchbook.com?c=454787-83","View Company Online")</f>
      </c>
    </row>
    <row r="862">
      <c r="A862" s="17" t="s">
        <v>17490</v>
      </c>
      <c r="B862" s="17" t="s">
        <v>17491</v>
      </c>
      <c r="C862" s="18" t="s">
        <v>151</v>
      </c>
      <c r="D862" s="17" t="s">
        <v>151</v>
      </c>
      <c r="E862" s="17" t="s">
        <v>151</v>
      </c>
      <c r="F862" s="17" t="s">
        <v>17492</v>
      </c>
      <c r="G862" s="17" t="s">
        <v>151</v>
      </c>
      <c r="H862" s="17" t="s">
        <v>151</v>
      </c>
      <c r="I862" s="17" t="s">
        <v>151</v>
      </c>
      <c r="J862" s="17" t="s">
        <v>17490</v>
      </c>
      <c r="K862" s="17" t="s">
        <v>17493</v>
      </c>
      <c r="L862" s="17" t="s">
        <v>205</v>
      </c>
      <c r="M862" s="17" t="s">
        <v>206</v>
      </c>
      <c r="N862" s="17" t="s">
        <v>269</v>
      </c>
      <c r="O862" s="17" t="s">
        <v>4250</v>
      </c>
      <c r="P862" s="17" t="s">
        <v>17494</v>
      </c>
      <c r="Q862" s="17" t="s">
        <v>17495</v>
      </c>
      <c r="R862" s="17" t="s">
        <v>151</v>
      </c>
      <c r="S862" s="17" t="s">
        <v>162</v>
      </c>
      <c r="T862" s="24">
        <v>55</v>
      </c>
      <c r="U862" s="17" t="s">
        <v>163</v>
      </c>
      <c r="V862" s="17" t="s">
        <v>164</v>
      </c>
      <c r="W862" s="17" t="s">
        <v>165</v>
      </c>
      <c r="X862" s="15" t="s">
        <v>17496</v>
      </c>
      <c r="Y862" s="15" t="s">
        <v>17497</v>
      </c>
      <c r="Z862" s="27">
        <v>10</v>
      </c>
      <c r="AA862" s="17" t="s">
        <v>17498</v>
      </c>
      <c r="AB862" s="17" t="s">
        <v>151</v>
      </c>
      <c r="AC862" s="17" t="s">
        <v>151</v>
      </c>
      <c r="AD862" s="26">
        <v>2022</v>
      </c>
      <c r="AE862" s="17" t="s">
        <v>151</v>
      </c>
      <c r="AF862" s="22">
        <v>45541</v>
      </c>
      <c r="AG862" s="17" t="s">
        <v>151</v>
      </c>
      <c r="AH862" s="17" t="s">
        <v>151</v>
      </c>
      <c r="AI862" s="25" t="s">
        <v>151</v>
      </c>
      <c r="AJ862" s="19" t="s">
        <v>151</v>
      </c>
      <c r="AK862" s="25" t="s">
        <v>151</v>
      </c>
      <c r="AL862" s="25" t="s">
        <v>151</v>
      </c>
      <c r="AM862" s="25" t="s">
        <v>151</v>
      </c>
      <c r="AN862" s="25" t="s">
        <v>151</v>
      </c>
      <c r="AO862" s="25" t="s">
        <v>151</v>
      </c>
      <c r="AP862" s="25" t="s">
        <v>151</v>
      </c>
      <c r="AQ862" s="25" t="s">
        <v>151</v>
      </c>
      <c r="AR862" s="16" t="s">
        <v>151</v>
      </c>
      <c r="AS862" s="17" t="s">
        <v>17499</v>
      </c>
      <c r="AT862" s="17" t="s">
        <v>17500</v>
      </c>
      <c r="AU862" s="18">
        <v>12</v>
      </c>
      <c r="AV862" s="17" t="s">
        <v>151</v>
      </c>
      <c r="AW862" s="17" t="s">
        <v>151</v>
      </c>
      <c r="AX862" s="17" t="s">
        <v>151</v>
      </c>
      <c r="AY862" s="17" t="s">
        <v>17501</v>
      </c>
      <c r="AZ862" s="17" t="s">
        <v>151</v>
      </c>
      <c r="BA862" s="17" t="s">
        <v>151</v>
      </c>
      <c r="BB862" s="17" t="s">
        <v>151</v>
      </c>
      <c r="BC862" s="17" t="s">
        <v>17502</v>
      </c>
      <c r="BD862" s="17" t="s">
        <v>17503</v>
      </c>
      <c r="BE862" s="17" t="s">
        <v>17504</v>
      </c>
      <c r="BF862" s="17" t="s">
        <v>3087</v>
      </c>
      <c r="BG862" s="17" t="s">
        <v>151</v>
      </c>
      <c r="BH862" s="17" t="s">
        <v>151</v>
      </c>
      <c r="BI862" s="17" t="s">
        <v>764</v>
      </c>
      <c r="BJ862" s="17" t="s">
        <v>17505</v>
      </c>
      <c r="BK862" s="17" t="s">
        <v>17506</v>
      </c>
      <c r="BL862" s="17" t="s">
        <v>767</v>
      </c>
      <c r="BM862" s="17" t="s">
        <v>184</v>
      </c>
      <c r="BN862" s="16" t="s">
        <v>10913</v>
      </c>
      <c r="BO862" s="17" t="s">
        <v>186</v>
      </c>
      <c r="BP862" s="16" t="s">
        <v>151</v>
      </c>
      <c r="BQ862" s="16" t="s">
        <v>151</v>
      </c>
      <c r="BR862" s="17" t="s">
        <v>17507</v>
      </c>
      <c r="BS862" s="17" t="s">
        <v>187</v>
      </c>
      <c r="BT862" s="17" t="s">
        <v>188</v>
      </c>
      <c r="BU862" s="22">
        <v>44880</v>
      </c>
      <c r="BV862" s="24">
        <v>12</v>
      </c>
      <c r="BW862" s="17" t="s">
        <v>193</v>
      </c>
      <c r="BX862" s="24">
        <v>50</v>
      </c>
      <c r="BY862" s="17" t="s">
        <v>192</v>
      </c>
      <c r="BZ862" s="17" t="s">
        <v>293</v>
      </c>
      <c r="CA862" s="17" t="s">
        <v>293</v>
      </c>
      <c r="CB862" s="17" t="s">
        <v>151</v>
      </c>
      <c r="CC862" s="17" t="s">
        <v>165</v>
      </c>
      <c r="CD862" s="17" t="s">
        <v>151</v>
      </c>
      <c r="CE862" s="17" t="s">
        <v>191</v>
      </c>
      <c r="CF862" s="22">
        <v>45372</v>
      </c>
      <c r="CG862" s="24">
        <v>43</v>
      </c>
      <c r="CH862" s="17" t="s">
        <v>192</v>
      </c>
      <c r="CI862" s="24">
        <v>270</v>
      </c>
      <c r="CJ862" s="17" t="s">
        <v>192</v>
      </c>
      <c r="CK862" s="16">
        <v>4.54</v>
      </c>
      <c r="CL862" s="17" t="s">
        <v>231</v>
      </c>
      <c r="CM862" s="17" t="s">
        <v>232</v>
      </c>
      <c r="CN862" s="17" t="s">
        <v>151</v>
      </c>
      <c r="CO862" s="17" t="s">
        <v>165</v>
      </c>
      <c r="CP862" s="22">
        <v>45372</v>
      </c>
      <c r="CQ862" s="24" t="s">
        <v>151</v>
      </c>
      <c r="CR862" s="17" t="s">
        <v>151</v>
      </c>
      <c r="CS862" s="17" t="s">
        <v>191</v>
      </c>
      <c r="CT862" s="16">
        <v>77</v>
      </c>
      <c r="CU862" s="17" t="s">
        <v>196</v>
      </c>
      <c r="CV862" s="19">
        <v>69</v>
      </c>
      <c r="CW862" s="19">
        <v>31</v>
      </c>
      <c r="CX862" s="17" t="s">
        <v>294</v>
      </c>
      <c r="CY862" s="19">
        <v>3</v>
      </c>
      <c r="CZ862" s="19">
        <v>66</v>
      </c>
      <c r="DA862" s="24">
        <v>270</v>
      </c>
      <c r="DB862" s="22">
        <v>45372</v>
      </c>
      <c r="DC862" s="17" t="s">
        <v>231</v>
      </c>
      <c r="DD862" s="16">
        <v>4.54</v>
      </c>
      <c r="DE862" s="19">
        <v>0.65</v>
      </c>
      <c r="DF862" s="21">
        <v>95</v>
      </c>
      <c r="DG862" s="19">
        <v>0</v>
      </c>
      <c r="DH862" s="19">
        <v>0</v>
      </c>
      <c r="DI862" s="19">
        <v>0.65</v>
      </c>
      <c r="DJ862" s="21">
        <v>95</v>
      </c>
      <c r="DK862" s="19" t="s">
        <v>151</v>
      </c>
      <c r="DL862" s="21" t="s">
        <v>151</v>
      </c>
      <c r="DM862" s="19">
        <v>0.65</v>
      </c>
      <c r="DN862" s="21">
        <v>96</v>
      </c>
      <c r="DO862" s="23">
        <v>22.26</v>
      </c>
      <c r="DP862" s="21">
        <v>95</v>
      </c>
      <c r="DQ862" s="23">
        <v>0</v>
      </c>
      <c r="DR862" s="19">
        <v>0</v>
      </c>
      <c r="DS862" s="23">
        <v>22.26</v>
      </c>
      <c r="DT862" s="21">
        <v>95</v>
      </c>
      <c r="DU862" s="23" t="s">
        <v>151</v>
      </c>
      <c r="DV862" s="21" t="s">
        <v>151</v>
      </c>
      <c r="DW862" s="23">
        <v>22.26</v>
      </c>
      <c r="DX862" s="21">
        <v>95</v>
      </c>
      <c r="DY862" s="18" t="s">
        <v>151</v>
      </c>
      <c r="DZ862" s="22" t="s">
        <v>151</v>
      </c>
      <c r="EA862" s="22" t="s">
        <v>151</v>
      </c>
      <c r="EB862" s="21">
        <v>7787</v>
      </c>
      <c r="EC862" s="20">
        <v>617</v>
      </c>
      <c r="ED862" s="19">
        <v>8.61</v>
      </c>
      <c r="EE862" s="21">
        <v>423</v>
      </c>
      <c r="EF862" s="20">
        <v>5</v>
      </c>
      <c r="EG862" s="19">
        <v>1.2</v>
      </c>
      <c r="EH862" s="16" t="s">
        <v>198</v>
      </c>
      <c r="EI862" s="17" t="s">
        <v>151</v>
      </c>
      <c r="EJ862" s="17" t="s">
        <v>151</v>
      </c>
      <c r="EK862" s="18" t="s">
        <v>151</v>
      </c>
      <c r="EL862" s="18" t="s">
        <v>151</v>
      </c>
      <c r="EM862" s="18" t="s">
        <v>151</v>
      </c>
      <c r="EN862" s="18" t="s">
        <v>151</v>
      </c>
      <c r="EO862" s="18" t="s">
        <v>151</v>
      </c>
      <c r="EP862" s="17" t="s">
        <v>151</v>
      </c>
      <c r="EQ862" s="16" t="s">
        <v>151</v>
      </c>
      <c r="ER862" s="16" t="s">
        <v>151</v>
      </c>
      <c r="ES862" s="3">
        <f>HYPERLINK("https://my.pitchbook.com?c=533382-31","View Company Online")</f>
      </c>
    </row>
    <row r="863">
      <c r="A863" s="30" t="s">
        <v>17508</v>
      </c>
      <c r="B863" s="30" t="s">
        <v>17509</v>
      </c>
      <c r="C863" s="31" t="s">
        <v>151</v>
      </c>
      <c r="D863" s="30" t="s">
        <v>151</v>
      </c>
      <c r="E863" s="30" t="s">
        <v>17510</v>
      </c>
      <c r="F863" s="30" t="s">
        <v>17511</v>
      </c>
      <c r="G863" s="30" t="s">
        <v>151</v>
      </c>
      <c r="H863" s="30" t="s">
        <v>151</v>
      </c>
      <c r="I863" s="30" t="s">
        <v>17512</v>
      </c>
      <c r="J863" s="30" t="s">
        <v>17508</v>
      </c>
      <c r="K863" s="30" t="s">
        <v>17513</v>
      </c>
      <c r="L863" s="30" t="s">
        <v>1178</v>
      </c>
      <c r="M863" s="30" t="s">
        <v>1179</v>
      </c>
      <c r="N863" s="30" t="s">
        <v>1179</v>
      </c>
      <c r="O863" s="30" t="s">
        <v>1180</v>
      </c>
      <c r="P863" s="30" t="s">
        <v>13947</v>
      </c>
      <c r="Q863" s="30" t="s">
        <v>17514</v>
      </c>
      <c r="R863" s="30" t="s">
        <v>151</v>
      </c>
      <c r="S863" s="30" t="s">
        <v>162</v>
      </c>
      <c r="T863" s="37">
        <v>5.5</v>
      </c>
      <c r="U863" s="30" t="s">
        <v>163</v>
      </c>
      <c r="V863" s="30" t="s">
        <v>164</v>
      </c>
      <c r="W863" s="30" t="s">
        <v>165</v>
      </c>
      <c r="X863" s="28" t="s">
        <v>17515</v>
      </c>
      <c r="Y863" s="28" t="s">
        <v>17516</v>
      </c>
      <c r="Z863" s="40">
        <v>15</v>
      </c>
      <c r="AA863" s="30" t="s">
        <v>17517</v>
      </c>
      <c r="AB863" s="30" t="s">
        <v>151</v>
      </c>
      <c r="AC863" s="30" t="s">
        <v>151</v>
      </c>
      <c r="AD863" s="39">
        <v>2019</v>
      </c>
      <c r="AE863" s="30" t="s">
        <v>151</v>
      </c>
      <c r="AF863" s="35">
        <v>45617</v>
      </c>
      <c r="AG863" s="30" t="s">
        <v>151</v>
      </c>
      <c r="AH863" s="30" t="s">
        <v>151</v>
      </c>
      <c r="AI863" s="38" t="s">
        <v>151</v>
      </c>
      <c r="AJ863" s="32" t="s">
        <v>151</v>
      </c>
      <c r="AK863" s="38" t="s">
        <v>151</v>
      </c>
      <c r="AL863" s="38" t="s">
        <v>151</v>
      </c>
      <c r="AM863" s="38" t="s">
        <v>151</v>
      </c>
      <c r="AN863" s="38" t="s">
        <v>151</v>
      </c>
      <c r="AO863" s="38" t="s">
        <v>151</v>
      </c>
      <c r="AP863" s="38" t="s">
        <v>151</v>
      </c>
      <c r="AQ863" s="38" t="s">
        <v>151</v>
      </c>
      <c r="AR863" s="29" t="s">
        <v>151</v>
      </c>
      <c r="AS863" s="30" t="s">
        <v>17518</v>
      </c>
      <c r="AT863" s="30" t="s">
        <v>17519</v>
      </c>
      <c r="AU863" s="31">
        <v>31</v>
      </c>
      <c r="AV863" s="30" t="s">
        <v>151</v>
      </c>
      <c r="AW863" s="30" t="s">
        <v>151</v>
      </c>
      <c r="AX863" s="30" t="s">
        <v>151</v>
      </c>
      <c r="AY863" s="30" t="s">
        <v>17520</v>
      </c>
      <c r="AZ863" s="30" t="s">
        <v>151</v>
      </c>
      <c r="BA863" s="30" t="s">
        <v>151</v>
      </c>
      <c r="BB863" s="30" t="s">
        <v>17521</v>
      </c>
      <c r="BC863" s="30" t="s">
        <v>151</v>
      </c>
      <c r="BD863" s="30" t="s">
        <v>17522</v>
      </c>
      <c r="BE863" s="30" t="s">
        <v>17523</v>
      </c>
      <c r="BF863" s="30" t="s">
        <v>221</v>
      </c>
      <c r="BG863" s="30" t="s">
        <v>17524</v>
      </c>
      <c r="BH863" s="30" t="s">
        <v>17525</v>
      </c>
      <c r="BI863" s="30" t="s">
        <v>934</v>
      </c>
      <c r="BJ863" s="30" t="s">
        <v>17526</v>
      </c>
      <c r="BK863" s="30" t="s">
        <v>17527</v>
      </c>
      <c r="BL863" s="30" t="s">
        <v>937</v>
      </c>
      <c r="BM863" s="30" t="s">
        <v>184</v>
      </c>
      <c r="BN863" s="29" t="s">
        <v>8798</v>
      </c>
      <c r="BO863" s="30" t="s">
        <v>186</v>
      </c>
      <c r="BP863" s="29" t="s">
        <v>17525</v>
      </c>
      <c r="BQ863" s="29" t="s">
        <v>151</v>
      </c>
      <c r="BR863" s="30" t="s">
        <v>17528</v>
      </c>
      <c r="BS863" s="30" t="s">
        <v>187</v>
      </c>
      <c r="BT863" s="30" t="s">
        <v>188</v>
      </c>
      <c r="BU863" s="35">
        <v>44077</v>
      </c>
      <c r="BV863" s="37">
        <v>1.3</v>
      </c>
      <c r="BW863" s="30" t="s">
        <v>192</v>
      </c>
      <c r="BX863" s="37" t="s">
        <v>151</v>
      </c>
      <c r="BY863" s="30" t="s">
        <v>151</v>
      </c>
      <c r="BZ863" s="30" t="s">
        <v>293</v>
      </c>
      <c r="CA863" s="30" t="s">
        <v>293</v>
      </c>
      <c r="CB863" s="30" t="s">
        <v>151</v>
      </c>
      <c r="CC863" s="30" t="s">
        <v>165</v>
      </c>
      <c r="CD863" s="30" t="s">
        <v>151</v>
      </c>
      <c r="CE863" s="30" t="s">
        <v>191</v>
      </c>
      <c r="CF863" s="35">
        <v>45328</v>
      </c>
      <c r="CG863" s="37">
        <v>2.2</v>
      </c>
      <c r="CH863" s="30" t="s">
        <v>192</v>
      </c>
      <c r="CI863" s="37" t="s">
        <v>151</v>
      </c>
      <c r="CJ863" s="30" t="s">
        <v>151</v>
      </c>
      <c r="CK863" s="29" t="s">
        <v>151</v>
      </c>
      <c r="CL863" s="30" t="s">
        <v>293</v>
      </c>
      <c r="CM863" s="30" t="s">
        <v>293</v>
      </c>
      <c r="CN863" s="30" t="s">
        <v>151</v>
      </c>
      <c r="CO863" s="30" t="s">
        <v>165</v>
      </c>
      <c r="CP863" s="35">
        <v>45328</v>
      </c>
      <c r="CQ863" s="37" t="s">
        <v>151</v>
      </c>
      <c r="CR863" s="30" t="s">
        <v>151</v>
      </c>
      <c r="CS863" s="30" t="s">
        <v>191</v>
      </c>
      <c r="CT863" s="29">
        <v>97</v>
      </c>
      <c r="CU863" s="30" t="s">
        <v>196</v>
      </c>
      <c r="CV863" s="32">
        <v>91</v>
      </c>
      <c r="CW863" s="32">
        <v>9</v>
      </c>
      <c r="CX863" s="30" t="s">
        <v>294</v>
      </c>
      <c r="CY863" s="32">
        <v>1</v>
      </c>
      <c r="CZ863" s="32">
        <v>90</v>
      </c>
      <c r="DA863" s="37">
        <v>15</v>
      </c>
      <c r="DB863" s="35">
        <v>44431</v>
      </c>
      <c r="DC863" s="30" t="s">
        <v>293</v>
      </c>
      <c r="DD863" s="29" t="s">
        <v>151</v>
      </c>
      <c r="DE863" s="32">
        <v>0.36</v>
      </c>
      <c r="DF863" s="34">
        <v>93</v>
      </c>
      <c r="DG863" s="32">
        <v>0</v>
      </c>
      <c r="DH863" s="32">
        <v>0</v>
      </c>
      <c r="DI863" s="32">
        <v>0.36</v>
      </c>
      <c r="DJ863" s="34">
        <v>94</v>
      </c>
      <c r="DK863" s="32" t="s">
        <v>151</v>
      </c>
      <c r="DL863" s="34" t="s">
        <v>151</v>
      </c>
      <c r="DM863" s="32">
        <v>0.36</v>
      </c>
      <c r="DN863" s="34">
        <v>94</v>
      </c>
      <c r="DO863" s="36">
        <v>16.63</v>
      </c>
      <c r="DP863" s="34">
        <v>94</v>
      </c>
      <c r="DQ863" s="36">
        <v>0</v>
      </c>
      <c r="DR863" s="32">
        <v>0</v>
      </c>
      <c r="DS863" s="36">
        <v>16.63</v>
      </c>
      <c r="DT863" s="34">
        <v>94</v>
      </c>
      <c r="DU863" s="36" t="s">
        <v>151</v>
      </c>
      <c r="DV863" s="34" t="s">
        <v>151</v>
      </c>
      <c r="DW863" s="36">
        <v>16.63</v>
      </c>
      <c r="DX863" s="34">
        <v>94</v>
      </c>
      <c r="DY863" s="31" t="s">
        <v>151</v>
      </c>
      <c r="DZ863" s="35" t="s">
        <v>151</v>
      </c>
      <c r="EA863" s="35" t="s">
        <v>151</v>
      </c>
      <c r="EB863" s="34">
        <v>388</v>
      </c>
      <c r="EC863" s="33">
        <v>-166</v>
      </c>
      <c r="ED863" s="32">
        <v>-29.96</v>
      </c>
      <c r="EE863" s="34">
        <v>316</v>
      </c>
      <c r="EF863" s="33">
        <v>0</v>
      </c>
      <c r="EG863" s="32">
        <v>0</v>
      </c>
      <c r="EH863" s="29" t="s">
        <v>198</v>
      </c>
      <c r="EI863" s="30" t="s">
        <v>151</v>
      </c>
      <c r="EJ863" s="30" t="s">
        <v>151</v>
      </c>
      <c r="EK863" s="31" t="s">
        <v>151</v>
      </c>
      <c r="EL863" s="31" t="s">
        <v>151</v>
      </c>
      <c r="EM863" s="31" t="s">
        <v>151</v>
      </c>
      <c r="EN863" s="31" t="s">
        <v>151</v>
      </c>
      <c r="EO863" s="31" t="s">
        <v>151</v>
      </c>
      <c r="EP863" s="30" t="s">
        <v>151</v>
      </c>
      <c r="EQ863" s="29" t="s">
        <v>151</v>
      </c>
      <c r="ER863" s="29" t="s">
        <v>151</v>
      </c>
      <c r="ES863" s="4">
        <f>HYPERLINK("https://my.pitchbook.com?c=443135-80","View Company Online")</f>
      </c>
    </row>
    <row r="864">
      <c r="A864" s="17" t="s">
        <v>17529</v>
      </c>
      <c r="B864" s="17" t="s">
        <v>17530</v>
      </c>
      <c r="C864" s="18" t="s">
        <v>151</v>
      </c>
      <c r="D864" s="17" t="s">
        <v>151</v>
      </c>
      <c r="E864" s="17" t="s">
        <v>17531</v>
      </c>
      <c r="F864" s="17" t="s">
        <v>17532</v>
      </c>
      <c r="G864" s="17" t="s">
        <v>151</v>
      </c>
      <c r="H864" s="17" t="s">
        <v>151</v>
      </c>
      <c r="I864" s="17" t="s">
        <v>17533</v>
      </c>
      <c r="J864" s="17" t="s">
        <v>17529</v>
      </c>
      <c r="K864" s="17" t="s">
        <v>17534</v>
      </c>
      <c r="L864" s="17" t="s">
        <v>205</v>
      </c>
      <c r="M864" s="17" t="s">
        <v>206</v>
      </c>
      <c r="N864" s="17" t="s">
        <v>1268</v>
      </c>
      <c r="O864" s="17" t="s">
        <v>3141</v>
      </c>
      <c r="P864" s="17" t="s">
        <v>17535</v>
      </c>
      <c r="Q864" s="17" t="s">
        <v>17536</v>
      </c>
      <c r="R864" s="17" t="s">
        <v>151</v>
      </c>
      <c r="S864" s="17" t="s">
        <v>162</v>
      </c>
      <c r="T864" s="24">
        <v>124</v>
      </c>
      <c r="U864" s="17" t="s">
        <v>163</v>
      </c>
      <c r="V864" s="17" t="s">
        <v>164</v>
      </c>
      <c r="W864" s="17" t="s">
        <v>165</v>
      </c>
      <c r="X864" s="15" t="s">
        <v>17537</v>
      </c>
      <c r="Y864" s="15" t="s">
        <v>17538</v>
      </c>
      <c r="Z864" s="27">
        <v>170</v>
      </c>
      <c r="AA864" s="17" t="s">
        <v>17539</v>
      </c>
      <c r="AB864" s="17" t="s">
        <v>151</v>
      </c>
      <c r="AC864" s="17" t="s">
        <v>151</v>
      </c>
      <c r="AD864" s="26">
        <v>2020</v>
      </c>
      <c r="AE864" s="17" t="s">
        <v>151</v>
      </c>
      <c r="AF864" s="22">
        <v>45597</v>
      </c>
      <c r="AG864" s="17" t="s">
        <v>151</v>
      </c>
      <c r="AH864" s="17" t="s">
        <v>151</v>
      </c>
      <c r="AI864" s="25" t="s">
        <v>151</v>
      </c>
      <c r="AJ864" s="19" t="s">
        <v>151</v>
      </c>
      <c r="AK864" s="25" t="s">
        <v>151</v>
      </c>
      <c r="AL864" s="25" t="s">
        <v>151</v>
      </c>
      <c r="AM864" s="25" t="s">
        <v>151</v>
      </c>
      <c r="AN864" s="25" t="s">
        <v>151</v>
      </c>
      <c r="AO864" s="25" t="s">
        <v>151</v>
      </c>
      <c r="AP864" s="25" t="s">
        <v>151</v>
      </c>
      <c r="AQ864" s="25" t="s">
        <v>151</v>
      </c>
      <c r="AR864" s="16" t="s">
        <v>151</v>
      </c>
      <c r="AS864" s="17" t="s">
        <v>17540</v>
      </c>
      <c r="AT864" s="17" t="s">
        <v>17541</v>
      </c>
      <c r="AU864" s="18">
        <v>7</v>
      </c>
      <c r="AV864" s="17" t="s">
        <v>151</v>
      </c>
      <c r="AW864" s="17" t="s">
        <v>151</v>
      </c>
      <c r="AX864" s="17" t="s">
        <v>151</v>
      </c>
      <c r="AY864" s="17" t="s">
        <v>17542</v>
      </c>
      <c r="AZ864" s="17" t="s">
        <v>151</v>
      </c>
      <c r="BA864" s="17" t="s">
        <v>151</v>
      </c>
      <c r="BB864" s="17" t="s">
        <v>17543</v>
      </c>
      <c r="BC864" s="17" t="s">
        <v>1115</v>
      </c>
      <c r="BD864" s="17" t="s">
        <v>17544</v>
      </c>
      <c r="BE864" s="17" t="s">
        <v>17545</v>
      </c>
      <c r="BF864" s="17" t="s">
        <v>931</v>
      </c>
      <c r="BG864" s="17" t="s">
        <v>17546</v>
      </c>
      <c r="BH864" s="17" t="s">
        <v>151</v>
      </c>
      <c r="BI864" s="17" t="s">
        <v>1068</v>
      </c>
      <c r="BJ864" s="17" t="s">
        <v>17547</v>
      </c>
      <c r="BK864" s="17" t="s">
        <v>151</v>
      </c>
      <c r="BL864" s="17" t="s">
        <v>1071</v>
      </c>
      <c r="BM864" s="17" t="s">
        <v>1072</v>
      </c>
      <c r="BN864" s="16" t="s">
        <v>10963</v>
      </c>
      <c r="BO864" s="17" t="s">
        <v>186</v>
      </c>
      <c r="BP864" s="16" t="s">
        <v>151</v>
      </c>
      <c r="BQ864" s="16" t="s">
        <v>151</v>
      </c>
      <c r="BR864" s="17" t="s">
        <v>17548</v>
      </c>
      <c r="BS864" s="17" t="s">
        <v>187</v>
      </c>
      <c r="BT864" s="17" t="s">
        <v>188</v>
      </c>
      <c r="BU864" s="22">
        <v>44300</v>
      </c>
      <c r="BV864" s="24">
        <v>24</v>
      </c>
      <c r="BW864" s="17" t="s">
        <v>192</v>
      </c>
      <c r="BX864" s="24">
        <v>140</v>
      </c>
      <c r="BY864" s="17" t="s">
        <v>192</v>
      </c>
      <c r="BZ864" s="17" t="s">
        <v>293</v>
      </c>
      <c r="CA864" s="17" t="s">
        <v>293</v>
      </c>
      <c r="CB864" s="17" t="s">
        <v>151</v>
      </c>
      <c r="CC864" s="17" t="s">
        <v>165</v>
      </c>
      <c r="CD864" s="17" t="s">
        <v>151</v>
      </c>
      <c r="CE864" s="17" t="s">
        <v>191</v>
      </c>
      <c r="CF864" s="22">
        <v>44461</v>
      </c>
      <c r="CG864" s="24">
        <v>100</v>
      </c>
      <c r="CH864" s="17" t="s">
        <v>192</v>
      </c>
      <c r="CI864" s="24" t="s">
        <v>151</v>
      </c>
      <c r="CJ864" s="17" t="s">
        <v>151</v>
      </c>
      <c r="CK864" s="16" t="s">
        <v>151</v>
      </c>
      <c r="CL864" s="17" t="s">
        <v>231</v>
      </c>
      <c r="CM864" s="17" t="s">
        <v>232</v>
      </c>
      <c r="CN864" s="17" t="s">
        <v>151</v>
      </c>
      <c r="CO864" s="17" t="s">
        <v>165</v>
      </c>
      <c r="CP864" s="22">
        <v>44461</v>
      </c>
      <c r="CQ864" s="24" t="s">
        <v>151</v>
      </c>
      <c r="CR864" s="17" t="s">
        <v>151</v>
      </c>
      <c r="CS864" s="17" t="s">
        <v>191</v>
      </c>
      <c r="CT864" s="16">
        <v>99</v>
      </c>
      <c r="CU864" s="17" t="s">
        <v>196</v>
      </c>
      <c r="CV864" s="19">
        <v>91</v>
      </c>
      <c r="CW864" s="19">
        <v>9</v>
      </c>
      <c r="CX864" s="17" t="s">
        <v>294</v>
      </c>
      <c r="CY864" s="19">
        <v>14</v>
      </c>
      <c r="CZ864" s="19">
        <v>77</v>
      </c>
      <c r="DA864" s="24">
        <v>140</v>
      </c>
      <c r="DB864" s="22">
        <v>44300</v>
      </c>
      <c r="DC864" s="17" t="s">
        <v>293</v>
      </c>
      <c r="DD864" s="16" t="s">
        <v>151</v>
      </c>
      <c r="DE864" s="19">
        <v>0.26</v>
      </c>
      <c r="DF864" s="21">
        <v>92</v>
      </c>
      <c r="DG864" s="19">
        <v>0</v>
      </c>
      <c r="DH864" s="19">
        <v>0</v>
      </c>
      <c r="DI864" s="19">
        <v>0.26</v>
      </c>
      <c r="DJ864" s="21">
        <v>94</v>
      </c>
      <c r="DK864" s="19" t="s">
        <v>151</v>
      </c>
      <c r="DL864" s="21" t="s">
        <v>151</v>
      </c>
      <c r="DM864" s="19">
        <v>0.26</v>
      </c>
      <c r="DN864" s="21">
        <v>94</v>
      </c>
      <c r="DO864" s="23">
        <v>26</v>
      </c>
      <c r="DP864" s="21">
        <v>96</v>
      </c>
      <c r="DQ864" s="23">
        <v>0</v>
      </c>
      <c r="DR864" s="19">
        <v>0</v>
      </c>
      <c r="DS864" s="23">
        <v>26</v>
      </c>
      <c r="DT864" s="21">
        <v>96</v>
      </c>
      <c r="DU864" s="23" t="s">
        <v>151</v>
      </c>
      <c r="DV864" s="21" t="s">
        <v>151</v>
      </c>
      <c r="DW864" s="23">
        <v>26</v>
      </c>
      <c r="DX864" s="21">
        <v>96</v>
      </c>
      <c r="DY864" s="18" t="s">
        <v>151</v>
      </c>
      <c r="DZ864" s="22" t="s">
        <v>151</v>
      </c>
      <c r="EA864" s="22" t="s">
        <v>151</v>
      </c>
      <c r="EB864" s="21">
        <v>8249</v>
      </c>
      <c r="EC864" s="20">
        <v>379</v>
      </c>
      <c r="ED864" s="19">
        <v>4.82</v>
      </c>
      <c r="EE864" s="21">
        <v>494</v>
      </c>
      <c r="EF864" s="20">
        <v>0</v>
      </c>
      <c r="EG864" s="19">
        <v>0</v>
      </c>
      <c r="EH864" s="16" t="s">
        <v>198</v>
      </c>
      <c r="EI864" s="17" t="s">
        <v>151</v>
      </c>
      <c r="EJ864" s="17" t="s">
        <v>151</v>
      </c>
      <c r="EK864" s="18" t="s">
        <v>151</v>
      </c>
      <c r="EL864" s="18" t="s">
        <v>151</v>
      </c>
      <c r="EM864" s="18" t="s">
        <v>151</v>
      </c>
      <c r="EN864" s="18" t="s">
        <v>151</v>
      </c>
      <c r="EO864" s="18" t="s">
        <v>151</v>
      </c>
      <c r="EP864" s="17" t="s">
        <v>151</v>
      </c>
      <c r="EQ864" s="16" t="s">
        <v>151</v>
      </c>
      <c r="ER864" s="16" t="s">
        <v>151</v>
      </c>
      <c r="ES864" s="3">
        <f>HYPERLINK("https://my.pitchbook.com?c=464385-52","View Company Online")</f>
      </c>
    </row>
    <row r="865">
      <c r="A865" s="30" t="s">
        <v>17549</v>
      </c>
      <c r="B865" s="30" t="s">
        <v>17550</v>
      </c>
      <c r="C865" s="31" t="s">
        <v>151</v>
      </c>
      <c r="D865" s="30" t="s">
        <v>151</v>
      </c>
      <c r="E865" s="30" t="s">
        <v>151</v>
      </c>
      <c r="F865" s="30" t="s">
        <v>17551</v>
      </c>
      <c r="G865" s="30" t="s">
        <v>151</v>
      </c>
      <c r="H865" s="30" t="s">
        <v>151</v>
      </c>
      <c r="I865" s="30" t="s">
        <v>151</v>
      </c>
      <c r="J865" s="30" t="s">
        <v>17549</v>
      </c>
      <c r="K865" s="30" t="s">
        <v>17552</v>
      </c>
      <c r="L865" s="30" t="s">
        <v>205</v>
      </c>
      <c r="M865" s="30" t="s">
        <v>206</v>
      </c>
      <c r="N865" s="30" t="s">
        <v>269</v>
      </c>
      <c r="O865" s="30" t="s">
        <v>563</v>
      </c>
      <c r="P865" s="30" t="s">
        <v>919</v>
      </c>
      <c r="Q865" s="30" t="s">
        <v>17553</v>
      </c>
      <c r="R865" s="30" t="s">
        <v>151</v>
      </c>
      <c r="S865" s="30" t="s">
        <v>162</v>
      </c>
      <c r="T865" s="37">
        <v>23.35</v>
      </c>
      <c r="U865" s="30" t="s">
        <v>163</v>
      </c>
      <c r="V865" s="30" t="s">
        <v>164</v>
      </c>
      <c r="W865" s="30" t="s">
        <v>165</v>
      </c>
      <c r="X865" s="28" t="s">
        <v>17554</v>
      </c>
      <c r="Y865" s="28" t="s">
        <v>17555</v>
      </c>
      <c r="Z865" s="40">
        <v>50</v>
      </c>
      <c r="AA865" s="30" t="s">
        <v>17556</v>
      </c>
      <c r="AB865" s="30" t="s">
        <v>151</v>
      </c>
      <c r="AC865" s="30" t="s">
        <v>151</v>
      </c>
      <c r="AD865" s="39">
        <v>2021</v>
      </c>
      <c r="AE865" s="30" t="s">
        <v>151</v>
      </c>
      <c r="AF865" s="35">
        <v>45616</v>
      </c>
      <c r="AG865" s="30" t="s">
        <v>151</v>
      </c>
      <c r="AH865" s="30" t="s">
        <v>151</v>
      </c>
      <c r="AI865" s="38" t="s">
        <v>151</v>
      </c>
      <c r="AJ865" s="32" t="s">
        <v>151</v>
      </c>
      <c r="AK865" s="38" t="s">
        <v>151</v>
      </c>
      <c r="AL865" s="38" t="s">
        <v>151</v>
      </c>
      <c r="AM865" s="38" t="s">
        <v>151</v>
      </c>
      <c r="AN865" s="38" t="s">
        <v>151</v>
      </c>
      <c r="AO865" s="38" t="s">
        <v>151</v>
      </c>
      <c r="AP865" s="38" t="s">
        <v>151</v>
      </c>
      <c r="AQ865" s="38" t="s">
        <v>151</v>
      </c>
      <c r="AR865" s="29" t="s">
        <v>151</v>
      </c>
      <c r="AS865" s="30" t="s">
        <v>17557</v>
      </c>
      <c r="AT865" s="30" t="s">
        <v>17558</v>
      </c>
      <c r="AU865" s="31">
        <v>8</v>
      </c>
      <c r="AV865" s="30" t="s">
        <v>151</v>
      </c>
      <c r="AW865" s="30" t="s">
        <v>151</v>
      </c>
      <c r="AX865" s="30" t="s">
        <v>151</v>
      </c>
      <c r="AY865" s="30" t="s">
        <v>17559</v>
      </c>
      <c r="AZ865" s="30" t="s">
        <v>151</v>
      </c>
      <c r="BA865" s="30" t="s">
        <v>151</v>
      </c>
      <c r="BB865" s="30" t="s">
        <v>151</v>
      </c>
      <c r="BC865" s="30" t="s">
        <v>374</v>
      </c>
      <c r="BD865" s="30" t="s">
        <v>17560</v>
      </c>
      <c r="BE865" s="30" t="s">
        <v>17561</v>
      </c>
      <c r="BF865" s="30" t="s">
        <v>17562</v>
      </c>
      <c r="BG865" s="30" t="s">
        <v>17563</v>
      </c>
      <c r="BH865" s="30" t="s">
        <v>17564</v>
      </c>
      <c r="BI865" s="30" t="s">
        <v>433</v>
      </c>
      <c r="BJ865" s="30" t="s">
        <v>17565</v>
      </c>
      <c r="BK865" s="30" t="s">
        <v>17566</v>
      </c>
      <c r="BL865" s="30" t="s">
        <v>436</v>
      </c>
      <c r="BM865" s="30" t="s">
        <v>184</v>
      </c>
      <c r="BN865" s="29" t="s">
        <v>437</v>
      </c>
      <c r="BO865" s="30" t="s">
        <v>186</v>
      </c>
      <c r="BP865" s="29" t="s">
        <v>17564</v>
      </c>
      <c r="BQ865" s="29" t="s">
        <v>151</v>
      </c>
      <c r="BR865" s="30" t="s">
        <v>17567</v>
      </c>
      <c r="BS865" s="30" t="s">
        <v>187</v>
      </c>
      <c r="BT865" s="30" t="s">
        <v>188</v>
      </c>
      <c r="BU865" s="35">
        <v>45510</v>
      </c>
      <c r="BV865" s="37">
        <v>23.35</v>
      </c>
      <c r="BW865" s="30" t="s">
        <v>192</v>
      </c>
      <c r="BX865" s="37">
        <v>102</v>
      </c>
      <c r="BY865" s="30" t="s">
        <v>192</v>
      </c>
      <c r="BZ865" s="30" t="s">
        <v>231</v>
      </c>
      <c r="CA865" s="30" t="s">
        <v>232</v>
      </c>
      <c r="CB865" s="30" t="s">
        <v>151</v>
      </c>
      <c r="CC865" s="30" t="s">
        <v>165</v>
      </c>
      <c r="CD865" s="30" t="s">
        <v>151</v>
      </c>
      <c r="CE865" s="30" t="s">
        <v>191</v>
      </c>
      <c r="CF865" s="35">
        <v>45510</v>
      </c>
      <c r="CG865" s="37">
        <v>23.35</v>
      </c>
      <c r="CH865" s="30" t="s">
        <v>192</v>
      </c>
      <c r="CI865" s="37">
        <v>102</v>
      </c>
      <c r="CJ865" s="30" t="s">
        <v>192</v>
      </c>
      <c r="CK865" s="29" t="s">
        <v>151</v>
      </c>
      <c r="CL865" s="30" t="s">
        <v>231</v>
      </c>
      <c r="CM865" s="30" t="s">
        <v>232</v>
      </c>
      <c r="CN865" s="30" t="s">
        <v>151</v>
      </c>
      <c r="CO865" s="30" t="s">
        <v>165</v>
      </c>
      <c r="CP865" s="35">
        <v>45510</v>
      </c>
      <c r="CQ865" s="37" t="s">
        <v>151</v>
      </c>
      <c r="CR865" s="30" t="s">
        <v>151</v>
      </c>
      <c r="CS865" s="30" t="s">
        <v>191</v>
      </c>
      <c r="CT865" s="29" t="s">
        <v>151</v>
      </c>
      <c r="CU865" s="30" t="s">
        <v>151</v>
      </c>
      <c r="CV865" s="32" t="s">
        <v>151</v>
      </c>
      <c r="CW865" s="32" t="s">
        <v>151</v>
      </c>
      <c r="CX865" s="30" t="s">
        <v>151</v>
      </c>
      <c r="CY865" s="32" t="s">
        <v>151</v>
      </c>
      <c r="CZ865" s="32" t="s">
        <v>151</v>
      </c>
      <c r="DA865" s="37">
        <v>102</v>
      </c>
      <c r="DB865" s="35">
        <v>45510</v>
      </c>
      <c r="DC865" s="30" t="s">
        <v>231</v>
      </c>
      <c r="DD865" s="29" t="s">
        <v>151</v>
      </c>
      <c r="DE865" s="32" t="s">
        <v>151</v>
      </c>
      <c r="DF865" s="34" t="s">
        <v>151</v>
      </c>
      <c r="DG865" s="32" t="s">
        <v>151</v>
      </c>
      <c r="DH865" s="32" t="s">
        <v>151</v>
      </c>
      <c r="DI865" s="32" t="s">
        <v>151</v>
      </c>
      <c r="DJ865" s="34" t="s">
        <v>151</v>
      </c>
      <c r="DK865" s="32" t="s">
        <v>151</v>
      </c>
      <c r="DL865" s="34" t="s">
        <v>151</v>
      </c>
      <c r="DM865" s="32" t="s">
        <v>151</v>
      </c>
      <c r="DN865" s="34" t="s">
        <v>151</v>
      </c>
      <c r="DO865" s="36" t="s">
        <v>151</v>
      </c>
      <c r="DP865" s="34" t="s">
        <v>151</v>
      </c>
      <c r="DQ865" s="36" t="s">
        <v>151</v>
      </c>
      <c r="DR865" s="32" t="s">
        <v>151</v>
      </c>
      <c r="DS865" s="36" t="s">
        <v>151</v>
      </c>
      <c r="DT865" s="34" t="s">
        <v>151</v>
      </c>
      <c r="DU865" s="36" t="s">
        <v>151</v>
      </c>
      <c r="DV865" s="34" t="s">
        <v>151</v>
      </c>
      <c r="DW865" s="36" t="s">
        <v>151</v>
      </c>
      <c r="DX865" s="34" t="s">
        <v>151</v>
      </c>
      <c r="DY865" s="31" t="s">
        <v>151</v>
      </c>
      <c r="DZ865" s="35" t="s">
        <v>151</v>
      </c>
      <c r="EA865" s="35" t="s">
        <v>151</v>
      </c>
      <c r="EB865" s="34" t="s">
        <v>151</v>
      </c>
      <c r="EC865" s="33" t="s">
        <v>151</v>
      </c>
      <c r="ED865" s="32" t="s">
        <v>151</v>
      </c>
      <c r="EE865" s="34" t="s">
        <v>151</v>
      </c>
      <c r="EF865" s="33" t="s">
        <v>151</v>
      </c>
      <c r="EG865" s="32" t="s">
        <v>151</v>
      </c>
      <c r="EH865" s="29" t="s">
        <v>198</v>
      </c>
      <c r="EI865" s="30" t="s">
        <v>151</v>
      </c>
      <c r="EJ865" s="30" t="s">
        <v>151</v>
      </c>
      <c r="EK865" s="31" t="s">
        <v>151</v>
      </c>
      <c r="EL865" s="31" t="s">
        <v>151</v>
      </c>
      <c r="EM865" s="31" t="s">
        <v>151</v>
      </c>
      <c r="EN865" s="31" t="s">
        <v>151</v>
      </c>
      <c r="EO865" s="31" t="s">
        <v>151</v>
      </c>
      <c r="EP865" s="30" t="s">
        <v>151</v>
      </c>
      <c r="EQ865" s="29" t="s">
        <v>151</v>
      </c>
      <c r="ER865" s="29" t="s">
        <v>151</v>
      </c>
      <c r="ES865" s="4">
        <f>HYPERLINK("https://my.pitchbook.com?c=460096-66","View Company Online")</f>
      </c>
    </row>
    <row r="866">
      <c r="A866" s="17" t="s">
        <v>17568</v>
      </c>
      <c r="B866" s="17" t="s">
        <v>17569</v>
      </c>
      <c r="C866" s="18" t="s">
        <v>151</v>
      </c>
      <c r="D866" s="17" t="s">
        <v>151</v>
      </c>
      <c r="E866" s="17" t="s">
        <v>151</v>
      </c>
      <c r="F866" s="17" t="s">
        <v>17570</v>
      </c>
      <c r="G866" s="17" t="s">
        <v>151</v>
      </c>
      <c r="H866" s="17" t="s">
        <v>151</v>
      </c>
      <c r="I866" s="17" t="s">
        <v>17571</v>
      </c>
      <c r="J866" s="17" t="s">
        <v>17568</v>
      </c>
      <c r="K866" s="17" t="s">
        <v>17572</v>
      </c>
      <c r="L866" s="17" t="s">
        <v>205</v>
      </c>
      <c r="M866" s="17" t="s">
        <v>206</v>
      </c>
      <c r="N866" s="17" t="s">
        <v>207</v>
      </c>
      <c r="O866" s="17" t="s">
        <v>17573</v>
      </c>
      <c r="P866" s="17" t="s">
        <v>17574</v>
      </c>
      <c r="Q866" s="17" t="s">
        <v>17575</v>
      </c>
      <c r="R866" s="17" t="s">
        <v>151</v>
      </c>
      <c r="S866" s="17" t="s">
        <v>162</v>
      </c>
      <c r="T866" s="24">
        <v>1</v>
      </c>
      <c r="U866" s="17" t="s">
        <v>1727</v>
      </c>
      <c r="V866" s="17" t="s">
        <v>164</v>
      </c>
      <c r="W866" s="17" t="s">
        <v>165</v>
      </c>
      <c r="X866" s="15" t="s">
        <v>17576</v>
      </c>
      <c r="Y866" s="15" t="s">
        <v>17577</v>
      </c>
      <c r="Z866" s="27">
        <v>3</v>
      </c>
      <c r="AA866" s="17" t="s">
        <v>17578</v>
      </c>
      <c r="AB866" s="17" t="s">
        <v>151</v>
      </c>
      <c r="AC866" s="17" t="s">
        <v>151</v>
      </c>
      <c r="AD866" s="26">
        <v>2022</v>
      </c>
      <c r="AE866" s="17" t="s">
        <v>151</v>
      </c>
      <c r="AF866" s="22">
        <v>45462</v>
      </c>
      <c r="AG866" s="17" t="s">
        <v>151</v>
      </c>
      <c r="AH866" s="17" t="s">
        <v>151</v>
      </c>
      <c r="AI866" s="25" t="s">
        <v>151</v>
      </c>
      <c r="AJ866" s="19" t="s">
        <v>151</v>
      </c>
      <c r="AK866" s="25" t="s">
        <v>151</v>
      </c>
      <c r="AL866" s="25" t="s">
        <v>151</v>
      </c>
      <c r="AM866" s="25" t="s">
        <v>151</v>
      </c>
      <c r="AN866" s="25" t="s">
        <v>151</v>
      </c>
      <c r="AO866" s="25" t="s">
        <v>151</v>
      </c>
      <c r="AP866" s="25" t="s">
        <v>151</v>
      </c>
      <c r="AQ866" s="25" t="s">
        <v>151</v>
      </c>
      <c r="AR866" s="16" t="s">
        <v>151</v>
      </c>
      <c r="AS866" s="17" t="s">
        <v>17579</v>
      </c>
      <c r="AT866" s="17" t="s">
        <v>17580</v>
      </c>
      <c r="AU866" s="18">
        <v>11</v>
      </c>
      <c r="AV866" s="17" t="s">
        <v>151</v>
      </c>
      <c r="AW866" s="17" t="s">
        <v>151</v>
      </c>
      <c r="AX866" s="17" t="s">
        <v>151</v>
      </c>
      <c r="AY866" s="17" t="s">
        <v>17581</v>
      </c>
      <c r="AZ866" s="17" t="s">
        <v>151</v>
      </c>
      <c r="BA866" s="17" t="s">
        <v>151</v>
      </c>
      <c r="BB866" s="17" t="s">
        <v>151</v>
      </c>
      <c r="BC866" s="17" t="s">
        <v>151</v>
      </c>
      <c r="BD866" s="17" t="s">
        <v>17582</v>
      </c>
      <c r="BE866" s="17" t="s">
        <v>17583</v>
      </c>
      <c r="BF866" s="17" t="s">
        <v>221</v>
      </c>
      <c r="BG866" s="17" t="s">
        <v>151</v>
      </c>
      <c r="BH866" s="17" t="s">
        <v>151</v>
      </c>
      <c r="BI866" s="17" t="s">
        <v>17584</v>
      </c>
      <c r="BJ866" s="17" t="s">
        <v>151</v>
      </c>
      <c r="BK866" s="17" t="s">
        <v>151</v>
      </c>
      <c r="BL866" s="17" t="s">
        <v>17585</v>
      </c>
      <c r="BM866" s="17" t="s">
        <v>823</v>
      </c>
      <c r="BN866" s="16" t="s">
        <v>151</v>
      </c>
      <c r="BO866" s="17" t="s">
        <v>186</v>
      </c>
      <c r="BP866" s="16" t="s">
        <v>151</v>
      </c>
      <c r="BQ866" s="16" t="s">
        <v>151</v>
      </c>
      <c r="BR866" s="17" t="s">
        <v>151</v>
      </c>
      <c r="BS866" s="17" t="s">
        <v>187</v>
      </c>
      <c r="BT866" s="17" t="s">
        <v>188</v>
      </c>
      <c r="BU866" s="22">
        <v>45037</v>
      </c>
      <c r="BV866" s="24">
        <v>1</v>
      </c>
      <c r="BW866" s="17" t="s">
        <v>192</v>
      </c>
      <c r="BX866" s="24" t="s">
        <v>151</v>
      </c>
      <c r="BY866" s="17" t="s">
        <v>151</v>
      </c>
      <c r="BZ866" s="17" t="s">
        <v>293</v>
      </c>
      <c r="CA866" s="17" t="s">
        <v>293</v>
      </c>
      <c r="CB866" s="17" t="s">
        <v>151</v>
      </c>
      <c r="CC866" s="17" t="s">
        <v>165</v>
      </c>
      <c r="CD866" s="17" t="s">
        <v>151</v>
      </c>
      <c r="CE866" s="17" t="s">
        <v>191</v>
      </c>
      <c r="CF866" s="22">
        <v>45037</v>
      </c>
      <c r="CG866" s="24">
        <v>1</v>
      </c>
      <c r="CH866" s="17" t="s">
        <v>192</v>
      </c>
      <c r="CI866" s="24" t="s">
        <v>151</v>
      </c>
      <c r="CJ866" s="17" t="s">
        <v>151</v>
      </c>
      <c r="CK866" s="16" t="s">
        <v>151</v>
      </c>
      <c r="CL866" s="17" t="s">
        <v>293</v>
      </c>
      <c r="CM866" s="17" t="s">
        <v>293</v>
      </c>
      <c r="CN866" s="17" t="s">
        <v>151</v>
      </c>
      <c r="CO866" s="17" t="s">
        <v>165</v>
      </c>
      <c r="CP866" s="22">
        <v>45037</v>
      </c>
      <c r="CQ866" s="24" t="s">
        <v>151</v>
      </c>
      <c r="CR866" s="17" t="s">
        <v>151</v>
      </c>
      <c r="CS866" s="17" t="s">
        <v>191</v>
      </c>
      <c r="CT866" s="16" t="s">
        <v>151</v>
      </c>
      <c r="CU866" s="17" t="s">
        <v>151</v>
      </c>
      <c r="CV866" s="19" t="s">
        <v>151</v>
      </c>
      <c r="CW866" s="19" t="s">
        <v>151</v>
      </c>
      <c r="CX866" s="17" t="s">
        <v>151</v>
      </c>
      <c r="CY866" s="19" t="s">
        <v>151</v>
      </c>
      <c r="CZ866" s="19" t="s">
        <v>151</v>
      </c>
      <c r="DA866" s="24" t="s">
        <v>151</v>
      </c>
      <c r="DB866" s="22" t="s">
        <v>151</v>
      </c>
      <c r="DC866" s="17" t="s">
        <v>151</v>
      </c>
      <c r="DD866" s="16" t="s">
        <v>151</v>
      </c>
      <c r="DE866" s="19">
        <v>3.13</v>
      </c>
      <c r="DF866" s="21">
        <v>99</v>
      </c>
      <c r="DG866" s="19">
        <v>0</v>
      </c>
      <c r="DH866" s="19">
        <v>0</v>
      </c>
      <c r="DI866" s="19">
        <v>0</v>
      </c>
      <c r="DJ866" s="21">
        <v>10</v>
      </c>
      <c r="DK866" s="19" t="s">
        <v>151</v>
      </c>
      <c r="DL866" s="21" t="s">
        <v>151</v>
      </c>
      <c r="DM866" s="19">
        <v>0</v>
      </c>
      <c r="DN866" s="21">
        <v>10</v>
      </c>
      <c r="DO866" s="23">
        <v>0.93</v>
      </c>
      <c r="DP866" s="21">
        <v>48</v>
      </c>
      <c r="DQ866" s="23">
        <v>0</v>
      </c>
      <c r="DR866" s="19">
        <v>0</v>
      </c>
      <c r="DS866" s="23">
        <v>1.63</v>
      </c>
      <c r="DT866" s="21">
        <v>61</v>
      </c>
      <c r="DU866" s="23" t="s">
        <v>151</v>
      </c>
      <c r="DV866" s="21" t="s">
        <v>151</v>
      </c>
      <c r="DW866" s="23">
        <v>1.63</v>
      </c>
      <c r="DX866" s="21">
        <v>61</v>
      </c>
      <c r="DY866" s="18" t="s">
        <v>151</v>
      </c>
      <c r="DZ866" s="22" t="s">
        <v>151</v>
      </c>
      <c r="EA866" s="22" t="s">
        <v>151</v>
      </c>
      <c r="EB866" s="21">
        <v>284</v>
      </c>
      <c r="EC866" s="20">
        <v>8</v>
      </c>
      <c r="ED866" s="19">
        <v>2.9</v>
      </c>
      <c r="EE866" s="21">
        <v>31</v>
      </c>
      <c r="EF866" s="20">
        <v>1</v>
      </c>
      <c r="EG866" s="19">
        <v>3.33</v>
      </c>
      <c r="EH866" s="16" t="s">
        <v>198</v>
      </c>
      <c r="EI866" s="17" t="s">
        <v>151</v>
      </c>
      <c r="EJ866" s="17" t="s">
        <v>151</v>
      </c>
      <c r="EK866" s="18" t="s">
        <v>151</v>
      </c>
      <c r="EL866" s="18" t="s">
        <v>151</v>
      </c>
      <c r="EM866" s="18" t="s">
        <v>151</v>
      </c>
      <c r="EN866" s="18" t="s">
        <v>151</v>
      </c>
      <c r="EO866" s="18" t="s">
        <v>151</v>
      </c>
      <c r="EP866" s="17" t="s">
        <v>151</v>
      </c>
      <c r="EQ866" s="16" t="s">
        <v>151</v>
      </c>
      <c r="ER866" s="16" t="s">
        <v>151</v>
      </c>
      <c r="ES866" s="3">
        <f>HYPERLINK("https://my.pitchbook.com?c=523434-79","View Company Online")</f>
      </c>
    </row>
    <row r="867">
      <c r="A867" s="30" t="s">
        <v>17586</v>
      </c>
      <c r="B867" s="30" t="s">
        <v>17587</v>
      </c>
      <c r="C867" s="31" t="s">
        <v>151</v>
      </c>
      <c r="D867" s="30" t="s">
        <v>151</v>
      </c>
      <c r="E867" s="30" t="s">
        <v>17588</v>
      </c>
      <c r="F867" s="30" t="s">
        <v>17589</v>
      </c>
      <c r="G867" s="30" t="s">
        <v>151</v>
      </c>
      <c r="H867" s="30" t="s">
        <v>151</v>
      </c>
      <c r="I867" s="30" t="s">
        <v>151</v>
      </c>
      <c r="J867" s="30" t="s">
        <v>17586</v>
      </c>
      <c r="K867" s="30" t="s">
        <v>17590</v>
      </c>
      <c r="L867" s="30" t="s">
        <v>205</v>
      </c>
      <c r="M867" s="30" t="s">
        <v>206</v>
      </c>
      <c r="N867" s="30" t="s">
        <v>269</v>
      </c>
      <c r="O867" s="30" t="s">
        <v>4706</v>
      </c>
      <c r="P867" s="30" t="s">
        <v>17591</v>
      </c>
      <c r="Q867" s="30" t="s">
        <v>17592</v>
      </c>
      <c r="R867" s="30" t="s">
        <v>151</v>
      </c>
      <c r="S867" s="30" t="s">
        <v>162</v>
      </c>
      <c r="T867" s="37">
        <v>5</v>
      </c>
      <c r="U867" s="30" t="s">
        <v>1727</v>
      </c>
      <c r="V867" s="30" t="s">
        <v>164</v>
      </c>
      <c r="W867" s="30" t="s">
        <v>165</v>
      </c>
      <c r="X867" s="28" t="s">
        <v>17593</v>
      </c>
      <c r="Y867" s="28" t="s">
        <v>17594</v>
      </c>
      <c r="Z867" s="40">
        <v>7</v>
      </c>
      <c r="AA867" s="30" t="s">
        <v>17595</v>
      </c>
      <c r="AB867" s="30" t="s">
        <v>151</v>
      </c>
      <c r="AC867" s="30" t="s">
        <v>151</v>
      </c>
      <c r="AD867" s="39">
        <v>2021</v>
      </c>
      <c r="AE867" s="30" t="s">
        <v>151</v>
      </c>
      <c r="AF867" s="35">
        <v>45224</v>
      </c>
      <c r="AG867" s="30" t="s">
        <v>151</v>
      </c>
      <c r="AH867" s="30" t="s">
        <v>151</v>
      </c>
      <c r="AI867" s="38" t="s">
        <v>151</v>
      </c>
      <c r="AJ867" s="32" t="s">
        <v>151</v>
      </c>
      <c r="AK867" s="38" t="s">
        <v>151</v>
      </c>
      <c r="AL867" s="38" t="s">
        <v>151</v>
      </c>
      <c r="AM867" s="38" t="s">
        <v>151</v>
      </c>
      <c r="AN867" s="38" t="s">
        <v>151</v>
      </c>
      <c r="AO867" s="38" t="s">
        <v>151</v>
      </c>
      <c r="AP867" s="38" t="s">
        <v>151</v>
      </c>
      <c r="AQ867" s="38" t="s">
        <v>151</v>
      </c>
      <c r="AR867" s="29" t="s">
        <v>151</v>
      </c>
      <c r="AS867" s="30" t="s">
        <v>17596</v>
      </c>
      <c r="AT867" s="30" t="s">
        <v>17597</v>
      </c>
      <c r="AU867" s="31">
        <v>1</v>
      </c>
      <c r="AV867" s="30" t="s">
        <v>151</v>
      </c>
      <c r="AW867" s="30" t="s">
        <v>151</v>
      </c>
      <c r="AX867" s="30" t="s">
        <v>151</v>
      </c>
      <c r="AY867" s="30" t="s">
        <v>1659</v>
      </c>
      <c r="AZ867" s="30" t="s">
        <v>151</v>
      </c>
      <c r="BA867" s="30" t="s">
        <v>151</v>
      </c>
      <c r="BB867" s="30" t="s">
        <v>151</v>
      </c>
      <c r="BC867" s="30" t="s">
        <v>151</v>
      </c>
      <c r="BD867" s="30" t="s">
        <v>17598</v>
      </c>
      <c r="BE867" s="30" t="s">
        <v>17599</v>
      </c>
      <c r="BF867" s="30" t="s">
        <v>546</v>
      </c>
      <c r="BG867" s="30" t="s">
        <v>17600</v>
      </c>
      <c r="BH867" s="30" t="s">
        <v>17601</v>
      </c>
      <c r="BI867" s="30" t="s">
        <v>4858</v>
      </c>
      <c r="BJ867" s="30" t="s">
        <v>17602</v>
      </c>
      <c r="BK867" s="30" t="s">
        <v>17603</v>
      </c>
      <c r="BL867" s="30" t="s">
        <v>2957</v>
      </c>
      <c r="BM867" s="30" t="s">
        <v>259</v>
      </c>
      <c r="BN867" s="29" t="s">
        <v>17604</v>
      </c>
      <c r="BO867" s="30" t="s">
        <v>186</v>
      </c>
      <c r="BP867" s="29" t="s">
        <v>17601</v>
      </c>
      <c r="BQ867" s="29" t="s">
        <v>151</v>
      </c>
      <c r="BR867" s="30" t="s">
        <v>17605</v>
      </c>
      <c r="BS867" s="30" t="s">
        <v>187</v>
      </c>
      <c r="BT867" s="30" t="s">
        <v>188</v>
      </c>
      <c r="BU867" s="35">
        <v>44371</v>
      </c>
      <c r="BV867" s="37">
        <v>5</v>
      </c>
      <c r="BW867" s="30" t="s">
        <v>192</v>
      </c>
      <c r="BX867" s="37">
        <v>12.8</v>
      </c>
      <c r="BY867" s="30" t="s">
        <v>192</v>
      </c>
      <c r="BZ867" s="30" t="s">
        <v>293</v>
      </c>
      <c r="CA867" s="30" t="s">
        <v>293</v>
      </c>
      <c r="CB867" s="30" t="s">
        <v>151</v>
      </c>
      <c r="CC867" s="30" t="s">
        <v>165</v>
      </c>
      <c r="CD867" s="30" t="s">
        <v>151</v>
      </c>
      <c r="CE867" s="30" t="s">
        <v>191</v>
      </c>
      <c r="CF867" s="35">
        <v>44371</v>
      </c>
      <c r="CG867" s="37">
        <v>5</v>
      </c>
      <c r="CH867" s="30" t="s">
        <v>192</v>
      </c>
      <c r="CI867" s="37">
        <v>12.8</v>
      </c>
      <c r="CJ867" s="30" t="s">
        <v>192</v>
      </c>
      <c r="CK867" s="29" t="s">
        <v>151</v>
      </c>
      <c r="CL867" s="30" t="s">
        <v>293</v>
      </c>
      <c r="CM867" s="30" t="s">
        <v>293</v>
      </c>
      <c r="CN867" s="30" t="s">
        <v>151</v>
      </c>
      <c r="CO867" s="30" t="s">
        <v>165</v>
      </c>
      <c r="CP867" s="35">
        <v>44371</v>
      </c>
      <c r="CQ867" s="37" t="s">
        <v>151</v>
      </c>
      <c r="CR867" s="30" t="s">
        <v>151</v>
      </c>
      <c r="CS867" s="30" t="s">
        <v>191</v>
      </c>
      <c r="CT867" s="29" t="s">
        <v>151</v>
      </c>
      <c r="CU867" s="30" t="s">
        <v>151</v>
      </c>
      <c r="CV867" s="32" t="s">
        <v>151</v>
      </c>
      <c r="CW867" s="32" t="s">
        <v>151</v>
      </c>
      <c r="CX867" s="30" t="s">
        <v>151</v>
      </c>
      <c r="CY867" s="32" t="s">
        <v>151</v>
      </c>
      <c r="CZ867" s="32" t="s">
        <v>151</v>
      </c>
      <c r="DA867" s="37">
        <v>12.8</v>
      </c>
      <c r="DB867" s="35">
        <v>44371</v>
      </c>
      <c r="DC867" s="30" t="s">
        <v>293</v>
      </c>
      <c r="DD867" s="29" t="s">
        <v>151</v>
      </c>
      <c r="DE867" s="32">
        <v>0</v>
      </c>
      <c r="DF867" s="34">
        <v>11</v>
      </c>
      <c r="DG867" s="32">
        <v>0</v>
      </c>
      <c r="DH867" s="32">
        <v>0</v>
      </c>
      <c r="DI867" s="32">
        <v>0</v>
      </c>
      <c r="DJ867" s="34">
        <v>10</v>
      </c>
      <c r="DK867" s="32" t="s">
        <v>151</v>
      </c>
      <c r="DL867" s="34" t="s">
        <v>151</v>
      </c>
      <c r="DM867" s="32">
        <v>0</v>
      </c>
      <c r="DN867" s="34">
        <v>10</v>
      </c>
      <c r="DO867" s="36">
        <v>1.24</v>
      </c>
      <c r="DP867" s="34">
        <v>55</v>
      </c>
      <c r="DQ867" s="36">
        <v>0</v>
      </c>
      <c r="DR867" s="32">
        <v>0</v>
      </c>
      <c r="DS867" s="36">
        <v>1.95</v>
      </c>
      <c r="DT867" s="34">
        <v>65</v>
      </c>
      <c r="DU867" s="36" t="s">
        <v>151</v>
      </c>
      <c r="DV867" s="34" t="s">
        <v>151</v>
      </c>
      <c r="DW867" s="36">
        <v>1.95</v>
      </c>
      <c r="DX867" s="34">
        <v>65</v>
      </c>
      <c r="DY867" s="31" t="s">
        <v>151</v>
      </c>
      <c r="DZ867" s="35" t="s">
        <v>151</v>
      </c>
      <c r="EA867" s="35" t="s">
        <v>151</v>
      </c>
      <c r="EB867" s="34">
        <v>503</v>
      </c>
      <c r="EC867" s="33">
        <v>-81</v>
      </c>
      <c r="ED867" s="32">
        <v>-13.87</v>
      </c>
      <c r="EE867" s="34">
        <v>37</v>
      </c>
      <c r="EF867" s="33">
        <v>0</v>
      </c>
      <c r="EG867" s="32">
        <v>0</v>
      </c>
      <c r="EH867" s="29" t="s">
        <v>198</v>
      </c>
      <c r="EI867" s="30" t="s">
        <v>151</v>
      </c>
      <c r="EJ867" s="30" t="s">
        <v>151</v>
      </c>
      <c r="EK867" s="31" t="s">
        <v>151</v>
      </c>
      <c r="EL867" s="31" t="s">
        <v>151</v>
      </c>
      <c r="EM867" s="31" t="s">
        <v>151</v>
      </c>
      <c r="EN867" s="31" t="s">
        <v>151</v>
      </c>
      <c r="EO867" s="31" t="s">
        <v>151</v>
      </c>
      <c r="EP867" s="30" t="s">
        <v>151</v>
      </c>
      <c r="EQ867" s="29" t="s">
        <v>151</v>
      </c>
      <c r="ER867" s="29" t="s">
        <v>151</v>
      </c>
      <c r="ES867" s="4">
        <f>HYPERLINK("https://my.pitchbook.com?c=469228-69","View Company Online")</f>
      </c>
    </row>
    <row r="868">
      <c r="A868" s="17" t="s">
        <v>17606</v>
      </c>
      <c r="B868" s="17" t="s">
        <v>17607</v>
      </c>
      <c r="C868" s="18" t="s">
        <v>151</v>
      </c>
      <c r="D868" s="17" t="s">
        <v>151</v>
      </c>
      <c r="E868" s="17" t="s">
        <v>17608</v>
      </c>
      <c r="F868" s="17" t="s">
        <v>17609</v>
      </c>
      <c r="G868" s="17" t="s">
        <v>151</v>
      </c>
      <c r="H868" s="17" t="s">
        <v>151</v>
      </c>
      <c r="I868" s="17" t="s">
        <v>151</v>
      </c>
      <c r="J868" s="17" t="s">
        <v>17606</v>
      </c>
      <c r="K868" s="17" t="s">
        <v>17610</v>
      </c>
      <c r="L868" s="17" t="s">
        <v>616</v>
      </c>
      <c r="M868" s="17" t="s">
        <v>834</v>
      </c>
      <c r="N868" s="17" t="s">
        <v>3076</v>
      </c>
      <c r="O868" s="17" t="s">
        <v>17611</v>
      </c>
      <c r="P868" s="17" t="s">
        <v>5780</v>
      </c>
      <c r="Q868" s="17" t="s">
        <v>17612</v>
      </c>
      <c r="R868" s="17" t="s">
        <v>151</v>
      </c>
      <c r="S868" s="17" t="s">
        <v>162</v>
      </c>
      <c r="T868" s="24">
        <v>3.5</v>
      </c>
      <c r="U868" s="17" t="s">
        <v>163</v>
      </c>
      <c r="V868" s="17" t="s">
        <v>164</v>
      </c>
      <c r="W868" s="17" t="s">
        <v>165</v>
      </c>
      <c r="X868" s="15" t="s">
        <v>17613</v>
      </c>
      <c r="Y868" s="15" t="s">
        <v>17614</v>
      </c>
      <c r="Z868" s="27">
        <v>5</v>
      </c>
      <c r="AA868" s="17" t="s">
        <v>17615</v>
      </c>
      <c r="AB868" s="17" t="s">
        <v>151</v>
      </c>
      <c r="AC868" s="17" t="s">
        <v>151</v>
      </c>
      <c r="AD868" s="26">
        <v>2020</v>
      </c>
      <c r="AE868" s="17" t="s">
        <v>151</v>
      </c>
      <c r="AF868" s="22">
        <v>45498</v>
      </c>
      <c r="AG868" s="17" t="s">
        <v>151</v>
      </c>
      <c r="AH868" s="17" t="s">
        <v>151</v>
      </c>
      <c r="AI868" s="25" t="s">
        <v>151</v>
      </c>
      <c r="AJ868" s="19" t="s">
        <v>151</v>
      </c>
      <c r="AK868" s="25" t="s">
        <v>151</v>
      </c>
      <c r="AL868" s="25" t="s">
        <v>151</v>
      </c>
      <c r="AM868" s="25" t="s">
        <v>151</v>
      </c>
      <c r="AN868" s="25" t="s">
        <v>151</v>
      </c>
      <c r="AO868" s="25" t="s">
        <v>151</v>
      </c>
      <c r="AP868" s="25" t="s">
        <v>151</v>
      </c>
      <c r="AQ868" s="25" t="s">
        <v>151</v>
      </c>
      <c r="AR868" s="16" t="s">
        <v>151</v>
      </c>
      <c r="AS868" s="17" t="s">
        <v>17616</v>
      </c>
      <c r="AT868" s="17" t="s">
        <v>17617</v>
      </c>
      <c r="AU868" s="18">
        <v>7</v>
      </c>
      <c r="AV868" s="17" t="s">
        <v>151</v>
      </c>
      <c r="AW868" s="17" t="s">
        <v>151</v>
      </c>
      <c r="AX868" s="17" t="s">
        <v>151</v>
      </c>
      <c r="AY868" s="17" t="s">
        <v>17618</v>
      </c>
      <c r="AZ868" s="17" t="s">
        <v>151</v>
      </c>
      <c r="BA868" s="17" t="s">
        <v>151</v>
      </c>
      <c r="BB868" s="17" t="s">
        <v>151</v>
      </c>
      <c r="BC868" s="17" t="s">
        <v>151</v>
      </c>
      <c r="BD868" s="17" t="s">
        <v>17619</v>
      </c>
      <c r="BE868" s="17" t="s">
        <v>17620</v>
      </c>
      <c r="BF868" s="17" t="s">
        <v>493</v>
      </c>
      <c r="BG868" s="17" t="s">
        <v>17621</v>
      </c>
      <c r="BH868" s="17" t="s">
        <v>17622</v>
      </c>
      <c r="BI868" s="17" t="s">
        <v>3152</v>
      </c>
      <c r="BJ868" s="17" t="s">
        <v>17623</v>
      </c>
      <c r="BK868" s="17" t="s">
        <v>151</v>
      </c>
      <c r="BL868" s="17" t="s">
        <v>3154</v>
      </c>
      <c r="BM868" s="17" t="s">
        <v>3155</v>
      </c>
      <c r="BN868" s="16" t="s">
        <v>17624</v>
      </c>
      <c r="BO868" s="17" t="s">
        <v>186</v>
      </c>
      <c r="BP868" s="16" t="s">
        <v>17622</v>
      </c>
      <c r="BQ868" s="16" t="s">
        <v>151</v>
      </c>
      <c r="BR868" s="17" t="s">
        <v>17625</v>
      </c>
      <c r="BS868" s="17" t="s">
        <v>187</v>
      </c>
      <c r="BT868" s="17" t="s">
        <v>188</v>
      </c>
      <c r="BU868" s="22">
        <v>44454</v>
      </c>
      <c r="BV868" s="24">
        <v>0.01</v>
      </c>
      <c r="BW868" s="17" t="s">
        <v>192</v>
      </c>
      <c r="BX868" s="24" t="s">
        <v>151</v>
      </c>
      <c r="BY868" s="17" t="s">
        <v>151</v>
      </c>
      <c r="BZ868" s="17" t="s">
        <v>501</v>
      </c>
      <c r="CA868" s="17" t="s">
        <v>151</v>
      </c>
      <c r="CB868" s="17" t="s">
        <v>151</v>
      </c>
      <c r="CC868" s="17" t="s">
        <v>190</v>
      </c>
      <c r="CD868" s="17" t="s">
        <v>151</v>
      </c>
      <c r="CE868" s="17" t="s">
        <v>191</v>
      </c>
      <c r="CF868" s="22">
        <v>45497</v>
      </c>
      <c r="CG868" s="24" t="s">
        <v>151</v>
      </c>
      <c r="CH868" s="17" t="s">
        <v>151</v>
      </c>
      <c r="CI868" s="24" t="s">
        <v>151</v>
      </c>
      <c r="CJ868" s="17" t="s">
        <v>151</v>
      </c>
      <c r="CK868" s="16" t="s">
        <v>151</v>
      </c>
      <c r="CL868" s="17" t="s">
        <v>189</v>
      </c>
      <c r="CM868" s="17" t="s">
        <v>151</v>
      </c>
      <c r="CN868" s="17" t="s">
        <v>151</v>
      </c>
      <c r="CO868" s="17" t="s">
        <v>190</v>
      </c>
      <c r="CP868" s="22">
        <v>45497</v>
      </c>
      <c r="CQ868" s="24" t="s">
        <v>151</v>
      </c>
      <c r="CR868" s="17" t="s">
        <v>151</v>
      </c>
      <c r="CS868" s="17" t="s">
        <v>191</v>
      </c>
      <c r="CT868" s="16">
        <v>53</v>
      </c>
      <c r="CU868" s="17" t="s">
        <v>196</v>
      </c>
      <c r="CV868" s="19">
        <v>51</v>
      </c>
      <c r="CW868" s="19">
        <v>49</v>
      </c>
      <c r="CX868" s="17" t="s">
        <v>294</v>
      </c>
      <c r="CY868" s="19">
        <v>1</v>
      </c>
      <c r="CZ868" s="19">
        <v>50</v>
      </c>
      <c r="DA868" s="24" t="s">
        <v>151</v>
      </c>
      <c r="DB868" s="22" t="s">
        <v>151</v>
      </c>
      <c r="DC868" s="17" t="s">
        <v>151</v>
      </c>
      <c r="DD868" s="16" t="s">
        <v>151</v>
      </c>
      <c r="DE868" s="19">
        <v>0</v>
      </c>
      <c r="DF868" s="21">
        <v>11</v>
      </c>
      <c r="DG868" s="19">
        <v>0</v>
      </c>
      <c r="DH868" s="19">
        <v>0</v>
      </c>
      <c r="DI868" s="19">
        <v>0</v>
      </c>
      <c r="DJ868" s="21">
        <v>10</v>
      </c>
      <c r="DK868" s="19" t="s">
        <v>151</v>
      </c>
      <c r="DL868" s="21" t="s">
        <v>151</v>
      </c>
      <c r="DM868" s="19">
        <v>0</v>
      </c>
      <c r="DN868" s="21">
        <v>10</v>
      </c>
      <c r="DO868" s="23">
        <v>0.79</v>
      </c>
      <c r="DP868" s="21">
        <v>44</v>
      </c>
      <c r="DQ868" s="23">
        <v>0</v>
      </c>
      <c r="DR868" s="19">
        <v>0</v>
      </c>
      <c r="DS868" s="23">
        <v>0.79</v>
      </c>
      <c r="DT868" s="21">
        <v>44</v>
      </c>
      <c r="DU868" s="23" t="s">
        <v>151</v>
      </c>
      <c r="DV868" s="21" t="s">
        <v>151</v>
      </c>
      <c r="DW868" s="23">
        <v>0.79</v>
      </c>
      <c r="DX868" s="21">
        <v>44</v>
      </c>
      <c r="DY868" s="18" t="s">
        <v>151</v>
      </c>
      <c r="DZ868" s="22" t="s">
        <v>151</v>
      </c>
      <c r="EA868" s="22" t="s">
        <v>151</v>
      </c>
      <c r="EB868" s="21">
        <v>14</v>
      </c>
      <c r="EC868" s="20">
        <v>-71</v>
      </c>
      <c r="ED868" s="19">
        <v>-83.53</v>
      </c>
      <c r="EE868" s="21">
        <v>15</v>
      </c>
      <c r="EF868" s="20">
        <v>0</v>
      </c>
      <c r="EG868" s="19">
        <v>0</v>
      </c>
      <c r="EH868" s="16" t="s">
        <v>198</v>
      </c>
      <c r="EI868" s="17" t="s">
        <v>151</v>
      </c>
      <c r="EJ868" s="17" t="s">
        <v>151</v>
      </c>
      <c r="EK868" s="18" t="s">
        <v>151</v>
      </c>
      <c r="EL868" s="18" t="s">
        <v>151</v>
      </c>
      <c r="EM868" s="18" t="s">
        <v>151</v>
      </c>
      <c r="EN868" s="18" t="s">
        <v>151</v>
      </c>
      <c r="EO868" s="18" t="s">
        <v>151</v>
      </c>
      <c r="EP868" s="17" t="s">
        <v>151</v>
      </c>
      <c r="EQ868" s="16" t="s">
        <v>151</v>
      </c>
      <c r="ER868" s="16" t="s">
        <v>151</v>
      </c>
      <c r="ES868" s="3">
        <f>HYPERLINK("https://my.pitchbook.com?c=498312-19","View Company Online")</f>
      </c>
    </row>
    <row r="869">
      <c r="A869" s="30" t="s">
        <v>17626</v>
      </c>
      <c r="B869" s="30" t="s">
        <v>17627</v>
      </c>
      <c r="C869" s="31" t="s">
        <v>151</v>
      </c>
      <c r="D869" s="30" t="s">
        <v>16072</v>
      </c>
      <c r="E869" s="30" t="s">
        <v>17628</v>
      </c>
      <c r="F869" s="30" t="s">
        <v>17629</v>
      </c>
      <c r="G869" s="30" t="s">
        <v>151</v>
      </c>
      <c r="H869" s="30" t="s">
        <v>151</v>
      </c>
      <c r="I869" s="30" t="s">
        <v>151</v>
      </c>
      <c r="J869" s="30" t="s">
        <v>17626</v>
      </c>
      <c r="K869" s="30" t="s">
        <v>17630</v>
      </c>
      <c r="L869" s="30" t="s">
        <v>616</v>
      </c>
      <c r="M869" s="30" t="s">
        <v>834</v>
      </c>
      <c r="N869" s="30" t="s">
        <v>835</v>
      </c>
      <c r="O869" s="30" t="s">
        <v>12408</v>
      </c>
      <c r="P869" s="30" t="s">
        <v>2773</v>
      </c>
      <c r="Q869" s="30" t="s">
        <v>17631</v>
      </c>
      <c r="R869" s="30" t="s">
        <v>151</v>
      </c>
      <c r="S869" s="30" t="s">
        <v>162</v>
      </c>
      <c r="T869" s="37">
        <v>21</v>
      </c>
      <c r="U869" s="30" t="s">
        <v>163</v>
      </c>
      <c r="V869" s="30" t="s">
        <v>164</v>
      </c>
      <c r="W869" s="30" t="s">
        <v>165</v>
      </c>
      <c r="X869" s="28" t="s">
        <v>17632</v>
      </c>
      <c r="Y869" s="28" t="s">
        <v>17633</v>
      </c>
      <c r="Z869" s="40">
        <v>18</v>
      </c>
      <c r="AA869" s="30" t="s">
        <v>17634</v>
      </c>
      <c r="AB869" s="30" t="s">
        <v>151</v>
      </c>
      <c r="AC869" s="30" t="s">
        <v>151</v>
      </c>
      <c r="AD869" s="39">
        <v>2019</v>
      </c>
      <c r="AE869" s="30" t="s">
        <v>151</v>
      </c>
      <c r="AF869" s="35">
        <v>45562</v>
      </c>
      <c r="AG869" s="30" t="s">
        <v>151</v>
      </c>
      <c r="AH869" s="30" t="s">
        <v>151</v>
      </c>
      <c r="AI869" s="38" t="s">
        <v>151</v>
      </c>
      <c r="AJ869" s="32" t="s">
        <v>151</v>
      </c>
      <c r="AK869" s="38" t="s">
        <v>151</v>
      </c>
      <c r="AL869" s="38" t="s">
        <v>151</v>
      </c>
      <c r="AM869" s="38" t="s">
        <v>151</v>
      </c>
      <c r="AN869" s="38" t="s">
        <v>151</v>
      </c>
      <c r="AO869" s="38" t="s">
        <v>151</v>
      </c>
      <c r="AP869" s="38" t="s">
        <v>151</v>
      </c>
      <c r="AQ869" s="38" t="s">
        <v>151</v>
      </c>
      <c r="AR869" s="29" t="s">
        <v>151</v>
      </c>
      <c r="AS869" s="30" t="s">
        <v>17635</v>
      </c>
      <c r="AT869" s="30" t="s">
        <v>17636</v>
      </c>
      <c r="AU869" s="31">
        <v>12</v>
      </c>
      <c r="AV869" s="30" t="s">
        <v>151</v>
      </c>
      <c r="AW869" s="30" t="s">
        <v>17637</v>
      </c>
      <c r="AX869" s="30" t="s">
        <v>151</v>
      </c>
      <c r="AY869" s="30" t="s">
        <v>17638</v>
      </c>
      <c r="AZ869" s="30" t="s">
        <v>151</v>
      </c>
      <c r="BA869" s="30" t="s">
        <v>151</v>
      </c>
      <c r="BB869" s="30" t="s">
        <v>151</v>
      </c>
      <c r="BC869" s="30" t="s">
        <v>490</v>
      </c>
      <c r="BD869" s="30" t="s">
        <v>17639</v>
      </c>
      <c r="BE869" s="30" t="s">
        <v>17640</v>
      </c>
      <c r="BF869" s="30" t="s">
        <v>403</v>
      </c>
      <c r="BG869" s="30" t="s">
        <v>17641</v>
      </c>
      <c r="BH869" s="30" t="s">
        <v>17642</v>
      </c>
      <c r="BI869" s="30" t="s">
        <v>7546</v>
      </c>
      <c r="BJ869" s="30" t="s">
        <v>17643</v>
      </c>
      <c r="BK869" s="30" t="s">
        <v>17644</v>
      </c>
      <c r="BL869" s="30" t="s">
        <v>7548</v>
      </c>
      <c r="BM869" s="30" t="s">
        <v>184</v>
      </c>
      <c r="BN869" s="29" t="s">
        <v>1759</v>
      </c>
      <c r="BO869" s="30" t="s">
        <v>186</v>
      </c>
      <c r="BP869" s="29" t="s">
        <v>151</v>
      </c>
      <c r="BQ869" s="29" t="s">
        <v>151</v>
      </c>
      <c r="BR869" s="30" t="s">
        <v>17645</v>
      </c>
      <c r="BS869" s="30" t="s">
        <v>187</v>
      </c>
      <c r="BT869" s="30" t="s">
        <v>188</v>
      </c>
      <c r="BU869" s="35">
        <v>43909</v>
      </c>
      <c r="BV869" s="37">
        <v>7</v>
      </c>
      <c r="BW869" s="30" t="s">
        <v>192</v>
      </c>
      <c r="BX869" s="37">
        <v>22</v>
      </c>
      <c r="BY869" s="30" t="s">
        <v>192</v>
      </c>
      <c r="BZ869" s="30" t="s">
        <v>293</v>
      </c>
      <c r="CA869" s="30" t="s">
        <v>293</v>
      </c>
      <c r="CB869" s="30" t="s">
        <v>151</v>
      </c>
      <c r="CC869" s="30" t="s">
        <v>165</v>
      </c>
      <c r="CD869" s="30" t="s">
        <v>151</v>
      </c>
      <c r="CE869" s="30" t="s">
        <v>191</v>
      </c>
      <c r="CF869" s="35" t="s">
        <v>151</v>
      </c>
      <c r="CG869" s="37" t="s">
        <v>151</v>
      </c>
      <c r="CH869" s="30" t="s">
        <v>151</v>
      </c>
      <c r="CI869" s="37" t="s">
        <v>151</v>
      </c>
      <c r="CJ869" s="30" t="s">
        <v>151</v>
      </c>
      <c r="CK869" s="29">
        <v>1.55</v>
      </c>
      <c r="CL869" s="30" t="s">
        <v>911</v>
      </c>
      <c r="CM869" s="30" t="s">
        <v>151</v>
      </c>
      <c r="CN869" s="30" t="s">
        <v>151</v>
      </c>
      <c r="CO869" s="30" t="s">
        <v>165</v>
      </c>
      <c r="CP869" s="35" t="s">
        <v>151</v>
      </c>
      <c r="CQ869" s="37" t="s">
        <v>151</v>
      </c>
      <c r="CR869" s="30" t="s">
        <v>151</v>
      </c>
      <c r="CS869" s="30" t="s">
        <v>191</v>
      </c>
      <c r="CT869" s="29">
        <v>19</v>
      </c>
      <c r="CU869" s="30" t="s">
        <v>263</v>
      </c>
      <c r="CV869" s="32">
        <v>21</v>
      </c>
      <c r="CW869" s="32">
        <v>79</v>
      </c>
      <c r="CX869" s="30" t="s">
        <v>263</v>
      </c>
      <c r="CY869" s="32">
        <v>1</v>
      </c>
      <c r="CZ869" s="32">
        <v>20</v>
      </c>
      <c r="DA869" s="37">
        <v>48</v>
      </c>
      <c r="DB869" s="35">
        <v>44197</v>
      </c>
      <c r="DC869" s="30" t="s">
        <v>231</v>
      </c>
      <c r="DD869" s="29">
        <v>1.55</v>
      </c>
      <c r="DE869" s="32">
        <v>-0.33</v>
      </c>
      <c r="DF869" s="34">
        <v>8</v>
      </c>
      <c r="DG869" s="32">
        <v>0</v>
      </c>
      <c r="DH869" s="32">
        <v>0</v>
      </c>
      <c r="DI869" s="32">
        <v>0</v>
      </c>
      <c r="DJ869" s="34">
        <v>10</v>
      </c>
      <c r="DK869" s="32" t="s">
        <v>151</v>
      </c>
      <c r="DL869" s="34" t="s">
        <v>151</v>
      </c>
      <c r="DM869" s="32">
        <v>0</v>
      </c>
      <c r="DN869" s="34">
        <v>10</v>
      </c>
      <c r="DO869" s="36">
        <v>0.8</v>
      </c>
      <c r="DP869" s="34">
        <v>45</v>
      </c>
      <c r="DQ869" s="36">
        <v>0</v>
      </c>
      <c r="DR869" s="32">
        <v>0</v>
      </c>
      <c r="DS869" s="36">
        <v>0.21</v>
      </c>
      <c r="DT869" s="34">
        <v>14</v>
      </c>
      <c r="DU869" s="36" t="s">
        <v>151</v>
      </c>
      <c r="DV869" s="34" t="s">
        <v>151</v>
      </c>
      <c r="DW869" s="36">
        <v>0.21</v>
      </c>
      <c r="DX869" s="34">
        <v>14</v>
      </c>
      <c r="DY869" s="31" t="s">
        <v>151</v>
      </c>
      <c r="DZ869" s="35" t="s">
        <v>151</v>
      </c>
      <c r="EA869" s="35" t="s">
        <v>151</v>
      </c>
      <c r="EB869" s="34" t="s">
        <v>151</v>
      </c>
      <c r="EC869" s="33" t="s">
        <v>151</v>
      </c>
      <c r="ED869" s="32" t="s">
        <v>151</v>
      </c>
      <c r="EE869" s="34">
        <v>4</v>
      </c>
      <c r="EF869" s="33">
        <v>0</v>
      </c>
      <c r="EG869" s="32">
        <v>0</v>
      </c>
      <c r="EH869" s="29" t="s">
        <v>198</v>
      </c>
      <c r="EI869" s="30" t="s">
        <v>151</v>
      </c>
      <c r="EJ869" s="30" t="s">
        <v>151</v>
      </c>
      <c r="EK869" s="31" t="s">
        <v>151</v>
      </c>
      <c r="EL869" s="31" t="s">
        <v>151</v>
      </c>
      <c r="EM869" s="31" t="s">
        <v>151</v>
      </c>
      <c r="EN869" s="31" t="s">
        <v>151</v>
      </c>
      <c r="EO869" s="31" t="s">
        <v>151</v>
      </c>
      <c r="EP869" s="30" t="s">
        <v>151</v>
      </c>
      <c r="EQ869" s="29" t="s">
        <v>151</v>
      </c>
      <c r="ER869" s="29" t="s">
        <v>151</v>
      </c>
      <c r="ES869" s="4">
        <f>HYPERLINK("https://my.pitchbook.com?c=433369-63","View Company Online")</f>
      </c>
    </row>
    <row r="870">
      <c r="A870" s="17" t="s">
        <v>17646</v>
      </c>
      <c r="B870" s="17" t="s">
        <v>17647</v>
      </c>
      <c r="C870" s="18" t="s">
        <v>151</v>
      </c>
      <c r="D870" s="17" t="s">
        <v>151</v>
      </c>
      <c r="E870" s="17" t="s">
        <v>151</v>
      </c>
      <c r="F870" s="17" t="s">
        <v>17648</v>
      </c>
      <c r="G870" s="17" t="s">
        <v>151</v>
      </c>
      <c r="H870" s="17" t="s">
        <v>151</v>
      </c>
      <c r="I870" s="17" t="s">
        <v>17649</v>
      </c>
      <c r="J870" s="17" t="s">
        <v>17646</v>
      </c>
      <c r="K870" s="17" t="s">
        <v>17650</v>
      </c>
      <c r="L870" s="17" t="s">
        <v>205</v>
      </c>
      <c r="M870" s="17" t="s">
        <v>206</v>
      </c>
      <c r="N870" s="17" t="s">
        <v>269</v>
      </c>
      <c r="O870" s="17" t="s">
        <v>563</v>
      </c>
      <c r="P870" s="17" t="s">
        <v>7675</v>
      </c>
      <c r="Q870" s="17" t="s">
        <v>17651</v>
      </c>
      <c r="R870" s="17" t="s">
        <v>151</v>
      </c>
      <c r="S870" s="17" t="s">
        <v>162</v>
      </c>
      <c r="T870" s="24">
        <v>14.27</v>
      </c>
      <c r="U870" s="17" t="s">
        <v>163</v>
      </c>
      <c r="V870" s="17" t="s">
        <v>164</v>
      </c>
      <c r="W870" s="17" t="s">
        <v>165</v>
      </c>
      <c r="X870" s="15" t="s">
        <v>17652</v>
      </c>
      <c r="Y870" s="15" t="s">
        <v>17653</v>
      </c>
      <c r="Z870" s="27">
        <v>11</v>
      </c>
      <c r="AA870" s="17" t="s">
        <v>17654</v>
      </c>
      <c r="AB870" s="17" t="s">
        <v>151</v>
      </c>
      <c r="AC870" s="17" t="s">
        <v>151</v>
      </c>
      <c r="AD870" s="26">
        <v>2020</v>
      </c>
      <c r="AE870" s="17" t="s">
        <v>151</v>
      </c>
      <c r="AF870" s="22">
        <v>45548</v>
      </c>
      <c r="AG870" s="17" t="s">
        <v>151</v>
      </c>
      <c r="AH870" s="17" t="s">
        <v>151</v>
      </c>
      <c r="AI870" s="25" t="s">
        <v>151</v>
      </c>
      <c r="AJ870" s="19" t="s">
        <v>151</v>
      </c>
      <c r="AK870" s="25" t="s">
        <v>151</v>
      </c>
      <c r="AL870" s="25" t="s">
        <v>151</v>
      </c>
      <c r="AM870" s="25" t="s">
        <v>151</v>
      </c>
      <c r="AN870" s="25" t="s">
        <v>151</v>
      </c>
      <c r="AO870" s="25" t="s">
        <v>151</v>
      </c>
      <c r="AP870" s="25" t="s">
        <v>151</v>
      </c>
      <c r="AQ870" s="25" t="s">
        <v>151</v>
      </c>
      <c r="AR870" s="16" t="s">
        <v>151</v>
      </c>
      <c r="AS870" s="17" t="s">
        <v>17655</v>
      </c>
      <c r="AT870" s="17" t="s">
        <v>17656</v>
      </c>
      <c r="AU870" s="18">
        <v>16</v>
      </c>
      <c r="AV870" s="17" t="s">
        <v>151</v>
      </c>
      <c r="AW870" s="17" t="s">
        <v>151</v>
      </c>
      <c r="AX870" s="17" t="s">
        <v>151</v>
      </c>
      <c r="AY870" s="17" t="s">
        <v>17657</v>
      </c>
      <c r="AZ870" s="17" t="s">
        <v>151</v>
      </c>
      <c r="BA870" s="17" t="s">
        <v>151</v>
      </c>
      <c r="BB870" s="17" t="s">
        <v>151</v>
      </c>
      <c r="BC870" s="17" t="s">
        <v>151</v>
      </c>
      <c r="BD870" s="17" t="s">
        <v>17658</v>
      </c>
      <c r="BE870" s="17" t="s">
        <v>17659</v>
      </c>
      <c r="BF870" s="17" t="s">
        <v>493</v>
      </c>
      <c r="BG870" s="17" t="s">
        <v>17660</v>
      </c>
      <c r="BH870" s="17" t="s">
        <v>17661</v>
      </c>
      <c r="BI870" s="17" t="s">
        <v>764</v>
      </c>
      <c r="BJ870" s="17" t="s">
        <v>17662</v>
      </c>
      <c r="BK870" s="17" t="s">
        <v>17663</v>
      </c>
      <c r="BL870" s="17" t="s">
        <v>767</v>
      </c>
      <c r="BM870" s="17" t="s">
        <v>184</v>
      </c>
      <c r="BN870" s="16" t="s">
        <v>5006</v>
      </c>
      <c r="BO870" s="17" t="s">
        <v>186</v>
      </c>
      <c r="BP870" s="16" t="s">
        <v>17661</v>
      </c>
      <c r="BQ870" s="16" t="s">
        <v>151</v>
      </c>
      <c r="BR870" s="17" t="s">
        <v>17664</v>
      </c>
      <c r="BS870" s="17" t="s">
        <v>187</v>
      </c>
      <c r="BT870" s="17" t="s">
        <v>188</v>
      </c>
      <c r="BU870" s="22">
        <v>44019</v>
      </c>
      <c r="BV870" s="24">
        <v>0.26</v>
      </c>
      <c r="BW870" s="17" t="s">
        <v>193</v>
      </c>
      <c r="BX870" s="24">
        <v>2.5</v>
      </c>
      <c r="BY870" s="17" t="s">
        <v>192</v>
      </c>
      <c r="BZ870" s="17" t="s">
        <v>293</v>
      </c>
      <c r="CA870" s="17" t="s">
        <v>293</v>
      </c>
      <c r="CB870" s="17" t="s">
        <v>151</v>
      </c>
      <c r="CC870" s="17" t="s">
        <v>165</v>
      </c>
      <c r="CD870" s="17" t="s">
        <v>151</v>
      </c>
      <c r="CE870" s="17" t="s">
        <v>191</v>
      </c>
      <c r="CF870" s="22">
        <v>44861</v>
      </c>
      <c r="CG870" s="24">
        <v>7</v>
      </c>
      <c r="CH870" s="17" t="s">
        <v>192</v>
      </c>
      <c r="CI870" s="24" t="s">
        <v>151</v>
      </c>
      <c r="CJ870" s="17" t="s">
        <v>151</v>
      </c>
      <c r="CK870" s="16" t="s">
        <v>151</v>
      </c>
      <c r="CL870" s="17" t="s">
        <v>293</v>
      </c>
      <c r="CM870" s="17" t="s">
        <v>293</v>
      </c>
      <c r="CN870" s="17" t="s">
        <v>151</v>
      </c>
      <c r="CO870" s="17" t="s">
        <v>165</v>
      </c>
      <c r="CP870" s="22">
        <v>44861</v>
      </c>
      <c r="CQ870" s="24" t="s">
        <v>151</v>
      </c>
      <c r="CR870" s="17" t="s">
        <v>151</v>
      </c>
      <c r="CS870" s="17" t="s">
        <v>191</v>
      </c>
      <c r="CT870" s="16">
        <v>81</v>
      </c>
      <c r="CU870" s="17" t="s">
        <v>196</v>
      </c>
      <c r="CV870" s="19">
        <v>74</v>
      </c>
      <c r="CW870" s="19">
        <v>26</v>
      </c>
      <c r="CX870" s="17" t="s">
        <v>294</v>
      </c>
      <c r="CY870" s="19">
        <v>1</v>
      </c>
      <c r="CZ870" s="19">
        <v>73</v>
      </c>
      <c r="DA870" s="24">
        <v>22.01</v>
      </c>
      <c r="DB870" s="22">
        <v>44638</v>
      </c>
      <c r="DC870" s="17" t="s">
        <v>293</v>
      </c>
      <c r="DD870" s="16">
        <v>6</v>
      </c>
      <c r="DE870" s="19">
        <v>-1.04</v>
      </c>
      <c r="DF870" s="21">
        <v>4</v>
      </c>
      <c r="DG870" s="19">
        <v>0</v>
      </c>
      <c r="DH870" s="19">
        <v>0</v>
      </c>
      <c r="DI870" s="19" t="s">
        <v>151</v>
      </c>
      <c r="DJ870" s="21" t="s">
        <v>151</v>
      </c>
      <c r="DK870" s="19" t="s">
        <v>151</v>
      </c>
      <c r="DL870" s="21" t="s">
        <v>151</v>
      </c>
      <c r="DM870" s="19" t="s">
        <v>151</v>
      </c>
      <c r="DN870" s="21" t="s">
        <v>151</v>
      </c>
      <c r="DO870" s="23">
        <v>0.85</v>
      </c>
      <c r="DP870" s="21">
        <v>47</v>
      </c>
      <c r="DQ870" s="23">
        <v>0</v>
      </c>
      <c r="DR870" s="19">
        <v>0</v>
      </c>
      <c r="DS870" s="23" t="s">
        <v>151</v>
      </c>
      <c r="DT870" s="21" t="s">
        <v>151</v>
      </c>
      <c r="DU870" s="23" t="s">
        <v>151</v>
      </c>
      <c r="DV870" s="21" t="s">
        <v>151</v>
      </c>
      <c r="DW870" s="23" t="s">
        <v>151</v>
      </c>
      <c r="DX870" s="21" t="s">
        <v>151</v>
      </c>
      <c r="DY870" s="18" t="s">
        <v>151</v>
      </c>
      <c r="DZ870" s="22" t="s">
        <v>151</v>
      </c>
      <c r="EA870" s="22" t="s">
        <v>151</v>
      </c>
      <c r="EB870" s="21" t="s">
        <v>151</v>
      </c>
      <c r="EC870" s="20" t="s">
        <v>151</v>
      </c>
      <c r="ED870" s="19" t="s">
        <v>151</v>
      </c>
      <c r="EE870" s="21" t="s">
        <v>151</v>
      </c>
      <c r="EF870" s="20" t="s">
        <v>151</v>
      </c>
      <c r="EG870" s="19" t="s">
        <v>151</v>
      </c>
      <c r="EH870" s="16" t="s">
        <v>198</v>
      </c>
      <c r="EI870" s="17" t="s">
        <v>151</v>
      </c>
      <c r="EJ870" s="17" t="s">
        <v>151</v>
      </c>
      <c r="EK870" s="18" t="s">
        <v>151</v>
      </c>
      <c r="EL870" s="18" t="s">
        <v>151</v>
      </c>
      <c r="EM870" s="18" t="s">
        <v>151</v>
      </c>
      <c r="EN870" s="18" t="s">
        <v>151</v>
      </c>
      <c r="EO870" s="18" t="s">
        <v>151</v>
      </c>
      <c r="EP870" s="17" t="s">
        <v>151</v>
      </c>
      <c r="EQ870" s="16" t="s">
        <v>151</v>
      </c>
      <c r="ER870" s="16" t="s">
        <v>151</v>
      </c>
      <c r="ES870" s="3">
        <f>HYPERLINK("https://my.pitchbook.com?c=267777-01","View Company Online")</f>
      </c>
    </row>
    <row r="871">
      <c r="A871" s="30" t="s">
        <v>17665</v>
      </c>
      <c r="B871" s="30" t="s">
        <v>17666</v>
      </c>
      <c r="C871" s="31" t="s">
        <v>151</v>
      </c>
      <c r="D871" s="30" t="s">
        <v>17667</v>
      </c>
      <c r="E871" s="30" t="s">
        <v>17668</v>
      </c>
      <c r="F871" s="30" t="s">
        <v>17669</v>
      </c>
      <c r="G871" s="30" t="s">
        <v>151</v>
      </c>
      <c r="H871" s="30" t="s">
        <v>151</v>
      </c>
      <c r="I871" s="30" t="s">
        <v>17670</v>
      </c>
      <c r="J871" s="30" t="s">
        <v>17665</v>
      </c>
      <c r="K871" s="30" t="s">
        <v>17671</v>
      </c>
      <c r="L871" s="30" t="s">
        <v>205</v>
      </c>
      <c r="M871" s="30" t="s">
        <v>8566</v>
      </c>
      <c r="N871" s="30" t="s">
        <v>8567</v>
      </c>
      <c r="O871" s="30" t="s">
        <v>17672</v>
      </c>
      <c r="P871" s="30" t="s">
        <v>919</v>
      </c>
      <c r="Q871" s="30" t="s">
        <v>17673</v>
      </c>
      <c r="R871" s="30" t="s">
        <v>151</v>
      </c>
      <c r="S871" s="30" t="s">
        <v>162</v>
      </c>
      <c r="T871" s="37">
        <v>24.73</v>
      </c>
      <c r="U871" s="30" t="s">
        <v>163</v>
      </c>
      <c r="V871" s="30" t="s">
        <v>164</v>
      </c>
      <c r="W871" s="30" t="s">
        <v>420</v>
      </c>
      <c r="X871" s="28" t="s">
        <v>17674</v>
      </c>
      <c r="Y871" s="28" t="s">
        <v>17675</v>
      </c>
      <c r="Z871" s="40">
        <v>50</v>
      </c>
      <c r="AA871" s="30" t="s">
        <v>17676</v>
      </c>
      <c r="AB871" s="30" t="s">
        <v>151</v>
      </c>
      <c r="AC871" s="30" t="s">
        <v>151</v>
      </c>
      <c r="AD871" s="39">
        <v>2015</v>
      </c>
      <c r="AE871" s="30" t="s">
        <v>151</v>
      </c>
      <c r="AF871" s="35">
        <v>45583</v>
      </c>
      <c r="AG871" s="30" t="s">
        <v>151</v>
      </c>
      <c r="AH871" s="30" t="s">
        <v>151</v>
      </c>
      <c r="AI871" s="38">
        <v>0.04</v>
      </c>
      <c r="AJ871" s="32" t="s">
        <v>151</v>
      </c>
      <c r="AK871" s="38" t="s">
        <v>151</v>
      </c>
      <c r="AL871" s="38" t="s">
        <v>151</v>
      </c>
      <c r="AM871" s="38" t="s">
        <v>151</v>
      </c>
      <c r="AN871" s="38" t="s">
        <v>151</v>
      </c>
      <c r="AO871" s="38" t="s">
        <v>151</v>
      </c>
      <c r="AP871" s="38" t="s">
        <v>151</v>
      </c>
      <c r="AQ871" s="38" t="s">
        <v>151</v>
      </c>
      <c r="AR871" s="29" t="s">
        <v>456</v>
      </c>
      <c r="AS871" s="30" t="s">
        <v>17677</v>
      </c>
      <c r="AT871" s="30" t="s">
        <v>17678</v>
      </c>
      <c r="AU871" s="31">
        <v>7</v>
      </c>
      <c r="AV871" s="30" t="s">
        <v>151</v>
      </c>
      <c r="AW871" s="30" t="s">
        <v>151</v>
      </c>
      <c r="AX871" s="30" t="s">
        <v>151</v>
      </c>
      <c r="AY871" s="30" t="s">
        <v>17679</v>
      </c>
      <c r="AZ871" s="30" t="s">
        <v>151</v>
      </c>
      <c r="BA871" s="30" t="s">
        <v>151</v>
      </c>
      <c r="BB871" s="30" t="s">
        <v>151</v>
      </c>
      <c r="BC871" s="30" t="s">
        <v>17680</v>
      </c>
      <c r="BD871" s="30" t="s">
        <v>17681</v>
      </c>
      <c r="BE871" s="30" t="s">
        <v>17682</v>
      </c>
      <c r="BF871" s="30" t="s">
        <v>17683</v>
      </c>
      <c r="BG871" s="30" t="s">
        <v>151</v>
      </c>
      <c r="BH871" s="30" t="s">
        <v>17684</v>
      </c>
      <c r="BI871" s="30" t="s">
        <v>17685</v>
      </c>
      <c r="BJ871" s="30" t="s">
        <v>17686</v>
      </c>
      <c r="BK871" s="30" t="s">
        <v>151</v>
      </c>
      <c r="BL871" s="30" t="s">
        <v>17687</v>
      </c>
      <c r="BM871" s="30" t="s">
        <v>1576</v>
      </c>
      <c r="BN871" s="29" t="s">
        <v>17688</v>
      </c>
      <c r="BO871" s="30" t="s">
        <v>186</v>
      </c>
      <c r="BP871" s="29" t="s">
        <v>17684</v>
      </c>
      <c r="BQ871" s="29" t="s">
        <v>151</v>
      </c>
      <c r="BR871" s="30" t="s">
        <v>17689</v>
      </c>
      <c r="BS871" s="30" t="s">
        <v>187</v>
      </c>
      <c r="BT871" s="30" t="s">
        <v>188</v>
      </c>
      <c r="BU871" s="35">
        <v>43936</v>
      </c>
      <c r="BV871" s="37">
        <v>0.11</v>
      </c>
      <c r="BW871" s="30" t="s">
        <v>192</v>
      </c>
      <c r="BX871" s="37" t="s">
        <v>151</v>
      </c>
      <c r="BY871" s="30" t="s">
        <v>151</v>
      </c>
      <c r="BZ871" s="30" t="s">
        <v>438</v>
      </c>
      <c r="CA871" s="30" t="s">
        <v>151</v>
      </c>
      <c r="CB871" s="30" t="s">
        <v>151</v>
      </c>
      <c r="CC871" s="30" t="s">
        <v>439</v>
      </c>
      <c r="CD871" s="30" t="s">
        <v>17690</v>
      </c>
      <c r="CE871" s="30" t="s">
        <v>191</v>
      </c>
      <c r="CF871" s="35">
        <v>45411</v>
      </c>
      <c r="CG871" s="37">
        <v>6.02</v>
      </c>
      <c r="CH871" s="30" t="s">
        <v>192</v>
      </c>
      <c r="CI871" s="37" t="s">
        <v>151</v>
      </c>
      <c r="CJ871" s="30" t="s">
        <v>151</v>
      </c>
      <c r="CK871" s="29" t="s">
        <v>151</v>
      </c>
      <c r="CL871" s="30" t="s">
        <v>194</v>
      </c>
      <c r="CM871" s="30" t="s">
        <v>326</v>
      </c>
      <c r="CN871" s="30" t="s">
        <v>151</v>
      </c>
      <c r="CO871" s="30" t="s">
        <v>165</v>
      </c>
      <c r="CP871" s="35">
        <v>45411</v>
      </c>
      <c r="CQ871" s="37" t="s">
        <v>151</v>
      </c>
      <c r="CR871" s="30" t="s">
        <v>3740</v>
      </c>
      <c r="CS871" s="30" t="s">
        <v>191</v>
      </c>
      <c r="CT871" s="29">
        <v>84</v>
      </c>
      <c r="CU871" s="30" t="s">
        <v>196</v>
      </c>
      <c r="CV871" s="32">
        <v>93</v>
      </c>
      <c r="CW871" s="32">
        <v>7</v>
      </c>
      <c r="CX871" s="30" t="s">
        <v>294</v>
      </c>
      <c r="CY871" s="32">
        <v>4</v>
      </c>
      <c r="CZ871" s="32">
        <v>89</v>
      </c>
      <c r="DA871" s="37">
        <v>65</v>
      </c>
      <c r="DB871" s="35">
        <v>44617</v>
      </c>
      <c r="DC871" s="30" t="s">
        <v>194</v>
      </c>
      <c r="DD871" s="29">
        <v>7.46</v>
      </c>
      <c r="DE871" s="32">
        <v>-0.98</v>
      </c>
      <c r="DF871" s="34">
        <v>4</v>
      </c>
      <c r="DG871" s="32">
        <v>-0.17</v>
      </c>
      <c r="DH871" s="32">
        <v>-20.78</v>
      </c>
      <c r="DI871" s="32">
        <v>2.86</v>
      </c>
      <c r="DJ871" s="34">
        <v>99</v>
      </c>
      <c r="DK871" s="32" t="s">
        <v>151</v>
      </c>
      <c r="DL871" s="34" t="s">
        <v>151</v>
      </c>
      <c r="DM871" s="32">
        <v>2.86</v>
      </c>
      <c r="DN871" s="34">
        <v>99</v>
      </c>
      <c r="DO871" s="36">
        <v>8.19</v>
      </c>
      <c r="DP871" s="34">
        <v>88</v>
      </c>
      <c r="DQ871" s="36">
        <v>0.03</v>
      </c>
      <c r="DR871" s="32">
        <v>0.32</v>
      </c>
      <c r="DS871" s="36">
        <v>12.53</v>
      </c>
      <c r="DT871" s="34">
        <v>92</v>
      </c>
      <c r="DU871" s="36" t="s">
        <v>151</v>
      </c>
      <c r="DV871" s="34" t="s">
        <v>151</v>
      </c>
      <c r="DW871" s="36">
        <v>12.53</v>
      </c>
      <c r="DX871" s="34">
        <v>92</v>
      </c>
      <c r="DY871" s="31" t="s">
        <v>151</v>
      </c>
      <c r="DZ871" s="35" t="s">
        <v>151</v>
      </c>
      <c r="EA871" s="35" t="s">
        <v>151</v>
      </c>
      <c r="EB871" s="34">
        <v>96</v>
      </c>
      <c r="EC871" s="33">
        <v>-28</v>
      </c>
      <c r="ED871" s="32">
        <v>-22.58</v>
      </c>
      <c r="EE871" s="34">
        <v>238</v>
      </c>
      <c r="EF871" s="33">
        <v>4</v>
      </c>
      <c r="EG871" s="32">
        <v>1.71</v>
      </c>
      <c r="EH871" s="29" t="s">
        <v>198</v>
      </c>
      <c r="EI871" s="30" t="s">
        <v>151</v>
      </c>
      <c r="EJ871" s="30" t="s">
        <v>151</v>
      </c>
      <c r="EK871" s="31" t="s">
        <v>151</v>
      </c>
      <c r="EL871" s="31" t="s">
        <v>151</v>
      </c>
      <c r="EM871" s="31" t="s">
        <v>151</v>
      </c>
      <c r="EN871" s="31" t="s">
        <v>151</v>
      </c>
      <c r="EO871" s="31" t="s">
        <v>151</v>
      </c>
      <c r="EP871" s="30" t="s">
        <v>151</v>
      </c>
      <c r="EQ871" s="29" t="s">
        <v>151</v>
      </c>
      <c r="ER871" s="29" t="s">
        <v>151</v>
      </c>
      <c r="ES871" s="4">
        <f>HYPERLINK("https://my.pitchbook.com?c=322824-43","View Company Online")</f>
      </c>
    </row>
    <row r="872">
      <c r="A872" s="17" t="s">
        <v>17691</v>
      </c>
      <c r="B872" s="17" t="s">
        <v>17692</v>
      </c>
      <c r="C872" s="18" t="s">
        <v>151</v>
      </c>
      <c r="D872" s="17" t="s">
        <v>17693</v>
      </c>
      <c r="E872" s="17" t="s">
        <v>151</v>
      </c>
      <c r="F872" s="17" t="s">
        <v>17694</v>
      </c>
      <c r="G872" s="17" t="s">
        <v>151</v>
      </c>
      <c r="H872" s="17" t="s">
        <v>151</v>
      </c>
      <c r="I872" s="17" t="s">
        <v>151</v>
      </c>
      <c r="J872" s="17" t="s">
        <v>17691</v>
      </c>
      <c r="K872" s="17" t="s">
        <v>17695</v>
      </c>
      <c r="L872" s="17" t="s">
        <v>616</v>
      </c>
      <c r="M872" s="17" t="s">
        <v>834</v>
      </c>
      <c r="N872" s="17" t="s">
        <v>835</v>
      </c>
      <c r="O872" s="17" t="s">
        <v>17696</v>
      </c>
      <c r="P872" s="17" t="s">
        <v>17697</v>
      </c>
      <c r="Q872" s="17" t="s">
        <v>17698</v>
      </c>
      <c r="R872" s="17" t="s">
        <v>151</v>
      </c>
      <c r="S872" s="17" t="s">
        <v>162</v>
      </c>
      <c r="T872" s="24">
        <v>4.17</v>
      </c>
      <c r="U872" s="17" t="s">
        <v>163</v>
      </c>
      <c r="V872" s="17" t="s">
        <v>164</v>
      </c>
      <c r="W872" s="17" t="s">
        <v>165</v>
      </c>
      <c r="X872" s="15" t="s">
        <v>17699</v>
      </c>
      <c r="Y872" s="15" t="s">
        <v>17700</v>
      </c>
      <c r="Z872" s="27">
        <v>6</v>
      </c>
      <c r="AA872" s="17" t="s">
        <v>17701</v>
      </c>
      <c r="AB872" s="17" t="s">
        <v>151</v>
      </c>
      <c r="AC872" s="17" t="s">
        <v>151</v>
      </c>
      <c r="AD872" s="26">
        <v>2019</v>
      </c>
      <c r="AE872" s="17" t="s">
        <v>151</v>
      </c>
      <c r="AF872" s="22">
        <v>45492</v>
      </c>
      <c r="AG872" s="17" t="s">
        <v>151</v>
      </c>
      <c r="AH872" s="17" t="s">
        <v>151</v>
      </c>
      <c r="AI872" s="25" t="s">
        <v>151</v>
      </c>
      <c r="AJ872" s="19" t="s">
        <v>151</v>
      </c>
      <c r="AK872" s="25" t="s">
        <v>151</v>
      </c>
      <c r="AL872" s="25" t="s">
        <v>151</v>
      </c>
      <c r="AM872" s="25" t="s">
        <v>151</v>
      </c>
      <c r="AN872" s="25" t="s">
        <v>151</v>
      </c>
      <c r="AO872" s="25" t="s">
        <v>151</v>
      </c>
      <c r="AP872" s="25" t="s">
        <v>151</v>
      </c>
      <c r="AQ872" s="25" t="s">
        <v>151</v>
      </c>
      <c r="AR872" s="16" t="s">
        <v>151</v>
      </c>
      <c r="AS872" s="17" t="s">
        <v>17702</v>
      </c>
      <c r="AT872" s="17" t="s">
        <v>17703</v>
      </c>
      <c r="AU872" s="18">
        <v>18</v>
      </c>
      <c r="AV872" s="17" t="s">
        <v>151</v>
      </c>
      <c r="AW872" s="17" t="s">
        <v>151</v>
      </c>
      <c r="AX872" s="17" t="s">
        <v>151</v>
      </c>
      <c r="AY872" s="17" t="s">
        <v>17704</v>
      </c>
      <c r="AZ872" s="17" t="s">
        <v>151</v>
      </c>
      <c r="BA872" s="17" t="s">
        <v>151</v>
      </c>
      <c r="BB872" s="17" t="s">
        <v>151</v>
      </c>
      <c r="BC872" s="17" t="s">
        <v>151</v>
      </c>
      <c r="BD872" s="17" t="s">
        <v>17705</v>
      </c>
      <c r="BE872" s="17" t="s">
        <v>17706</v>
      </c>
      <c r="BF872" s="17" t="s">
        <v>221</v>
      </c>
      <c r="BG872" s="17" t="s">
        <v>17707</v>
      </c>
      <c r="BH872" s="17" t="s">
        <v>17708</v>
      </c>
      <c r="BI872" s="17" t="s">
        <v>764</v>
      </c>
      <c r="BJ872" s="17" t="s">
        <v>17709</v>
      </c>
      <c r="BK872" s="17" t="s">
        <v>151</v>
      </c>
      <c r="BL872" s="17" t="s">
        <v>767</v>
      </c>
      <c r="BM872" s="17" t="s">
        <v>184</v>
      </c>
      <c r="BN872" s="16" t="s">
        <v>4531</v>
      </c>
      <c r="BO872" s="17" t="s">
        <v>186</v>
      </c>
      <c r="BP872" s="16" t="s">
        <v>17708</v>
      </c>
      <c r="BQ872" s="16" t="s">
        <v>151</v>
      </c>
      <c r="BR872" s="17" t="s">
        <v>151</v>
      </c>
      <c r="BS872" s="17" t="s">
        <v>187</v>
      </c>
      <c r="BT872" s="17" t="s">
        <v>188</v>
      </c>
      <c r="BU872" s="22">
        <v>44511</v>
      </c>
      <c r="BV872" s="24">
        <v>4.17</v>
      </c>
      <c r="BW872" s="17" t="s">
        <v>192</v>
      </c>
      <c r="BX872" s="24">
        <v>12.17</v>
      </c>
      <c r="BY872" s="17" t="s">
        <v>192</v>
      </c>
      <c r="BZ872" s="17" t="s">
        <v>293</v>
      </c>
      <c r="CA872" s="17" t="s">
        <v>293</v>
      </c>
      <c r="CB872" s="17" t="s">
        <v>151</v>
      </c>
      <c r="CC872" s="17" t="s">
        <v>165</v>
      </c>
      <c r="CD872" s="17" t="s">
        <v>151</v>
      </c>
      <c r="CE872" s="17" t="s">
        <v>191</v>
      </c>
      <c r="CF872" s="22">
        <v>44958</v>
      </c>
      <c r="CG872" s="24" t="s">
        <v>151</v>
      </c>
      <c r="CH872" s="17" t="s">
        <v>151</v>
      </c>
      <c r="CI872" s="24" t="s">
        <v>151</v>
      </c>
      <c r="CJ872" s="17" t="s">
        <v>151</v>
      </c>
      <c r="CK872" s="16" t="s">
        <v>151</v>
      </c>
      <c r="CL872" s="17" t="s">
        <v>231</v>
      </c>
      <c r="CM872" s="17" t="s">
        <v>151</v>
      </c>
      <c r="CN872" s="17" t="s">
        <v>151</v>
      </c>
      <c r="CO872" s="17" t="s">
        <v>165</v>
      </c>
      <c r="CP872" s="22">
        <v>44958</v>
      </c>
      <c r="CQ872" s="24" t="s">
        <v>151</v>
      </c>
      <c r="CR872" s="17" t="s">
        <v>151</v>
      </c>
      <c r="CS872" s="17" t="s">
        <v>191</v>
      </c>
      <c r="CT872" s="16">
        <v>55</v>
      </c>
      <c r="CU872" s="17" t="s">
        <v>196</v>
      </c>
      <c r="CV872" s="19">
        <v>52</v>
      </c>
      <c r="CW872" s="19">
        <v>48</v>
      </c>
      <c r="CX872" s="17" t="s">
        <v>294</v>
      </c>
      <c r="CY872" s="19">
        <v>1</v>
      </c>
      <c r="CZ872" s="19">
        <v>51</v>
      </c>
      <c r="DA872" s="24">
        <v>12.17</v>
      </c>
      <c r="DB872" s="22">
        <v>44511</v>
      </c>
      <c r="DC872" s="17" t="s">
        <v>293</v>
      </c>
      <c r="DD872" s="16" t="s">
        <v>151</v>
      </c>
      <c r="DE872" s="19">
        <v>0</v>
      </c>
      <c r="DF872" s="21">
        <v>11</v>
      </c>
      <c r="DG872" s="19">
        <v>0</v>
      </c>
      <c r="DH872" s="19">
        <v>0</v>
      </c>
      <c r="DI872" s="19">
        <v>0</v>
      </c>
      <c r="DJ872" s="21">
        <v>10</v>
      </c>
      <c r="DK872" s="19" t="s">
        <v>151</v>
      </c>
      <c r="DL872" s="21" t="s">
        <v>151</v>
      </c>
      <c r="DM872" s="19">
        <v>0</v>
      </c>
      <c r="DN872" s="21">
        <v>10</v>
      </c>
      <c r="DO872" s="23">
        <v>2.84</v>
      </c>
      <c r="DP872" s="21">
        <v>73</v>
      </c>
      <c r="DQ872" s="23">
        <v>0</v>
      </c>
      <c r="DR872" s="19">
        <v>0</v>
      </c>
      <c r="DS872" s="23">
        <v>2.84</v>
      </c>
      <c r="DT872" s="21">
        <v>73</v>
      </c>
      <c r="DU872" s="23" t="s">
        <v>151</v>
      </c>
      <c r="DV872" s="21" t="s">
        <v>151</v>
      </c>
      <c r="DW872" s="23">
        <v>2.84</v>
      </c>
      <c r="DX872" s="21">
        <v>73</v>
      </c>
      <c r="DY872" s="18" t="s">
        <v>151</v>
      </c>
      <c r="DZ872" s="22" t="s">
        <v>151</v>
      </c>
      <c r="EA872" s="22" t="s">
        <v>151</v>
      </c>
      <c r="EB872" s="21">
        <v>443</v>
      </c>
      <c r="EC872" s="20">
        <v>52</v>
      </c>
      <c r="ED872" s="19">
        <v>13.3</v>
      </c>
      <c r="EE872" s="21">
        <v>54</v>
      </c>
      <c r="EF872" s="20">
        <v>0</v>
      </c>
      <c r="EG872" s="19">
        <v>0</v>
      </c>
      <c r="EH872" s="16" t="s">
        <v>198</v>
      </c>
      <c r="EI872" s="17" t="s">
        <v>151</v>
      </c>
      <c r="EJ872" s="17" t="s">
        <v>151</v>
      </c>
      <c r="EK872" s="18" t="s">
        <v>151</v>
      </c>
      <c r="EL872" s="18" t="s">
        <v>151</v>
      </c>
      <c r="EM872" s="18" t="s">
        <v>151</v>
      </c>
      <c r="EN872" s="18" t="s">
        <v>151</v>
      </c>
      <c r="EO872" s="18" t="s">
        <v>151</v>
      </c>
      <c r="EP872" s="17" t="s">
        <v>151</v>
      </c>
      <c r="EQ872" s="16" t="s">
        <v>151</v>
      </c>
      <c r="ER872" s="16" t="s">
        <v>151</v>
      </c>
      <c r="ES872" s="3">
        <f>HYPERLINK("https://my.pitchbook.com?c=442374-85","View Company Online")</f>
      </c>
    </row>
    <row r="873">
      <c r="A873" s="30" t="s">
        <v>17710</v>
      </c>
      <c r="B873" s="30" t="s">
        <v>17711</v>
      </c>
      <c r="C873" s="31" t="s">
        <v>151</v>
      </c>
      <c r="D873" s="30" t="s">
        <v>151</v>
      </c>
      <c r="E873" s="30" t="s">
        <v>151</v>
      </c>
      <c r="F873" s="30" t="s">
        <v>17712</v>
      </c>
      <c r="G873" s="30" t="s">
        <v>151</v>
      </c>
      <c r="H873" s="30" t="s">
        <v>151</v>
      </c>
      <c r="I873" s="30" t="s">
        <v>151</v>
      </c>
      <c r="J873" s="30" t="s">
        <v>17710</v>
      </c>
      <c r="K873" s="30" t="s">
        <v>17713</v>
      </c>
      <c r="L873" s="30" t="s">
        <v>155</v>
      </c>
      <c r="M873" s="30" t="s">
        <v>361</v>
      </c>
      <c r="N873" s="30" t="s">
        <v>3162</v>
      </c>
      <c r="O873" s="30" t="s">
        <v>3163</v>
      </c>
      <c r="P873" s="30" t="s">
        <v>2640</v>
      </c>
      <c r="Q873" s="30" t="s">
        <v>17714</v>
      </c>
      <c r="R873" s="30" t="s">
        <v>151</v>
      </c>
      <c r="S873" s="30" t="s">
        <v>162</v>
      </c>
      <c r="T873" s="37">
        <v>0.65</v>
      </c>
      <c r="U873" s="30" t="s">
        <v>163</v>
      </c>
      <c r="V873" s="30" t="s">
        <v>164</v>
      </c>
      <c r="W873" s="30" t="s">
        <v>165</v>
      </c>
      <c r="X873" s="28" t="s">
        <v>17715</v>
      </c>
      <c r="Y873" s="28" t="s">
        <v>17716</v>
      </c>
      <c r="Z873" s="40">
        <v>4</v>
      </c>
      <c r="AA873" s="30" t="s">
        <v>17717</v>
      </c>
      <c r="AB873" s="30" t="s">
        <v>151</v>
      </c>
      <c r="AC873" s="30" t="s">
        <v>151</v>
      </c>
      <c r="AD873" s="39">
        <v>2020</v>
      </c>
      <c r="AE873" s="30" t="s">
        <v>151</v>
      </c>
      <c r="AF873" s="35">
        <v>45259</v>
      </c>
      <c r="AG873" s="30" t="s">
        <v>151</v>
      </c>
      <c r="AH873" s="30" t="s">
        <v>151</v>
      </c>
      <c r="AI873" s="38" t="s">
        <v>151</v>
      </c>
      <c r="AJ873" s="32" t="s">
        <v>151</v>
      </c>
      <c r="AK873" s="38" t="s">
        <v>151</v>
      </c>
      <c r="AL873" s="38" t="s">
        <v>151</v>
      </c>
      <c r="AM873" s="38" t="s">
        <v>151</v>
      </c>
      <c r="AN873" s="38" t="s">
        <v>151</v>
      </c>
      <c r="AO873" s="38" t="s">
        <v>151</v>
      </c>
      <c r="AP873" s="38" t="s">
        <v>151</v>
      </c>
      <c r="AQ873" s="38" t="s">
        <v>151</v>
      </c>
      <c r="AR873" s="29" t="s">
        <v>151</v>
      </c>
      <c r="AS873" s="30" t="s">
        <v>17718</v>
      </c>
      <c r="AT873" s="30" t="s">
        <v>17719</v>
      </c>
      <c r="AU873" s="31">
        <v>5</v>
      </c>
      <c r="AV873" s="30" t="s">
        <v>151</v>
      </c>
      <c r="AW873" s="30" t="s">
        <v>151</v>
      </c>
      <c r="AX873" s="30" t="s">
        <v>151</v>
      </c>
      <c r="AY873" s="30" t="s">
        <v>17720</v>
      </c>
      <c r="AZ873" s="30" t="s">
        <v>151</v>
      </c>
      <c r="BA873" s="30" t="s">
        <v>151</v>
      </c>
      <c r="BB873" s="30" t="s">
        <v>151</v>
      </c>
      <c r="BC873" s="30" t="s">
        <v>17721</v>
      </c>
      <c r="BD873" s="30" t="s">
        <v>17722</v>
      </c>
      <c r="BE873" s="30" t="s">
        <v>17723</v>
      </c>
      <c r="BF873" s="30" t="s">
        <v>221</v>
      </c>
      <c r="BG873" s="30" t="s">
        <v>17724</v>
      </c>
      <c r="BH873" s="30" t="s">
        <v>17725</v>
      </c>
      <c r="BI873" s="30" t="s">
        <v>3152</v>
      </c>
      <c r="BJ873" s="30" t="s">
        <v>17726</v>
      </c>
      <c r="BK873" s="30" t="s">
        <v>17727</v>
      </c>
      <c r="BL873" s="30" t="s">
        <v>3154</v>
      </c>
      <c r="BM873" s="30" t="s">
        <v>3155</v>
      </c>
      <c r="BN873" s="29" t="s">
        <v>17728</v>
      </c>
      <c r="BO873" s="30" t="s">
        <v>186</v>
      </c>
      <c r="BP873" s="29" t="s">
        <v>17729</v>
      </c>
      <c r="BQ873" s="29" t="s">
        <v>151</v>
      </c>
      <c r="BR873" s="30" t="s">
        <v>151</v>
      </c>
      <c r="BS873" s="30" t="s">
        <v>187</v>
      </c>
      <c r="BT873" s="30" t="s">
        <v>188</v>
      </c>
      <c r="BU873" s="35">
        <v>44691</v>
      </c>
      <c r="BV873" s="37">
        <v>0.03</v>
      </c>
      <c r="BW873" s="30" t="s">
        <v>192</v>
      </c>
      <c r="BX873" s="37" t="s">
        <v>151</v>
      </c>
      <c r="BY873" s="30" t="s">
        <v>151</v>
      </c>
      <c r="BZ873" s="30" t="s">
        <v>501</v>
      </c>
      <c r="CA873" s="30" t="s">
        <v>151</v>
      </c>
      <c r="CB873" s="30" t="s">
        <v>151</v>
      </c>
      <c r="CC873" s="30" t="s">
        <v>190</v>
      </c>
      <c r="CD873" s="30" t="s">
        <v>151</v>
      </c>
      <c r="CE873" s="30" t="s">
        <v>191</v>
      </c>
      <c r="CF873" s="35">
        <v>45091</v>
      </c>
      <c r="CG873" s="37">
        <v>0.01</v>
      </c>
      <c r="CH873" s="30" t="s">
        <v>192</v>
      </c>
      <c r="CI873" s="37" t="s">
        <v>151</v>
      </c>
      <c r="CJ873" s="30" t="s">
        <v>151</v>
      </c>
      <c r="CK873" s="29" t="s">
        <v>151</v>
      </c>
      <c r="CL873" s="30" t="s">
        <v>501</v>
      </c>
      <c r="CM873" s="30" t="s">
        <v>151</v>
      </c>
      <c r="CN873" s="30" t="s">
        <v>151</v>
      </c>
      <c r="CO873" s="30" t="s">
        <v>190</v>
      </c>
      <c r="CP873" s="35">
        <v>45091</v>
      </c>
      <c r="CQ873" s="37" t="s">
        <v>151</v>
      </c>
      <c r="CR873" s="30" t="s">
        <v>151</v>
      </c>
      <c r="CS873" s="30" t="s">
        <v>191</v>
      </c>
      <c r="CT873" s="29" t="s">
        <v>151</v>
      </c>
      <c r="CU873" s="30" t="s">
        <v>151</v>
      </c>
      <c r="CV873" s="32" t="s">
        <v>151</v>
      </c>
      <c r="CW873" s="32" t="s">
        <v>151</v>
      </c>
      <c r="CX873" s="30" t="s">
        <v>151</v>
      </c>
      <c r="CY873" s="32" t="s">
        <v>151</v>
      </c>
      <c r="CZ873" s="32" t="s">
        <v>151</v>
      </c>
      <c r="DA873" s="37">
        <v>3</v>
      </c>
      <c r="DB873" s="35">
        <v>45017</v>
      </c>
      <c r="DC873" s="30" t="s">
        <v>293</v>
      </c>
      <c r="DD873" s="29" t="s">
        <v>151</v>
      </c>
      <c r="DE873" s="32">
        <v>0</v>
      </c>
      <c r="DF873" s="34">
        <v>11</v>
      </c>
      <c r="DG873" s="32">
        <v>0</v>
      </c>
      <c r="DH873" s="32">
        <v>0</v>
      </c>
      <c r="DI873" s="32">
        <v>0</v>
      </c>
      <c r="DJ873" s="34">
        <v>10</v>
      </c>
      <c r="DK873" s="32" t="s">
        <v>151</v>
      </c>
      <c r="DL873" s="34" t="s">
        <v>151</v>
      </c>
      <c r="DM873" s="32">
        <v>0</v>
      </c>
      <c r="DN873" s="34">
        <v>10</v>
      </c>
      <c r="DO873" s="36">
        <v>4.11</v>
      </c>
      <c r="DP873" s="34">
        <v>79</v>
      </c>
      <c r="DQ873" s="36">
        <v>0</v>
      </c>
      <c r="DR873" s="32">
        <v>0</v>
      </c>
      <c r="DS873" s="36">
        <v>4.11</v>
      </c>
      <c r="DT873" s="34">
        <v>79</v>
      </c>
      <c r="DU873" s="36" t="s">
        <v>151</v>
      </c>
      <c r="DV873" s="34" t="s">
        <v>151</v>
      </c>
      <c r="DW873" s="36">
        <v>4.11</v>
      </c>
      <c r="DX873" s="34">
        <v>79</v>
      </c>
      <c r="DY873" s="31" t="s">
        <v>151</v>
      </c>
      <c r="DZ873" s="35" t="s">
        <v>151</v>
      </c>
      <c r="EA873" s="35" t="s">
        <v>151</v>
      </c>
      <c r="EB873" s="34">
        <v>285</v>
      </c>
      <c r="EC873" s="33">
        <v>49</v>
      </c>
      <c r="ED873" s="32">
        <v>20.76</v>
      </c>
      <c r="EE873" s="34">
        <v>78</v>
      </c>
      <c r="EF873" s="33">
        <v>-2</v>
      </c>
      <c r="EG873" s="32">
        <v>-2.5</v>
      </c>
      <c r="EH873" s="29" t="s">
        <v>198</v>
      </c>
      <c r="EI873" s="30" t="s">
        <v>151</v>
      </c>
      <c r="EJ873" s="30" t="s">
        <v>151</v>
      </c>
      <c r="EK873" s="31" t="s">
        <v>151</v>
      </c>
      <c r="EL873" s="31" t="s">
        <v>151</v>
      </c>
      <c r="EM873" s="31" t="s">
        <v>151</v>
      </c>
      <c r="EN873" s="31" t="s">
        <v>151</v>
      </c>
      <c r="EO873" s="31" t="s">
        <v>151</v>
      </c>
      <c r="EP873" s="30" t="s">
        <v>151</v>
      </c>
      <c r="EQ873" s="29" t="s">
        <v>151</v>
      </c>
      <c r="ER873" s="29" t="s">
        <v>151</v>
      </c>
      <c r="ES873" s="4">
        <f>HYPERLINK("https://my.pitchbook.com?c=459611-83","View Company Online")</f>
      </c>
    </row>
    <row r="874">
      <c r="A874" s="17" t="s">
        <v>17730</v>
      </c>
      <c r="B874" s="17" t="s">
        <v>17731</v>
      </c>
      <c r="C874" s="18" t="s">
        <v>151</v>
      </c>
      <c r="D874" s="17" t="s">
        <v>151</v>
      </c>
      <c r="E874" s="17" t="s">
        <v>151</v>
      </c>
      <c r="F874" s="17" t="s">
        <v>17732</v>
      </c>
      <c r="G874" s="17" t="s">
        <v>151</v>
      </c>
      <c r="H874" s="17" t="s">
        <v>151</v>
      </c>
      <c r="I874" s="17" t="s">
        <v>17733</v>
      </c>
      <c r="J874" s="17" t="s">
        <v>17730</v>
      </c>
      <c r="K874" s="17" t="s">
        <v>17734</v>
      </c>
      <c r="L874" s="17" t="s">
        <v>205</v>
      </c>
      <c r="M874" s="17" t="s">
        <v>206</v>
      </c>
      <c r="N874" s="17" t="s">
        <v>269</v>
      </c>
      <c r="O874" s="17" t="s">
        <v>1651</v>
      </c>
      <c r="P874" s="17" t="s">
        <v>1421</v>
      </c>
      <c r="Q874" s="17" t="s">
        <v>17735</v>
      </c>
      <c r="R874" s="17" t="s">
        <v>151</v>
      </c>
      <c r="S874" s="17" t="s">
        <v>162</v>
      </c>
      <c r="T874" s="24">
        <v>1.3</v>
      </c>
      <c r="U874" s="17" t="s">
        <v>163</v>
      </c>
      <c r="V874" s="17" t="s">
        <v>164</v>
      </c>
      <c r="W874" s="17" t="s">
        <v>165</v>
      </c>
      <c r="X874" s="15" t="s">
        <v>17736</v>
      </c>
      <c r="Y874" s="15" t="s">
        <v>17737</v>
      </c>
      <c r="Z874" s="27">
        <v>10</v>
      </c>
      <c r="AA874" s="17" t="s">
        <v>17738</v>
      </c>
      <c r="AB874" s="17" t="s">
        <v>151</v>
      </c>
      <c r="AC874" s="17" t="s">
        <v>151</v>
      </c>
      <c r="AD874" s="26">
        <v>2018</v>
      </c>
      <c r="AE874" s="17" t="s">
        <v>151</v>
      </c>
      <c r="AF874" s="22">
        <v>45406</v>
      </c>
      <c r="AG874" s="17" t="s">
        <v>151</v>
      </c>
      <c r="AH874" s="17" t="s">
        <v>151</v>
      </c>
      <c r="AI874" s="25" t="s">
        <v>151</v>
      </c>
      <c r="AJ874" s="19" t="s">
        <v>151</v>
      </c>
      <c r="AK874" s="25" t="s">
        <v>151</v>
      </c>
      <c r="AL874" s="25" t="s">
        <v>151</v>
      </c>
      <c r="AM874" s="25" t="s">
        <v>151</v>
      </c>
      <c r="AN874" s="25" t="s">
        <v>151</v>
      </c>
      <c r="AO874" s="25" t="s">
        <v>151</v>
      </c>
      <c r="AP874" s="25" t="s">
        <v>151</v>
      </c>
      <c r="AQ874" s="25" t="s">
        <v>151</v>
      </c>
      <c r="AR874" s="16" t="s">
        <v>151</v>
      </c>
      <c r="AS874" s="17" t="s">
        <v>17739</v>
      </c>
      <c r="AT874" s="17" t="s">
        <v>17740</v>
      </c>
      <c r="AU874" s="18">
        <v>4</v>
      </c>
      <c r="AV874" s="17" t="s">
        <v>151</v>
      </c>
      <c r="AW874" s="17" t="s">
        <v>151</v>
      </c>
      <c r="AX874" s="17" t="s">
        <v>151</v>
      </c>
      <c r="AY874" s="17" t="s">
        <v>17741</v>
      </c>
      <c r="AZ874" s="17" t="s">
        <v>151</v>
      </c>
      <c r="BA874" s="17" t="s">
        <v>151</v>
      </c>
      <c r="BB874" s="17" t="s">
        <v>151</v>
      </c>
      <c r="BC874" s="17" t="s">
        <v>17742</v>
      </c>
      <c r="BD874" s="17" t="s">
        <v>17743</v>
      </c>
      <c r="BE874" s="17" t="s">
        <v>17744</v>
      </c>
      <c r="BF874" s="17" t="s">
        <v>789</v>
      </c>
      <c r="BG874" s="17" t="s">
        <v>17745</v>
      </c>
      <c r="BH874" s="17" t="s">
        <v>151</v>
      </c>
      <c r="BI874" s="17" t="s">
        <v>1040</v>
      </c>
      <c r="BJ874" s="17" t="s">
        <v>17746</v>
      </c>
      <c r="BK874" s="17" t="s">
        <v>151</v>
      </c>
      <c r="BL874" s="17" t="s">
        <v>1042</v>
      </c>
      <c r="BM874" s="17" t="s">
        <v>1043</v>
      </c>
      <c r="BN874" s="16" t="s">
        <v>2610</v>
      </c>
      <c r="BO874" s="17" t="s">
        <v>186</v>
      </c>
      <c r="BP874" s="16" t="s">
        <v>151</v>
      </c>
      <c r="BQ874" s="16" t="s">
        <v>151</v>
      </c>
      <c r="BR874" s="17" t="s">
        <v>17747</v>
      </c>
      <c r="BS874" s="17" t="s">
        <v>187</v>
      </c>
      <c r="BT874" s="17" t="s">
        <v>188</v>
      </c>
      <c r="BU874" s="22">
        <v>43668</v>
      </c>
      <c r="BV874" s="24" t="s">
        <v>151</v>
      </c>
      <c r="BW874" s="17" t="s">
        <v>151</v>
      </c>
      <c r="BX874" s="24" t="s">
        <v>151</v>
      </c>
      <c r="BY874" s="17" t="s">
        <v>151</v>
      </c>
      <c r="BZ874" s="17" t="s">
        <v>189</v>
      </c>
      <c r="CA874" s="17" t="s">
        <v>151</v>
      </c>
      <c r="CB874" s="17" t="s">
        <v>151</v>
      </c>
      <c r="CC874" s="17" t="s">
        <v>190</v>
      </c>
      <c r="CD874" s="17" t="s">
        <v>151</v>
      </c>
      <c r="CE874" s="17" t="s">
        <v>191</v>
      </c>
      <c r="CF874" s="22">
        <v>44869</v>
      </c>
      <c r="CG874" s="24">
        <v>0.1</v>
      </c>
      <c r="CH874" s="17" t="s">
        <v>192</v>
      </c>
      <c r="CI874" s="24" t="s">
        <v>151</v>
      </c>
      <c r="CJ874" s="17" t="s">
        <v>151</v>
      </c>
      <c r="CK874" s="16" t="s">
        <v>151</v>
      </c>
      <c r="CL874" s="17" t="s">
        <v>189</v>
      </c>
      <c r="CM874" s="17" t="s">
        <v>151</v>
      </c>
      <c r="CN874" s="17" t="s">
        <v>151</v>
      </c>
      <c r="CO874" s="17" t="s">
        <v>190</v>
      </c>
      <c r="CP874" s="22">
        <v>44869</v>
      </c>
      <c r="CQ874" s="24" t="s">
        <v>151</v>
      </c>
      <c r="CR874" s="17" t="s">
        <v>151</v>
      </c>
      <c r="CS874" s="17" t="s">
        <v>191</v>
      </c>
      <c r="CT874" s="16">
        <v>26</v>
      </c>
      <c r="CU874" s="17" t="s">
        <v>263</v>
      </c>
      <c r="CV874" s="19">
        <v>27</v>
      </c>
      <c r="CW874" s="19">
        <v>73</v>
      </c>
      <c r="CX874" s="17" t="s">
        <v>263</v>
      </c>
      <c r="CY874" s="19">
        <v>1</v>
      </c>
      <c r="CZ874" s="19">
        <v>26</v>
      </c>
      <c r="DA874" s="24" t="s">
        <v>151</v>
      </c>
      <c r="DB874" s="22" t="s">
        <v>151</v>
      </c>
      <c r="DC874" s="17" t="s">
        <v>151</v>
      </c>
      <c r="DD874" s="16" t="s">
        <v>151</v>
      </c>
      <c r="DE874" s="19">
        <v>0</v>
      </c>
      <c r="DF874" s="21">
        <v>11</v>
      </c>
      <c r="DG874" s="19">
        <v>0</v>
      </c>
      <c r="DH874" s="19">
        <v>0</v>
      </c>
      <c r="DI874" s="19">
        <v>0</v>
      </c>
      <c r="DJ874" s="21">
        <v>10</v>
      </c>
      <c r="DK874" s="19" t="s">
        <v>151</v>
      </c>
      <c r="DL874" s="21" t="s">
        <v>151</v>
      </c>
      <c r="DM874" s="19">
        <v>0</v>
      </c>
      <c r="DN874" s="21">
        <v>10</v>
      </c>
      <c r="DO874" s="23">
        <v>2.02</v>
      </c>
      <c r="DP874" s="21">
        <v>67</v>
      </c>
      <c r="DQ874" s="23">
        <v>0</v>
      </c>
      <c r="DR874" s="19">
        <v>0</v>
      </c>
      <c r="DS874" s="23">
        <v>3.26</v>
      </c>
      <c r="DT874" s="21">
        <v>76</v>
      </c>
      <c r="DU874" s="23" t="s">
        <v>151</v>
      </c>
      <c r="DV874" s="21" t="s">
        <v>151</v>
      </c>
      <c r="DW874" s="23">
        <v>3.26</v>
      </c>
      <c r="DX874" s="21">
        <v>75</v>
      </c>
      <c r="DY874" s="18" t="s">
        <v>151</v>
      </c>
      <c r="DZ874" s="22" t="s">
        <v>151</v>
      </c>
      <c r="EA874" s="22" t="s">
        <v>151</v>
      </c>
      <c r="EB874" s="21" t="s">
        <v>151</v>
      </c>
      <c r="EC874" s="20" t="s">
        <v>151</v>
      </c>
      <c r="ED874" s="19" t="s">
        <v>151</v>
      </c>
      <c r="EE874" s="21">
        <v>62</v>
      </c>
      <c r="EF874" s="20">
        <v>0</v>
      </c>
      <c r="EG874" s="19">
        <v>0</v>
      </c>
      <c r="EH874" s="16" t="s">
        <v>198</v>
      </c>
      <c r="EI874" s="17" t="s">
        <v>151</v>
      </c>
      <c r="EJ874" s="17" t="s">
        <v>151</v>
      </c>
      <c r="EK874" s="18" t="s">
        <v>151</v>
      </c>
      <c r="EL874" s="18" t="s">
        <v>151</v>
      </c>
      <c r="EM874" s="18" t="s">
        <v>151</v>
      </c>
      <c r="EN874" s="18" t="s">
        <v>151</v>
      </c>
      <c r="EO874" s="18" t="s">
        <v>151</v>
      </c>
      <c r="EP874" s="17" t="s">
        <v>151</v>
      </c>
      <c r="EQ874" s="16" t="s">
        <v>151</v>
      </c>
      <c r="ER874" s="16" t="s">
        <v>151</v>
      </c>
      <c r="ES874" s="3">
        <f>HYPERLINK("https://my.pitchbook.com?c=439184-35","View Company Online")</f>
      </c>
    </row>
    <row r="875">
      <c r="A875" s="30" t="s">
        <v>17748</v>
      </c>
      <c r="B875" s="30" t="s">
        <v>17749</v>
      </c>
      <c r="C875" s="31" t="s">
        <v>151</v>
      </c>
      <c r="D875" s="30" t="s">
        <v>151</v>
      </c>
      <c r="E875" s="30" t="s">
        <v>151</v>
      </c>
      <c r="F875" s="30" t="s">
        <v>17750</v>
      </c>
      <c r="G875" s="30" t="s">
        <v>151</v>
      </c>
      <c r="H875" s="30" t="s">
        <v>151</v>
      </c>
      <c r="I875" s="30" t="s">
        <v>17751</v>
      </c>
      <c r="J875" s="30" t="s">
        <v>17748</v>
      </c>
      <c r="K875" s="30" t="s">
        <v>17752</v>
      </c>
      <c r="L875" s="30" t="s">
        <v>205</v>
      </c>
      <c r="M875" s="30" t="s">
        <v>206</v>
      </c>
      <c r="N875" s="30" t="s">
        <v>207</v>
      </c>
      <c r="O875" s="30" t="s">
        <v>17753</v>
      </c>
      <c r="P875" s="30" t="s">
        <v>17754</v>
      </c>
      <c r="Q875" s="30" t="s">
        <v>17755</v>
      </c>
      <c r="R875" s="30" t="s">
        <v>151</v>
      </c>
      <c r="S875" s="30" t="s">
        <v>162</v>
      </c>
      <c r="T875" s="37">
        <v>4.3</v>
      </c>
      <c r="U875" s="30" t="s">
        <v>163</v>
      </c>
      <c r="V875" s="30" t="s">
        <v>164</v>
      </c>
      <c r="W875" s="30" t="s">
        <v>165</v>
      </c>
      <c r="X875" s="28" t="s">
        <v>17756</v>
      </c>
      <c r="Y875" s="28" t="s">
        <v>17757</v>
      </c>
      <c r="Z875" s="40">
        <v>16</v>
      </c>
      <c r="AA875" s="30" t="s">
        <v>17758</v>
      </c>
      <c r="AB875" s="30" t="s">
        <v>151</v>
      </c>
      <c r="AC875" s="30" t="s">
        <v>151</v>
      </c>
      <c r="AD875" s="39">
        <v>2022</v>
      </c>
      <c r="AE875" s="30" t="s">
        <v>151</v>
      </c>
      <c r="AF875" s="35">
        <v>45373</v>
      </c>
      <c r="AG875" s="30" t="s">
        <v>151</v>
      </c>
      <c r="AH875" s="30" t="s">
        <v>151</v>
      </c>
      <c r="AI875" s="38" t="s">
        <v>151</v>
      </c>
      <c r="AJ875" s="32" t="s">
        <v>151</v>
      </c>
      <c r="AK875" s="38" t="s">
        <v>151</v>
      </c>
      <c r="AL875" s="38" t="s">
        <v>151</v>
      </c>
      <c r="AM875" s="38" t="s">
        <v>151</v>
      </c>
      <c r="AN875" s="38" t="s">
        <v>151</v>
      </c>
      <c r="AO875" s="38" t="s">
        <v>151</v>
      </c>
      <c r="AP875" s="38" t="s">
        <v>151</v>
      </c>
      <c r="AQ875" s="38" t="s">
        <v>151</v>
      </c>
      <c r="AR875" s="29" t="s">
        <v>151</v>
      </c>
      <c r="AS875" s="30" t="s">
        <v>17759</v>
      </c>
      <c r="AT875" s="30" t="s">
        <v>17760</v>
      </c>
      <c r="AU875" s="31">
        <v>2</v>
      </c>
      <c r="AV875" s="30" t="s">
        <v>151</v>
      </c>
      <c r="AW875" s="30" t="s">
        <v>151</v>
      </c>
      <c r="AX875" s="30" t="s">
        <v>151</v>
      </c>
      <c r="AY875" s="30" t="s">
        <v>17761</v>
      </c>
      <c r="AZ875" s="30" t="s">
        <v>151</v>
      </c>
      <c r="BA875" s="30" t="s">
        <v>151</v>
      </c>
      <c r="BB875" s="30" t="s">
        <v>151</v>
      </c>
      <c r="BC875" s="30" t="s">
        <v>151</v>
      </c>
      <c r="BD875" s="30" t="s">
        <v>17762</v>
      </c>
      <c r="BE875" s="30" t="s">
        <v>17763</v>
      </c>
      <c r="BF875" s="30" t="s">
        <v>17764</v>
      </c>
      <c r="BG875" s="30" t="s">
        <v>151</v>
      </c>
      <c r="BH875" s="30" t="s">
        <v>17765</v>
      </c>
      <c r="BI875" s="30" t="s">
        <v>17766</v>
      </c>
      <c r="BJ875" s="30" t="s">
        <v>17767</v>
      </c>
      <c r="BK875" s="30" t="s">
        <v>17768</v>
      </c>
      <c r="BL875" s="30" t="s">
        <v>17769</v>
      </c>
      <c r="BM875" s="30" t="s">
        <v>823</v>
      </c>
      <c r="BN875" s="29" t="s">
        <v>17770</v>
      </c>
      <c r="BO875" s="30" t="s">
        <v>186</v>
      </c>
      <c r="BP875" s="29" t="s">
        <v>17765</v>
      </c>
      <c r="BQ875" s="29" t="s">
        <v>151</v>
      </c>
      <c r="BR875" s="30" t="s">
        <v>17771</v>
      </c>
      <c r="BS875" s="30" t="s">
        <v>187</v>
      </c>
      <c r="BT875" s="30" t="s">
        <v>188</v>
      </c>
      <c r="BU875" s="35">
        <v>44859</v>
      </c>
      <c r="BV875" s="37">
        <v>4.3</v>
      </c>
      <c r="BW875" s="30" t="s">
        <v>193</v>
      </c>
      <c r="BX875" s="37">
        <v>14.3</v>
      </c>
      <c r="BY875" s="30" t="s">
        <v>192</v>
      </c>
      <c r="BZ875" s="30" t="s">
        <v>293</v>
      </c>
      <c r="CA875" s="30" t="s">
        <v>293</v>
      </c>
      <c r="CB875" s="30" t="s">
        <v>151</v>
      </c>
      <c r="CC875" s="30" t="s">
        <v>165</v>
      </c>
      <c r="CD875" s="30" t="s">
        <v>151</v>
      </c>
      <c r="CE875" s="30" t="s">
        <v>191</v>
      </c>
      <c r="CF875" s="35">
        <v>44859</v>
      </c>
      <c r="CG875" s="37">
        <v>4.3</v>
      </c>
      <c r="CH875" s="30" t="s">
        <v>193</v>
      </c>
      <c r="CI875" s="37">
        <v>14.3</v>
      </c>
      <c r="CJ875" s="30" t="s">
        <v>192</v>
      </c>
      <c r="CK875" s="29" t="s">
        <v>151</v>
      </c>
      <c r="CL875" s="30" t="s">
        <v>293</v>
      </c>
      <c r="CM875" s="30" t="s">
        <v>293</v>
      </c>
      <c r="CN875" s="30" t="s">
        <v>151</v>
      </c>
      <c r="CO875" s="30" t="s">
        <v>165</v>
      </c>
      <c r="CP875" s="35">
        <v>44859</v>
      </c>
      <c r="CQ875" s="37" t="s">
        <v>151</v>
      </c>
      <c r="CR875" s="30" t="s">
        <v>151</v>
      </c>
      <c r="CS875" s="30" t="s">
        <v>191</v>
      </c>
      <c r="CT875" s="29" t="s">
        <v>151</v>
      </c>
      <c r="CU875" s="30" t="s">
        <v>151</v>
      </c>
      <c r="CV875" s="32" t="s">
        <v>151</v>
      </c>
      <c r="CW875" s="32" t="s">
        <v>151</v>
      </c>
      <c r="CX875" s="30" t="s">
        <v>151</v>
      </c>
      <c r="CY875" s="32" t="s">
        <v>151</v>
      </c>
      <c r="CZ875" s="32" t="s">
        <v>151</v>
      </c>
      <c r="DA875" s="37">
        <v>14.3</v>
      </c>
      <c r="DB875" s="35">
        <v>44859</v>
      </c>
      <c r="DC875" s="30" t="s">
        <v>293</v>
      </c>
      <c r="DD875" s="29" t="s">
        <v>151</v>
      </c>
      <c r="DE875" s="32">
        <v>-2.09</v>
      </c>
      <c r="DF875" s="34">
        <v>2</v>
      </c>
      <c r="DG875" s="32">
        <v>0</v>
      </c>
      <c r="DH875" s="32">
        <v>0</v>
      </c>
      <c r="DI875" s="32" t="s">
        <v>151</v>
      </c>
      <c r="DJ875" s="34" t="s">
        <v>151</v>
      </c>
      <c r="DK875" s="32" t="s">
        <v>151</v>
      </c>
      <c r="DL875" s="34" t="s">
        <v>151</v>
      </c>
      <c r="DM875" s="32" t="s">
        <v>151</v>
      </c>
      <c r="DN875" s="34" t="s">
        <v>151</v>
      </c>
      <c r="DO875" s="36">
        <v>1.23</v>
      </c>
      <c r="DP875" s="34">
        <v>55</v>
      </c>
      <c r="DQ875" s="36">
        <v>0</v>
      </c>
      <c r="DR875" s="32">
        <v>0</v>
      </c>
      <c r="DS875" s="36" t="s">
        <v>151</v>
      </c>
      <c r="DT875" s="34" t="s">
        <v>151</v>
      </c>
      <c r="DU875" s="36" t="s">
        <v>151</v>
      </c>
      <c r="DV875" s="34" t="s">
        <v>151</v>
      </c>
      <c r="DW875" s="36" t="s">
        <v>151</v>
      </c>
      <c r="DX875" s="34" t="s">
        <v>151</v>
      </c>
      <c r="DY875" s="31" t="s">
        <v>151</v>
      </c>
      <c r="DZ875" s="35" t="s">
        <v>151</v>
      </c>
      <c r="EA875" s="35" t="s">
        <v>151</v>
      </c>
      <c r="EB875" s="34">
        <v>1946</v>
      </c>
      <c r="EC875" s="33">
        <v>1</v>
      </c>
      <c r="ED875" s="32">
        <v>0.05</v>
      </c>
      <c r="EE875" s="34" t="s">
        <v>151</v>
      </c>
      <c r="EF875" s="33" t="s">
        <v>151</v>
      </c>
      <c r="EG875" s="32" t="s">
        <v>151</v>
      </c>
      <c r="EH875" s="29" t="s">
        <v>198</v>
      </c>
      <c r="EI875" s="30" t="s">
        <v>151</v>
      </c>
      <c r="EJ875" s="30" t="s">
        <v>151</v>
      </c>
      <c r="EK875" s="31" t="s">
        <v>151</v>
      </c>
      <c r="EL875" s="31" t="s">
        <v>151</v>
      </c>
      <c r="EM875" s="31" t="s">
        <v>151</v>
      </c>
      <c r="EN875" s="31" t="s">
        <v>151</v>
      </c>
      <c r="EO875" s="31" t="s">
        <v>151</v>
      </c>
      <c r="EP875" s="30" t="s">
        <v>151</v>
      </c>
      <c r="EQ875" s="29" t="s">
        <v>151</v>
      </c>
      <c r="ER875" s="29" t="s">
        <v>151</v>
      </c>
      <c r="ES875" s="4">
        <f>HYPERLINK("https://my.pitchbook.com?c=528872-86","View Company Online")</f>
      </c>
    </row>
    <row r="876">
      <c r="A876" s="17" t="s">
        <v>17772</v>
      </c>
      <c r="B876" s="17" t="s">
        <v>17773</v>
      </c>
      <c r="C876" s="18" t="s">
        <v>151</v>
      </c>
      <c r="D876" s="17" t="s">
        <v>151</v>
      </c>
      <c r="E876" s="17" t="s">
        <v>151</v>
      </c>
      <c r="F876" s="17" t="s">
        <v>17774</v>
      </c>
      <c r="G876" s="17" t="s">
        <v>151</v>
      </c>
      <c r="H876" s="17" t="s">
        <v>151</v>
      </c>
      <c r="I876" s="17" t="s">
        <v>151</v>
      </c>
      <c r="J876" s="17" t="s">
        <v>17772</v>
      </c>
      <c r="K876" s="17" t="s">
        <v>17775</v>
      </c>
      <c r="L876" s="17" t="s">
        <v>205</v>
      </c>
      <c r="M876" s="17" t="s">
        <v>206</v>
      </c>
      <c r="N876" s="17" t="s">
        <v>269</v>
      </c>
      <c r="O876" s="17" t="s">
        <v>1819</v>
      </c>
      <c r="P876" s="17" t="s">
        <v>151</v>
      </c>
      <c r="Q876" s="17" t="s">
        <v>17776</v>
      </c>
      <c r="R876" s="17" t="s">
        <v>211</v>
      </c>
      <c r="S876" s="17" t="s">
        <v>162</v>
      </c>
      <c r="T876" s="24">
        <v>9.5</v>
      </c>
      <c r="U876" s="17" t="s">
        <v>163</v>
      </c>
      <c r="V876" s="17" t="s">
        <v>164</v>
      </c>
      <c r="W876" s="17" t="s">
        <v>165</v>
      </c>
      <c r="X876" s="15" t="s">
        <v>17777</v>
      </c>
      <c r="Y876" s="15" t="s">
        <v>17778</v>
      </c>
      <c r="Z876" s="27">
        <v>26</v>
      </c>
      <c r="AA876" s="17" t="s">
        <v>17779</v>
      </c>
      <c r="AB876" s="17" t="s">
        <v>151</v>
      </c>
      <c r="AC876" s="17" t="s">
        <v>151</v>
      </c>
      <c r="AD876" s="26">
        <v>2022</v>
      </c>
      <c r="AE876" s="17" t="s">
        <v>151</v>
      </c>
      <c r="AF876" s="22">
        <v>45596</v>
      </c>
      <c r="AG876" s="17" t="s">
        <v>151</v>
      </c>
      <c r="AH876" s="17" t="s">
        <v>151</v>
      </c>
      <c r="AI876" s="25" t="s">
        <v>151</v>
      </c>
      <c r="AJ876" s="19" t="s">
        <v>151</v>
      </c>
      <c r="AK876" s="25" t="s">
        <v>151</v>
      </c>
      <c r="AL876" s="25" t="s">
        <v>151</v>
      </c>
      <c r="AM876" s="25" t="s">
        <v>151</v>
      </c>
      <c r="AN876" s="25" t="s">
        <v>151</v>
      </c>
      <c r="AO876" s="25" t="s">
        <v>151</v>
      </c>
      <c r="AP876" s="25" t="s">
        <v>151</v>
      </c>
      <c r="AQ876" s="25" t="s">
        <v>151</v>
      </c>
      <c r="AR876" s="16" t="s">
        <v>151</v>
      </c>
      <c r="AS876" s="17" t="s">
        <v>17780</v>
      </c>
      <c r="AT876" s="17" t="s">
        <v>17781</v>
      </c>
      <c r="AU876" s="18">
        <v>7</v>
      </c>
      <c r="AV876" s="17" t="s">
        <v>151</v>
      </c>
      <c r="AW876" s="17" t="s">
        <v>151</v>
      </c>
      <c r="AX876" s="17" t="s">
        <v>151</v>
      </c>
      <c r="AY876" s="17" t="s">
        <v>17782</v>
      </c>
      <c r="AZ876" s="17" t="s">
        <v>151</v>
      </c>
      <c r="BA876" s="17" t="s">
        <v>151</v>
      </c>
      <c r="BB876" s="17" t="s">
        <v>151</v>
      </c>
      <c r="BC876" s="17" t="s">
        <v>151</v>
      </c>
      <c r="BD876" s="17" t="s">
        <v>17783</v>
      </c>
      <c r="BE876" s="17" t="s">
        <v>17784</v>
      </c>
      <c r="BF876" s="17" t="s">
        <v>403</v>
      </c>
      <c r="BG876" s="17" t="s">
        <v>17785</v>
      </c>
      <c r="BH876" s="17" t="s">
        <v>151</v>
      </c>
      <c r="BI876" s="17" t="s">
        <v>4858</v>
      </c>
      <c r="BJ876" s="17" t="s">
        <v>17786</v>
      </c>
      <c r="BK876" s="17" t="s">
        <v>17787</v>
      </c>
      <c r="BL876" s="17" t="s">
        <v>2957</v>
      </c>
      <c r="BM876" s="17" t="s">
        <v>259</v>
      </c>
      <c r="BN876" s="16" t="s">
        <v>15725</v>
      </c>
      <c r="BO876" s="17" t="s">
        <v>186</v>
      </c>
      <c r="BP876" s="16" t="s">
        <v>151</v>
      </c>
      <c r="BQ876" s="16" t="s">
        <v>151</v>
      </c>
      <c r="BR876" s="17" t="s">
        <v>17788</v>
      </c>
      <c r="BS876" s="17" t="s">
        <v>187</v>
      </c>
      <c r="BT876" s="17" t="s">
        <v>188</v>
      </c>
      <c r="BU876" s="22">
        <v>44943</v>
      </c>
      <c r="BV876" s="24">
        <v>9.5</v>
      </c>
      <c r="BW876" s="17" t="s">
        <v>192</v>
      </c>
      <c r="BX876" s="24">
        <v>53.5</v>
      </c>
      <c r="BY876" s="17" t="s">
        <v>192</v>
      </c>
      <c r="BZ876" s="17" t="s">
        <v>231</v>
      </c>
      <c r="CA876" s="17" t="s">
        <v>232</v>
      </c>
      <c r="CB876" s="17" t="s">
        <v>151</v>
      </c>
      <c r="CC876" s="17" t="s">
        <v>165</v>
      </c>
      <c r="CD876" s="17" t="s">
        <v>151</v>
      </c>
      <c r="CE876" s="17" t="s">
        <v>191</v>
      </c>
      <c r="CF876" s="22" t="s">
        <v>151</v>
      </c>
      <c r="CG876" s="24" t="s">
        <v>151</v>
      </c>
      <c r="CH876" s="17" t="s">
        <v>151</v>
      </c>
      <c r="CI876" s="24" t="s">
        <v>151</v>
      </c>
      <c r="CJ876" s="17" t="s">
        <v>151</v>
      </c>
      <c r="CK876" s="16" t="s">
        <v>151</v>
      </c>
      <c r="CL876" s="17" t="s">
        <v>189</v>
      </c>
      <c r="CM876" s="17" t="s">
        <v>151</v>
      </c>
      <c r="CN876" s="17" t="s">
        <v>151</v>
      </c>
      <c r="CO876" s="17" t="s">
        <v>190</v>
      </c>
      <c r="CP876" s="22" t="s">
        <v>151</v>
      </c>
      <c r="CQ876" s="24" t="s">
        <v>151</v>
      </c>
      <c r="CR876" s="17" t="s">
        <v>151</v>
      </c>
      <c r="CS876" s="17" t="s">
        <v>191</v>
      </c>
      <c r="CT876" s="16" t="s">
        <v>151</v>
      </c>
      <c r="CU876" s="17" t="s">
        <v>151</v>
      </c>
      <c r="CV876" s="19" t="s">
        <v>151</v>
      </c>
      <c r="CW876" s="19" t="s">
        <v>151</v>
      </c>
      <c r="CX876" s="17" t="s">
        <v>151</v>
      </c>
      <c r="CY876" s="19" t="s">
        <v>151</v>
      </c>
      <c r="CZ876" s="19" t="s">
        <v>151</v>
      </c>
      <c r="DA876" s="24">
        <v>53.5</v>
      </c>
      <c r="DB876" s="22">
        <v>44943</v>
      </c>
      <c r="DC876" s="17" t="s">
        <v>231</v>
      </c>
      <c r="DD876" s="16" t="s">
        <v>151</v>
      </c>
      <c r="DE876" s="19">
        <v>0.49</v>
      </c>
      <c r="DF876" s="21">
        <v>94</v>
      </c>
      <c r="DG876" s="19">
        <v>0</v>
      </c>
      <c r="DH876" s="19">
        <v>0</v>
      </c>
      <c r="DI876" s="19">
        <v>-0.03</v>
      </c>
      <c r="DJ876" s="21">
        <v>10</v>
      </c>
      <c r="DK876" s="19">
        <v>0</v>
      </c>
      <c r="DL876" s="21">
        <v>11</v>
      </c>
      <c r="DM876" s="19">
        <v>-0.07</v>
      </c>
      <c r="DN876" s="21">
        <v>10</v>
      </c>
      <c r="DO876" s="23">
        <v>4.21</v>
      </c>
      <c r="DP876" s="21">
        <v>80</v>
      </c>
      <c r="DQ876" s="23">
        <v>0</v>
      </c>
      <c r="DR876" s="19">
        <v>0</v>
      </c>
      <c r="DS876" s="23">
        <v>6.41</v>
      </c>
      <c r="DT876" s="21">
        <v>85</v>
      </c>
      <c r="DU876" s="23">
        <v>3.19</v>
      </c>
      <c r="DV876" s="21">
        <v>77</v>
      </c>
      <c r="DW876" s="23">
        <v>9.63</v>
      </c>
      <c r="DX876" s="21">
        <v>89</v>
      </c>
      <c r="DY876" s="18" t="s">
        <v>151</v>
      </c>
      <c r="DZ876" s="22" t="s">
        <v>151</v>
      </c>
      <c r="EA876" s="22" t="s">
        <v>151</v>
      </c>
      <c r="EB876" s="21">
        <v>629</v>
      </c>
      <c r="EC876" s="20">
        <v>82</v>
      </c>
      <c r="ED876" s="19">
        <v>14.99</v>
      </c>
      <c r="EE876" s="21">
        <v>183</v>
      </c>
      <c r="EF876" s="20">
        <v>0</v>
      </c>
      <c r="EG876" s="19">
        <v>0</v>
      </c>
      <c r="EH876" s="16" t="s">
        <v>198</v>
      </c>
      <c r="EI876" s="17" t="s">
        <v>151</v>
      </c>
      <c r="EJ876" s="17" t="s">
        <v>151</v>
      </c>
      <c r="EK876" s="18" t="s">
        <v>151</v>
      </c>
      <c r="EL876" s="18" t="s">
        <v>151</v>
      </c>
      <c r="EM876" s="18" t="s">
        <v>151</v>
      </c>
      <c r="EN876" s="18" t="s">
        <v>151</v>
      </c>
      <c r="EO876" s="18" t="s">
        <v>151</v>
      </c>
      <c r="EP876" s="17" t="s">
        <v>151</v>
      </c>
      <c r="EQ876" s="16" t="s">
        <v>151</v>
      </c>
      <c r="ER876" s="16" t="s">
        <v>151</v>
      </c>
      <c r="ES876" s="3">
        <f>HYPERLINK("https://my.pitchbook.com?c=518299-93","View Company Online")</f>
      </c>
    </row>
    <row r="877">
      <c r="A877" s="30" t="s">
        <v>17789</v>
      </c>
      <c r="B877" s="30" t="s">
        <v>17790</v>
      </c>
      <c r="C877" s="31" t="s">
        <v>151</v>
      </c>
      <c r="D877" s="30" t="s">
        <v>151</v>
      </c>
      <c r="E877" s="30" t="s">
        <v>151</v>
      </c>
      <c r="F877" s="30" t="s">
        <v>17791</v>
      </c>
      <c r="G877" s="30" t="s">
        <v>151</v>
      </c>
      <c r="H877" s="30" t="s">
        <v>151</v>
      </c>
      <c r="I877" s="30" t="s">
        <v>151</v>
      </c>
      <c r="J877" s="30" t="s">
        <v>17789</v>
      </c>
      <c r="K877" s="30" t="s">
        <v>17792</v>
      </c>
      <c r="L877" s="30" t="s">
        <v>155</v>
      </c>
      <c r="M877" s="30" t="s">
        <v>361</v>
      </c>
      <c r="N877" s="30" t="s">
        <v>3162</v>
      </c>
      <c r="O877" s="30" t="s">
        <v>17793</v>
      </c>
      <c r="P877" s="30" t="s">
        <v>1725</v>
      </c>
      <c r="Q877" s="30" t="s">
        <v>17794</v>
      </c>
      <c r="R877" s="30" t="s">
        <v>151</v>
      </c>
      <c r="S877" s="30" t="s">
        <v>162</v>
      </c>
      <c r="T877" s="37">
        <v>4.07</v>
      </c>
      <c r="U877" s="30" t="s">
        <v>163</v>
      </c>
      <c r="V877" s="30" t="s">
        <v>164</v>
      </c>
      <c r="W877" s="30" t="s">
        <v>165</v>
      </c>
      <c r="X877" s="28" t="s">
        <v>17795</v>
      </c>
      <c r="Y877" s="28" t="s">
        <v>17796</v>
      </c>
      <c r="Z877" s="40">
        <v>48</v>
      </c>
      <c r="AA877" s="30" t="s">
        <v>17797</v>
      </c>
      <c r="AB877" s="30" t="s">
        <v>151</v>
      </c>
      <c r="AC877" s="30" t="s">
        <v>151</v>
      </c>
      <c r="AD877" s="39">
        <v>2020</v>
      </c>
      <c r="AE877" s="30" t="s">
        <v>151</v>
      </c>
      <c r="AF877" s="35">
        <v>45552</v>
      </c>
      <c r="AG877" s="30" t="s">
        <v>151</v>
      </c>
      <c r="AH877" s="30" t="s">
        <v>151</v>
      </c>
      <c r="AI877" s="38" t="s">
        <v>151</v>
      </c>
      <c r="AJ877" s="32" t="s">
        <v>151</v>
      </c>
      <c r="AK877" s="38" t="s">
        <v>151</v>
      </c>
      <c r="AL877" s="38" t="s">
        <v>151</v>
      </c>
      <c r="AM877" s="38" t="s">
        <v>151</v>
      </c>
      <c r="AN877" s="38" t="s">
        <v>151</v>
      </c>
      <c r="AO877" s="38" t="s">
        <v>151</v>
      </c>
      <c r="AP877" s="38" t="s">
        <v>151</v>
      </c>
      <c r="AQ877" s="38" t="s">
        <v>151</v>
      </c>
      <c r="AR877" s="29" t="s">
        <v>151</v>
      </c>
      <c r="AS877" s="30" t="s">
        <v>17798</v>
      </c>
      <c r="AT877" s="30" t="s">
        <v>17799</v>
      </c>
      <c r="AU877" s="31">
        <v>8</v>
      </c>
      <c r="AV877" s="30" t="s">
        <v>151</v>
      </c>
      <c r="AW877" s="30" t="s">
        <v>151</v>
      </c>
      <c r="AX877" s="30" t="s">
        <v>151</v>
      </c>
      <c r="AY877" s="30" t="s">
        <v>17800</v>
      </c>
      <c r="AZ877" s="30" t="s">
        <v>151</v>
      </c>
      <c r="BA877" s="30" t="s">
        <v>151</v>
      </c>
      <c r="BB877" s="30" t="s">
        <v>151</v>
      </c>
      <c r="BC877" s="30" t="s">
        <v>151</v>
      </c>
      <c r="BD877" s="30" t="s">
        <v>17801</v>
      </c>
      <c r="BE877" s="30" t="s">
        <v>17802</v>
      </c>
      <c r="BF877" s="30" t="s">
        <v>11488</v>
      </c>
      <c r="BG877" s="30" t="s">
        <v>151</v>
      </c>
      <c r="BH877" s="30" t="s">
        <v>17803</v>
      </c>
      <c r="BI877" s="30" t="s">
        <v>17804</v>
      </c>
      <c r="BJ877" s="30" t="s">
        <v>17805</v>
      </c>
      <c r="BK877" s="30" t="s">
        <v>151</v>
      </c>
      <c r="BL877" s="30" t="s">
        <v>17806</v>
      </c>
      <c r="BM877" s="30" t="s">
        <v>184</v>
      </c>
      <c r="BN877" s="29" t="s">
        <v>17807</v>
      </c>
      <c r="BO877" s="30" t="s">
        <v>186</v>
      </c>
      <c r="BP877" s="29" t="s">
        <v>17808</v>
      </c>
      <c r="BQ877" s="29" t="s">
        <v>151</v>
      </c>
      <c r="BR877" s="30" t="s">
        <v>17809</v>
      </c>
      <c r="BS877" s="30" t="s">
        <v>187</v>
      </c>
      <c r="BT877" s="30" t="s">
        <v>188</v>
      </c>
      <c r="BU877" s="35">
        <v>44512</v>
      </c>
      <c r="BV877" s="37" t="s">
        <v>151</v>
      </c>
      <c r="BW877" s="30" t="s">
        <v>151</v>
      </c>
      <c r="BX877" s="37" t="s">
        <v>151</v>
      </c>
      <c r="BY877" s="30" t="s">
        <v>151</v>
      </c>
      <c r="BZ877" s="30" t="s">
        <v>189</v>
      </c>
      <c r="CA877" s="30" t="s">
        <v>151</v>
      </c>
      <c r="CB877" s="30" t="s">
        <v>151</v>
      </c>
      <c r="CC877" s="30" t="s">
        <v>190</v>
      </c>
      <c r="CD877" s="30" t="s">
        <v>151</v>
      </c>
      <c r="CE877" s="30" t="s">
        <v>191</v>
      </c>
      <c r="CF877" s="35">
        <v>45544</v>
      </c>
      <c r="CG877" s="37">
        <v>4.07</v>
      </c>
      <c r="CH877" s="30" t="s">
        <v>192</v>
      </c>
      <c r="CI877" s="37" t="s">
        <v>151</v>
      </c>
      <c r="CJ877" s="30" t="s">
        <v>151</v>
      </c>
      <c r="CK877" s="29" t="s">
        <v>151</v>
      </c>
      <c r="CL877" s="30" t="s">
        <v>293</v>
      </c>
      <c r="CM877" s="30" t="s">
        <v>293</v>
      </c>
      <c r="CN877" s="30" t="s">
        <v>151</v>
      </c>
      <c r="CO877" s="30" t="s">
        <v>165</v>
      </c>
      <c r="CP877" s="35">
        <v>45544</v>
      </c>
      <c r="CQ877" s="37" t="s">
        <v>151</v>
      </c>
      <c r="CR877" s="30" t="s">
        <v>151</v>
      </c>
      <c r="CS877" s="30" t="s">
        <v>191</v>
      </c>
      <c r="CT877" s="29" t="s">
        <v>151</v>
      </c>
      <c r="CU877" s="30" t="s">
        <v>151</v>
      </c>
      <c r="CV877" s="32" t="s">
        <v>151</v>
      </c>
      <c r="CW877" s="32" t="s">
        <v>151</v>
      </c>
      <c r="CX877" s="30" t="s">
        <v>151</v>
      </c>
      <c r="CY877" s="32" t="s">
        <v>151</v>
      </c>
      <c r="CZ877" s="32" t="s">
        <v>151</v>
      </c>
      <c r="DA877" s="37" t="s">
        <v>151</v>
      </c>
      <c r="DB877" s="35" t="s">
        <v>151</v>
      </c>
      <c r="DC877" s="30" t="s">
        <v>151</v>
      </c>
      <c r="DD877" s="29" t="s">
        <v>151</v>
      </c>
      <c r="DE877" s="32" t="s">
        <v>151</v>
      </c>
      <c r="DF877" s="34" t="s">
        <v>151</v>
      </c>
      <c r="DG877" s="32" t="s">
        <v>151</v>
      </c>
      <c r="DH877" s="32" t="s">
        <v>151</v>
      </c>
      <c r="DI877" s="32" t="s">
        <v>151</v>
      </c>
      <c r="DJ877" s="34" t="s">
        <v>151</v>
      </c>
      <c r="DK877" s="32" t="s">
        <v>151</v>
      </c>
      <c r="DL877" s="34" t="s">
        <v>151</v>
      </c>
      <c r="DM877" s="32" t="s">
        <v>151</v>
      </c>
      <c r="DN877" s="34" t="s">
        <v>151</v>
      </c>
      <c r="DO877" s="36" t="s">
        <v>151</v>
      </c>
      <c r="DP877" s="34" t="s">
        <v>151</v>
      </c>
      <c r="DQ877" s="36" t="s">
        <v>151</v>
      </c>
      <c r="DR877" s="32" t="s">
        <v>151</v>
      </c>
      <c r="DS877" s="36" t="s">
        <v>151</v>
      </c>
      <c r="DT877" s="34" t="s">
        <v>151</v>
      </c>
      <c r="DU877" s="36" t="s">
        <v>151</v>
      </c>
      <c r="DV877" s="34" t="s">
        <v>151</v>
      </c>
      <c r="DW877" s="36" t="s">
        <v>151</v>
      </c>
      <c r="DX877" s="34" t="s">
        <v>151</v>
      </c>
      <c r="DY877" s="31" t="s">
        <v>151</v>
      </c>
      <c r="DZ877" s="35" t="s">
        <v>151</v>
      </c>
      <c r="EA877" s="35" t="s">
        <v>151</v>
      </c>
      <c r="EB877" s="34" t="s">
        <v>151</v>
      </c>
      <c r="EC877" s="33" t="s">
        <v>151</v>
      </c>
      <c r="ED877" s="32" t="s">
        <v>151</v>
      </c>
      <c r="EE877" s="34" t="s">
        <v>151</v>
      </c>
      <c r="EF877" s="33" t="s">
        <v>151</v>
      </c>
      <c r="EG877" s="32" t="s">
        <v>151</v>
      </c>
      <c r="EH877" s="29" t="s">
        <v>198</v>
      </c>
      <c r="EI877" s="30" t="s">
        <v>151</v>
      </c>
      <c r="EJ877" s="30" t="s">
        <v>151</v>
      </c>
      <c r="EK877" s="31" t="s">
        <v>151</v>
      </c>
      <c r="EL877" s="31" t="s">
        <v>151</v>
      </c>
      <c r="EM877" s="31" t="s">
        <v>151</v>
      </c>
      <c r="EN877" s="31" t="s">
        <v>151</v>
      </c>
      <c r="EO877" s="31" t="s">
        <v>151</v>
      </c>
      <c r="EP877" s="30" t="s">
        <v>151</v>
      </c>
      <c r="EQ877" s="29" t="s">
        <v>151</v>
      </c>
      <c r="ER877" s="29" t="s">
        <v>151</v>
      </c>
      <c r="ES877" s="4">
        <f>HYPERLINK("https://my.pitchbook.com?c=491624-56","View Company Online")</f>
      </c>
    </row>
    <row r="878">
      <c r="A878" s="17" t="s">
        <v>17810</v>
      </c>
      <c r="B878" s="17" t="s">
        <v>17811</v>
      </c>
      <c r="C878" s="18" t="s">
        <v>151</v>
      </c>
      <c r="D878" s="17" t="s">
        <v>151</v>
      </c>
      <c r="E878" s="17" t="s">
        <v>151</v>
      </c>
      <c r="F878" s="17" t="s">
        <v>17812</v>
      </c>
      <c r="G878" s="17" t="s">
        <v>151</v>
      </c>
      <c r="H878" s="17" t="s">
        <v>151</v>
      </c>
      <c r="I878" s="17" t="s">
        <v>151</v>
      </c>
      <c r="J878" s="17" t="s">
        <v>17810</v>
      </c>
      <c r="K878" s="17" t="s">
        <v>17813</v>
      </c>
      <c r="L878" s="17" t="s">
        <v>616</v>
      </c>
      <c r="M878" s="17" t="s">
        <v>834</v>
      </c>
      <c r="N878" s="17" t="s">
        <v>835</v>
      </c>
      <c r="O878" s="17" t="s">
        <v>17814</v>
      </c>
      <c r="P878" s="17" t="s">
        <v>2922</v>
      </c>
      <c r="Q878" s="17" t="s">
        <v>17815</v>
      </c>
      <c r="R878" s="17" t="s">
        <v>151</v>
      </c>
      <c r="S878" s="17" t="s">
        <v>162</v>
      </c>
      <c r="T878" s="24">
        <v>2.07</v>
      </c>
      <c r="U878" s="17" t="s">
        <v>163</v>
      </c>
      <c r="V878" s="17" t="s">
        <v>164</v>
      </c>
      <c r="W878" s="17" t="s">
        <v>165</v>
      </c>
      <c r="X878" s="15" t="s">
        <v>17816</v>
      </c>
      <c r="Y878" s="15" t="s">
        <v>17817</v>
      </c>
      <c r="Z878" s="27">
        <v>10</v>
      </c>
      <c r="AA878" s="17" t="s">
        <v>17818</v>
      </c>
      <c r="AB878" s="17" t="s">
        <v>151</v>
      </c>
      <c r="AC878" s="17" t="s">
        <v>151</v>
      </c>
      <c r="AD878" s="26">
        <v>2021</v>
      </c>
      <c r="AE878" s="17" t="s">
        <v>151</v>
      </c>
      <c r="AF878" s="22">
        <v>45392</v>
      </c>
      <c r="AG878" s="17" t="s">
        <v>151</v>
      </c>
      <c r="AH878" s="17" t="s">
        <v>151</v>
      </c>
      <c r="AI878" s="25" t="s">
        <v>151</v>
      </c>
      <c r="AJ878" s="19" t="s">
        <v>151</v>
      </c>
      <c r="AK878" s="25" t="s">
        <v>151</v>
      </c>
      <c r="AL878" s="25" t="s">
        <v>151</v>
      </c>
      <c r="AM878" s="25" t="s">
        <v>151</v>
      </c>
      <c r="AN878" s="25" t="s">
        <v>151</v>
      </c>
      <c r="AO878" s="25" t="s">
        <v>151</v>
      </c>
      <c r="AP878" s="25" t="s">
        <v>151</v>
      </c>
      <c r="AQ878" s="25" t="s">
        <v>151</v>
      </c>
      <c r="AR878" s="16" t="s">
        <v>151</v>
      </c>
      <c r="AS878" s="17" t="s">
        <v>17819</v>
      </c>
      <c r="AT878" s="17" t="s">
        <v>17820</v>
      </c>
      <c r="AU878" s="18">
        <v>7</v>
      </c>
      <c r="AV878" s="17" t="s">
        <v>151</v>
      </c>
      <c r="AW878" s="17" t="s">
        <v>151</v>
      </c>
      <c r="AX878" s="17" t="s">
        <v>151</v>
      </c>
      <c r="AY878" s="17" t="s">
        <v>17821</v>
      </c>
      <c r="AZ878" s="17" t="s">
        <v>151</v>
      </c>
      <c r="BA878" s="17" t="s">
        <v>151</v>
      </c>
      <c r="BB878" s="17" t="s">
        <v>151</v>
      </c>
      <c r="BC878" s="17" t="s">
        <v>17822</v>
      </c>
      <c r="BD878" s="17" t="s">
        <v>17823</v>
      </c>
      <c r="BE878" s="17" t="s">
        <v>17824</v>
      </c>
      <c r="BF878" s="17" t="s">
        <v>493</v>
      </c>
      <c r="BG878" s="17" t="s">
        <v>17825</v>
      </c>
      <c r="BH878" s="17" t="s">
        <v>17826</v>
      </c>
      <c r="BI878" s="17" t="s">
        <v>6124</v>
      </c>
      <c r="BJ878" s="17" t="s">
        <v>8930</v>
      </c>
      <c r="BK878" s="17" t="s">
        <v>151</v>
      </c>
      <c r="BL878" s="17" t="s">
        <v>6127</v>
      </c>
      <c r="BM878" s="17" t="s">
        <v>1388</v>
      </c>
      <c r="BN878" s="16" t="s">
        <v>6128</v>
      </c>
      <c r="BO878" s="17" t="s">
        <v>186</v>
      </c>
      <c r="BP878" s="16" t="s">
        <v>17826</v>
      </c>
      <c r="BQ878" s="16" t="s">
        <v>151</v>
      </c>
      <c r="BR878" s="17" t="s">
        <v>17827</v>
      </c>
      <c r="BS878" s="17" t="s">
        <v>187</v>
      </c>
      <c r="BT878" s="17" t="s">
        <v>188</v>
      </c>
      <c r="BU878" s="22">
        <v>44846</v>
      </c>
      <c r="BV878" s="24">
        <v>2.07</v>
      </c>
      <c r="BW878" s="17" t="s">
        <v>192</v>
      </c>
      <c r="BX878" s="24">
        <v>6.07</v>
      </c>
      <c r="BY878" s="17" t="s">
        <v>192</v>
      </c>
      <c r="BZ878" s="17" t="s">
        <v>293</v>
      </c>
      <c r="CA878" s="17" t="s">
        <v>293</v>
      </c>
      <c r="CB878" s="17" t="s">
        <v>151</v>
      </c>
      <c r="CC878" s="17" t="s">
        <v>165</v>
      </c>
      <c r="CD878" s="17" t="s">
        <v>151</v>
      </c>
      <c r="CE878" s="17" t="s">
        <v>191</v>
      </c>
      <c r="CF878" s="22" t="s">
        <v>151</v>
      </c>
      <c r="CG878" s="24" t="s">
        <v>151</v>
      </c>
      <c r="CH878" s="17" t="s">
        <v>151</v>
      </c>
      <c r="CI878" s="24" t="s">
        <v>151</v>
      </c>
      <c r="CJ878" s="17" t="s">
        <v>151</v>
      </c>
      <c r="CK878" s="16" t="s">
        <v>151</v>
      </c>
      <c r="CL878" s="17" t="s">
        <v>189</v>
      </c>
      <c r="CM878" s="17" t="s">
        <v>151</v>
      </c>
      <c r="CN878" s="17" t="s">
        <v>151</v>
      </c>
      <c r="CO878" s="17" t="s">
        <v>190</v>
      </c>
      <c r="CP878" s="22" t="s">
        <v>151</v>
      </c>
      <c r="CQ878" s="24" t="s">
        <v>151</v>
      </c>
      <c r="CR878" s="17" t="s">
        <v>151</v>
      </c>
      <c r="CS878" s="17" t="s">
        <v>191</v>
      </c>
      <c r="CT878" s="16" t="s">
        <v>151</v>
      </c>
      <c r="CU878" s="17" t="s">
        <v>151</v>
      </c>
      <c r="CV878" s="19" t="s">
        <v>151</v>
      </c>
      <c r="CW878" s="19" t="s">
        <v>151</v>
      </c>
      <c r="CX878" s="17" t="s">
        <v>151</v>
      </c>
      <c r="CY878" s="19" t="s">
        <v>151</v>
      </c>
      <c r="CZ878" s="19" t="s">
        <v>151</v>
      </c>
      <c r="DA878" s="24">
        <v>6.07</v>
      </c>
      <c r="DB878" s="22">
        <v>44846</v>
      </c>
      <c r="DC878" s="17" t="s">
        <v>293</v>
      </c>
      <c r="DD878" s="16" t="s">
        <v>151</v>
      </c>
      <c r="DE878" s="19" t="s">
        <v>151</v>
      </c>
      <c r="DF878" s="21" t="s">
        <v>151</v>
      </c>
      <c r="DG878" s="19" t="s">
        <v>151</v>
      </c>
      <c r="DH878" s="19" t="s">
        <v>151</v>
      </c>
      <c r="DI878" s="19" t="s">
        <v>151</v>
      </c>
      <c r="DJ878" s="21" t="s">
        <v>151</v>
      </c>
      <c r="DK878" s="19" t="s">
        <v>151</v>
      </c>
      <c r="DL878" s="21" t="s">
        <v>151</v>
      </c>
      <c r="DM878" s="19" t="s">
        <v>151</v>
      </c>
      <c r="DN878" s="21" t="s">
        <v>151</v>
      </c>
      <c r="DO878" s="23" t="s">
        <v>151</v>
      </c>
      <c r="DP878" s="21" t="s">
        <v>151</v>
      </c>
      <c r="DQ878" s="23" t="s">
        <v>151</v>
      </c>
      <c r="DR878" s="19" t="s">
        <v>151</v>
      </c>
      <c r="DS878" s="23" t="s">
        <v>151</v>
      </c>
      <c r="DT878" s="21" t="s">
        <v>151</v>
      </c>
      <c r="DU878" s="23" t="s">
        <v>151</v>
      </c>
      <c r="DV878" s="21" t="s">
        <v>151</v>
      </c>
      <c r="DW878" s="23" t="s">
        <v>151</v>
      </c>
      <c r="DX878" s="21" t="s">
        <v>151</v>
      </c>
      <c r="DY878" s="18" t="s">
        <v>151</v>
      </c>
      <c r="DZ878" s="22" t="s">
        <v>151</v>
      </c>
      <c r="EA878" s="22" t="s">
        <v>151</v>
      </c>
      <c r="EB878" s="21" t="s">
        <v>151</v>
      </c>
      <c r="EC878" s="20" t="s">
        <v>151</v>
      </c>
      <c r="ED878" s="19" t="s">
        <v>151</v>
      </c>
      <c r="EE878" s="21" t="s">
        <v>151</v>
      </c>
      <c r="EF878" s="20" t="s">
        <v>151</v>
      </c>
      <c r="EG878" s="19" t="s">
        <v>151</v>
      </c>
      <c r="EH878" s="16" t="s">
        <v>198</v>
      </c>
      <c r="EI878" s="17" t="s">
        <v>151</v>
      </c>
      <c r="EJ878" s="17" t="s">
        <v>151</v>
      </c>
      <c r="EK878" s="18" t="s">
        <v>151</v>
      </c>
      <c r="EL878" s="18" t="s">
        <v>151</v>
      </c>
      <c r="EM878" s="18" t="s">
        <v>151</v>
      </c>
      <c r="EN878" s="18" t="s">
        <v>151</v>
      </c>
      <c r="EO878" s="18" t="s">
        <v>151</v>
      </c>
      <c r="EP878" s="17" t="s">
        <v>151</v>
      </c>
      <c r="EQ878" s="16" t="s">
        <v>151</v>
      </c>
      <c r="ER878" s="16" t="s">
        <v>151</v>
      </c>
      <c r="ES878" s="3">
        <f>HYPERLINK("https://my.pitchbook.com?c=493366-24","View Company Online")</f>
      </c>
    </row>
    <row r="879">
      <c r="A879" s="30" t="s">
        <v>17828</v>
      </c>
      <c r="B879" s="30" t="s">
        <v>17829</v>
      </c>
      <c r="C879" s="31" t="s">
        <v>151</v>
      </c>
      <c r="D879" s="30" t="s">
        <v>151</v>
      </c>
      <c r="E879" s="30" t="s">
        <v>17830</v>
      </c>
      <c r="F879" s="30" t="s">
        <v>17831</v>
      </c>
      <c r="G879" s="30" t="s">
        <v>151</v>
      </c>
      <c r="H879" s="30" t="s">
        <v>151</v>
      </c>
      <c r="I879" s="30" t="s">
        <v>151</v>
      </c>
      <c r="J879" s="30" t="s">
        <v>17828</v>
      </c>
      <c r="K879" s="30" t="s">
        <v>17832</v>
      </c>
      <c r="L879" s="30" t="s">
        <v>205</v>
      </c>
      <c r="M879" s="30" t="s">
        <v>206</v>
      </c>
      <c r="N879" s="30" t="s">
        <v>207</v>
      </c>
      <c r="O879" s="30" t="s">
        <v>17833</v>
      </c>
      <c r="P879" s="30" t="s">
        <v>17834</v>
      </c>
      <c r="Q879" s="30" t="s">
        <v>17835</v>
      </c>
      <c r="R879" s="30" t="s">
        <v>151</v>
      </c>
      <c r="S879" s="30" t="s">
        <v>162</v>
      </c>
      <c r="T879" s="37">
        <v>6.28</v>
      </c>
      <c r="U879" s="30" t="s">
        <v>163</v>
      </c>
      <c r="V879" s="30" t="s">
        <v>164</v>
      </c>
      <c r="W879" s="30" t="s">
        <v>165</v>
      </c>
      <c r="X879" s="28" t="s">
        <v>17836</v>
      </c>
      <c r="Y879" s="28" t="s">
        <v>17837</v>
      </c>
      <c r="Z879" s="40">
        <v>9</v>
      </c>
      <c r="AA879" s="30" t="s">
        <v>17838</v>
      </c>
      <c r="AB879" s="30" t="s">
        <v>151</v>
      </c>
      <c r="AC879" s="30" t="s">
        <v>151</v>
      </c>
      <c r="AD879" s="39">
        <v>2019</v>
      </c>
      <c r="AE879" s="30" t="s">
        <v>151</v>
      </c>
      <c r="AF879" s="35">
        <v>45548</v>
      </c>
      <c r="AG879" s="30" t="s">
        <v>151</v>
      </c>
      <c r="AH879" s="30" t="s">
        <v>151</v>
      </c>
      <c r="AI879" s="38" t="s">
        <v>151</v>
      </c>
      <c r="AJ879" s="32" t="s">
        <v>151</v>
      </c>
      <c r="AK879" s="38" t="s">
        <v>151</v>
      </c>
      <c r="AL879" s="38" t="s">
        <v>151</v>
      </c>
      <c r="AM879" s="38" t="s">
        <v>151</v>
      </c>
      <c r="AN879" s="38" t="s">
        <v>151</v>
      </c>
      <c r="AO879" s="38" t="s">
        <v>151</v>
      </c>
      <c r="AP879" s="38" t="s">
        <v>151</v>
      </c>
      <c r="AQ879" s="38" t="s">
        <v>151</v>
      </c>
      <c r="AR879" s="29" t="s">
        <v>151</v>
      </c>
      <c r="AS879" s="30" t="s">
        <v>17839</v>
      </c>
      <c r="AT879" s="30" t="s">
        <v>17840</v>
      </c>
      <c r="AU879" s="31">
        <v>10</v>
      </c>
      <c r="AV879" s="30" t="s">
        <v>151</v>
      </c>
      <c r="AW879" s="30" t="s">
        <v>151</v>
      </c>
      <c r="AX879" s="30" t="s">
        <v>151</v>
      </c>
      <c r="AY879" s="30" t="s">
        <v>17841</v>
      </c>
      <c r="AZ879" s="30" t="s">
        <v>151</v>
      </c>
      <c r="BA879" s="30" t="s">
        <v>151</v>
      </c>
      <c r="BB879" s="30" t="s">
        <v>17842</v>
      </c>
      <c r="BC879" s="30" t="s">
        <v>151</v>
      </c>
      <c r="BD879" s="30" t="s">
        <v>17843</v>
      </c>
      <c r="BE879" s="30" t="s">
        <v>17844</v>
      </c>
      <c r="BF879" s="30" t="s">
        <v>493</v>
      </c>
      <c r="BG879" s="30" t="s">
        <v>151</v>
      </c>
      <c r="BH879" s="30" t="s">
        <v>17845</v>
      </c>
      <c r="BI879" s="30" t="s">
        <v>8173</v>
      </c>
      <c r="BJ879" s="30" t="s">
        <v>17846</v>
      </c>
      <c r="BK879" s="30" t="s">
        <v>151</v>
      </c>
      <c r="BL879" s="30" t="s">
        <v>8175</v>
      </c>
      <c r="BM879" s="30" t="s">
        <v>184</v>
      </c>
      <c r="BN879" s="29" t="s">
        <v>8176</v>
      </c>
      <c r="BO879" s="30" t="s">
        <v>186</v>
      </c>
      <c r="BP879" s="29" t="s">
        <v>17845</v>
      </c>
      <c r="BQ879" s="29" t="s">
        <v>151</v>
      </c>
      <c r="BR879" s="30" t="s">
        <v>151</v>
      </c>
      <c r="BS879" s="30" t="s">
        <v>187</v>
      </c>
      <c r="BT879" s="30" t="s">
        <v>188</v>
      </c>
      <c r="BU879" s="35">
        <v>43775</v>
      </c>
      <c r="BV879" s="37">
        <v>0.3</v>
      </c>
      <c r="BW879" s="30" t="s">
        <v>192</v>
      </c>
      <c r="BX879" s="37" t="s">
        <v>151</v>
      </c>
      <c r="BY879" s="30" t="s">
        <v>151</v>
      </c>
      <c r="BZ879" s="30" t="s">
        <v>501</v>
      </c>
      <c r="CA879" s="30" t="s">
        <v>151</v>
      </c>
      <c r="CB879" s="30" t="s">
        <v>151</v>
      </c>
      <c r="CC879" s="30" t="s">
        <v>190</v>
      </c>
      <c r="CD879" s="30" t="s">
        <v>151</v>
      </c>
      <c r="CE879" s="30" t="s">
        <v>191</v>
      </c>
      <c r="CF879" s="35">
        <v>45169</v>
      </c>
      <c r="CG879" s="37">
        <v>6.28</v>
      </c>
      <c r="CH879" s="30" t="s">
        <v>192</v>
      </c>
      <c r="CI879" s="37">
        <v>16</v>
      </c>
      <c r="CJ879" s="30" t="s">
        <v>192</v>
      </c>
      <c r="CK879" s="29" t="s">
        <v>151</v>
      </c>
      <c r="CL879" s="30" t="s">
        <v>293</v>
      </c>
      <c r="CM879" s="30" t="s">
        <v>293</v>
      </c>
      <c r="CN879" s="30" t="s">
        <v>151</v>
      </c>
      <c r="CO879" s="30" t="s">
        <v>165</v>
      </c>
      <c r="CP879" s="35">
        <v>45169</v>
      </c>
      <c r="CQ879" s="37" t="s">
        <v>151</v>
      </c>
      <c r="CR879" s="30" t="s">
        <v>151</v>
      </c>
      <c r="CS879" s="30" t="s">
        <v>191</v>
      </c>
      <c r="CT879" s="29" t="s">
        <v>151</v>
      </c>
      <c r="CU879" s="30" t="s">
        <v>151</v>
      </c>
      <c r="CV879" s="32" t="s">
        <v>151</v>
      </c>
      <c r="CW879" s="32" t="s">
        <v>151</v>
      </c>
      <c r="CX879" s="30" t="s">
        <v>151</v>
      </c>
      <c r="CY879" s="32" t="s">
        <v>151</v>
      </c>
      <c r="CZ879" s="32" t="s">
        <v>151</v>
      </c>
      <c r="DA879" s="37">
        <v>16</v>
      </c>
      <c r="DB879" s="35">
        <v>45169</v>
      </c>
      <c r="DC879" s="30" t="s">
        <v>293</v>
      </c>
      <c r="DD879" s="29" t="s">
        <v>151</v>
      </c>
      <c r="DE879" s="32">
        <v>0</v>
      </c>
      <c r="DF879" s="34">
        <v>11</v>
      </c>
      <c r="DG879" s="32">
        <v>0</v>
      </c>
      <c r="DH879" s="32">
        <v>0</v>
      </c>
      <c r="DI879" s="32">
        <v>0</v>
      </c>
      <c r="DJ879" s="34">
        <v>10</v>
      </c>
      <c r="DK879" s="32" t="s">
        <v>151</v>
      </c>
      <c r="DL879" s="34" t="s">
        <v>151</v>
      </c>
      <c r="DM879" s="32">
        <v>0</v>
      </c>
      <c r="DN879" s="34">
        <v>10</v>
      </c>
      <c r="DO879" s="36">
        <v>4.42</v>
      </c>
      <c r="DP879" s="34">
        <v>81</v>
      </c>
      <c r="DQ879" s="36">
        <v>0</v>
      </c>
      <c r="DR879" s="32">
        <v>0</v>
      </c>
      <c r="DS879" s="36">
        <v>4.42</v>
      </c>
      <c r="DT879" s="34">
        <v>80</v>
      </c>
      <c r="DU879" s="36" t="s">
        <v>151</v>
      </c>
      <c r="DV879" s="34" t="s">
        <v>151</v>
      </c>
      <c r="DW879" s="36">
        <v>4.42</v>
      </c>
      <c r="DX879" s="34">
        <v>80</v>
      </c>
      <c r="DY879" s="31" t="s">
        <v>151</v>
      </c>
      <c r="DZ879" s="35" t="s">
        <v>151</v>
      </c>
      <c r="EA879" s="35" t="s">
        <v>151</v>
      </c>
      <c r="EB879" s="34">
        <v>710</v>
      </c>
      <c r="EC879" s="33">
        <v>-32</v>
      </c>
      <c r="ED879" s="32">
        <v>-4.31</v>
      </c>
      <c r="EE879" s="34">
        <v>84</v>
      </c>
      <c r="EF879" s="33">
        <v>0</v>
      </c>
      <c r="EG879" s="32">
        <v>0</v>
      </c>
      <c r="EH879" s="29" t="s">
        <v>198</v>
      </c>
      <c r="EI879" s="30" t="s">
        <v>151</v>
      </c>
      <c r="EJ879" s="30" t="s">
        <v>151</v>
      </c>
      <c r="EK879" s="31" t="s">
        <v>151</v>
      </c>
      <c r="EL879" s="31" t="s">
        <v>151</v>
      </c>
      <c r="EM879" s="31" t="s">
        <v>151</v>
      </c>
      <c r="EN879" s="31" t="s">
        <v>151</v>
      </c>
      <c r="EO879" s="31" t="s">
        <v>151</v>
      </c>
      <c r="EP879" s="30" t="s">
        <v>151</v>
      </c>
      <c r="EQ879" s="29" t="s">
        <v>151</v>
      </c>
      <c r="ER879" s="29" t="s">
        <v>151</v>
      </c>
      <c r="ES879" s="4">
        <f>HYPERLINK("https://my.pitchbook.com?c=471621-25","View Company Online")</f>
      </c>
    </row>
    <row r="880">
      <c r="A880" s="17" t="s">
        <v>17847</v>
      </c>
      <c r="B880" s="17" t="s">
        <v>17848</v>
      </c>
      <c r="C880" s="18" t="s">
        <v>151</v>
      </c>
      <c r="D880" s="17" t="s">
        <v>151</v>
      </c>
      <c r="E880" s="17" t="s">
        <v>151</v>
      </c>
      <c r="F880" s="17" t="s">
        <v>17849</v>
      </c>
      <c r="G880" s="17" t="s">
        <v>151</v>
      </c>
      <c r="H880" s="17" t="s">
        <v>151</v>
      </c>
      <c r="I880" s="17" t="s">
        <v>17850</v>
      </c>
      <c r="J880" s="17" t="s">
        <v>17847</v>
      </c>
      <c r="K880" s="17" t="s">
        <v>17851</v>
      </c>
      <c r="L880" s="17" t="s">
        <v>1178</v>
      </c>
      <c r="M880" s="17" t="s">
        <v>1179</v>
      </c>
      <c r="N880" s="17" t="s">
        <v>1179</v>
      </c>
      <c r="O880" s="17" t="s">
        <v>1180</v>
      </c>
      <c r="P880" s="17" t="s">
        <v>2130</v>
      </c>
      <c r="Q880" s="17" t="s">
        <v>17852</v>
      </c>
      <c r="R880" s="17" t="s">
        <v>151</v>
      </c>
      <c r="S880" s="17" t="s">
        <v>162</v>
      </c>
      <c r="T880" s="24">
        <v>60</v>
      </c>
      <c r="U880" s="17" t="s">
        <v>163</v>
      </c>
      <c r="V880" s="17" t="s">
        <v>164</v>
      </c>
      <c r="W880" s="17" t="s">
        <v>165</v>
      </c>
      <c r="X880" s="15" t="s">
        <v>17853</v>
      </c>
      <c r="Y880" s="15" t="s">
        <v>17854</v>
      </c>
      <c r="Z880" s="27">
        <v>23</v>
      </c>
      <c r="AA880" s="17" t="s">
        <v>17855</v>
      </c>
      <c r="AB880" s="17" t="s">
        <v>151</v>
      </c>
      <c r="AC880" s="17" t="s">
        <v>151</v>
      </c>
      <c r="AD880" s="26">
        <v>2021</v>
      </c>
      <c r="AE880" s="17" t="s">
        <v>151</v>
      </c>
      <c r="AF880" s="22">
        <v>45544</v>
      </c>
      <c r="AG880" s="17" t="s">
        <v>151</v>
      </c>
      <c r="AH880" s="17" t="s">
        <v>151</v>
      </c>
      <c r="AI880" s="25" t="s">
        <v>151</v>
      </c>
      <c r="AJ880" s="19" t="s">
        <v>151</v>
      </c>
      <c r="AK880" s="25" t="s">
        <v>151</v>
      </c>
      <c r="AL880" s="25" t="s">
        <v>151</v>
      </c>
      <c r="AM880" s="25" t="s">
        <v>151</v>
      </c>
      <c r="AN880" s="25" t="s">
        <v>151</v>
      </c>
      <c r="AO880" s="25" t="s">
        <v>151</v>
      </c>
      <c r="AP880" s="25" t="s">
        <v>151</v>
      </c>
      <c r="AQ880" s="25" t="s">
        <v>151</v>
      </c>
      <c r="AR880" s="16" t="s">
        <v>151</v>
      </c>
      <c r="AS880" s="17" t="s">
        <v>17856</v>
      </c>
      <c r="AT880" s="17" t="s">
        <v>17857</v>
      </c>
      <c r="AU880" s="18">
        <v>7</v>
      </c>
      <c r="AV880" s="17" t="s">
        <v>151</v>
      </c>
      <c r="AW880" s="17" t="s">
        <v>151</v>
      </c>
      <c r="AX880" s="17" t="s">
        <v>151</v>
      </c>
      <c r="AY880" s="17" t="s">
        <v>17858</v>
      </c>
      <c r="AZ880" s="17" t="s">
        <v>151</v>
      </c>
      <c r="BA880" s="17" t="s">
        <v>151</v>
      </c>
      <c r="BB880" s="17" t="s">
        <v>151</v>
      </c>
      <c r="BC880" s="17" t="s">
        <v>17859</v>
      </c>
      <c r="BD880" s="17" t="s">
        <v>17860</v>
      </c>
      <c r="BE880" s="17" t="s">
        <v>17861</v>
      </c>
      <c r="BF880" s="17" t="s">
        <v>17862</v>
      </c>
      <c r="BG880" s="17" t="s">
        <v>17863</v>
      </c>
      <c r="BH880" s="17" t="s">
        <v>17864</v>
      </c>
      <c r="BI880" s="17" t="s">
        <v>578</v>
      </c>
      <c r="BJ880" s="17" t="s">
        <v>151</v>
      </c>
      <c r="BK880" s="17" t="s">
        <v>151</v>
      </c>
      <c r="BL880" s="17" t="s">
        <v>581</v>
      </c>
      <c r="BM880" s="17" t="s">
        <v>582</v>
      </c>
      <c r="BN880" s="16" t="s">
        <v>151</v>
      </c>
      <c r="BO880" s="17" t="s">
        <v>186</v>
      </c>
      <c r="BP880" s="16" t="s">
        <v>17864</v>
      </c>
      <c r="BQ880" s="16" t="s">
        <v>151</v>
      </c>
      <c r="BR880" s="17" t="s">
        <v>17865</v>
      </c>
      <c r="BS880" s="17" t="s">
        <v>187</v>
      </c>
      <c r="BT880" s="17" t="s">
        <v>188</v>
      </c>
      <c r="BU880" s="22">
        <v>44713</v>
      </c>
      <c r="BV880" s="24">
        <v>60</v>
      </c>
      <c r="BW880" s="17" t="s">
        <v>192</v>
      </c>
      <c r="BX880" s="24" t="s">
        <v>151</v>
      </c>
      <c r="BY880" s="17" t="s">
        <v>151</v>
      </c>
      <c r="BZ880" s="17" t="s">
        <v>293</v>
      </c>
      <c r="CA880" s="17" t="s">
        <v>293</v>
      </c>
      <c r="CB880" s="17" t="s">
        <v>151</v>
      </c>
      <c r="CC880" s="17" t="s">
        <v>165</v>
      </c>
      <c r="CD880" s="17" t="s">
        <v>17866</v>
      </c>
      <c r="CE880" s="17" t="s">
        <v>191</v>
      </c>
      <c r="CF880" s="22">
        <v>44713</v>
      </c>
      <c r="CG880" s="24">
        <v>60</v>
      </c>
      <c r="CH880" s="17" t="s">
        <v>192</v>
      </c>
      <c r="CI880" s="24" t="s">
        <v>151</v>
      </c>
      <c r="CJ880" s="17" t="s">
        <v>151</v>
      </c>
      <c r="CK880" s="16" t="s">
        <v>151</v>
      </c>
      <c r="CL880" s="17" t="s">
        <v>293</v>
      </c>
      <c r="CM880" s="17" t="s">
        <v>293</v>
      </c>
      <c r="CN880" s="17" t="s">
        <v>151</v>
      </c>
      <c r="CO880" s="17" t="s">
        <v>165</v>
      </c>
      <c r="CP880" s="22">
        <v>44713</v>
      </c>
      <c r="CQ880" s="24">
        <v>50</v>
      </c>
      <c r="CR880" s="17" t="s">
        <v>17866</v>
      </c>
      <c r="CS880" s="17" t="s">
        <v>191</v>
      </c>
      <c r="CT880" s="16" t="s">
        <v>151</v>
      </c>
      <c r="CU880" s="17" t="s">
        <v>151</v>
      </c>
      <c r="CV880" s="19" t="s">
        <v>151</v>
      </c>
      <c r="CW880" s="19" t="s">
        <v>151</v>
      </c>
      <c r="CX880" s="17" t="s">
        <v>151</v>
      </c>
      <c r="CY880" s="19" t="s">
        <v>151</v>
      </c>
      <c r="CZ880" s="19" t="s">
        <v>151</v>
      </c>
      <c r="DA880" s="24" t="s">
        <v>151</v>
      </c>
      <c r="DB880" s="22" t="s">
        <v>151</v>
      </c>
      <c r="DC880" s="17" t="s">
        <v>151</v>
      </c>
      <c r="DD880" s="16" t="s">
        <v>151</v>
      </c>
      <c r="DE880" s="19">
        <v>-1.02</v>
      </c>
      <c r="DF880" s="21">
        <v>4</v>
      </c>
      <c r="DG880" s="19">
        <v>0</v>
      </c>
      <c r="DH880" s="19">
        <v>0</v>
      </c>
      <c r="DI880" s="19" t="s">
        <v>151</v>
      </c>
      <c r="DJ880" s="21" t="s">
        <v>151</v>
      </c>
      <c r="DK880" s="19" t="s">
        <v>151</v>
      </c>
      <c r="DL880" s="21" t="s">
        <v>151</v>
      </c>
      <c r="DM880" s="19" t="s">
        <v>151</v>
      </c>
      <c r="DN880" s="21" t="s">
        <v>151</v>
      </c>
      <c r="DO880" s="23">
        <v>1.77</v>
      </c>
      <c r="DP880" s="21">
        <v>63</v>
      </c>
      <c r="DQ880" s="23">
        <v>0</v>
      </c>
      <c r="DR880" s="19">
        <v>0</v>
      </c>
      <c r="DS880" s="23" t="s">
        <v>151</v>
      </c>
      <c r="DT880" s="21" t="s">
        <v>151</v>
      </c>
      <c r="DU880" s="23" t="s">
        <v>151</v>
      </c>
      <c r="DV880" s="21" t="s">
        <v>151</v>
      </c>
      <c r="DW880" s="23" t="s">
        <v>151</v>
      </c>
      <c r="DX880" s="21" t="s">
        <v>151</v>
      </c>
      <c r="DY880" s="18">
        <v>2</v>
      </c>
      <c r="DZ880" s="22">
        <v>44798</v>
      </c>
      <c r="EA880" s="22" t="s">
        <v>151</v>
      </c>
      <c r="EB880" s="21">
        <v>3307</v>
      </c>
      <c r="EC880" s="20">
        <v>-230</v>
      </c>
      <c r="ED880" s="19">
        <v>-6.5</v>
      </c>
      <c r="EE880" s="21" t="s">
        <v>151</v>
      </c>
      <c r="EF880" s="20" t="s">
        <v>151</v>
      </c>
      <c r="EG880" s="19" t="s">
        <v>151</v>
      </c>
      <c r="EH880" s="16" t="s">
        <v>198</v>
      </c>
      <c r="EI880" s="17" t="s">
        <v>151</v>
      </c>
      <c r="EJ880" s="17" t="s">
        <v>151</v>
      </c>
      <c r="EK880" s="18" t="s">
        <v>151</v>
      </c>
      <c r="EL880" s="18" t="s">
        <v>151</v>
      </c>
      <c r="EM880" s="18" t="s">
        <v>151</v>
      </c>
      <c r="EN880" s="18" t="s">
        <v>151</v>
      </c>
      <c r="EO880" s="18" t="s">
        <v>151</v>
      </c>
      <c r="EP880" s="17" t="s">
        <v>151</v>
      </c>
      <c r="EQ880" s="16" t="s">
        <v>151</v>
      </c>
      <c r="ER880" s="16" t="s">
        <v>151</v>
      </c>
      <c r="ES880" s="3">
        <f>HYPERLINK("https://my.pitchbook.com?c=491652-46","View Company Online")</f>
      </c>
    </row>
    <row r="881">
      <c r="A881" s="30" t="s">
        <v>17867</v>
      </c>
      <c r="B881" s="30" t="s">
        <v>17868</v>
      </c>
      <c r="C881" s="31" t="s">
        <v>151</v>
      </c>
      <c r="D881" s="30" t="s">
        <v>151</v>
      </c>
      <c r="E881" s="30" t="s">
        <v>151</v>
      </c>
      <c r="F881" s="30" t="s">
        <v>17869</v>
      </c>
      <c r="G881" s="30" t="s">
        <v>151</v>
      </c>
      <c r="H881" s="30" t="s">
        <v>151</v>
      </c>
      <c r="I881" s="30" t="s">
        <v>17870</v>
      </c>
      <c r="J881" s="30" t="s">
        <v>17867</v>
      </c>
      <c r="K881" s="30" t="s">
        <v>17871</v>
      </c>
      <c r="L881" s="30" t="s">
        <v>205</v>
      </c>
      <c r="M881" s="30" t="s">
        <v>206</v>
      </c>
      <c r="N881" s="30" t="s">
        <v>1268</v>
      </c>
      <c r="O881" s="30" t="s">
        <v>2129</v>
      </c>
      <c r="P881" s="30" t="s">
        <v>17872</v>
      </c>
      <c r="Q881" s="30" t="s">
        <v>17873</v>
      </c>
      <c r="R881" s="30" t="s">
        <v>151</v>
      </c>
      <c r="S881" s="30" t="s">
        <v>162</v>
      </c>
      <c r="T881" s="37">
        <v>4.33</v>
      </c>
      <c r="U881" s="30" t="s">
        <v>163</v>
      </c>
      <c r="V881" s="30" t="s">
        <v>164</v>
      </c>
      <c r="W881" s="30" t="s">
        <v>165</v>
      </c>
      <c r="X881" s="28" t="s">
        <v>17874</v>
      </c>
      <c r="Y881" s="28" t="s">
        <v>17875</v>
      </c>
      <c r="Z881" s="40">
        <v>13</v>
      </c>
      <c r="AA881" s="30" t="s">
        <v>17876</v>
      </c>
      <c r="AB881" s="30" t="s">
        <v>151</v>
      </c>
      <c r="AC881" s="30" t="s">
        <v>151</v>
      </c>
      <c r="AD881" s="39">
        <v>2020</v>
      </c>
      <c r="AE881" s="30" t="s">
        <v>151</v>
      </c>
      <c r="AF881" s="35">
        <v>45512</v>
      </c>
      <c r="AG881" s="30" t="s">
        <v>151</v>
      </c>
      <c r="AH881" s="30" t="s">
        <v>151</v>
      </c>
      <c r="AI881" s="38" t="s">
        <v>151</v>
      </c>
      <c r="AJ881" s="32" t="s">
        <v>151</v>
      </c>
      <c r="AK881" s="38" t="s">
        <v>151</v>
      </c>
      <c r="AL881" s="38" t="s">
        <v>151</v>
      </c>
      <c r="AM881" s="38" t="s">
        <v>151</v>
      </c>
      <c r="AN881" s="38" t="s">
        <v>151</v>
      </c>
      <c r="AO881" s="38" t="s">
        <v>151</v>
      </c>
      <c r="AP881" s="38" t="s">
        <v>151</v>
      </c>
      <c r="AQ881" s="38" t="s">
        <v>151</v>
      </c>
      <c r="AR881" s="29" t="s">
        <v>151</v>
      </c>
      <c r="AS881" s="30" t="s">
        <v>17877</v>
      </c>
      <c r="AT881" s="30" t="s">
        <v>17878</v>
      </c>
      <c r="AU881" s="31">
        <v>11</v>
      </c>
      <c r="AV881" s="30" t="s">
        <v>151</v>
      </c>
      <c r="AW881" s="30" t="s">
        <v>151</v>
      </c>
      <c r="AX881" s="30" t="s">
        <v>151</v>
      </c>
      <c r="AY881" s="30" t="s">
        <v>17879</v>
      </c>
      <c r="AZ881" s="30" t="s">
        <v>151</v>
      </c>
      <c r="BA881" s="30" t="s">
        <v>151</v>
      </c>
      <c r="BB881" s="30" t="s">
        <v>151</v>
      </c>
      <c r="BC881" s="30" t="s">
        <v>151</v>
      </c>
      <c r="BD881" s="30" t="s">
        <v>17880</v>
      </c>
      <c r="BE881" s="30" t="s">
        <v>17881</v>
      </c>
      <c r="BF881" s="30" t="s">
        <v>403</v>
      </c>
      <c r="BG881" s="30" t="s">
        <v>17882</v>
      </c>
      <c r="BH881" s="30" t="s">
        <v>17883</v>
      </c>
      <c r="BI881" s="30" t="s">
        <v>17884</v>
      </c>
      <c r="BJ881" s="30" t="s">
        <v>17885</v>
      </c>
      <c r="BK881" s="30" t="s">
        <v>151</v>
      </c>
      <c r="BL881" s="30" t="s">
        <v>17886</v>
      </c>
      <c r="BM881" s="30" t="s">
        <v>10137</v>
      </c>
      <c r="BN881" s="29" t="s">
        <v>17887</v>
      </c>
      <c r="BO881" s="30" t="s">
        <v>186</v>
      </c>
      <c r="BP881" s="29" t="s">
        <v>17883</v>
      </c>
      <c r="BQ881" s="29" t="s">
        <v>151</v>
      </c>
      <c r="BR881" s="30" t="s">
        <v>151</v>
      </c>
      <c r="BS881" s="30" t="s">
        <v>187</v>
      </c>
      <c r="BT881" s="30" t="s">
        <v>188</v>
      </c>
      <c r="BU881" s="35">
        <v>43831</v>
      </c>
      <c r="BV881" s="37">
        <v>0.03</v>
      </c>
      <c r="BW881" s="30" t="s">
        <v>192</v>
      </c>
      <c r="BX881" s="37" t="s">
        <v>151</v>
      </c>
      <c r="BY881" s="30" t="s">
        <v>151</v>
      </c>
      <c r="BZ881" s="30" t="s">
        <v>189</v>
      </c>
      <c r="CA881" s="30" t="s">
        <v>151</v>
      </c>
      <c r="CB881" s="30" t="s">
        <v>151</v>
      </c>
      <c r="CC881" s="30" t="s">
        <v>190</v>
      </c>
      <c r="CD881" s="30" t="s">
        <v>151</v>
      </c>
      <c r="CE881" s="30" t="s">
        <v>191</v>
      </c>
      <c r="CF881" s="35">
        <v>45328</v>
      </c>
      <c r="CG881" s="37" t="s">
        <v>151</v>
      </c>
      <c r="CH881" s="30" t="s">
        <v>151</v>
      </c>
      <c r="CI881" s="37" t="s">
        <v>151</v>
      </c>
      <c r="CJ881" s="30" t="s">
        <v>151</v>
      </c>
      <c r="CK881" s="29" t="s">
        <v>151</v>
      </c>
      <c r="CL881" s="30" t="s">
        <v>293</v>
      </c>
      <c r="CM881" s="30" t="s">
        <v>293</v>
      </c>
      <c r="CN881" s="30" t="s">
        <v>151</v>
      </c>
      <c r="CO881" s="30" t="s">
        <v>165</v>
      </c>
      <c r="CP881" s="35">
        <v>45328</v>
      </c>
      <c r="CQ881" s="37" t="s">
        <v>151</v>
      </c>
      <c r="CR881" s="30" t="s">
        <v>151</v>
      </c>
      <c r="CS881" s="30" t="s">
        <v>859</v>
      </c>
      <c r="CT881" s="29">
        <v>75</v>
      </c>
      <c r="CU881" s="30" t="s">
        <v>196</v>
      </c>
      <c r="CV881" s="32">
        <v>70</v>
      </c>
      <c r="CW881" s="32">
        <v>30</v>
      </c>
      <c r="CX881" s="30" t="s">
        <v>294</v>
      </c>
      <c r="CY881" s="32">
        <v>1</v>
      </c>
      <c r="CZ881" s="32">
        <v>69</v>
      </c>
      <c r="DA881" s="37" t="s">
        <v>151</v>
      </c>
      <c r="DB881" s="35" t="s">
        <v>151</v>
      </c>
      <c r="DC881" s="30" t="s">
        <v>151</v>
      </c>
      <c r="DD881" s="29" t="s">
        <v>151</v>
      </c>
      <c r="DE881" s="32">
        <v>-0.86</v>
      </c>
      <c r="DF881" s="34">
        <v>5</v>
      </c>
      <c r="DG881" s="32">
        <v>0</v>
      </c>
      <c r="DH881" s="32">
        <v>0</v>
      </c>
      <c r="DI881" s="32">
        <v>0</v>
      </c>
      <c r="DJ881" s="34">
        <v>10</v>
      </c>
      <c r="DK881" s="32" t="s">
        <v>151</v>
      </c>
      <c r="DL881" s="34" t="s">
        <v>151</v>
      </c>
      <c r="DM881" s="32">
        <v>0</v>
      </c>
      <c r="DN881" s="34">
        <v>10</v>
      </c>
      <c r="DO881" s="36">
        <v>1.18</v>
      </c>
      <c r="DP881" s="34">
        <v>54</v>
      </c>
      <c r="DQ881" s="36">
        <v>0</v>
      </c>
      <c r="DR881" s="32">
        <v>0</v>
      </c>
      <c r="DS881" s="36">
        <v>1.37</v>
      </c>
      <c r="DT881" s="34">
        <v>57</v>
      </c>
      <c r="DU881" s="36" t="s">
        <v>151</v>
      </c>
      <c r="DV881" s="34" t="s">
        <v>151</v>
      </c>
      <c r="DW881" s="36">
        <v>1.37</v>
      </c>
      <c r="DX881" s="34">
        <v>57</v>
      </c>
      <c r="DY881" s="31" t="s">
        <v>151</v>
      </c>
      <c r="DZ881" s="35" t="s">
        <v>151</v>
      </c>
      <c r="EA881" s="35" t="s">
        <v>151</v>
      </c>
      <c r="EB881" s="34">
        <v>280</v>
      </c>
      <c r="EC881" s="33">
        <v>-96</v>
      </c>
      <c r="ED881" s="32">
        <v>-25.53</v>
      </c>
      <c r="EE881" s="34">
        <v>26</v>
      </c>
      <c r="EF881" s="33">
        <v>0</v>
      </c>
      <c r="EG881" s="32">
        <v>0</v>
      </c>
      <c r="EH881" s="29" t="s">
        <v>198</v>
      </c>
      <c r="EI881" s="30" t="s">
        <v>151</v>
      </c>
      <c r="EJ881" s="30" t="s">
        <v>151</v>
      </c>
      <c r="EK881" s="31" t="s">
        <v>151</v>
      </c>
      <c r="EL881" s="31" t="s">
        <v>151</v>
      </c>
      <c r="EM881" s="31" t="s">
        <v>151</v>
      </c>
      <c r="EN881" s="31" t="s">
        <v>151</v>
      </c>
      <c r="EO881" s="31" t="s">
        <v>151</v>
      </c>
      <c r="EP881" s="30" t="s">
        <v>151</v>
      </c>
      <c r="EQ881" s="29" t="s">
        <v>151</v>
      </c>
      <c r="ER881" s="29" t="s">
        <v>151</v>
      </c>
      <c r="ES881" s="4">
        <f>HYPERLINK("https://my.pitchbook.com?c=454464-55","View Company Online")</f>
      </c>
    </row>
    <row r="882">
      <c r="A882" s="17" t="s">
        <v>17888</v>
      </c>
      <c r="B882" s="17" t="s">
        <v>17889</v>
      </c>
      <c r="C882" s="18" t="s">
        <v>151</v>
      </c>
      <c r="D882" s="17" t="s">
        <v>151</v>
      </c>
      <c r="E882" s="17" t="s">
        <v>17890</v>
      </c>
      <c r="F882" s="17" t="s">
        <v>17891</v>
      </c>
      <c r="G882" s="17" t="s">
        <v>151</v>
      </c>
      <c r="H882" s="17" t="s">
        <v>151</v>
      </c>
      <c r="I882" s="17" t="s">
        <v>151</v>
      </c>
      <c r="J882" s="17" t="s">
        <v>17888</v>
      </c>
      <c r="K882" s="17" t="s">
        <v>17892</v>
      </c>
      <c r="L882" s="17" t="s">
        <v>616</v>
      </c>
      <c r="M882" s="17" t="s">
        <v>834</v>
      </c>
      <c r="N882" s="17" t="s">
        <v>7969</v>
      </c>
      <c r="O882" s="17" t="s">
        <v>17893</v>
      </c>
      <c r="P882" s="17" t="s">
        <v>17894</v>
      </c>
      <c r="Q882" s="17" t="s">
        <v>17895</v>
      </c>
      <c r="R882" s="17" t="s">
        <v>151</v>
      </c>
      <c r="S882" s="17" t="s">
        <v>162</v>
      </c>
      <c r="T882" s="24">
        <v>4</v>
      </c>
      <c r="U882" s="17" t="s">
        <v>163</v>
      </c>
      <c r="V882" s="17" t="s">
        <v>164</v>
      </c>
      <c r="W882" s="17" t="s">
        <v>165</v>
      </c>
      <c r="X882" s="15" t="s">
        <v>17896</v>
      </c>
      <c r="Y882" s="15" t="s">
        <v>17897</v>
      </c>
      <c r="Z882" s="27">
        <v>10</v>
      </c>
      <c r="AA882" s="17" t="s">
        <v>5417</v>
      </c>
      <c r="AB882" s="17" t="s">
        <v>151</v>
      </c>
      <c r="AC882" s="17" t="s">
        <v>151</v>
      </c>
      <c r="AD882" s="26">
        <v>2021</v>
      </c>
      <c r="AE882" s="17" t="s">
        <v>151</v>
      </c>
      <c r="AF882" s="22">
        <v>45611</v>
      </c>
      <c r="AG882" s="17" t="s">
        <v>151</v>
      </c>
      <c r="AH882" s="17" t="s">
        <v>151</v>
      </c>
      <c r="AI882" s="25" t="s">
        <v>151</v>
      </c>
      <c r="AJ882" s="19" t="s">
        <v>151</v>
      </c>
      <c r="AK882" s="25" t="s">
        <v>151</v>
      </c>
      <c r="AL882" s="25" t="s">
        <v>151</v>
      </c>
      <c r="AM882" s="25" t="s">
        <v>151</v>
      </c>
      <c r="AN882" s="25" t="s">
        <v>151</v>
      </c>
      <c r="AO882" s="25" t="s">
        <v>151</v>
      </c>
      <c r="AP882" s="25" t="s">
        <v>151</v>
      </c>
      <c r="AQ882" s="25" t="s">
        <v>151</v>
      </c>
      <c r="AR882" s="16" t="s">
        <v>151</v>
      </c>
      <c r="AS882" s="17" t="s">
        <v>17898</v>
      </c>
      <c r="AT882" s="17" t="s">
        <v>17899</v>
      </c>
      <c r="AU882" s="18">
        <v>12</v>
      </c>
      <c r="AV882" s="17" t="s">
        <v>151</v>
      </c>
      <c r="AW882" s="17" t="s">
        <v>151</v>
      </c>
      <c r="AX882" s="17" t="s">
        <v>151</v>
      </c>
      <c r="AY882" s="17" t="s">
        <v>17900</v>
      </c>
      <c r="AZ882" s="17" t="s">
        <v>151</v>
      </c>
      <c r="BA882" s="17" t="s">
        <v>151</v>
      </c>
      <c r="BB882" s="17" t="s">
        <v>151</v>
      </c>
      <c r="BC882" s="17" t="s">
        <v>151</v>
      </c>
      <c r="BD882" s="17" t="s">
        <v>17901</v>
      </c>
      <c r="BE882" s="17" t="s">
        <v>17902</v>
      </c>
      <c r="BF882" s="17" t="s">
        <v>493</v>
      </c>
      <c r="BG882" s="17" t="s">
        <v>17903</v>
      </c>
      <c r="BH882" s="17" t="s">
        <v>17904</v>
      </c>
      <c r="BI882" s="17" t="s">
        <v>764</v>
      </c>
      <c r="BJ882" s="17" t="s">
        <v>17905</v>
      </c>
      <c r="BK882" s="17" t="s">
        <v>151</v>
      </c>
      <c r="BL882" s="17" t="s">
        <v>767</v>
      </c>
      <c r="BM882" s="17" t="s">
        <v>184</v>
      </c>
      <c r="BN882" s="16" t="s">
        <v>17906</v>
      </c>
      <c r="BO882" s="17" t="s">
        <v>186</v>
      </c>
      <c r="BP882" s="16" t="s">
        <v>17904</v>
      </c>
      <c r="BQ882" s="16" t="s">
        <v>151</v>
      </c>
      <c r="BR882" s="17" t="s">
        <v>17907</v>
      </c>
      <c r="BS882" s="17" t="s">
        <v>187</v>
      </c>
      <c r="BT882" s="17" t="s">
        <v>188</v>
      </c>
      <c r="BU882" s="22">
        <v>45062</v>
      </c>
      <c r="BV882" s="24">
        <v>3</v>
      </c>
      <c r="BW882" s="17" t="s">
        <v>192</v>
      </c>
      <c r="BX882" s="24">
        <v>13</v>
      </c>
      <c r="BY882" s="17" t="s">
        <v>192</v>
      </c>
      <c r="BZ882" s="17" t="s">
        <v>293</v>
      </c>
      <c r="CA882" s="17" t="s">
        <v>293</v>
      </c>
      <c r="CB882" s="17" t="s">
        <v>151</v>
      </c>
      <c r="CC882" s="17" t="s">
        <v>165</v>
      </c>
      <c r="CD882" s="17" t="s">
        <v>151</v>
      </c>
      <c r="CE882" s="17" t="s">
        <v>191</v>
      </c>
      <c r="CF882" s="22">
        <v>45573</v>
      </c>
      <c r="CG882" s="24">
        <v>1</v>
      </c>
      <c r="CH882" s="17" t="s">
        <v>192</v>
      </c>
      <c r="CI882" s="24" t="s">
        <v>151</v>
      </c>
      <c r="CJ882" s="17" t="s">
        <v>151</v>
      </c>
      <c r="CK882" s="16" t="s">
        <v>151</v>
      </c>
      <c r="CL882" s="17" t="s">
        <v>231</v>
      </c>
      <c r="CM882" s="17" t="s">
        <v>151</v>
      </c>
      <c r="CN882" s="17" t="s">
        <v>151</v>
      </c>
      <c r="CO882" s="17" t="s">
        <v>165</v>
      </c>
      <c r="CP882" s="22">
        <v>45573</v>
      </c>
      <c r="CQ882" s="24" t="s">
        <v>151</v>
      </c>
      <c r="CR882" s="17" t="s">
        <v>151</v>
      </c>
      <c r="CS882" s="17" t="s">
        <v>191</v>
      </c>
      <c r="CT882" s="16">
        <v>80</v>
      </c>
      <c r="CU882" s="17" t="s">
        <v>196</v>
      </c>
      <c r="CV882" s="19">
        <v>74</v>
      </c>
      <c r="CW882" s="19">
        <v>26</v>
      </c>
      <c r="CX882" s="17" t="s">
        <v>294</v>
      </c>
      <c r="CY882" s="19">
        <v>1</v>
      </c>
      <c r="CZ882" s="19">
        <v>73</v>
      </c>
      <c r="DA882" s="24">
        <v>13</v>
      </c>
      <c r="DB882" s="22">
        <v>45062</v>
      </c>
      <c r="DC882" s="17" t="s">
        <v>293</v>
      </c>
      <c r="DD882" s="16" t="s">
        <v>151</v>
      </c>
      <c r="DE882" s="19" t="s">
        <v>151</v>
      </c>
      <c r="DF882" s="21" t="s">
        <v>151</v>
      </c>
      <c r="DG882" s="19" t="s">
        <v>151</v>
      </c>
      <c r="DH882" s="19" t="s">
        <v>151</v>
      </c>
      <c r="DI882" s="19" t="s">
        <v>151</v>
      </c>
      <c r="DJ882" s="21" t="s">
        <v>151</v>
      </c>
      <c r="DK882" s="19" t="s">
        <v>151</v>
      </c>
      <c r="DL882" s="21" t="s">
        <v>151</v>
      </c>
      <c r="DM882" s="19" t="s">
        <v>151</v>
      </c>
      <c r="DN882" s="21" t="s">
        <v>151</v>
      </c>
      <c r="DO882" s="23" t="s">
        <v>151</v>
      </c>
      <c r="DP882" s="21" t="s">
        <v>151</v>
      </c>
      <c r="DQ882" s="23" t="s">
        <v>151</v>
      </c>
      <c r="DR882" s="19" t="s">
        <v>151</v>
      </c>
      <c r="DS882" s="23" t="s">
        <v>151</v>
      </c>
      <c r="DT882" s="21" t="s">
        <v>151</v>
      </c>
      <c r="DU882" s="23" t="s">
        <v>151</v>
      </c>
      <c r="DV882" s="21" t="s">
        <v>151</v>
      </c>
      <c r="DW882" s="23" t="s">
        <v>151</v>
      </c>
      <c r="DX882" s="21" t="s">
        <v>151</v>
      </c>
      <c r="DY882" s="18" t="s">
        <v>151</v>
      </c>
      <c r="DZ882" s="22" t="s">
        <v>151</v>
      </c>
      <c r="EA882" s="22" t="s">
        <v>151</v>
      </c>
      <c r="EB882" s="21" t="s">
        <v>151</v>
      </c>
      <c r="EC882" s="20" t="s">
        <v>151</v>
      </c>
      <c r="ED882" s="19" t="s">
        <v>151</v>
      </c>
      <c r="EE882" s="21" t="s">
        <v>151</v>
      </c>
      <c r="EF882" s="20" t="s">
        <v>151</v>
      </c>
      <c r="EG882" s="19" t="s">
        <v>151</v>
      </c>
      <c r="EH882" s="16" t="s">
        <v>198</v>
      </c>
      <c r="EI882" s="17" t="s">
        <v>151</v>
      </c>
      <c r="EJ882" s="17" t="s">
        <v>151</v>
      </c>
      <c r="EK882" s="18" t="s">
        <v>151</v>
      </c>
      <c r="EL882" s="18" t="s">
        <v>151</v>
      </c>
      <c r="EM882" s="18" t="s">
        <v>151</v>
      </c>
      <c r="EN882" s="18" t="s">
        <v>151</v>
      </c>
      <c r="EO882" s="18" t="s">
        <v>151</v>
      </c>
      <c r="EP882" s="17" t="s">
        <v>151</v>
      </c>
      <c r="EQ882" s="16" t="s">
        <v>151</v>
      </c>
      <c r="ER882" s="16" t="s">
        <v>151</v>
      </c>
      <c r="ES882" s="3">
        <f>HYPERLINK("https://my.pitchbook.com?c=501802-75","View Company Online")</f>
      </c>
    </row>
    <row r="883">
      <c r="A883" s="30" t="s">
        <v>17908</v>
      </c>
      <c r="B883" s="30" t="s">
        <v>17909</v>
      </c>
      <c r="C883" s="31" t="s">
        <v>151</v>
      </c>
      <c r="D883" s="30" t="s">
        <v>17910</v>
      </c>
      <c r="E883" s="30" t="s">
        <v>17911</v>
      </c>
      <c r="F883" s="30" t="s">
        <v>17912</v>
      </c>
      <c r="G883" s="30" t="s">
        <v>151</v>
      </c>
      <c r="H883" s="30" t="s">
        <v>151</v>
      </c>
      <c r="I883" s="30" t="s">
        <v>151</v>
      </c>
      <c r="J883" s="30" t="s">
        <v>17908</v>
      </c>
      <c r="K883" s="30" t="s">
        <v>17913</v>
      </c>
      <c r="L883" s="30" t="s">
        <v>205</v>
      </c>
      <c r="M883" s="30" t="s">
        <v>206</v>
      </c>
      <c r="N883" s="30" t="s">
        <v>998</v>
      </c>
      <c r="O883" s="30" t="s">
        <v>17914</v>
      </c>
      <c r="P883" s="30" t="s">
        <v>2301</v>
      </c>
      <c r="Q883" s="30" t="s">
        <v>17915</v>
      </c>
      <c r="R883" s="30" t="s">
        <v>151</v>
      </c>
      <c r="S883" s="30" t="s">
        <v>162</v>
      </c>
      <c r="T883" s="37">
        <v>5.52</v>
      </c>
      <c r="U883" s="30" t="s">
        <v>163</v>
      </c>
      <c r="V883" s="30" t="s">
        <v>164</v>
      </c>
      <c r="W883" s="30" t="s">
        <v>165</v>
      </c>
      <c r="X883" s="28" t="s">
        <v>17916</v>
      </c>
      <c r="Y883" s="28" t="s">
        <v>17917</v>
      </c>
      <c r="Z883" s="40">
        <v>3</v>
      </c>
      <c r="AA883" s="30" t="s">
        <v>17918</v>
      </c>
      <c r="AB883" s="30" t="s">
        <v>151</v>
      </c>
      <c r="AC883" s="30" t="s">
        <v>151</v>
      </c>
      <c r="AD883" s="39">
        <v>2019</v>
      </c>
      <c r="AE883" s="30" t="s">
        <v>151</v>
      </c>
      <c r="AF883" s="35">
        <v>45383</v>
      </c>
      <c r="AG883" s="30" t="s">
        <v>151</v>
      </c>
      <c r="AH883" s="30" t="s">
        <v>151</v>
      </c>
      <c r="AI883" s="38" t="s">
        <v>151</v>
      </c>
      <c r="AJ883" s="32" t="s">
        <v>151</v>
      </c>
      <c r="AK883" s="38" t="s">
        <v>151</v>
      </c>
      <c r="AL883" s="38" t="s">
        <v>151</v>
      </c>
      <c r="AM883" s="38" t="s">
        <v>151</v>
      </c>
      <c r="AN883" s="38" t="s">
        <v>151</v>
      </c>
      <c r="AO883" s="38" t="s">
        <v>151</v>
      </c>
      <c r="AP883" s="38" t="s">
        <v>151</v>
      </c>
      <c r="AQ883" s="38" t="s">
        <v>151</v>
      </c>
      <c r="AR883" s="29" t="s">
        <v>151</v>
      </c>
      <c r="AS883" s="30" t="s">
        <v>17919</v>
      </c>
      <c r="AT883" s="30" t="s">
        <v>17920</v>
      </c>
      <c r="AU883" s="31">
        <v>2</v>
      </c>
      <c r="AV883" s="30" t="s">
        <v>151</v>
      </c>
      <c r="AW883" s="30" t="s">
        <v>151</v>
      </c>
      <c r="AX883" s="30" t="s">
        <v>151</v>
      </c>
      <c r="AY883" s="30" t="s">
        <v>17921</v>
      </c>
      <c r="AZ883" s="30" t="s">
        <v>151</v>
      </c>
      <c r="BA883" s="30" t="s">
        <v>151</v>
      </c>
      <c r="BB883" s="30" t="s">
        <v>151</v>
      </c>
      <c r="BC883" s="30" t="s">
        <v>490</v>
      </c>
      <c r="BD883" s="30" t="s">
        <v>17922</v>
      </c>
      <c r="BE883" s="30" t="s">
        <v>17923</v>
      </c>
      <c r="BF883" s="30" t="s">
        <v>221</v>
      </c>
      <c r="BG883" s="30" t="s">
        <v>17924</v>
      </c>
      <c r="BH883" s="30" t="s">
        <v>151</v>
      </c>
      <c r="BI883" s="30" t="s">
        <v>549</v>
      </c>
      <c r="BJ883" s="30" t="s">
        <v>17925</v>
      </c>
      <c r="BK883" s="30" t="s">
        <v>17926</v>
      </c>
      <c r="BL883" s="30" t="s">
        <v>552</v>
      </c>
      <c r="BM883" s="30" t="s">
        <v>322</v>
      </c>
      <c r="BN883" s="29" t="s">
        <v>17927</v>
      </c>
      <c r="BO883" s="30" t="s">
        <v>186</v>
      </c>
      <c r="BP883" s="29" t="s">
        <v>151</v>
      </c>
      <c r="BQ883" s="29" t="s">
        <v>151</v>
      </c>
      <c r="BR883" s="30" t="s">
        <v>151</v>
      </c>
      <c r="BS883" s="30" t="s">
        <v>187</v>
      </c>
      <c r="BT883" s="30" t="s">
        <v>188</v>
      </c>
      <c r="BU883" s="35">
        <v>43857</v>
      </c>
      <c r="BV883" s="37">
        <v>0.02</v>
      </c>
      <c r="BW883" s="30" t="s">
        <v>192</v>
      </c>
      <c r="BX883" s="37">
        <v>0.33</v>
      </c>
      <c r="BY883" s="30" t="s">
        <v>192</v>
      </c>
      <c r="BZ883" s="30" t="s">
        <v>189</v>
      </c>
      <c r="CA883" s="30" t="s">
        <v>151</v>
      </c>
      <c r="CB883" s="30" t="s">
        <v>151</v>
      </c>
      <c r="CC883" s="30" t="s">
        <v>190</v>
      </c>
      <c r="CD883" s="30" t="s">
        <v>151</v>
      </c>
      <c r="CE883" s="30" t="s">
        <v>191</v>
      </c>
      <c r="CF883" s="35">
        <v>44480</v>
      </c>
      <c r="CG883" s="37">
        <v>5.5</v>
      </c>
      <c r="CH883" s="30" t="s">
        <v>193</v>
      </c>
      <c r="CI883" s="37">
        <v>15.5</v>
      </c>
      <c r="CJ883" s="30" t="s">
        <v>192</v>
      </c>
      <c r="CK883" s="29" t="s">
        <v>151</v>
      </c>
      <c r="CL883" s="30" t="s">
        <v>293</v>
      </c>
      <c r="CM883" s="30" t="s">
        <v>293</v>
      </c>
      <c r="CN883" s="30" t="s">
        <v>151</v>
      </c>
      <c r="CO883" s="30" t="s">
        <v>165</v>
      </c>
      <c r="CP883" s="35">
        <v>44480</v>
      </c>
      <c r="CQ883" s="37" t="s">
        <v>151</v>
      </c>
      <c r="CR883" s="30" t="s">
        <v>151</v>
      </c>
      <c r="CS883" s="30" t="s">
        <v>191</v>
      </c>
      <c r="CT883" s="29" t="s">
        <v>151</v>
      </c>
      <c r="CU883" s="30" t="s">
        <v>151</v>
      </c>
      <c r="CV883" s="32" t="s">
        <v>151</v>
      </c>
      <c r="CW883" s="32" t="s">
        <v>151</v>
      </c>
      <c r="CX883" s="30" t="s">
        <v>151</v>
      </c>
      <c r="CY883" s="32" t="s">
        <v>151</v>
      </c>
      <c r="CZ883" s="32" t="s">
        <v>151</v>
      </c>
      <c r="DA883" s="37">
        <v>15.5</v>
      </c>
      <c r="DB883" s="35">
        <v>44480</v>
      </c>
      <c r="DC883" s="30" t="s">
        <v>293</v>
      </c>
      <c r="DD883" s="29" t="s">
        <v>151</v>
      </c>
      <c r="DE883" s="32">
        <v>0</v>
      </c>
      <c r="DF883" s="34">
        <v>11</v>
      </c>
      <c r="DG883" s="32">
        <v>0</v>
      </c>
      <c r="DH883" s="32">
        <v>0</v>
      </c>
      <c r="DI883" s="32">
        <v>0</v>
      </c>
      <c r="DJ883" s="34">
        <v>10</v>
      </c>
      <c r="DK883" s="32" t="s">
        <v>151</v>
      </c>
      <c r="DL883" s="34" t="s">
        <v>151</v>
      </c>
      <c r="DM883" s="32">
        <v>0</v>
      </c>
      <c r="DN883" s="34">
        <v>10</v>
      </c>
      <c r="DO883" s="36">
        <v>2.56</v>
      </c>
      <c r="DP883" s="34">
        <v>71</v>
      </c>
      <c r="DQ883" s="36">
        <v>0</v>
      </c>
      <c r="DR883" s="32">
        <v>0</v>
      </c>
      <c r="DS883" s="36">
        <v>4.89</v>
      </c>
      <c r="DT883" s="34">
        <v>82</v>
      </c>
      <c r="DU883" s="36" t="s">
        <v>151</v>
      </c>
      <c r="DV883" s="34" t="s">
        <v>151</v>
      </c>
      <c r="DW883" s="36">
        <v>4.89</v>
      </c>
      <c r="DX883" s="34">
        <v>81</v>
      </c>
      <c r="DY883" s="31" t="s">
        <v>151</v>
      </c>
      <c r="DZ883" s="35" t="s">
        <v>151</v>
      </c>
      <c r="EA883" s="35" t="s">
        <v>151</v>
      </c>
      <c r="EB883" s="34">
        <v>1473</v>
      </c>
      <c r="EC883" s="33">
        <v>129</v>
      </c>
      <c r="ED883" s="32">
        <v>9.6</v>
      </c>
      <c r="EE883" s="34">
        <v>93</v>
      </c>
      <c r="EF883" s="33">
        <v>0</v>
      </c>
      <c r="EG883" s="32">
        <v>0</v>
      </c>
      <c r="EH883" s="29" t="s">
        <v>198</v>
      </c>
      <c r="EI883" s="30" t="s">
        <v>151</v>
      </c>
      <c r="EJ883" s="30" t="s">
        <v>151</v>
      </c>
      <c r="EK883" s="31" t="s">
        <v>151</v>
      </c>
      <c r="EL883" s="31" t="s">
        <v>151</v>
      </c>
      <c r="EM883" s="31" t="s">
        <v>151</v>
      </c>
      <c r="EN883" s="31" t="s">
        <v>151</v>
      </c>
      <c r="EO883" s="31" t="s">
        <v>151</v>
      </c>
      <c r="EP883" s="30" t="s">
        <v>151</v>
      </c>
      <c r="EQ883" s="29" t="s">
        <v>151</v>
      </c>
      <c r="ER883" s="29" t="s">
        <v>151</v>
      </c>
      <c r="ES883" s="4">
        <f>HYPERLINK("https://my.pitchbook.com?c=432617-86","View Company Online")</f>
      </c>
    </row>
    <row r="884">
      <c r="A884" s="17" t="s">
        <v>17928</v>
      </c>
      <c r="B884" s="17" t="s">
        <v>17929</v>
      </c>
      <c r="C884" s="18" t="s">
        <v>151</v>
      </c>
      <c r="D884" s="17" t="s">
        <v>151</v>
      </c>
      <c r="E884" s="17" t="s">
        <v>151</v>
      </c>
      <c r="F884" s="17" t="s">
        <v>151</v>
      </c>
      <c r="G884" s="17" t="s">
        <v>151</v>
      </c>
      <c r="H884" s="17" t="s">
        <v>151</v>
      </c>
      <c r="I884" s="17" t="s">
        <v>151</v>
      </c>
      <c r="J884" s="17" t="s">
        <v>17928</v>
      </c>
      <c r="K884" s="17" t="s">
        <v>17930</v>
      </c>
      <c r="L884" s="17" t="s">
        <v>205</v>
      </c>
      <c r="M884" s="17" t="s">
        <v>206</v>
      </c>
      <c r="N884" s="17" t="s">
        <v>1268</v>
      </c>
      <c r="O884" s="17" t="s">
        <v>2129</v>
      </c>
      <c r="P884" s="17" t="s">
        <v>151</v>
      </c>
      <c r="Q884" s="17" t="s">
        <v>17931</v>
      </c>
      <c r="R884" s="17" t="s">
        <v>211</v>
      </c>
      <c r="S884" s="17" t="s">
        <v>162</v>
      </c>
      <c r="T884" s="24">
        <v>4.6</v>
      </c>
      <c r="U884" s="17" t="s">
        <v>163</v>
      </c>
      <c r="V884" s="17" t="s">
        <v>164</v>
      </c>
      <c r="W884" s="17" t="s">
        <v>165</v>
      </c>
      <c r="X884" s="15" t="s">
        <v>17932</v>
      </c>
      <c r="Y884" s="15" t="s">
        <v>151</v>
      </c>
      <c r="Z884" s="27" t="s">
        <v>151</v>
      </c>
      <c r="AA884" s="17" t="s">
        <v>151</v>
      </c>
      <c r="AB884" s="17" t="s">
        <v>151</v>
      </c>
      <c r="AC884" s="17" t="s">
        <v>151</v>
      </c>
      <c r="AD884" s="26">
        <v>2022</v>
      </c>
      <c r="AE884" s="17" t="s">
        <v>151</v>
      </c>
      <c r="AF884" s="22">
        <v>45468</v>
      </c>
      <c r="AG884" s="17" t="s">
        <v>151</v>
      </c>
      <c r="AH884" s="17" t="s">
        <v>151</v>
      </c>
      <c r="AI884" s="25" t="s">
        <v>151</v>
      </c>
      <c r="AJ884" s="19" t="s">
        <v>151</v>
      </c>
      <c r="AK884" s="25" t="s">
        <v>151</v>
      </c>
      <c r="AL884" s="25" t="s">
        <v>151</v>
      </c>
      <c r="AM884" s="25" t="s">
        <v>151</v>
      </c>
      <c r="AN884" s="25" t="s">
        <v>151</v>
      </c>
      <c r="AO884" s="25" t="s">
        <v>151</v>
      </c>
      <c r="AP884" s="25" t="s">
        <v>151</v>
      </c>
      <c r="AQ884" s="25" t="s">
        <v>151</v>
      </c>
      <c r="AR884" s="16" t="s">
        <v>151</v>
      </c>
      <c r="AS884" s="17" t="s">
        <v>17933</v>
      </c>
      <c r="AT884" s="17" t="s">
        <v>17934</v>
      </c>
      <c r="AU884" s="18">
        <v>26</v>
      </c>
      <c r="AV884" s="17" t="s">
        <v>151</v>
      </c>
      <c r="AW884" s="17" t="s">
        <v>17935</v>
      </c>
      <c r="AX884" s="17" t="s">
        <v>151</v>
      </c>
      <c r="AY884" s="17" t="s">
        <v>17936</v>
      </c>
      <c r="AZ884" s="17" t="s">
        <v>17937</v>
      </c>
      <c r="BA884" s="17" t="s">
        <v>151</v>
      </c>
      <c r="BB884" s="17" t="s">
        <v>151</v>
      </c>
      <c r="BC884" s="17" t="s">
        <v>151</v>
      </c>
      <c r="BD884" s="17" t="s">
        <v>17938</v>
      </c>
      <c r="BE884" s="17" t="s">
        <v>17939</v>
      </c>
      <c r="BF884" s="17" t="s">
        <v>221</v>
      </c>
      <c r="BG884" s="17" t="s">
        <v>151</v>
      </c>
      <c r="BH884" s="17" t="s">
        <v>151</v>
      </c>
      <c r="BI884" s="17" t="s">
        <v>764</v>
      </c>
      <c r="BJ884" s="17" t="s">
        <v>151</v>
      </c>
      <c r="BK884" s="17" t="s">
        <v>151</v>
      </c>
      <c r="BL884" s="17" t="s">
        <v>767</v>
      </c>
      <c r="BM884" s="17" t="s">
        <v>184</v>
      </c>
      <c r="BN884" s="16" t="s">
        <v>151</v>
      </c>
      <c r="BO884" s="17" t="s">
        <v>186</v>
      </c>
      <c r="BP884" s="16" t="s">
        <v>151</v>
      </c>
      <c r="BQ884" s="16" t="s">
        <v>151</v>
      </c>
      <c r="BR884" s="17" t="s">
        <v>151</v>
      </c>
      <c r="BS884" s="17" t="s">
        <v>187</v>
      </c>
      <c r="BT884" s="17" t="s">
        <v>188</v>
      </c>
      <c r="BU884" s="22">
        <v>44644</v>
      </c>
      <c r="BV884" s="24">
        <v>4.6</v>
      </c>
      <c r="BW884" s="17" t="s">
        <v>192</v>
      </c>
      <c r="BX884" s="24" t="s">
        <v>151</v>
      </c>
      <c r="BY884" s="17" t="s">
        <v>151</v>
      </c>
      <c r="BZ884" s="17" t="s">
        <v>293</v>
      </c>
      <c r="CA884" s="17" t="s">
        <v>293</v>
      </c>
      <c r="CB884" s="17" t="s">
        <v>151</v>
      </c>
      <c r="CC884" s="17" t="s">
        <v>165</v>
      </c>
      <c r="CD884" s="17" t="s">
        <v>151</v>
      </c>
      <c r="CE884" s="17" t="s">
        <v>191</v>
      </c>
      <c r="CF884" s="22" t="s">
        <v>151</v>
      </c>
      <c r="CG884" s="24" t="s">
        <v>151</v>
      </c>
      <c r="CH884" s="17" t="s">
        <v>151</v>
      </c>
      <c r="CI884" s="24" t="s">
        <v>151</v>
      </c>
      <c r="CJ884" s="17" t="s">
        <v>151</v>
      </c>
      <c r="CK884" s="16" t="s">
        <v>151</v>
      </c>
      <c r="CL884" s="17" t="s">
        <v>911</v>
      </c>
      <c r="CM884" s="17" t="s">
        <v>151</v>
      </c>
      <c r="CN884" s="17" t="s">
        <v>151</v>
      </c>
      <c r="CO884" s="17" t="s">
        <v>165</v>
      </c>
      <c r="CP884" s="22" t="s">
        <v>151</v>
      </c>
      <c r="CQ884" s="24" t="s">
        <v>151</v>
      </c>
      <c r="CR884" s="17" t="s">
        <v>151</v>
      </c>
      <c r="CS884" s="17" t="s">
        <v>191</v>
      </c>
      <c r="CT884" s="16" t="s">
        <v>151</v>
      </c>
      <c r="CU884" s="17" t="s">
        <v>151</v>
      </c>
      <c r="CV884" s="19" t="s">
        <v>151</v>
      </c>
      <c r="CW884" s="19" t="s">
        <v>151</v>
      </c>
      <c r="CX884" s="17" t="s">
        <v>151</v>
      </c>
      <c r="CY884" s="19" t="s">
        <v>151</v>
      </c>
      <c r="CZ884" s="19" t="s">
        <v>151</v>
      </c>
      <c r="DA884" s="24" t="s">
        <v>151</v>
      </c>
      <c r="DB884" s="22" t="s">
        <v>151</v>
      </c>
      <c r="DC884" s="17" t="s">
        <v>151</v>
      </c>
      <c r="DD884" s="16" t="s">
        <v>151</v>
      </c>
      <c r="DE884" s="19" t="s">
        <v>151</v>
      </c>
      <c r="DF884" s="21" t="s">
        <v>151</v>
      </c>
      <c r="DG884" s="19" t="s">
        <v>151</v>
      </c>
      <c r="DH884" s="19" t="s">
        <v>151</v>
      </c>
      <c r="DI884" s="19" t="s">
        <v>151</v>
      </c>
      <c r="DJ884" s="21" t="s">
        <v>151</v>
      </c>
      <c r="DK884" s="19" t="s">
        <v>151</v>
      </c>
      <c r="DL884" s="21" t="s">
        <v>151</v>
      </c>
      <c r="DM884" s="19" t="s">
        <v>151</v>
      </c>
      <c r="DN884" s="21" t="s">
        <v>151</v>
      </c>
      <c r="DO884" s="23" t="s">
        <v>151</v>
      </c>
      <c r="DP884" s="21" t="s">
        <v>151</v>
      </c>
      <c r="DQ884" s="23" t="s">
        <v>151</v>
      </c>
      <c r="DR884" s="19" t="s">
        <v>151</v>
      </c>
      <c r="DS884" s="23" t="s">
        <v>151</v>
      </c>
      <c r="DT884" s="21" t="s">
        <v>151</v>
      </c>
      <c r="DU884" s="23" t="s">
        <v>151</v>
      </c>
      <c r="DV884" s="21" t="s">
        <v>151</v>
      </c>
      <c r="DW884" s="23" t="s">
        <v>151</v>
      </c>
      <c r="DX884" s="21" t="s">
        <v>151</v>
      </c>
      <c r="DY884" s="18" t="s">
        <v>151</v>
      </c>
      <c r="DZ884" s="22" t="s">
        <v>151</v>
      </c>
      <c r="EA884" s="22" t="s">
        <v>151</v>
      </c>
      <c r="EB884" s="21" t="s">
        <v>151</v>
      </c>
      <c r="EC884" s="20" t="s">
        <v>151</v>
      </c>
      <c r="ED884" s="19" t="s">
        <v>151</v>
      </c>
      <c r="EE884" s="21" t="s">
        <v>151</v>
      </c>
      <c r="EF884" s="20" t="s">
        <v>151</v>
      </c>
      <c r="EG884" s="19" t="s">
        <v>151</v>
      </c>
      <c r="EH884" s="16" t="s">
        <v>198</v>
      </c>
      <c r="EI884" s="17" t="s">
        <v>151</v>
      </c>
      <c r="EJ884" s="17" t="s">
        <v>151</v>
      </c>
      <c r="EK884" s="18" t="s">
        <v>151</v>
      </c>
      <c r="EL884" s="18" t="s">
        <v>151</v>
      </c>
      <c r="EM884" s="18" t="s">
        <v>151</v>
      </c>
      <c r="EN884" s="18" t="s">
        <v>151</v>
      </c>
      <c r="EO884" s="18" t="s">
        <v>151</v>
      </c>
      <c r="EP884" s="17" t="s">
        <v>151</v>
      </c>
      <c r="EQ884" s="16" t="s">
        <v>151</v>
      </c>
      <c r="ER884" s="16" t="s">
        <v>151</v>
      </c>
      <c r="ES884" s="3">
        <f>HYPERLINK("https://my.pitchbook.com?c=497827-72","View Company Online")</f>
      </c>
    </row>
    <row r="885">
      <c r="A885" s="30" t="s">
        <v>17940</v>
      </c>
      <c r="B885" s="30" t="s">
        <v>17941</v>
      </c>
      <c r="C885" s="31" t="s">
        <v>151</v>
      </c>
      <c r="D885" s="30" t="s">
        <v>151</v>
      </c>
      <c r="E885" s="30" t="s">
        <v>151</v>
      </c>
      <c r="F885" s="30" t="s">
        <v>17942</v>
      </c>
      <c r="G885" s="30" t="s">
        <v>151</v>
      </c>
      <c r="H885" s="30" t="s">
        <v>151</v>
      </c>
      <c r="I885" s="30" t="s">
        <v>17943</v>
      </c>
      <c r="J885" s="30" t="s">
        <v>17940</v>
      </c>
      <c r="K885" s="30" t="s">
        <v>17944</v>
      </c>
      <c r="L885" s="30" t="s">
        <v>205</v>
      </c>
      <c r="M885" s="30" t="s">
        <v>206</v>
      </c>
      <c r="N885" s="30" t="s">
        <v>1082</v>
      </c>
      <c r="O885" s="30" t="s">
        <v>17945</v>
      </c>
      <c r="P885" s="30" t="s">
        <v>1608</v>
      </c>
      <c r="Q885" s="30" t="s">
        <v>17946</v>
      </c>
      <c r="R885" s="30" t="s">
        <v>151</v>
      </c>
      <c r="S885" s="30" t="s">
        <v>162</v>
      </c>
      <c r="T885" s="37">
        <v>7.2</v>
      </c>
      <c r="U885" s="30" t="s">
        <v>163</v>
      </c>
      <c r="V885" s="30" t="s">
        <v>164</v>
      </c>
      <c r="W885" s="30" t="s">
        <v>165</v>
      </c>
      <c r="X885" s="28" t="s">
        <v>17947</v>
      </c>
      <c r="Y885" s="28" t="s">
        <v>17948</v>
      </c>
      <c r="Z885" s="40">
        <v>14</v>
      </c>
      <c r="AA885" s="30" t="s">
        <v>17949</v>
      </c>
      <c r="AB885" s="30" t="s">
        <v>151</v>
      </c>
      <c r="AC885" s="30" t="s">
        <v>151</v>
      </c>
      <c r="AD885" s="39">
        <v>2022</v>
      </c>
      <c r="AE885" s="30" t="s">
        <v>151</v>
      </c>
      <c r="AF885" s="35">
        <v>45496</v>
      </c>
      <c r="AG885" s="30" t="s">
        <v>151</v>
      </c>
      <c r="AH885" s="30" t="s">
        <v>151</v>
      </c>
      <c r="AI885" s="38" t="s">
        <v>151</v>
      </c>
      <c r="AJ885" s="32" t="s">
        <v>151</v>
      </c>
      <c r="AK885" s="38" t="s">
        <v>151</v>
      </c>
      <c r="AL885" s="38" t="s">
        <v>151</v>
      </c>
      <c r="AM885" s="38" t="s">
        <v>151</v>
      </c>
      <c r="AN885" s="38" t="s">
        <v>151</v>
      </c>
      <c r="AO885" s="38" t="s">
        <v>151</v>
      </c>
      <c r="AP885" s="38" t="s">
        <v>151</v>
      </c>
      <c r="AQ885" s="38" t="s">
        <v>151</v>
      </c>
      <c r="AR885" s="29" t="s">
        <v>151</v>
      </c>
      <c r="AS885" s="30" t="s">
        <v>17950</v>
      </c>
      <c r="AT885" s="30" t="s">
        <v>17951</v>
      </c>
      <c r="AU885" s="31">
        <v>10</v>
      </c>
      <c r="AV885" s="30" t="s">
        <v>151</v>
      </c>
      <c r="AW885" s="30" t="s">
        <v>151</v>
      </c>
      <c r="AX885" s="30" t="s">
        <v>151</v>
      </c>
      <c r="AY885" s="30" t="s">
        <v>17952</v>
      </c>
      <c r="AZ885" s="30" t="s">
        <v>151</v>
      </c>
      <c r="BA885" s="30" t="s">
        <v>151</v>
      </c>
      <c r="BB885" s="30" t="s">
        <v>151</v>
      </c>
      <c r="BC885" s="30" t="s">
        <v>601</v>
      </c>
      <c r="BD885" s="30" t="s">
        <v>17953</v>
      </c>
      <c r="BE885" s="30" t="s">
        <v>17954</v>
      </c>
      <c r="BF885" s="30" t="s">
        <v>546</v>
      </c>
      <c r="BG885" s="30" t="s">
        <v>151</v>
      </c>
      <c r="BH885" s="30" t="s">
        <v>17955</v>
      </c>
      <c r="BI885" s="30" t="s">
        <v>906</v>
      </c>
      <c r="BJ885" s="30" t="s">
        <v>3869</v>
      </c>
      <c r="BK885" s="30" t="s">
        <v>17956</v>
      </c>
      <c r="BL885" s="30" t="s">
        <v>259</v>
      </c>
      <c r="BM885" s="30" t="s">
        <v>259</v>
      </c>
      <c r="BN885" s="29" t="s">
        <v>5984</v>
      </c>
      <c r="BO885" s="30" t="s">
        <v>186</v>
      </c>
      <c r="BP885" s="29" t="s">
        <v>17955</v>
      </c>
      <c r="BQ885" s="29" t="s">
        <v>151</v>
      </c>
      <c r="BR885" s="30" t="s">
        <v>17957</v>
      </c>
      <c r="BS885" s="30" t="s">
        <v>187</v>
      </c>
      <c r="BT885" s="30" t="s">
        <v>188</v>
      </c>
      <c r="BU885" s="35">
        <v>45412</v>
      </c>
      <c r="BV885" s="37">
        <v>7.2</v>
      </c>
      <c r="BW885" s="30" t="s">
        <v>192</v>
      </c>
      <c r="BX885" s="37">
        <v>17.2</v>
      </c>
      <c r="BY885" s="30" t="s">
        <v>192</v>
      </c>
      <c r="BZ885" s="30" t="s">
        <v>293</v>
      </c>
      <c r="CA885" s="30" t="s">
        <v>293</v>
      </c>
      <c r="CB885" s="30" t="s">
        <v>151</v>
      </c>
      <c r="CC885" s="30" t="s">
        <v>165</v>
      </c>
      <c r="CD885" s="30" t="s">
        <v>151</v>
      </c>
      <c r="CE885" s="30" t="s">
        <v>191</v>
      </c>
      <c r="CF885" s="35">
        <v>45412</v>
      </c>
      <c r="CG885" s="37">
        <v>7.2</v>
      </c>
      <c r="CH885" s="30" t="s">
        <v>192</v>
      </c>
      <c r="CI885" s="37">
        <v>17.2</v>
      </c>
      <c r="CJ885" s="30" t="s">
        <v>192</v>
      </c>
      <c r="CK885" s="29" t="s">
        <v>151</v>
      </c>
      <c r="CL885" s="30" t="s">
        <v>293</v>
      </c>
      <c r="CM885" s="30" t="s">
        <v>293</v>
      </c>
      <c r="CN885" s="30" t="s">
        <v>151</v>
      </c>
      <c r="CO885" s="30" t="s">
        <v>165</v>
      </c>
      <c r="CP885" s="35">
        <v>45412</v>
      </c>
      <c r="CQ885" s="37" t="s">
        <v>151</v>
      </c>
      <c r="CR885" s="30" t="s">
        <v>151</v>
      </c>
      <c r="CS885" s="30" t="s">
        <v>191</v>
      </c>
      <c r="CT885" s="29" t="s">
        <v>151</v>
      </c>
      <c r="CU885" s="30" t="s">
        <v>151</v>
      </c>
      <c r="CV885" s="32" t="s">
        <v>151</v>
      </c>
      <c r="CW885" s="32" t="s">
        <v>151</v>
      </c>
      <c r="CX885" s="30" t="s">
        <v>151</v>
      </c>
      <c r="CY885" s="32" t="s">
        <v>151</v>
      </c>
      <c r="CZ885" s="32" t="s">
        <v>151</v>
      </c>
      <c r="DA885" s="37">
        <v>17.2</v>
      </c>
      <c r="DB885" s="35">
        <v>45412</v>
      </c>
      <c r="DC885" s="30" t="s">
        <v>293</v>
      </c>
      <c r="DD885" s="29" t="s">
        <v>151</v>
      </c>
      <c r="DE885" s="32">
        <v>3.14</v>
      </c>
      <c r="DF885" s="34">
        <v>99</v>
      </c>
      <c r="DG885" s="32">
        <v>0</v>
      </c>
      <c r="DH885" s="32">
        <v>0</v>
      </c>
      <c r="DI885" s="32" t="s">
        <v>151</v>
      </c>
      <c r="DJ885" s="34" t="s">
        <v>151</v>
      </c>
      <c r="DK885" s="32" t="s">
        <v>151</v>
      </c>
      <c r="DL885" s="34" t="s">
        <v>151</v>
      </c>
      <c r="DM885" s="32" t="s">
        <v>151</v>
      </c>
      <c r="DN885" s="34" t="s">
        <v>151</v>
      </c>
      <c r="DO885" s="36">
        <v>1.08</v>
      </c>
      <c r="DP885" s="34">
        <v>52</v>
      </c>
      <c r="DQ885" s="36">
        <v>0</v>
      </c>
      <c r="DR885" s="32">
        <v>0</v>
      </c>
      <c r="DS885" s="36" t="s">
        <v>151</v>
      </c>
      <c r="DT885" s="34" t="s">
        <v>151</v>
      </c>
      <c r="DU885" s="36" t="s">
        <v>151</v>
      </c>
      <c r="DV885" s="34" t="s">
        <v>151</v>
      </c>
      <c r="DW885" s="36" t="s">
        <v>151</v>
      </c>
      <c r="DX885" s="34" t="s">
        <v>151</v>
      </c>
      <c r="DY885" s="31" t="s">
        <v>151</v>
      </c>
      <c r="DZ885" s="35" t="s">
        <v>151</v>
      </c>
      <c r="EA885" s="35" t="s">
        <v>151</v>
      </c>
      <c r="EB885" s="34">
        <v>1005</v>
      </c>
      <c r="EC885" s="33">
        <v>23</v>
      </c>
      <c r="ED885" s="32">
        <v>2.34</v>
      </c>
      <c r="EE885" s="34" t="s">
        <v>151</v>
      </c>
      <c r="EF885" s="33" t="s">
        <v>151</v>
      </c>
      <c r="EG885" s="32" t="s">
        <v>151</v>
      </c>
      <c r="EH885" s="29" t="s">
        <v>198</v>
      </c>
      <c r="EI885" s="30" t="s">
        <v>151</v>
      </c>
      <c r="EJ885" s="30" t="s">
        <v>151</v>
      </c>
      <c r="EK885" s="31" t="s">
        <v>151</v>
      </c>
      <c r="EL885" s="31" t="s">
        <v>151</v>
      </c>
      <c r="EM885" s="31" t="s">
        <v>151</v>
      </c>
      <c r="EN885" s="31" t="s">
        <v>151</v>
      </c>
      <c r="EO885" s="31" t="s">
        <v>151</v>
      </c>
      <c r="EP885" s="30" t="s">
        <v>151</v>
      </c>
      <c r="EQ885" s="29" t="s">
        <v>151</v>
      </c>
      <c r="ER885" s="29" t="s">
        <v>151</v>
      </c>
      <c r="ES885" s="4">
        <f>HYPERLINK("https://my.pitchbook.com?c=507341-89","View Company Online")</f>
      </c>
    </row>
    <row r="886">
      <c r="A886" s="17" t="s">
        <v>17958</v>
      </c>
      <c r="B886" s="17" t="s">
        <v>17959</v>
      </c>
      <c r="C886" s="18" t="s">
        <v>151</v>
      </c>
      <c r="D886" s="17" t="s">
        <v>151</v>
      </c>
      <c r="E886" s="17" t="s">
        <v>151</v>
      </c>
      <c r="F886" s="17" t="s">
        <v>17960</v>
      </c>
      <c r="G886" s="17" t="s">
        <v>151</v>
      </c>
      <c r="H886" s="17" t="s">
        <v>151</v>
      </c>
      <c r="I886" s="17" t="s">
        <v>151</v>
      </c>
      <c r="J886" s="17" t="s">
        <v>17958</v>
      </c>
      <c r="K886" s="17" t="s">
        <v>17961</v>
      </c>
      <c r="L886" s="17" t="s">
        <v>155</v>
      </c>
      <c r="M886" s="17" t="s">
        <v>2320</v>
      </c>
      <c r="N886" s="17" t="s">
        <v>2321</v>
      </c>
      <c r="O886" s="17" t="s">
        <v>17962</v>
      </c>
      <c r="P886" s="17" t="s">
        <v>17963</v>
      </c>
      <c r="Q886" s="17" t="s">
        <v>17964</v>
      </c>
      <c r="R886" s="17" t="s">
        <v>151</v>
      </c>
      <c r="S886" s="17" t="s">
        <v>162</v>
      </c>
      <c r="T886" s="24">
        <v>3.4</v>
      </c>
      <c r="U886" s="17" t="s">
        <v>163</v>
      </c>
      <c r="V886" s="17" t="s">
        <v>164</v>
      </c>
      <c r="W886" s="17" t="s">
        <v>165</v>
      </c>
      <c r="X886" s="15" t="s">
        <v>17965</v>
      </c>
      <c r="Y886" s="15" t="s">
        <v>17966</v>
      </c>
      <c r="Z886" s="27">
        <v>8</v>
      </c>
      <c r="AA886" s="17" t="s">
        <v>17967</v>
      </c>
      <c r="AB886" s="17" t="s">
        <v>151</v>
      </c>
      <c r="AC886" s="17" t="s">
        <v>151</v>
      </c>
      <c r="AD886" s="26" t="s">
        <v>151</v>
      </c>
      <c r="AE886" s="17" t="s">
        <v>151</v>
      </c>
      <c r="AF886" s="22">
        <v>45549</v>
      </c>
      <c r="AG886" s="17" t="s">
        <v>151</v>
      </c>
      <c r="AH886" s="17" t="s">
        <v>151</v>
      </c>
      <c r="AI886" s="25" t="s">
        <v>151</v>
      </c>
      <c r="AJ886" s="19" t="s">
        <v>151</v>
      </c>
      <c r="AK886" s="25" t="s">
        <v>151</v>
      </c>
      <c r="AL886" s="25" t="s">
        <v>151</v>
      </c>
      <c r="AM886" s="25" t="s">
        <v>151</v>
      </c>
      <c r="AN886" s="25" t="s">
        <v>151</v>
      </c>
      <c r="AO886" s="25" t="s">
        <v>151</v>
      </c>
      <c r="AP886" s="25" t="s">
        <v>151</v>
      </c>
      <c r="AQ886" s="25" t="s">
        <v>151</v>
      </c>
      <c r="AR886" s="16" t="s">
        <v>151</v>
      </c>
      <c r="AS886" s="17" t="s">
        <v>17968</v>
      </c>
      <c r="AT886" s="17" t="s">
        <v>17969</v>
      </c>
      <c r="AU886" s="18">
        <v>10</v>
      </c>
      <c r="AV886" s="17" t="s">
        <v>151</v>
      </c>
      <c r="AW886" s="17" t="s">
        <v>151</v>
      </c>
      <c r="AX886" s="17" t="s">
        <v>151</v>
      </c>
      <c r="AY886" s="17" t="s">
        <v>17970</v>
      </c>
      <c r="AZ886" s="17" t="s">
        <v>151</v>
      </c>
      <c r="BA886" s="17" t="s">
        <v>151</v>
      </c>
      <c r="BB886" s="17" t="s">
        <v>151</v>
      </c>
      <c r="BC886" s="17" t="s">
        <v>151</v>
      </c>
      <c r="BD886" s="17" t="s">
        <v>17971</v>
      </c>
      <c r="BE886" s="17" t="s">
        <v>17972</v>
      </c>
      <c r="BF886" s="17" t="s">
        <v>282</v>
      </c>
      <c r="BG886" s="17" t="s">
        <v>17973</v>
      </c>
      <c r="BH886" s="17" t="s">
        <v>17974</v>
      </c>
      <c r="BI886" s="17" t="s">
        <v>1710</v>
      </c>
      <c r="BJ886" s="17" t="s">
        <v>8664</v>
      </c>
      <c r="BK886" s="17" t="s">
        <v>17975</v>
      </c>
      <c r="BL886" s="17" t="s">
        <v>1713</v>
      </c>
      <c r="BM886" s="17" t="s">
        <v>184</v>
      </c>
      <c r="BN886" s="16" t="s">
        <v>8666</v>
      </c>
      <c r="BO886" s="17" t="s">
        <v>186</v>
      </c>
      <c r="BP886" s="16" t="s">
        <v>17974</v>
      </c>
      <c r="BQ886" s="16" t="s">
        <v>151</v>
      </c>
      <c r="BR886" s="17" t="s">
        <v>17976</v>
      </c>
      <c r="BS886" s="17" t="s">
        <v>187</v>
      </c>
      <c r="BT886" s="17" t="s">
        <v>188</v>
      </c>
      <c r="BU886" s="22">
        <v>44662</v>
      </c>
      <c r="BV886" s="24">
        <v>3.4</v>
      </c>
      <c r="BW886" s="17" t="s">
        <v>192</v>
      </c>
      <c r="BX886" s="24" t="s">
        <v>151</v>
      </c>
      <c r="BY886" s="17" t="s">
        <v>151</v>
      </c>
      <c r="BZ886" s="17" t="s">
        <v>293</v>
      </c>
      <c r="CA886" s="17" t="s">
        <v>293</v>
      </c>
      <c r="CB886" s="17" t="s">
        <v>151</v>
      </c>
      <c r="CC886" s="17" t="s">
        <v>165</v>
      </c>
      <c r="CD886" s="17" t="s">
        <v>151</v>
      </c>
      <c r="CE886" s="17" t="s">
        <v>191</v>
      </c>
      <c r="CF886" s="22">
        <v>44662</v>
      </c>
      <c r="CG886" s="24">
        <v>3.4</v>
      </c>
      <c r="CH886" s="17" t="s">
        <v>192</v>
      </c>
      <c r="CI886" s="24" t="s">
        <v>151</v>
      </c>
      <c r="CJ886" s="17" t="s">
        <v>151</v>
      </c>
      <c r="CK886" s="16" t="s">
        <v>151</v>
      </c>
      <c r="CL886" s="17" t="s">
        <v>293</v>
      </c>
      <c r="CM886" s="17" t="s">
        <v>293</v>
      </c>
      <c r="CN886" s="17" t="s">
        <v>151</v>
      </c>
      <c r="CO886" s="17" t="s">
        <v>165</v>
      </c>
      <c r="CP886" s="22">
        <v>44662</v>
      </c>
      <c r="CQ886" s="24" t="s">
        <v>151</v>
      </c>
      <c r="CR886" s="17" t="s">
        <v>151</v>
      </c>
      <c r="CS886" s="17" t="s">
        <v>191</v>
      </c>
      <c r="CT886" s="16" t="s">
        <v>151</v>
      </c>
      <c r="CU886" s="17" t="s">
        <v>151</v>
      </c>
      <c r="CV886" s="19" t="s">
        <v>151</v>
      </c>
      <c r="CW886" s="19" t="s">
        <v>151</v>
      </c>
      <c r="CX886" s="17" t="s">
        <v>151</v>
      </c>
      <c r="CY886" s="19" t="s">
        <v>151</v>
      </c>
      <c r="CZ886" s="19" t="s">
        <v>151</v>
      </c>
      <c r="DA886" s="24" t="s">
        <v>151</v>
      </c>
      <c r="DB886" s="22" t="s">
        <v>151</v>
      </c>
      <c r="DC886" s="17" t="s">
        <v>151</v>
      </c>
      <c r="DD886" s="16" t="s">
        <v>151</v>
      </c>
      <c r="DE886" s="19">
        <v>0</v>
      </c>
      <c r="DF886" s="21">
        <v>11</v>
      </c>
      <c r="DG886" s="19">
        <v>0</v>
      </c>
      <c r="DH886" s="19">
        <v>0</v>
      </c>
      <c r="DI886" s="19">
        <v>0</v>
      </c>
      <c r="DJ886" s="21">
        <v>10</v>
      </c>
      <c r="DK886" s="19" t="s">
        <v>151</v>
      </c>
      <c r="DL886" s="21" t="s">
        <v>151</v>
      </c>
      <c r="DM886" s="19">
        <v>0</v>
      </c>
      <c r="DN886" s="21">
        <v>10</v>
      </c>
      <c r="DO886" s="23">
        <v>1.7</v>
      </c>
      <c r="DP886" s="21">
        <v>63</v>
      </c>
      <c r="DQ886" s="23">
        <v>0</v>
      </c>
      <c r="DR886" s="19">
        <v>0</v>
      </c>
      <c r="DS886" s="23">
        <v>2.79</v>
      </c>
      <c r="DT886" s="21">
        <v>73</v>
      </c>
      <c r="DU886" s="23" t="s">
        <v>151</v>
      </c>
      <c r="DV886" s="21" t="s">
        <v>151</v>
      </c>
      <c r="DW886" s="23">
        <v>2.79</v>
      </c>
      <c r="DX886" s="21">
        <v>72</v>
      </c>
      <c r="DY886" s="18" t="s">
        <v>151</v>
      </c>
      <c r="DZ886" s="22" t="s">
        <v>151</v>
      </c>
      <c r="EA886" s="22" t="s">
        <v>151</v>
      </c>
      <c r="EB886" s="21">
        <v>828</v>
      </c>
      <c r="EC886" s="20">
        <v>-38</v>
      </c>
      <c r="ED886" s="19">
        <v>-4.39</v>
      </c>
      <c r="EE886" s="21">
        <v>53</v>
      </c>
      <c r="EF886" s="20">
        <v>2</v>
      </c>
      <c r="EG886" s="19">
        <v>3.92</v>
      </c>
      <c r="EH886" s="16" t="s">
        <v>198</v>
      </c>
      <c r="EI886" s="17" t="s">
        <v>151</v>
      </c>
      <c r="EJ886" s="17" t="s">
        <v>151</v>
      </c>
      <c r="EK886" s="18" t="s">
        <v>151</v>
      </c>
      <c r="EL886" s="18" t="s">
        <v>151</v>
      </c>
      <c r="EM886" s="18" t="s">
        <v>151</v>
      </c>
      <c r="EN886" s="18" t="s">
        <v>151</v>
      </c>
      <c r="EO886" s="18" t="s">
        <v>151</v>
      </c>
      <c r="EP886" s="17" t="s">
        <v>151</v>
      </c>
      <c r="EQ886" s="16" t="s">
        <v>151</v>
      </c>
      <c r="ER886" s="16" t="s">
        <v>151</v>
      </c>
      <c r="ES886" s="3">
        <f>HYPERLINK("https://my.pitchbook.com?c=494154-91","View Company Online")</f>
      </c>
    </row>
    <row r="887">
      <c r="A887" s="30" t="s">
        <v>17977</v>
      </c>
      <c r="B887" s="30" t="s">
        <v>17978</v>
      </c>
      <c r="C887" s="31" t="s">
        <v>151</v>
      </c>
      <c r="D887" s="30" t="s">
        <v>151</v>
      </c>
      <c r="E887" s="30" t="s">
        <v>17979</v>
      </c>
      <c r="F887" s="30" t="s">
        <v>17980</v>
      </c>
      <c r="G887" s="30" t="s">
        <v>151</v>
      </c>
      <c r="H887" s="30" t="s">
        <v>151</v>
      </c>
      <c r="I887" s="30" t="s">
        <v>17981</v>
      </c>
      <c r="J887" s="30" t="s">
        <v>17977</v>
      </c>
      <c r="K887" s="30" t="s">
        <v>17982</v>
      </c>
      <c r="L887" s="30" t="s">
        <v>205</v>
      </c>
      <c r="M887" s="30" t="s">
        <v>206</v>
      </c>
      <c r="N887" s="30" t="s">
        <v>269</v>
      </c>
      <c r="O887" s="30" t="s">
        <v>3056</v>
      </c>
      <c r="P887" s="30" t="s">
        <v>1153</v>
      </c>
      <c r="Q887" s="30" t="s">
        <v>17983</v>
      </c>
      <c r="R887" s="30" t="s">
        <v>151</v>
      </c>
      <c r="S887" s="30" t="s">
        <v>162</v>
      </c>
      <c r="T887" s="37">
        <v>8.59</v>
      </c>
      <c r="U887" s="30" t="s">
        <v>163</v>
      </c>
      <c r="V887" s="30" t="s">
        <v>164</v>
      </c>
      <c r="W887" s="30" t="s">
        <v>165</v>
      </c>
      <c r="X887" s="28" t="s">
        <v>17984</v>
      </c>
      <c r="Y887" s="28" t="s">
        <v>17985</v>
      </c>
      <c r="Z887" s="40">
        <v>15</v>
      </c>
      <c r="AA887" s="30" t="s">
        <v>17986</v>
      </c>
      <c r="AB887" s="30" t="s">
        <v>151</v>
      </c>
      <c r="AC887" s="30" t="s">
        <v>151</v>
      </c>
      <c r="AD887" s="39">
        <v>2020</v>
      </c>
      <c r="AE887" s="30" t="s">
        <v>151</v>
      </c>
      <c r="AF887" s="35">
        <v>45447</v>
      </c>
      <c r="AG887" s="30" t="s">
        <v>151</v>
      </c>
      <c r="AH887" s="30" t="s">
        <v>151</v>
      </c>
      <c r="AI887" s="38" t="s">
        <v>151</v>
      </c>
      <c r="AJ887" s="32" t="s">
        <v>151</v>
      </c>
      <c r="AK887" s="38" t="s">
        <v>151</v>
      </c>
      <c r="AL887" s="38" t="s">
        <v>151</v>
      </c>
      <c r="AM887" s="38" t="s">
        <v>151</v>
      </c>
      <c r="AN887" s="38" t="s">
        <v>151</v>
      </c>
      <c r="AO887" s="38" t="s">
        <v>151</v>
      </c>
      <c r="AP887" s="38" t="s">
        <v>151</v>
      </c>
      <c r="AQ887" s="38" t="s">
        <v>151</v>
      </c>
      <c r="AR887" s="29" t="s">
        <v>151</v>
      </c>
      <c r="AS887" s="30" t="s">
        <v>17987</v>
      </c>
      <c r="AT887" s="30" t="s">
        <v>17988</v>
      </c>
      <c r="AU887" s="31">
        <v>7</v>
      </c>
      <c r="AV887" s="30" t="s">
        <v>151</v>
      </c>
      <c r="AW887" s="30" t="s">
        <v>151</v>
      </c>
      <c r="AX887" s="30" t="s">
        <v>151</v>
      </c>
      <c r="AY887" s="30" t="s">
        <v>17989</v>
      </c>
      <c r="AZ887" s="30" t="s">
        <v>151</v>
      </c>
      <c r="BA887" s="30" t="s">
        <v>151</v>
      </c>
      <c r="BB887" s="30" t="s">
        <v>2781</v>
      </c>
      <c r="BC887" s="30" t="s">
        <v>17990</v>
      </c>
      <c r="BD887" s="30" t="s">
        <v>17991</v>
      </c>
      <c r="BE887" s="30" t="s">
        <v>17992</v>
      </c>
      <c r="BF887" s="30" t="s">
        <v>3400</v>
      </c>
      <c r="BG887" s="30" t="s">
        <v>17993</v>
      </c>
      <c r="BH887" s="30" t="s">
        <v>17994</v>
      </c>
      <c r="BI887" s="30" t="s">
        <v>764</v>
      </c>
      <c r="BJ887" s="30" t="s">
        <v>3969</v>
      </c>
      <c r="BK887" s="30" t="s">
        <v>17995</v>
      </c>
      <c r="BL887" s="30" t="s">
        <v>767</v>
      </c>
      <c r="BM887" s="30" t="s">
        <v>184</v>
      </c>
      <c r="BN887" s="29" t="s">
        <v>794</v>
      </c>
      <c r="BO887" s="30" t="s">
        <v>186</v>
      </c>
      <c r="BP887" s="29" t="s">
        <v>17994</v>
      </c>
      <c r="BQ887" s="29" t="s">
        <v>151</v>
      </c>
      <c r="BR887" s="30" t="s">
        <v>151</v>
      </c>
      <c r="BS887" s="30" t="s">
        <v>187</v>
      </c>
      <c r="BT887" s="30" t="s">
        <v>188</v>
      </c>
      <c r="BU887" s="35">
        <v>44441</v>
      </c>
      <c r="BV887" s="37">
        <v>0.13</v>
      </c>
      <c r="BW887" s="30" t="s">
        <v>192</v>
      </c>
      <c r="BX887" s="37">
        <v>1.79</v>
      </c>
      <c r="BY887" s="30" t="s">
        <v>192</v>
      </c>
      <c r="BZ887" s="30" t="s">
        <v>189</v>
      </c>
      <c r="CA887" s="30" t="s">
        <v>151</v>
      </c>
      <c r="CB887" s="30" t="s">
        <v>151</v>
      </c>
      <c r="CC887" s="30" t="s">
        <v>190</v>
      </c>
      <c r="CD887" s="30" t="s">
        <v>151</v>
      </c>
      <c r="CE887" s="30" t="s">
        <v>191</v>
      </c>
      <c r="CF887" s="35">
        <v>45092</v>
      </c>
      <c r="CG887" s="37">
        <v>8.46</v>
      </c>
      <c r="CH887" s="30" t="s">
        <v>192</v>
      </c>
      <c r="CI887" s="37">
        <v>18.46</v>
      </c>
      <c r="CJ887" s="30" t="s">
        <v>192</v>
      </c>
      <c r="CK887" s="29" t="s">
        <v>151</v>
      </c>
      <c r="CL887" s="30" t="s">
        <v>293</v>
      </c>
      <c r="CM887" s="30" t="s">
        <v>293</v>
      </c>
      <c r="CN887" s="30" t="s">
        <v>151</v>
      </c>
      <c r="CO887" s="30" t="s">
        <v>165</v>
      </c>
      <c r="CP887" s="35">
        <v>45092</v>
      </c>
      <c r="CQ887" s="37" t="s">
        <v>151</v>
      </c>
      <c r="CR887" s="30" t="s">
        <v>151</v>
      </c>
      <c r="CS887" s="30" t="s">
        <v>191</v>
      </c>
      <c r="CT887" s="29" t="s">
        <v>151</v>
      </c>
      <c r="CU887" s="30" t="s">
        <v>151</v>
      </c>
      <c r="CV887" s="32" t="s">
        <v>151</v>
      </c>
      <c r="CW887" s="32" t="s">
        <v>151</v>
      </c>
      <c r="CX887" s="30" t="s">
        <v>151</v>
      </c>
      <c r="CY887" s="32" t="s">
        <v>151</v>
      </c>
      <c r="CZ887" s="32" t="s">
        <v>151</v>
      </c>
      <c r="DA887" s="37">
        <v>18.46</v>
      </c>
      <c r="DB887" s="35">
        <v>45092</v>
      </c>
      <c r="DC887" s="30" t="s">
        <v>293</v>
      </c>
      <c r="DD887" s="29" t="s">
        <v>151</v>
      </c>
      <c r="DE887" s="32">
        <v>0.46</v>
      </c>
      <c r="DF887" s="34">
        <v>94</v>
      </c>
      <c r="DG887" s="32">
        <v>0</v>
      </c>
      <c r="DH887" s="32">
        <v>0</v>
      </c>
      <c r="DI887" s="32">
        <v>0.46</v>
      </c>
      <c r="DJ887" s="34">
        <v>95</v>
      </c>
      <c r="DK887" s="32" t="s">
        <v>151</v>
      </c>
      <c r="DL887" s="34" t="s">
        <v>151</v>
      </c>
      <c r="DM887" s="32">
        <v>0.46</v>
      </c>
      <c r="DN887" s="34">
        <v>95</v>
      </c>
      <c r="DO887" s="36">
        <v>7.37</v>
      </c>
      <c r="DP887" s="34">
        <v>87</v>
      </c>
      <c r="DQ887" s="36">
        <v>0</v>
      </c>
      <c r="DR887" s="32">
        <v>0</v>
      </c>
      <c r="DS887" s="36">
        <v>7.37</v>
      </c>
      <c r="DT887" s="34">
        <v>87</v>
      </c>
      <c r="DU887" s="36" t="s">
        <v>151</v>
      </c>
      <c r="DV887" s="34" t="s">
        <v>151</v>
      </c>
      <c r="DW887" s="36">
        <v>7.37</v>
      </c>
      <c r="DX887" s="34">
        <v>87</v>
      </c>
      <c r="DY887" s="31" t="s">
        <v>151</v>
      </c>
      <c r="DZ887" s="35" t="s">
        <v>151</v>
      </c>
      <c r="EA887" s="35" t="s">
        <v>151</v>
      </c>
      <c r="EB887" s="34">
        <v>2584</v>
      </c>
      <c r="EC887" s="33">
        <v>-467</v>
      </c>
      <c r="ED887" s="32">
        <v>-15.31</v>
      </c>
      <c r="EE887" s="34">
        <v>140</v>
      </c>
      <c r="EF887" s="33">
        <v>1</v>
      </c>
      <c r="EG887" s="32">
        <v>0.72</v>
      </c>
      <c r="EH887" s="29" t="s">
        <v>198</v>
      </c>
      <c r="EI887" s="30" t="s">
        <v>151</v>
      </c>
      <c r="EJ887" s="30" t="s">
        <v>151</v>
      </c>
      <c r="EK887" s="31" t="s">
        <v>151</v>
      </c>
      <c r="EL887" s="31" t="s">
        <v>151</v>
      </c>
      <c r="EM887" s="31" t="s">
        <v>151</v>
      </c>
      <c r="EN887" s="31" t="s">
        <v>151</v>
      </c>
      <c r="EO887" s="31" t="s">
        <v>151</v>
      </c>
      <c r="EP887" s="30" t="s">
        <v>151</v>
      </c>
      <c r="EQ887" s="29" t="s">
        <v>151</v>
      </c>
      <c r="ER887" s="29" t="s">
        <v>151</v>
      </c>
      <c r="ES887" s="4">
        <f>HYPERLINK("https://my.pitchbook.com?c=483471-64","View Company Online")</f>
      </c>
    </row>
    <row r="888">
      <c r="A888" s="17" t="s">
        <v>17996</v>
      </c>
      <c r="B888" s="17" t="s">
        <v>17997</v>
      </c>
      <c r="C888" s="18" t="s">
        <v>151</v>
      </c>
      <c r="D888" s="17" t="s">
        <v>151</v>
      </c>
      <c r="E888" s="17" t="s">
        <v>17998</v>
      </c>
      <c r="F888" s="17" t="s">
        <v>17999</v>
      </c>
      <c r="G888" s="17" t="s">
        <v>151</v>
      </c>
      <c r="H888" s="17" t="s">
        <v>151</v>
      </c>
      <c r="I888" s="17" t="s">
        <v>151</v>
      </c>
      <c r="J888" s="17" t="s">
        <v>17996</v>
      </c>
      <c r="K888" s="17" t="s">
        <v>18000</v>
      </c>
      <c r="L888" s="17" t="s">
        <v>205</v>
      </c>
      <c r="M888" s="17" t="s">
        <v>206</v>
      </c>
      <c r="N888" s="17" t="s">
        <v>269</v>
      </c>
      <c r="O888" s="17" t="s">
        <v>891</v>
      </c>
      <c r="P888" s="17" t="s">
        <v>209</v>
      </c>
      <c r="Q888" s="17" t="s">
        <v>18001</v>
      </c>
      <c r="R888" s="17" t="s">
        <v>151</v>
      </c>
      <c r="S888" s="17" t="s">
        <v>162</v>
      </c>
      <c r="T888" s="24">
        <v>6.5</v>
      </c>
      <c r="U888" s="17" t="s">
        <v>163</v>
      </c>
      <c r="V888" s="17" t="s">
        <v>164</v>
      </c>
      <c r="W888" s="17" t="s">
        <v>165</v>
      </c>
      <c r="X888" s="15" t="s">
        <v>18002</v>
      </c>
      <c r="Y888" s="15" t="s">
        <v>18003</v>
      </c>
      <c r="Z888" s="27">
        <v>5</v>
      </c>
      <c r="AA888" s="17" t="s">
        <v>18004</v>
      </c>
      <c r="AB888" s="17" t="s">
        <v>151</v>
      </c>
      <c r="AC888" s="17" t="s">
        <v>151</v>
      </c>
      <c r="AD888" s="26">
        <v>2022</v>
      </c>
      <c r="AE888" s="17" t="s">
        <v>151</v>
      </c>
      <c r="AF888" s="22">
        <v>45587</v>
      </c>
      <c r="AG888" s="17" t="s">
        <v>151</v>
      </c>
      <c r="AH888" s="17" t="s">
        <v>151</v>
      </c>
      <c r="AI888" s="25" t="s">
        <v>151</v>
      </c>
      <c r="AJ888" s="19" t="s">
        <v>151</v>
      </c>
      <c r="AK888" s="25" t="s">
        <v>151</v>
      </c>
      <c r="AL888" s="25" t="s">
        <v>151</v>
      </c>
      <c r="AM888" s="25" t="s">
        <v>151</v>
      </c>
      <c r="AN888" s="25" t="s">
        <v>151</v>
      </c>
      <c r="AO888" s="25" t="s">
        <v>151</v>
      </c>
      <c r="AP888" s="25" t="s">
        <v>151</v>
      </c>
      <c r="AQ888" s="25" t="s">
        <v>151</v>
      </c>
      <c r="AR888" s="16" t="s">
        <v>151</v>
      </c>
      <c r="AS888" s="17" t="s">
        <v>18005</v>
      </c>
      <c r="AT888" s="17" t="s">
        <v>18006</v>
      </c>
      <c r="AU888" s="18">
        <v>4</v>
      </c>
      <c r="AV888" s="17" t="s">
        <v>151</v>
      </c>
      <c r="AW888" s="17" t="s">
        <v>151</v>
      </c>
      <c r="AX888" s="17" t="s">
        <v>151</v>
      </c>
      <c r="AY888" s="17" t="s">
        <v>18007</v>
      </c>
      <c r="AZ888" s="17" t="s">
        <v>151</v>
      </c>
      <c r="BA888" s="17" t="s">
        <v>151</v>
      </c>
      <c r="BB888" s="17" t="s">
        <v>151</v>
      </c>
      <c r="BC888" s="17" t="s">
        <v>151</v>
      </c>
      <c r="BD888" s="17" t="s">
        <v>18008</v>
      </c>
      <c r="BE888" s="17" t="s">
        <v>18009</v>
      </c>
      <c r="BF888" s="17" t="s">
        <v>403</v>
      </c>
      <c r="BG888" s="17" t="s">
        <v>151</v>
      </c>
      <c r="BH888" s="17" t="s">
        <v>151</v>
      </c>
      <c r="BI888" s="17" t="s">
        <v>906</v>
      </c>
      <c r="BJ888" s="17" t="s">
        <v>6047</v>
      </c>
      <c r="BK888" s="17" t="s">
        <v>5129</v>
      </c>
      <c r="BL888" s="17" t="s">
        <v>259</v>
      </c>
      <c r="BM888" s="17" t="s">
        <v>259</v>
      </c>
      <c r="BN888" s="16" t="s">
        <v>18010</v>
      </c>
      <c r="BO888" s="17" t="s">
        <v>186</v>
      </c>
      <c r="BP888" s="16" t="s">
        <v>151</v>
      </c>
      <c r="BQ888" s="16" t="s">
        <v>151</v>
      </c>
      <c r="BR888" s="17" t="s">
        <v>151</v>
      </c>
      <c r="BS888" s="17" t="s">
        <v>187</v>
      </c>
      <c r="BT888" s="17" t="s">
        <v>188</v>
      </c>
      <c r="BU888" s="22">
        <v>44774</v>
      </c>
      <c r="BV888" s="24">
        <v>6.5</v>
      </c>
      <c r="BW888" s="17" t="s">
        <v>192</v>
      </c>
      <c r="BX888" s="24" t="s">
        <v>151</v>
      </c>
      <c r="BY888" s="17" t="s">
        <v>151</v>
      </c>
      <c r="BZ888" s="17" t="s">
        <v>293</v>
      </c>
      <c r="CA888" s="17" t="s">
        <v>293</v>
      </c>
      <c r="CB888" s="17" t="s">
        <v>151</v>
      </c>
      <c r="CC888" s="17" t="s">
        <v>165</v>
      </c>
      <c r="CD888" s="17" t="s">
        <v>151</v>
      </c>
      <c r="CE888" s="17" t="s">
        <v>191</v>
      </c>
      <c r="CF888" s="22">
        <v>44774</v>
      </c>
      <c r="CG888" s="24">
        <v>6.5</v>
      </c>
      <c r="CH888" s="17" t="s">
        <v>192</v>
      </c>
      <c r="CI888" s="24" t="s">
        <v>151</v>
      </c>
      <c r="CJ888" s="17" t="s">
        <v>151</v>
      </c>
      <c r="CK888" s="16" t="s">
        <v>151</v>
      </c>
      <c r="CL888" s="17" t="s">
        <v>293</v>
      </c>
      <c r="CM888" s="17" t="s">
        <v>293</v>
      </c>
      <c r="CN888" s="17" t="s">
        <v>151</v>
      </c>
      <c r="CO888" s="17" t="s">
        <v>165</v>
      </c>
      <c r="CP888" s="22">
        <v>44774</v>
      </c>
      <c r="CQ888" s="24" t="s">
        <v>151</v>
      </c>
      <c r="CR888" s="17" t="s">
        <v>151</v>
      </c>
      <c r="CS888" s="17" t="s">
        <v>191</v>
      </c>
      <c r="CT888" s="16" t="s">
        <v>151</v>
      </c>
      <c r="CU888" s="17" t="s">
        <v>151</v>
      </c>
      <c r="CV888" s="19" t="s">
        <v>151</v>
      </c>
      <c r="CW888" s="19" t="s">
        <v>151</v>
      </c>
      <c r="CX888" s="17" t="s">
        <v>151</v>
      </c>
      <c r="CY888" s="19" t="s">
        <v>151</v>
      </c>
      <c r="CZ888" s="19" t="s">
        <v>151</v>
      </c>
      <c r="DA888" s="24" t="s">
        <v>151</v>
      </c>
      <c r="DB888" s="22" t="s">
        <v>151</v>
      </c>
      <c r="DC888" s="17" t="s">
        <v>151</v>
      </c>
      <c r="DD888" s="16" t="s">
        <v>151</v>
      </c>
      <c r="DE888" s="19">
        <v>0</v>
      </c>
      <c r="DF888" s="21">
        <v>11</v>
      </c>
      <c r="DG888" s="19">
        <v>0</v>
      </c>
      <c r="DH888" s="19">
        <v>0</v>
      </c>
      <c r="DI888" s="19">
        <v>0</v>
      </c>
      <c r="DJ888" s="21">
        <v>10</v>
      </c>
      <c r="DK888" s="19">
        <v>0</v>
      </c>
      <c r="DL888" s="21">
        <v>11</v>
      </c>
      <c r="DM888" s="19">
        <v>0</v>
      </c>
      <c r="DN888" s="21">
        <v>10</v>
      </c>
      <c r="DO888" s="23">
        <v>0.82</v>
      </c>
      <c r="DP888" s="21">
        <v>45</v>
      </c>
      <c r="DQ888" s="23">
        <v>0</v>
      </c>
      <c r="DR888" s="19">
        <v>0</v>
      </c>
      <c r="DS888" s="23">
        <v>1.25</v>
      </c>
      <c r="DT888" s="21">
        <v>55</v>
      </c>
      <c r="DU888" s="23">
        <v>1.19</v>
      </c>
      <c r="DV888" s="21">
        <v>59</v>
      </c>
      <c r="DW888" s="23">
        <v>1.32</v>
      </c>
      <c r="DX888" s="21">
        <v>56</v>
      </c>
      <c r="DY888" s="18" t="s">
        <v>151</v>
      </c>
      <c r="DZ888" s="22" t="s">
        <v>151</v>
      </c>
      <c r="EA888" s="22" t="s">
        <v>151</v>
      </c>
      <c r="EB888" s="21">
        <v>0</v>
      </c>
      <c r="EC888" s="20">
        <v>0</v>
      </c>
      <c r="ED888" s="19">
        <v>0</v>
      </c>
      <c r="EE888" s="21">
        <v>25</v>
      </c>
      <c r="EF888" s="20">
        <v>0</v>
      </c>
      <c r="EG888" s="19">
        <v>0</v>
      </c>
      <c r="EH888" s="16" t="s">
        <v>198</v>
      </c>
      <c r="EI888" s="17" t="s">
        <v>151</v>
      </c>
      <c r="EJ888" s="17" t="s">
        <v>151</v>
      </c>
      <c r="EK888" s="18" t="s">
        <v>151</v>
      </c>
      <c r="EL888" s="18" t="s">
        <v>151</v>
      </c>
      <c r="EM888" s="18" t="s">
        <v>151</v>
      </c>
      <c r="EN888" s="18" t="s">
        <v>151</v>
      </c>
      <c r="EO888" s="18" t="s">
        <v>151</v>
      </c>
      <c r="EP888" s="17" t="s">
        <v>151</v>
      </c>
      <c r="EQ888" s="16" t="s">
        <v>151</v>
      </c>
      <c r="ER888" s="16" t="s">
        <v>151</v>
      </c>
      <c r="ES888" s="3">
        <f>HYPERLINK("https://my.pitchbook.com?c=513025-57","View Company Online")</f>
      </c>
    </row>
    <row r="889">
      <c r="A889" s="30" t="s">
        <v>18011</v>
      </c>
      <c r="B889" s="30" t="s">
        <v>18012</v>
      </c>
      <c r="C889" s="31" t="s">
        <v>151</v>
      </c>
      <c r="D889" s="30" t="s">
        <v>151</v>
      </c>
      <c r="E889" s="30" t="s">
        <v>18013</v>
      </c>
      <c r="F889" s="30" t="s">
        <v>18014</v>
      </c>
      <c r="G889" s="30" t="s">
        <v>151</v>
      </c>
      <c r="H889" s="30" t="s">
        <v>151</v>
      </c>
      <c r="I889" s="30" t="s">
        <v>151</v>
      </c>
      <c r="J889" s="30" t="s">
        <v>18011</v>
      </c>
      <c r="K889" s="30" t="s">
        <v>18015</v>
      </c>
      <c r="L889" s="30" t="s">
        <v>205</v>
      </c>
      <c r="M889" s="30" t="s">
        <v>206</v>
      </c>
      <c r="N889" s="30" t="s">
        <v>998</v>
      </c>
      <c r="O889" s="30" t="s">
        <v>18016</v>
      </c>
      <c r="P889" s="30" t="s">
        <v>18017</v>
      </c>
      <c r="Q889" s="30" t="s">
        <v>18018</v>
      </c>
      <c r="R889" s="30" t="s">
        <v>151</v>
      </c>
      <c r="S889" s="30" t="s">
        <v>162</v>
      </c>
      <c r="T889" s="37">
        <v>4</v>
      </c>
      <c r="U889" s="30" t="s">
        <v>163</v>
      </c>
      <c r="V889" s="30" t="s">
        <v>164</v>
      </c>
      <c r="W889" s="30" t="s">
        <v>165</v>
      </c>
      <c r="X889" s="28" t="s">
        <v>18019</v>
      </c>
      <c r="Y889" s="28" t="s">
        <v>18020</v>
      </c>
      <c r="Z889" s="40" t="s">
        <v>151</v>
      </c>
      <c r="AA889" s="30" t="s">
        <v>151</v>
      </c>
      <c r="AB889" s="30" t="s">
        <v>151</v>
      </c>
      <c r="AC889" s="30" t="s">
        <v>151</v>
      </c>
      <c r="AD889" s="39">
        <v>2023</v>
      </c>
      <c r="AE889" s="30" t="s">
        <v>151</v>
      </c>
      <c r="AF889" s="35">
        <v>45596</v>
      </c>
      <c r="AG889" s="30" t="s">
        <v>151</v>
      </c>
      <c r="AH889" s="30" t="s">
        <v>151</v>
      </c>
      <c r="AI889" s="38" t="s">
        <v>151</v>
      </c>
      <c r="AJ889" s="32" t="s">
        <v>151</v>
      </c>
      <c r="AK889" s="38" t="s">
        <v>151</v>
      </c>
      <c r="AL889" s="38" t="s">
        <v>151</v>
      </c>
      <c r="AM889" s="38" t="s">
        <v>151</v>
      </c>
      <c r="AN889" s="38" t="s">
        <v>151</v>
      </c>
      <c r="AO889" s="38" t="s">
        <v>151</v>
      </c>
      <c r="AP889" s="38" t="s">
        <v>151</v>
      </c>
      <c r="AQ889" s="38" t="s">
        <v>151</v>
      </c>
      <c r="AR889" s="29" t="s">
        <v>151</v>
      </c>
      <c r="AS889" s="30" t="s">
        <v>18021</v>
      </c>
      <c r="AT889" s="30" t="s">
        <v>18022</v>
      </c>
      <c r="AU889" s="31">
        <v>8</v>
      </c>
      <c r="AV889" s="30" t="s">
        <v>151</v>
      </c>
      <c r="AW889" s="30" t="s">
        <v>151</v>
      </c>
      <c r="AX889" s="30" t="s">
        <v>151</v>
      </c>
      <c r="AY889" s="30" t="s">
        <v>18023</v>
      </c>
      <c r="AZ889" s="30" t="s">
        <v>151</v>
      </c>
      <c r="BA889" s="30" t="s">
        <v>151</v>
      </c>
      <c r="BB889" s="30" t="s">
        <v>151</v>
      </c>
      <c r="BC889" s="30" t="s">
        <v>151</v>
      </c>
      <c r="BD889" s="30" t="s">
        <v>18024</v>
      </c>
      <c r="BE889" s="30" t="s">
        <v>18025</v>
      </c>
      <c r="BF889" s="30" t="s">
        <v>403</v>
      </c>
      <c r="BG889" s="30" t="s">
        <v>18026</v>
      </c>
      <c r="BH889" s="30" t="s">
        <v>151</v>
      </c>
      <c r="BI889" s="30" t="s">
        <v>764</v>
      </c>
      <c r="BJ889" s="30" t="s">
        <v>18027</v>
      </c>
      <c r="BK889" s="30" t="s">
        <v>18028</v>
      </c>
      <c r="BL889" s="30" t="s">
        <v>767</v>
      </c>
      <c r="BM889" s="30" t="s">
        <v>184</v>
      </c>
      <c r="BN889" s="29" t="s">
        <v>3049</v>
      </c>
      <c r="BO889" s="30" t="s">
        <v>186</v>
      </c>
      <c r="BP889" s="29" t="s">
        <v>151</v>
      </c>
      <c r="BQ889" s="29" t="s">
        <v>151</v>
      </c>
      <c r="BR889" s="30" t="s">
        <v>151</v>
      </c>
      <c r="BS889" s="30" t="s">
        <v>187</v>
      </c>
      <c r="BT889" s="30" t="s">
        <v>188</v>
      </c>
      <c r="BU889" s="35">
        <v>45236</v>
      </c>
      <c r="BV889" s="37" t="s">
        <v>151</v>
      </c>
      <c r="BW889" s="30" t="s">
        <v>151</v>
      </c>
      <c r="BX889" s="37" t="s">
        <v>151</v>
      </c>
      <c r="BY889" s="30" t="s">
        <v>151</v>
      </c>
      <c r="BZ889" s="30" t="s">
        <v>189</v>
      </c>
      <c r="CA889" s="30" t="s">
        <v>151</v>
      </c>
      <c r="CB889" s="30" t="s">
        <v>151</v>
      </c>
      <c r="CC889" s="30" t="s">
        <v>190</v>
      </c>
      <c r="CD889" s="30" t="s">
        <v>151</v>
      </c>
      <c r="CE889" s="30" t="s">
        <v>191</v>
      </c>
      <c r="CF889" s="35">
        <v>45595</v>
      </c>
      <c r="CG889" s="37">
        <v>4</v>
      </c>
      <c r="CH889" s="30" t="s">
        <v>192</v>
      </c>
      <c r="CI889" s="37" t="s">
        <v>151</v>
      </c>
      <c r="CJ889" s="30" t="s">
        <v>151</v>
      </c>
      <c r="CK889" s="29" t="s">
        <v>151</v>
      </c>
      <c r="CL889" s="30" t="s">
        <v>293</v>
      </c>
      <c r="CM889" s="30" t="s">
        <v>293</v>
      </c>
      <c r="CN889" s="30" t="s">
        <v>151</v>
      </c>
      <c r="CO889" s="30" t="s">
        <v>165</v>
      </c>
      <c r="CP889" s="35">
        <v>45595</v>
      </c>
      <c r="CQ889" s="37" t="s">
        <v>151</v>
      </c>
      <c r="CR889" s="30" t="s">
        <v>151</v>
      </c>
      <c r="CS889" s="30" t="s">
        <v>191</v>
      </c>
      <c r="CT889" s="29" t="s">
        <v>151</v>
      </c>
      <c r="CU889" s="30" t="s">
        <v>151</v>
      </c>
      <c r="CV889" s="32" t="s">
        <v>151</v>
      </c>
      <c r="CW889" s="32" t="s">
        <v>151</v>
      </c>
      <c r="CX889" s="30" t="s">
        <v>151</v>
      </c>
      <c r="CY889" s="32" t="s">
        <v>151</v>
      </c>
      <c r="CZ889" s="32" t="s">
        <v>151</v>
      </c>
      <c r="DA889" s="37" t="s">
        <v>151</v>
      </c>
      <c r="DB889" s="35" t="s">
        <v>151</v>
      </c>
      <c r="DC889" s="30" t="s">
        <v>151</v>
      </c>
      <c r="DD889" s="29" t="s">
        <v>151</v>
      </c>
      <c r="DE889" s="32">
        <v>0</v>
      </c>
      <c r="DF889" s="34">
        <v>11</v>
      </c>
      <c r="DG889" s="32">
        <v>0</v>
      </c>
      <c r="DH889" s="32">
        <v>0</v>
      </c>
      <c r="DI889" s="32">
        <v>0</v>
      </c>
      <c r="DJ889" s="34">
        <v>10</v>
      </c>
      <c r="DK889" s="32" t="s">
        <v>151</v>
      </c>
      <c r="DL889" s="34" t="s">
        <v>151</v>
      </c>
      <c r="DM889" s="32">
        <v>0</v>
      </c>
      <c r="DN889" s="34">
        <v>10</v>
      </c>
      <c r="DO889" s="36">
        <v>4.79</v>
      </c>
      <c r="DP889" s="34">
        <v>82</v>
      </c>
      <c r="DQ889" s="36">
        <v>0</v>
      </c>
      <c r="DR889" s="32">
        <v>0</v>
      </c>
      <c r="DS889" s="36">
        <v>4.79</v>
      </c>
      <c r="DT889" s="34">
        <v>82</v>
      </c>
      <c r="DU889" s="36" t="s">
        <v>151</v>
      </c>
      <c r="DV889" s="34" t="s">
        <v>151</v>
      </c>
      <c r="DW889" s="36">
        <v>4.79</v>
      </c>
      <c r="DX889" s="34">
        <v>81</v>
      </c>
      <c r="DY889" s="31" t="s">
        <v>151</v>
      </c>
      <c r="DZ889" s="35" t="s">
        <v>151</v>
      </c>
      <c r="EA889" s="35" t="s">
        <v>151</v>
      </c>
      <c r="EB889" s="34" t="s">
        <v>151</v>
      </c>
      <c r="EC889" s="33" t="s">
        <v>151</v>
      </c>
      <c r="ED889" s="32" t="s">
        <v>151</v>
      </c>
      <c r="EE889" s="34">
        <v>91</v>
      </c>
      <c r="EF889" s="33">
        <v>0</v>
      </c>
      <c r="EG889" s="32">
        <v>0</v>
      </c>
      <c r="EH889" s="29" t="s">
        <v>198</v>
      </c>
      <c r="EI889" s="30" t="s">
        <v>151</v>
      </c>
      <c r="EJ889" s="30" t="s">
        <v>151</v>
      </c>
      <c r="EK889" s="31" t="s">
        <v>151</v>
      </c>
      <c r="EL889" s="31" t="s">
        <v>151</v>
      </c>
      <c r="EM889" s="31" t="s">
        <v>151</v>
      </c>
      <c r="EN889" s="31" t="s">
        <v>151</v>
      </c>
      <c r="EO889" s="31" t="s">
        <v>151</v>
      </c>
      <c r="EP889" s="30" t="s">
        <v>151</v>
      </c>
      <c r="EQ889" s="29" t="s">
        <v>151</v>
      </c>
      <c r="ER889" s="29" t="s">
        <v>151</v>
      </c>
      <c r="ES889" s="4">
        <f>HYPERLINK("https://my.pitchbook.com?c=593870-77","View Company Online")</f>
      </c>
    </row>
    <row r="890">
      <c r="A890" s="17" t="s">
        <v>18029</v>
      </c>
      <c r="B890" s="17" t="s">
        <v>18030</v>
      </c>
      <c r="C890" s="18" t="s">
        <v>151</v>
      </c>
      <c r="D890" s="17" t="s">
        <v>151</v>
      </c>
      <c r="E890" s="17" t="s">
        <v>151</v>
      </c>
      <c r="F890" s="17" t="s">
        <v>18031</v>
      </c>
      <c r="G890" s="17" t="s">
        <v>151</v>
      </c>
      <c r="H890" s="17" t="s">
        <v>151</v>
      </c>
      <c r="I890" s="17" t="s">
        <v>151</v>
      </c>
      <c r="J890" s="17" t="s">
        <v>18029</v>
      </c>
      <c r="K890" s="17" t="s">
        <v>18032</v>
      </c>
      <c r="L890" s="17" t="s">
        <v>205</v>
      </c>
      <c r="M890" s="17" t="s">
        <v>206</v>
      </c>
      <c r="N890" s="17" t="s">
        <v>269</v>
      </c>
      <c r="O890" s="17" t="s">
        <v>18033</v>
      </c>
      <c r="P890" s="17" t="s">
        <v>13790</v>
      </c>
      <c r="Q890" s="17" t="s">
        <v>18034</v>
      </c>
      <c r="R890" s="17" t="s">
        <v>151</v>
      </c>
      <c r="S890" s="17" t="s">
        <v>162</v>
      </c>
      <c r="T890" s="24">
        <v>0.2</v>
      </c>
      <c r="U890" s="17" t="s">
        <v>1727</v>
      </c>
      <c r="V890" s="17" t="s">
        <v>164</v>
      </c>
      <c r="W890" s="17" t="s">
        <v>165</v>
      </c>
      <c r="X890" s="15" t="s">
        <v>18035</v>
      </c>
      <c r="Y890" s="15" t="s">
        <v>151</v>
      </c>
      <c r="Z890" s="27" t="s">
        <v>151</v>
      </c>
      <c r="AA890" s="17" t="s">
        <v>151</v>
      </c>
      <c r="AB890" s="17" t="s">
        <v>151</v>
      </c>
      <c r="AC890" s="17" t="s">
        <v>151</v>
      </c>
      <c r="AD890" s="26">
        <v>2024</v>
      </c>
      <c r="AE890" s="17" t="s">
        <v>151</v>
      </c>
      <c r="AF890" s="22">
        <v>45588</v>
      </c>
      <c r="AG890" s="17" t="s">
        <v>151</v>
      </c>
      <c r="AH890" s="17" t="s">
        <v>151</v>
      </c>
      <c r="AI890" s="25" t="s">
        <v>151</v>
      </c>
      <c r="AJ890" s="19" t="s">
        <v>151</v>
      </c>
      <c r="AK890" s="25" t="s">
        <v>151</v>
      </c>
      <c r="AL890" s="25" t="s">
        <v>151</v>
      </c>
      <c r="AM890" s="25" t="s">
        <v>151</v>
      </c>
      <c r="AN890" s="25" t="s">
        <v>151</v>
      </c>
      <c r="AO890" s="25" t="s">
        <v>151</v>
      </c>
      <c r="AP890" s="25" t="s">
        <v>151</v>
      </c>
      <c r="AQ890" s="25" t="s">
        <v>151</v>
      </c>
      <c r="AR890" s="16" t="s">
        <v>151</v>
      </c>
      <c r="AS890" s="17" t="s">
        <v>18036</v>
      </c>
      <c r="AT890" s="17" t="s">
        <v>18037</v>
      </c>
      <c r="AU890" s="18">
        <v>2</v>
      </c>
      <c r="AV890" s="17" t="s">
        <v>151</v>
      </c>
      <c r="AW890" s="17" t="s">
        <v>151</v>
      </c>
      <c r="AX890" s="17" t="s">
        <v>151</v>
      </c>
      <c r="AY890" s="17" t="s">
        <v>18038</v>
      </c>
      <c r="AZ890" s="17" t="s">
        <v>151</v>
      </c>
      <c r="BA890" s="17" t="s">
        <v>151</v>
      </c>
      <c r="BB890" s="17" t="s">
        <v>151</v>
      </c>
      <c r="BC890" s="17" t="s">
        <v>151</v>
      </c>
      <c r="BD890" s="17" t="s">
        <v>18039</v>
      </c>
      <c r="BE890" s="17" t="s">
        <v>18040</v>
      </c>
      <c r="BF890" s="17" t="s">
        <v>3087</v>
      </c>
      <c r="BG890" s="17" t="s">
        <v>18041</v>
      </c>
      <c r="BH890" s="17" t="s">
        <v>151</v>
      </c>
      <c r="BI890" s="17" t="s">
        <v>1144</v>
      </c>
      <c r="BJ890" s="17" t="s">
        <v>18042</v>
      </c>
      <c r="BK890" s="17" t="s">
        <v>18043</v>
      </c>
      <c r="BL890" s="17" t="s">
        <v>1145</v>
      </c>
      <c r="BM890" s="17" t="s">
        <v>184</v>
      </c>
      <c r="BN890" s="16" t="s">
        <v>18044</v>
      </c>
      <c r="BO890" s="17" t="s">
        <v>186</v>
      </c>
      <c r="BP890" s="16" t="s">
        <v>151</v>
      </c>
      <c r="BQ890" s="16" t="s">
        <v>151</v>
      </c>
      <c r="BR890" s="17" t="s">
        <v>151</v>
      </c>
      <c r="BS890" s="17" t="s">
        <v>187</v>
      </c>
      <c r="BT890" s="17" t="s">
        <v>188</v>
      </c>
      <c r="BU890" s="22">
        <v>45383</v>
      </c>
      <c r="BV890" s="24">
        <v>0.2</v>
      </c>
      <c r="BW890" s="17" t="s">
        <v>193</v>
      </c>
      <c r="BX890" s="24">
        <v>0.8</v>
      </c>
      <c r="BY890" s="17" t="s">
        <v>193</v>
      </c>
      <c r="BZ890" s="17" t="s">
        <v>293</v>
      </c>
      <c r="CA890" s="17" t="s">
        <v>472</v>
      </c>
      <c r="CB890" s="17" t="s">
        <v>151</v>
      </c>
      <c r="CC890" s="17" t="s">
        <v>165</v>
      </c>
      <c r="CD890" s="17" t="s">
        <v>151</v>
      </c>
      <c r="CE890" s="17" t="s">
        <v>191</v>
      </c>
      <c r="CF890" s="22">
        <v>45383</v>
      </c>
      <c r="CG890" s="24">
        <v>0.2</v>
      </c>
      <c r="CH890" s="17" t="s">
        <v>193</v>
      </c>
      <c r="CI890" s="24">
        <v>0.8</v>
      </c>
      <c r="CJ890" s="17" t="s">
        <v>193</v>
      </c>
      <c r="CK890" s="16" t="s">
        <v>151</v>
      </c>
      <c r="CL890" s="17" t="s">
        <v>293</v>
      </c>
      <c r="CM890" s="17" t="s">
        <v>472</v>
      </c>
      <c r="CN890" s="17" t="s">
        <v>151</v>
      </c>
      <c r="CO890" s="17" t="s">
        <v>165</v>
      </c>
      <c r="CP890" s="22">
        <v>45383</v>
      </c>
      <c r="CQ890" s="24" t="s">
        <v>151</v>
      </c>
      <c r="CR890" s="17" t="s">
        <v>151</v>
      </c>
      <c r="CS890" s="17" t="s">
        <v>191</v>
      </c>
      <c r="CT890" s="16" t="s">
        <v>151</v>
      </c>
      <c r="CU890" s="17" t="s">
        <v>151</v>
      </c>
      <c r="CV890" s="19" t="s">
        <v>151</v>
      </c>
      <c r="CW890" s="19" t="s">
        <v>151</v>
      </c>
      <c r="CX890" s="17" t="s">
        <v>151</v>
      </c>
      <c r="CY890" s="19" t="s">
        <v>151</v>
      </c>
      <c r="CZ890" s="19" t="s">
        <v>151</v>
      </c>
      <c r="DA890" s="24">
        <v>0.8</v>
      </c>
      <c r="DB890" s="22">
        <v>45383</v>
      </c>
      <c r="DC890" s="17" t="s">
        <v>293</v>
      </c>
      <c r="DD890" s="16" t="s">
        <v>151</v>
      </c>
      <c r="DE890" s="19">
        <v>0</v>
      </c>
      <c r="DF890" s="21">
        <v>11</v>
      </c>
      <c r="DG890" s="19">
        <v>0</v>
      </c>
      <c r="DH890" s="19">
        <v>0</v>
      </c>
      <c r="DI890" s="19">
        <v>0</v>
      </c>
      <c r="DJ890" s="21">
        <v>10</v>
      </c>
      <c r="DK890" s="19">
        <v>0</v>
      </c>
      <c r="DL890" s="21">
        <v>11</v>
      </c>
      <c r="DM890" s="19">
        <v>0</v>
      </c>
      <c r="DN890" s="21">
        <v>10</v>
      </c>
      <c r="DO890" s="23">
        <v>0.51</v>
      </c>
      <c r="DP890" s="21">
        <v>33</v>
      </c>
      <c r="DQ890" s="23">
        <v>0</v>
      </c>
      <c r="DR890" s="19">
        <v>0</v>
      </c>
      <c r="DS890" s="23">
        <v>0.51</v>
      </c>
      <c r="DT890" s="21">
        <v>34</v>
      </c>
      <c r="DU890" s="23">
        <v>0.54</v>
      </c>
      <c r="DV890" s="21">
        <v>35</v>
      </c>
      <c r="DW890" s="23">
        <v>0.47</v>
      </c>
      <c r="DX890" s="21">
        <v>31</v>
      </c>
      <c r="DY890" s="18" t="s">
        <v>151</v>
      </c>
      <c r="DZ890" s="22" t="s">
        <v>151</v>
      </c>
      <c r="EA890" s="22" t="s">
        <v>151</v>
      </c>
      <c r="EB890" s="21">
        <v>0</v>
      </c>
      <c r="EC890" s="20">
        <v>0</v>
      </c>
      <c r="ED890" s="19">
        <v>0</v>
      </c>
      <c r="EE890" s="21">
        <v>9</v>
      </c>
      <c r="EF890" s="20">
        <v>0</v>
      </c>
      <c r="EG890" s="19">
        <v>0</v>
      </c>
      <c r="EH890" s="16" t="s">
        <v>198</v>
      </c>
      <c r="EI890" s="17" t="s">
        <v>151</v>
      </c>
      <c r="EJ890" s="17" t="s">
        <v>151</v>
      </c>
      <c r="EK890" s="18" t="s">
        <v>151</v>
      </c>
      <c r="EL890" s="18" t="s">
        <v>151</v>
      </c>
      <c r="EM890" s="18" t="s">
        <v>151</v>
      </c>
      <c r="EN890" s="18" t="s">
        <v>151</v>
      </c>
      <c r="EO890" s="18" t="s">
        <v>151</v>
      </c>
      <c r="EP890" s="17" t="s">
        <v>151</v>
      </c>
      <c r="EQ890" s="16" t="s">
        <v>151</v>
      </c>
      <c r="ER890" s="16" t="s">
        <v>151</v>
      </c>
      <c r="ES890" s="3">
        <f>HYPERLINK("https://my.pitchbook.com?c=594260-47","View Company Online")</f>
      </c>
    </row>
    <row r="891">
      <c r="A891" s="30" t="s">
        <v>18045</v>
      </c>
      <c r="B891" s="30" t="s">
        <v>18046</v>
      </c>
      <c r="C891" s="31" t="s">
        <v>151</v>
      </c>
      <c r="D891" s="30" t="s">
        <v>151</v>
      </c>
      <c r="E891" s="30" t="s">
        <v>18047</v>
      </c>
      <c r="F891" s="30" t="s">
        <v>18048</v>
      </c>
      <c r="G891" s="30" t="s">
        <v>151</v>
      </c>
      <c r="H891" s="30" t="s">
        <v>151</v>
      </c>
      <c r="I891" s="30" t="s">
        <v>151</v>
      </c>
      <c r="J891" s="30" t="s">
        <v>18045</v>
      </c>
      <c r="K891" s="30" t="s">
        <v>18049</v>
      </c>
      <c r="L891" s="30" t="s">
        <v>616</v>
      </c>
      <c r="M891" s="30" t="s">
        <v>834</v>
      </c>
      <c r="N891" s="30" t="s">
        <v>835</v>
      </c>
      <c r="O891" s="30" t="s">
        <v>18050</v>
      </c>
      <c r="P891" s="30" t="s">
        <v>15941</v>
      </c>
      <c r="Q891" s="30" t="s">
        <v>18051</v>
      </c>
      <c r="R891" s="30" t="s">
        <v>151</v>
      </c>
      <c r="S891" s="30" t="s">
        <v>162</v>
      </c>
      <c r="T891" s="37">
        <v>5.34</v>
      </c>
      <c r="U891" s="30" t="s">
        <v>163</v>
      </c>
      <c r="V891" s="30" t="s">
        <v>164</v>
      </c>
      <c r="W891" s="30" t="s">
        <v>165</v>
      </c>
      <c r="X891" s="28" t="s">
        <v>18052</v>
      </c>
      <c r="Y891" s="28" t="s">
        <v>151</v>
      </c>
      <c r="Z891" s="40" t="s">
        <v>151</v>
      </c>
      <c r="AA891" s="30" t="s">
        <v>151</v>
      </c>
      <c r="AB891" s="30" t="s">
        <v>151</v>
      </c>
      <c r="AC891" s="30" t="s">
        <v>151</v>
      </c>
      <c r="AD891" s="39">
        <v>2019</v>
      </c>
      <c r="AE891" s="30" t="s">
        <v>151</v>
      </c>
      <c r="AF891" s="35">
        <v>45481</v>
      </c>
      <c r="AG891" s="30" t="s">
        <v>151</v>
      </c>
      <c r="AH891" s="30" t="s">
        <v>151</v>
      </c>
      <c r="AI891" s="38" t="s">
        <v>151</v>
      </c>
      <c r="AJ891" s="32" t="s">
        <v>151</v>
      </c>
      <c r="AK891" s="38" t="s">
        <v>151</v>
      </c>
      <c r="AL891" s="38" t="s">
        <v>151</v>
      </c>
      <c r="AM891" s="38" t="s">
        <v>151</v>
      </c>
      <c r="AN891" s="38" t="s">
        <v>151</v>
      </c>
      <c r="AO891" s="38" t="s">
        <v>151</v>
      </c>
      <c r="AP891" s="38" t="s">
        <v>151</v>
      </c>
      <c r="AQ891" s="38" t="s">
        <v>151</v>
      </c>
      <c r="AR891" s="29" t="s">
        <v>151</v>
      </c>
      <c r="AS891" s="30" t="s">
        <v>18053</v>
      </c>
      <c r="AT891" s="30" t="s">
        <v>18054</v>
      </c>
      <c r="AU891" s="31">
        <v>5</v>
      </c>
      <c r="AV891" s="30" t="s">
        <v>151</v>
      </c>
      <c r="AW891" s="30" t="s">
        <v>151</v>
      </c>
      <c r="AX891" s="30" t="s">
        <v>151</v>
      </c>
      <c r="AY891" s="30" t="s">
        <v>18055</v>
      </c>
      <c r="AZ891" s="30" t="s">
        <v>151</v>
      </c>
      <c r="BA891" s="30" t="s">
        <v>151</v>
      </c>
      <c r="BB891" s="30" t="s">
        <v>151</v>
      </c>
      <c r="BC891" s="30" t="s">
        <v>151</v>
      </c>
      <c r="BD891" s="30" t="s">
        <v>18056</v>
      </c>
      <c r="BE891" s="30" t="s">
        <v>18057</v>
      </c>
      <c r="BF891" s="30" t="s">
        <v>546</v>
      </c>
      <c r="BG891" s="30" t="s">
        <v>151</v>
      </c>
      <c r="BH891" s="30" t="s">
        <v>18058</v>
      </c>
      <c r="BI891" s="30" t="s">
        <v>934</v>
      </c>
      <c r="BJ891" s="30" t="s">
        <v>18059</v>
      </c>
      <c r="BK891" s="30" t="s">
        <v>18060</v>
      </c>
      <c r="BL891" s="30" t="s">
        <v>937</v>
      </c>
      <c r="BM891" s="30" t="s">
        <v>184</v>
      </c>
      <c r="BN891" s="29" t="s">
        <v>5500</v>
      </c>
      <c r="BO891" s="30" t="s">
        <v>186</v>
      </c>
      <c r="BP891" s="29" t="s">
        <v>18061</v>
      </c>
      <c r="BQ891" s="29" t="s">
        <v>151</v>
      </c>
      <c r="BR891" s="30" t="s">
        <v>18062</v>
      </c>
      <c r="BS891" s="30" t="s">
        <v>187</v>
      </c>
      <c r="BT891" s="30" t="s">
        <v>188</v>
      </c>
      <c r="BU891" s="35">
        <v>44323</v>
      </c>
      <c r="BV891" s="37">
        <v>2</v>
      </c>
      <c r="BW891" s="30" t="s">
        <v>192</v>
      </c>
      <c r="BX891" s="37">
        <v>6</v>
      </c>
      <c r="BY891" s="30" t="s">
        <v>192</v>
      </c>
      <c r="BZ891" s="30" t="s">
        <v>293</v>
      </c>
      <c r="CA891" s="30" t="s">
        <v>293</v>
      </c>
      <c r="CB891" s="30" t="s">
        <v>151</v>
      </c>
      <c r="CC891" s="30" t="s">
        <v>165</v>
      </c>
      <c r="CD891" s="30" t="s">
        <v>151</v>
      </c>
      <c r="CE891" s="30" t="s">
        <v>191</v>
      </c>
      <c r="CF891" s="35">
        <v>44519</v>
      </c>
      <c r="CG891" s="37">
        <v>3.34</v>
      </c>
      <c r="CH891" s="30" t="s">
        <v>192</v>
      </c>
      <c r="CI891" s="37">
        <v>23.34</v>
      </c>
      <c r="CJ891" s="30" t="s">
        <v>192</v>
      </c>
      <c r="CK891" s="29">
        <v>3.33</v>
      </c>
      <c r="CL891" s="30" t="s">
        <v>231</v>
      </c>
      <c r="CM891" s="30" t="s">
        <v>151</v>
      </c>
      <c r="CN891" s="30" t="s">
        <v>151</v>
      </c>
      <c r="CO891" s="30" t="s">
        <v>165</v>
      </c>
      <c r="CP891" s="35">
        <v>44519</v>
      </c>
      <c r="CQ891" s="37" t="s">
        <v>151</v>
      </c>
      <c r="CR891" s="30" t="s">
        <v>151</v>
      </c>
      <c r="CS891" s="30" t="s">
        <v>191</v>
      </c>
      <c r="CT891" s="29">
        <v>37</v>
      </c>
      <c r="CU891" s="30" t="s">
        <v>263</v>
      </c>
      <c r="CV891" s="32">
        <v>37</v>
      </c>
      <c r="CW891" s="32">
        <v>63</v>
      </c>
      <c r="CX891" s="30" t="s">
        <v>263</v>
      </c>
      <c r="CY891" s="32">
        <v>1</v>
      </c>
      <c r="CZ891" s="32">
        <v>36</v>
      </c>
      <c r="DA891" s="37">
        <v>23.34</v>
      </c>
      <c r="DB891" s="35">
        <v>44519</v>
      </c>
      <c r="DC891" s="30" t="s">
        <v>231</v>
      </c>
      <c r="DD891" s="29">
        <v>3.33</v>
      </c>
      <c r="DE891" s="32">
        <v>0</v>
      </c>
      <c r="DF891" s="34">
        <v>11</v>
      </c>
      <c r="DG891" s="32">
        <v>0</v>
      </c>
      <c r="DH891" s="32">
        <v>0</v>
      </c>
      <c r="DI891" s="32">
        <v>0</v>
      </c>
      <c r="DJ891" s="34">
        <v>10</v>
      </c>
      <c r="DK891" s="32" t="s">
        <v>151</v>
      </c>
      <c r="DL891" s="34" t="s">
        <v>151</v>
      </c>
      <c r="DM891" s="32">
        <v>0</v>
      </c>
      <c r="DN891" s="34">
        <v>10</v>
      </c>
      <c r="DO891" s="36">
        <v>0.47</v>
      </c>
      <c r="DP891" s="34">
        <v>31</v>
      </c>
      <c r="DQ891" s="36">
        <v>0</v>
      </c>
      <c r="DR891" s="32">
        <v>0</v>
      </c>
      <c r="DS891" s="36">
        <v>0.47</v>
      </c>
      <c r="DT891" s="34">
        <v>31</v>
      </c>
      <c r="DU891" s="36" t="s">
        <v>151</v>
      </c>
      <c r="DV891" s="34" t="s">
        <v>151</v>
      </c>
      <c r="DW891" s="36">
        <v>0.47</v>
      </c>
      <c r="DX891" s="34">
        <v>31</v>
      </c>
      <c r="DY891" s="31" t="s">
        <v>151</v>
      </c>
      <c r="DZ891" s="35" t="s">
        <v>151</v>
      </c>
      <c r="EA891" s="35" t="s">
        <v>151</v>
      </c>
      <c r="EB891" s="34">
        <v>0</v>
      </c>
      <c r="EC891" s="33">
        <v>0</v>
      </c>
      <c r="ED891" s="32">
        <v>0</v>
      </c>
      <c r="EE891" s="34">
        <v>9</v>
      </c>
      <c r="EF891" s="33">
        <v>0</v>
      </c>
      <c r="EG891" s="32">
        <v>0</v>
      </c>
      <c r="EH891" s="29" t="s">
        <v>198</v>
      </c>
      <c r="EI891" s="30" t="s">
        <v>151</v>
      </c>
      <c r="EJ891" s="30" t="s">
        <v>151</v>
      </c>
      <c r="EK891" s="31" t="s">
        <v>151</v>
      </c>
      <c r="EL891" s="31" t="s">
        <v>151</v>
      </c>
      <c r="EM891" s="31" t="s">
        <v>151</v>
      </c>
      <c r="EN891" s="31" t="s">
        <v>151</v>
      </c>
      <c r="EO891" s="31" t="s">
        <v>151</v>
      </c>
      <c r="EP891" s="30" t="s">
        <v>151</v>
      </c>
      <c r="EQ891" s="29" t="s">
        <v>151</v>
      </c>
      <c r="ER891" s="29" t="s">
        <v>151</v>
      </c>
      <c r="ES891" s="4">
        <f>HYPERLINK("https://my.pitchbook.com?c=453401-83","View Company Online")</f>
      </c>
    </row>
    <row r="892">
      <c r="A892" s="17" t="s">
        <v>18063</v>
      </c>
      <c r="B892" s="17" t="s">
        <v>18064</v>
      </c>
      <c r="C892" s="18" t="s">
        <v>151</v>
      </c>
      <c r="D892" s="17" t="s">
        <v>151</v>
      </c>
      <c r="E892" s="17" t="s">
        <v>151</v>
      </c>
      <c r="F892" s="17" t="s">
        <v>18065</v>
      </c>
      <c r="G892" s="17" t="s">
        <v>151</v>
      </c>
      <c r="H892" s="17" t="s">
        <v>151</v>
      </c>
      <c r="I892" s="17" t="s">
        <v>151</v>
      </c>
      <c r="J892" s="17" t="s">
        <v>18063</v>
      </c>
      <c r="K892" s="17" t="s">
        <v>18066</v>
      </c>
      <c r="L892" s="17" t="s">
        <v>205</v>
      </c>
      <c r="M892" s="17" t="s">
        <v>206</v>
      </c>
      <c r="N892" s="17" t="s">
        <v>776</v>
      </c>
      <c r="O892" s="17" t="s">
        <v>4204</v>
      </c>
      <c r="P892" s="17" t="s">
        <v>919</v>
      </c>
      <c r="Q892" s="17" t="s">
        <v>18067</v>
      </c>
      <c r="R892" s="17" t="s">
        <v>151</v>
      </c>
      <c r="S892" s="17" t="s">
        <v>162</v>
      </c>
      <c r="T892" s="24">
        <v>1.65</v>
      </c>
      <c r="U892" s="17" t="s">
        <v>4045</v>
      </c>
      <c r="V892" s="17" t="s">
        <v>164</v>
      </c>
      <c r="W892" s="17" t="s">
        <v>165</v>
      </c>
      <c r="X892" s="15" t="s">
        <v>18068</v>
      </c>
      <c r="Y892" s="15" t="s">
        <v>18069</v>
      </c>
      <c r="Z892" s="27">
        <v>10</v>
      </c>
      <c r="AA892" s="17" t="s">
        <v>13317</v>
      </c>
      <c r="AB892" s="17" t="s">
        <v>151</v>
      </c>
      <c r="AC892" s="17" t="s">
        <v>151</v>
      </c>
      <c r="AD892" s="26">
        <v>2022</v>
      </c>
      <c r="AE892" s="17" t="s">
        <v>151</v>
      </c>
      <c r="AF892" s="22">
        <v>45553</v>
      </c>
      <c r="AG892" s="17" t="s">
        <v>151</v>
      </c>
      <c r="AH892" s="17" t="s">
        <v>151</v>
      </c>
      <c r="AI892" s="25" t="s">
        <v>151</v>
      </c>
      <c r="AJ892" s="19" t="s">
        <v>151</v>
      </c>
      <c r="AK892" s="25" t="s">
        <v>151</v>
      </c>
      <c r="AL892" s="25" t="s">
        <v>151</v>
      </c>
      <c r="AM892" s="25" t="s">
        <v>151</v>
      </c>
      <c r="AN892" s="25" t="s">
        <v>151</v>
      </c>
      <c r="AO892" s="25" t="s">
        <v>151</v>
      </c>
      <c r="AP892" s="25" t="s">
        <v>151</v>
      </c>
      <c r="AQ892" s="25" t="s">
        <v>151</v>
      </c>
      <c r="AR892" s="16" t="s">
        <v>151</v>
      </c>
      <c r="AS892" s="17" t="s">
        <v>18070</v>
      </c>
      <c r="AT892" s="17" t="s">
        <v>18071</v>
      </c>
      <c r="AU892" s="18">
        <v>2</v>
      </c>
      <c r="AV892" s="17" t="s">
        <v>151</v>
      </c>
      <c r="AW892" s="17" t="s">
        <v>151</v>
      </c>
      <c r="AX892" s="17" t="s">
        <v>151</v>
      </c>
      <c r="AY892" s="17" t="s">
        <v>18072</v>
      </c>
      <c r="AZ892" s="17" t="s">
        <v>151</v>
      </c>
      <c r="BA892" s="17" t="s">
        <v>151</v>
      </c>
      <c r="BB892" s="17" t="s">
        <v>9001</v>
      </c>
      <c r="BC892" s="17" t="s">
        <v>18073</v>
      </c>
      <c r="BD892" s="17" t="s">
        <v>18074</v>
      </c>
      <c r="BE892" s="17" t="s">
        <v>18075</v>
      </c>
      <c r="BF892" s="17" t="s">
        <v>1431</v>
      </c>
      <c r="BG892" s="17" t="s">
        <v>151</v>
      </c>
      <c r="BH892" s="17" t="s">
        <v>18076</v>
      </c>
      <c r="BI892" s="17" t="s">
        <v>764</v>
      </c>
      <c r="BJ892" s="17" t="s">
        <v>18077</v>
      </c>
      <c r="BK892" s="17" t="s">
        <v>18078</v>
      </c>
      <c r="BL892" s="17" t="s">
        <v>767</v>
      </c>
      <c r="BM892" s="17" t="s">
        <v>184</v>
      </c>
      <c r="BN892" s="16" t="s">
        <v>1260</v>
      </c>
      <c r="BO892" s="17" t="s">
        <v>186</v>
      </c>
      <c r="BP892" s="16" t="s">
        <v>18076</v>
      </c>
      <c r="BQ892" s="16" t="s">
        <v>151</v>
      </c>
      <c r="BR892" s="17" t="s">
        <v>18079</v>
      </c>
      <c r="BS892" s="17" t="s">
        <v>187</v>
      </c>
      <c r="BT892" s="17" t="s">
        <v>188</v>
      </c>
      <c r="BU892" s="22">
        <v>44866</v>
      </c>
      <c r="BV892" s="24">
        <v>0.1</v>
      </c>
      <c r="BW892" s="17" t="s">
        <v>192</v>
      </c>
      <c r="BX892" s="24" t="s">
        <v>151</v>
      </c>
      <c r="BY892" s="17" t="s">
        <v>151</v>
      </c>
      <c r="BZ892" s="17" t="s">
        <v>1075</v>
      </c>
      <c r="CA892" s="17" t="s">
        <v>1075</v>
      </c>
      <c r="CB892" s="17" t="s">
        <v>151</v>
      </c>
      <c r="CC892" s="17" t="s">
        <v>585</v>
      </c>
      <c r="CD892" s="17" t="s">
        <v>151</v>
      </c>
      <c r="CE892" s="17" t="s">
        <v>191</v>
      </c>
      <c r="CF892" s="22">
        <v>45292</v>
      </c>
      <c r="CG892" s="24">
        <v>0.85</v>
      </c>
      <c r="CH892" s="17" t="s">
        <v>192</v>
      </c>
      <c r="CI892" s="24">
        <v>7</v>
      </c>
      <c r="CJ892" s="17" t="s">
        <v>192</v>
      </c>
      <c r="CK892" s="16" t="s">
        <v>151</v>
      </c>
      <c r="CL892" s="17" t="s">
        <v>293</v>
      </c>
      <c r="CM892" s="17" t="s">
        <v>293</v>
      </c>
      <c r="CN892" s="17" t="s">
        <v>151</v>
      </c>
      <c r="CO892" s="17" t="s">
        <v>165</v>
      </c>
      <c r="CP892" s="22">
        <v>45292</v>
      </c>
      <c r="CQ892" s="24" t="s">
        <v>151</v>
      </c>
      <c r="CR892" s="17" t="s">
        <v>151</v>
      </c>
      <c r="CS892" s="17" t="s">
        <v>191</v>
      </c>
      <c r="CT892" s="16">
        <v>53</v>
      </c>
      <c r="CU892" s="17" t="s">
        <v>196</v>
      </c>
      <c r="CV892" s="19">
        <v>50</v>
      </c>
      <c r="CW892" s="19">
        <v>50</v>
      </c>
      <c r="CX892" s="17" t="s">
        <v>294</v>
      </c>
      <c r="CY892" s="19">
        <v>2</v>
      </c>
      <c r="CZ892" s="19">
        <v>48</v>
      </c>
      <c r="DA892" s="24">
        <v>7</v>
      </c>
      <c r="DB892" s="22">
        <v>45292</v>
      </c>
      <c r="DC892" s="17" t="s">
        <v>293</v>
      </c>
      <c r="DD892" s="16" t="s">
        <v>151</v>
      </c>
      <c r="DE892" s="19">
        <v>0.69</v>
      </c>
      <c r="DF892" s="21">
        <v>95</v>
      </c>
      <c r="DG892" s="19">
        <v>0</v>
      </c>
      <c r="DH892" s="19">
        <v>0</v>
      </c>
      <c r="DI892" s="19">
        <v>0</v>
      </c>
      <c r="DJ892" s="21">
        <v>10</v>
      </c>
      <c r="DK892" s="19" t="s">
        <v>151</v>
      </c>
      <c r="DL892" s="21" t="s">
        <v>151</v>
      </c>
      <c r="DM892" s="19">
        <v>0</v>
      </c>
      <c r="DN892" s="21">
        <v>10</v>
      </c>
      <c r="DO892" s="23">
        <v>0.52</v>
      </c>
      <c r="DP892" s="21">
        <v>33</v>
      </c>
      <c r="DQ892" s="23">
        <v>0</v>
      </c>
      <c r="DR892" s="19">
        <v>0</v>
      </c>
      <c r="DS892" s="23">
        <v>0.26</v>
      </c>
      <c r="DT892" s="21">
        <v>18</v>
      </c>
      <c r="DU892" s="23" t="s">
        <v>151</v>
      </c>
      <c r="DV892" s="21" t="s">
        <v>151</v>
      </c>
      <c r="DW892" s="23">
        <v>0.26</v>
      </c>
      <c r="DX892" s="21">
        <v>18</v>
      </c>
      <c r="DY892" s="18" t="s">
        <v>151</v>
      </c>
      <c r="DZ892" s="22" t="s">
        <v>151</v>
      </c>
      <c r="EA892" s="22" t="s">
        <v>151</v>
      </c>
      <c r="EB892" s="21">
        <v>620</v>
      </c>
      <c r="EC892" s="20">
        <v>60</v>
      </c>
      <c r="ED892" s="19">
        <v>10.71</v>
      </c>
      <c r="EE892" s="21">
        <v>5</v>
      </c>
      <c r="EF892" s="20">
        <v>0</v>
      </c>
      <c r="EG892" s="19">
        <v>0</v>
      </c>
      <c r="EH892" s="16" t="s">
        <v>198</v>
      </c>
      <c r="EI892" s="17" t="s">
        <v>151</v>
      </c>
      <c r="EJ892" s="17" t="s">
        <v>151</v>
      </c>
      <c r="EK892" s="18" t="s">
        <v>151</v>
      </c>
      <c r="EL892" s="18" t="s">
        <v>151</v>
      </c>
      <c r="EM892" s="18" t="s">
        <v>151</v>
      </c>
      <c r="EN892" s="18" t="s">
        <v>151</v>
      </c>
      <c r="EO892" s="18" t="s">
        <v>151</v>
      </c>
      <c r="EP892" s="17" t="s">
        <v>151</v>
      </c>
      <c r="EQ892" s="16" t="s">
        <v>151</v>
      </c>
      <c r="ER892" s="16" t="s">
        <v>151</v>
      </c>
      <c r="ES892" s="3">
        <f>HYPERLINK("https://my.pitchbook.com?c=501211-36","View Company Online")</f>
      </c>
    </row>
    <row r="893">
      <c r="A893" s="30" t="s">
        <v>18080</v>
      </c>
      <c r="B893" s="30" t="s">
        <v>18081</v>
      </c>
      <c r="C893" s="31" t="s">
        <v>151</v>
      </c>
      <c r="D893" s="30" t="s">
        <v>151</v>
      </c>
      <c r="E893" s="30" t="s">
        <v>18082</v>
      </c>
      <c r="F893" s="30" t="s">
        <v>18083</v>
      </c>
      <c r="G893" s="30" t="s">
        <v>151</v>
      </c>
      <c r="H893" s="30" t="s">
        <v>151</v>
      </c>
      <c r="I893" s="30" t="s">
        <v>151</v>
      </c>
      <c r="J893" s="30" t="s">
        <v>18080</v>
      </c>
      <c r="K893" s="30" t="s">
        <v>18084</v>
      </c>
      <c r="L893" s="30" t="s">
        <v>205</v>
      </c>
      <c r="M893" s="30" t="s">
        <v>206</v>
      </c>
      <c r="N893" s="30" t="s">
        <v>917</v>
      </c>
      <c r="O893" s="30" t="s">
        <v>11152</v>
      </c>
      <c r="P893" s="30" t="s">
        <v>151</v>
      </c>
      <c r="Q893" s="30" t="s">
        <v>18085</v>
      </c>
      <c r="R893" s="30" t="s">
        <v>151</v>
      </c>
      <c r="S893" s="30" t="s">
        <v>162</v>
      </c>
      <c r="T893" s="37">
        <v>2.5</v>
      </c>
      <c r="U893" s="30" t="s">
        <v>163</v>
      </c>
      <c r="V893" s="30" t="s">
        <v>164</v>
      </c>
      <c r="W893" s="30" t="s">
        <v>165</v>
      </c>
      <c r="X893" s="28" t="s">
        <v>18086</v>
      </c>
      <c r="Y893" s="28" t="s">
        <v>18087</v>
      </c>
      <c r="Z893" s="40">
        <v>3</v>
      </c>
      <c r="AA893" s="30" t="s">
        <v>18088</v>
      </c>
      <c r="AB893" s="30" t="s">
        <v>151</v>
      </c>
      <c r="AC893" s="30" t="s">
        <v>151</v>
      </c>
      <c r="AD893" s="39">
        <v>2020</v>
      </c>
      <c r="AE893" s="30" t="s">
        <v>151</v>
      </c>
      <c r="AF893" s="35">
        <v>45594</v>
      </c>
      <c r="AG893" s="30" t="s">
        <v>151</v>
      </c>
      <c r="AH893" s="30" t="s">
        <v>151</v>
      </c>
      <c r="AI893" s="38" t="s">
        <v>151</v>
      </c>
      <c r="AJ893" s="32" t="s">
        <v>151</v>
      </c>
      <c r="AK893" s="38" t="s">
        <v>151</v>
      </c>
      <c r="AL893" s="38" t="s">
        <v>151</v>
      </c>
      <c r="AM893" s="38" t="s">
        <v>151</v>
      </c>
      <c r="AN893" s="38" t="s">
        <v>151</v>
      </c>
      <c r="AO893" s="38" t="s">
        <v>151</v>
      </c>
      <c r="AP893" s="38" t="s">
        <v>151</v>
      </c>
      <c r="AQ893" s="38" t="s">
        <v>151</v>
      </c>
      <c r="AR893" s="29" t="s">
        <v>151</v>
      </c>
      <c r="AS893" s="30" t="s">
        <v>18089</v>
      </c>
      <c r="AT893" s="30" t="s">
        <v>18090</v>
      </c>
      <c r="AU893" s="31">
        <v>2</v>
      </c>
      <c r="AV893" s="30" t="s">
        <v>151</v>
      </c>
      <c r="AW893" s="30" t="s">
        <v>18091</v>
      </c>
      <c r="AX893" s="30" t="s">
        <v>151</v>
      </c>
      <c r="AY893" s="30" t="s">
        <v>18092</v>
      </c>
      <c r="AZ893" s="30" t="s">
        <v>18093</v>
      </c>
      <c r="BA893" s="30" t="s">
        <v>151</v>
      </c>
      <c r="BB893" s="30" t="s">
        <v>151</v>
      </c>
      <c r="BC893" s="30" t="s">
        <v>151</v>
      </c>
      <c r="BD893" s="30" t="s">
        <v>18094</v>
      </c>
      <c r="BE893" s="30" t="s">
        <v>18095</v>
      </c>
      <c r="BF893" s="30" t="s">
        <v>221</v>
      </c>
      <c r="BG893" s="30" t="s">
        <v>18096</v>
      </c>
      <c r="BH893" s="30" t="s">
        <v>18097</v>
      </c>
      <c r="BI893" s="30" t="s">
        <v>906</v>
      </c>
      <c r="BJ893" s="30" t="s">
        <v>18098</v>
      </c>
      <c r="BK893" s="30" t="s">
        <v>2957</v>
      </c>
      <c r="BL893" s="30" t="s">
        <v>259</v>
      </c>
      <c r="BM893" s="30" t="s">
        <v>259</v>
      </c>
      <c r="BN893" s="29" t="s">
        <v>18099</v>
      </c>
      <c r="BO893" s="30" t="s">
        <v>186</v>
      </c>
      <c r="BP893" s="29" t="s">
        <v>18097</v>
      </c>
      <c r="BQ893" s="29" t="s">
        <v>151</v>
      </c>
      <c r="BR893" s="30" t="s">
        <v>18100</v>
      </c>
      <c r="BS893" s="30" t="s">
        <v>187</v>
      </c>
      <c r="BT893" s="30" t="s">
        <v>188</v>
      </c>
      <c r="BU893" s="35">
        <v>43943</v>
      </c>
      <c r="BV893" s="37">
        <v>2.5</v>
      </c>
      <c r="BW893" s="30" t="s">
        <v>192</v>
      </c>
      <c r="BX893" s="37">
        <v>8</v>
      </c>
      <c r="BY893" s="30" t="s">
        <v>192</v>
      </c>
      <c r="BZ893" s="30" t="s">
        <v>293</v>
      </c>
      <c r="CA893" s="30" t="s">
        <v>293</v>
      </c>
      <c r="CB893" s="30" t="s">
        <v>151</v>
      </c>
      <c r="CC893" s="30" t="s">
        <v>165</v>
      </c>
      <c r="CD893" s="30" t="s">
        <v>151</v>
      </c>
      <c r="CE893" s="30" t="s">
        <v>191</v>
      </c>
      <c r="CF893" s="35" t="s">
        <v>151</v>
      </c>
      <c r="CG893" s="37" t="s">
        <v>151</v>
      </c>
      <c r="CH893" s="30" t="s">
        <v>151</v>
      </c>
      <c r="CI893" s="37" t="s">
        <v>151</v>
      </c>
      <c r="CJ893" s="30" t="s">
        <v>151</v>
      </c>
      <c r="CK893" s="29" t="s">
        <v>151</v>
      </c>
      <c r="CL893" s="30" t="s">
        <v>911</v>
      </c>
      <c r="CM893" s="30" t="s">
        <v>151</v>
      </c>
      <c r="CN893" s="30" t="s">
        <v>151</v>
      </c>
      <c r="CO893" s="30" t="s">
        <v>165</v>
      </c>
      <c r="CP893" s="35" t="s">
        <v>151</v>
      </c>
      <c r="CQ893" s="37" t="s">
        <v>151</v>
      </c>
      <c r="CR893" s="30" t="s">
        <v>151</v>
      </c>
      <c r="CS893" s="30" t="s">
        <v>191</v>
      </c>
      <c r="CT893" s="29" t="s">
        <v>151</v>
      </c>
      <c r="CU893" s="30" t="s">
        <v>151</v>
      </c>
      <c r="CV893" s="32" t="s">
        <v>151</v>
      </c>
      <c r="CW893" s="32" t="s">
        <v>151</v>
      </c>
      <c r="CX893" s="30" t="s">
        <v>151</v>
      </c>
      <c r="CY893" s="32" t="s">
        <v>151</v>
      </c>
      <c r="CZ893" s="32" t="s">
        <v>151</v>
      </c>
      <c r="DA893" s="37">
        <v>8</v>
      </c>
      <c r="DB893" s="35">
        <v>43943</v>
      </c>
      <c r="DC893" s="30" t="s">
        <v>293</v>
      </c>
      <c r="DD893" s="29" t="s">
        <v>151</v>
      </c>
      <c r="DE893" s="32">
        <v>-1.27</v>
      </c>
      <c r="DF893" s="34">
        <v>3</v>
      </c>
      <c r="DG893" s="32">
        <v>0</v>
      </c>
      <c r="DH893" s="32">
        <v>0</v>
      </c>
      <c r="DI893" s="32">
        <v>-2.54</v>
      </c>
      <c r="DJ893" s="34">
        <v>1</v>
      </c>
      <c r="DK893" s="32" t="s">
        <v>151</v>
      </c>
      <c r="DL893" s="34" t="s">
        <v>151</v>
      </c>
      <c r="DM893" s="32">
        <v>-2.54</v>
      </c>
      <c r="DN893" s="34">
        <v>1</v>
      </c>
      <c r="DO893" s="36">
        <v>10.93</v>
      </c>
      <c r="DP893" s="34">
        <v>91</v>
      </c>
      <c r="DQ893" s="36">
        <v>0</v>
      </c>
      <c r="DR893" s="32">
        <v>0</v>
      </c>
      <c r="DS893" s="36">
        <v>21.63</v>
      </c>
      <c r="DT893" s="34">
        <v>95</v>
      </c>
      <c r="DU893" s="36" t="s">
        <v>151</v>
      </c>
      <c r="DV893" s="34" t="s">
        <v>151</v>
      </c>
      <c r="DW893" s="36">
        <v>21.63</v>
      </c>
      <c r="DX893" s="34">
        <v>95</v>
      </c>
      <c r="DY893" s="31" t="s">
        <v>151</v>
      </c>
      <c r="DZ893" s="35" t="s">
        <v>151</v>
      </c>
      <c r="EA893" s="35" t="s">
        <v>151</v>
      </c>
      <c r="EB893" s="34">
        <v>1409</v>
      </c>
      <c r="EC893" s="33">
        <v>-249</v>
      </c>
      <c r="ED893" s="32">
        <v>-15.02</v>
      </c>
      <c r="EE893" s="34">
        <v>411</v>
      </c>
      <c r="EF893" s="33">
        <v>-8</v>
      </c>
      <c r="EG893" s="32">
        <v>-1.91</v>
      </c>
      <c r="EH893" s="29" t="s">
        <v>198</v>
      </c>
      <c r="EI893" s="30" t="s">
        <v>151</v>
      </c>
      <c r="EJ893" s="30" t="s">
        <v>151</v>
      </c>
      <c r="EK893" s="31" t="s">
        <v>151</v>
      </c>
      <c r="EL893" s="31" t="s">
        <v>151</v>
      </c>
      <c r="EM893" s="31" t="s">
        <v>151</v>
      </c>
      <c r="EN893" s="31" t="s">
        <v>151</v>
      </c>
      <c r="EO893" s="31" t="s">
        <v>151</v>
      </c>
      <c r="EP893" s="30" t="s">
        <v>151</v>
      </c>
      <c r="EQ893" s="29" t="s">
        <v>151</v>
      </c>
      <c r="ER893" s="29" t="s">
        <v>151</v>
      </c>
      <c r="ES893" s="4">
        <f>HYPERLINK("https://my.pitchbook.com?c=434440-63","View Company Online")</f>
      </c>
    </row>
    <row r="894">
      <c r="A894" s="17" t="s">
        <v>18101</v>
      </c>
      <c r="B894" s="17" t="s">
        <v>18102</v>
      </c>
      <c r="C894" s="18" t="s">
        <v>151</v>
      </c>
      <c r="D894" s="17" t="s">
        <v>151</v>
      </c>
      <c r="E894" s="17" t="s">
        <v>18103</v>
      </c>
      <c r="F894" s="17" t="s">
        <v>18104</v>
      </c>
      <c r="G894" s="17" t="s">
        <v>151</v>
      </c>
      <c r="H894" s="17" t="s">
        <v>151</v>
      </c>
      <c r="I894" s="17" t="s">
        <v>151</v>
      </c>
      <c r="J894" s="17" t="s">
        <v>18101</v>
      </c>
      <c r="K894" s="17" t="s">
        <v>18105</v>
      </c>
      <c r="L894" s="17" t="s">
        <v>205</v>
      </c>
      <c r="M894" s="17" t="s">
        <v>206</v>
      </c>
      <c r="N894" s="17" t="s">
        <v>269</v>
      </c>
      <c r="O894" s="17" t="s">
        <v>563</v>
      </c>
      <c r="P894" s="17" t="s">
        <v>151</v>
      </c>
      <c r="Q894" s="17" t="s">
        <v>18106</v>
      </c>
      <c r="R894" s="17" t="s">
        <v>151</v>
      </c>
      <c r="S894" s="17" t="s">
        <v>162</v>
      </c>
      <c r="T894" s="24">
        <v>0.5</v>
      </c>
      <c r="U894" s="17" t="s">
        <v>163</v>
      </c>
      <c r="V894" s="17" t="s">
        <v>164</v>
      </c>
      <c r="W894" s="17" t="s">
        <v>165</v>
      </c>
      <c r="X894" s="15" t="s">
        <v>18107</v>
      </c>
      <c r="Y894" s="15" t="s">
        <v>18108</v>
      </c>
      <c r="Z894" s="27">
        <v>5</v>
      </c>
      <c r="AA894" s="17" t="s">
        <v>18109</v>
      </c>
      <c r="AB894" s="17" t="s">
        <v>151</v>
      </c>
      <c r="AC894" s="17" t="s">
        <v>151</v>
      </c>
      <c r="AD894" s="26">
        <v>2020</v>
      </c>
      <c r="AE894" s="17" t="s">
        <v>151</v>
      </c>
      <c r="AF894" s="22">
        <v>45558</v>
      </c>
      <c r="AG894" s="17" t="s">
        <v>151</v>
      </c>
      <c r="AH894" s="17" t="s">
        <v>151</v>
      </c>
      <c r="AI894" s="25" t="s">
        <v>151</v>
      </c>
      <c r="AJ894" s="19" t="s">
        <v>151</v>
      </c>
      <c r="AK894" s="25" t="s">
        <v>151</v>
      </c>
      <c r="AL894" s="25" t="s">
        <v>151</v>
      </c>
      <c r="AM894" s="25" t="s">
        <v>151</v>
      </c>
      <c r="AN894" s="25" t="s">
        <v>151</v>
      </c>
      <c r="AO894" s="25" t="s">
        <v>151</v>
      </c>
      <c r="AP894" s="25" t="s">
        <v>151</v>
      </c>
      <c r="AQ894" s="25" t="s">
        <v>151</v>
      </c>
      <c r="AR894" s="16" t="s">
        <v>151</v>
      </c>
      <c r="AS894" s="17" t="s">
        <v>18110</v>
      </c>
      <c r="AT894" s="17" t="s">
        <v>18111</v>
      </c>
      <c r="AU894" s="18">
        <v>4</v>
      </c>
      <c r="AV894" s="17" t="s">
        <v>151</v>
      </c>
      <c r="AW894" s="17" t="s">
        <v>18112</v>
      </c>
      <c r="AX894" s="17" t="s">
        <v>151</v>
      </c>
      <c r="AY894" s="17" t="s">
        <v>18113</v>
      </c>
      <c r="AZ894" s="17" t="s">
        <v>18114</v>
      </c>
      <c r="BA894" s="17" t="s">
        <v>151</v>
      </c>
      <c r="BB894" s="17" t="s">
        <v>151</v>
      </c>
      <c r="BC894" s="17" t="s">
        <v>151</v>
      </c>
      <c r="BD894" s="17" t="s">
        <v>18115</v>
      </c>
      <c r="BE894" s="17" t="s">
        <v>18116</v>
      </c>
      <c r="BF894" s="17" t="s">
        <v>430</v>
      </c>
      <c r="BG894" s="17" t="s">
        <v>18117</v>
      </c>
      <c r="BH894" s="17" t="s">
        <v>151</v>
      </c>
      <c r="BI894" s="17" t="s">
        <v>2811</v>
      </c>
      <c r="BJ894" s="17" t="s">
        <v>18118</v>
      </c>
      <c r="BK894" s="17" t="s">
        <v>151</v>
      </c>
      <c r="BL894" s="17" t="s">
        <v>2813</v>
      </c>
      <c r="BM894" s="17" t="s">
        <v>2814</v>
      </c>
      <c r="BN894" s="16" t="s">
        <v>18119</v>
      </c>
      <c r="BO894" s="17" t="s">
        <v>186</v>
      </c>
      <c r="BP894" s="16" t="s">
        <v>151</v>
      </c>
      <c r="BQ894" s="16" t="s">
        <v>151</v>
      </c>
      <c r="BR894" s="17" t="s">
        <v>151</v>
      </c>
      <c r="BS894" s="17" t="s">
        <v>187</v>
      </c>
      <c r="BT894" s="17" t="s">
        <v>188</v>
      </c>
      <c r="BU894" s="22">
        <v>44093</v>
      </c>
      <c r="BV894" s="24">
        <v>0.05</v>
      </c>
      <c r="BW894" s="17" t="s">
        <v>192</v>
      </c>
      <c r="BX894" s="24">
        <v>0.83</v>
      </c>
      <c r="BY894" s="17" t="s">
        <v>192</v>
      </c>
      <c r="BZ894" s="17" t="s">
        <v>189</v>
      </c>
      <c r="CA894" s="17" t="s">
        <v>151</v>
      </c>
      <c r="CB894" s="17" t="s">
        <v>151</v>
      </c>
      <c r="CC894" s="17" t="s">
        <v>190</v>
      </c>
      <c r="CD894" s="17" t="s">
        <v>151</v>
      </c>
      <c r="CE894" s="17" t="s">
        <v>191</v>
      </c>
      <c r="CF894" s="22">
        <v>44995</v>
      </c>
      <c r="CG894" s="24">
        <v>0.3</v>
      </c>
      <c r="CH894" s="17" t="s">
        <v>192</v>
      </c>
      <c r="CI894" s="24" t="s">
        <v>151</v>
      </c>
      <c r="CJ894" s="17" t="s">
        <v>151</v>
      </c>
      <c r="CK894" s="16" t="s">
        <v>151</v>
      </c>
      <c r="CL894" s="17" t="s">
        <v>231</v>
      </c>
      <c r="CM894" s="17" t="s">
        <v>151</v>
      </c>
      <c r="CN894" s="17" t="s">
        <v>151</v>
      </c>
      <c r="CO894" s="17" t="s">
        <v>165</v>
      </c>
      <c r="CP894" s="22">
        <v>44995</v>
      </c>
      <c r="CQ894" s="24">
        <v>0.2</v>
      </c>
      <c r="CR894" s="17" t="s">
        <v>16731</v>
      </c>
      <c r="CS894" s="17" t="s">
        <v>191</v>
      </c>
      <c r="CT894" s="16">
        <v>27</v>
      </c>
      <c r="CU894" s="17" t="s">
        <v>263</v>
      </c>
      <c r="CV894" s="19">
        <v>28</v>
      </c>
      <c r="CW894" s="19">
        <v>72</v>
      </c>
      <c r="CX894" s="17" t="s">
        <v>263</v>
      </c>
      <c r="CY894" s="19">
        <v>1</v>
      </c>
      <c r="CZ894" s="19">
        <v>27</v>
      </c>
      <c r="DA894" s="24">
        <v>0.83</v>
      </c>
      <c r="DB894" s="22">
        <v>44093</v>
      </c>
      <c r="DC894" s="17" t="s">
        <v>189</v>
      </c>
      <c r="DD894" s="16" t="s">
        <v>151</v>
      </c>
      <c r="DE894" s="19">
        <v>0</v>
      </c>
      <c r="DF894" s="21">
        <v>11</v>
      </c>
      <c r="DG894" s="19">
        <v>0</v>
      </c>
      <c r="DH894" s="19">
        <v>0</v>
      </c>
      <c r="DI894" s="19" t="s">
        <v>151</v>
      </c>
      <c r="DJ894" s="21" t="s">
        <v>151</v>
      </c>
      <c r="DK894" s="19" t="s">
        <v>151</v>
      </c>
      <c r="DL894" s="21" t="s">
        <v>151</v>
      </c>
      <c r="DM894" s="19" t="s">
        <v>151</v>
      </c>
      <c r="DN894" s="21" t="s">
        <v>151</v>
      </c>
      <c r="DO894" s="23">
        <v>0.38</v>
      </c>
      <c r="DP894" s="21">
        <v>27</v>
      </c>
      <c r="DQ894" s="23">
        <v>0</v>
      </c>
      <c r="DR894" s="19">
        <v>0</v>
      </c>
      <c r="DS894" s="23" t="s">
        <v>151</v>
      </c>
      <c r="DT894" s="21" t="s">
        <v>151</v>
      </c>
      <c r="DU894" s="23" t="s">
        <v>151</v>
      </c>
      <c r="DV894" s="21" t="s">
        <v>151</v>
      </c>
      <c r="DW894" s="23" t="s">
        <v>151</v>
      </c>
      <c r="DX894" s="21" t="s">
        <v>151</v>
      </c>
      <c r="DY894" s="18" t="s">
        <v>151</v>
      </c>
      <c r="DZ894" s="22" t="s">
        <v>151</v>
      </c>
      <c r="EA894" s="22" t="s">
        <v>151</v>
      </c>
      <c r="EB894" s="21" t="s">
        <v>151</v>
      </c>
      <c r="EC894" s="20" t="s">
        <v>151</v>
      </c>
      <c r="ED894" s="19" t="s">
        <v>151</v>
      </c>
      <c r="EE894" s="21" t="s">
        <v>151</v>
      </c>
      <c r="EF894" s="20" t="s">
        <v>151</v>
      </c>
      <c r="EG894" s="19" t="s">
        <v>151</v>
      </c>
      <c r="EH894" s="16" t="s">
        <v>198</v>
      </c>
      <c r="EI894" s="17" t="s">
        <v>151</v>
      </c>
      <c r="EJ894" s="17" t="s">
        <v>151</v>
      </c>
      <c r="EK894" s="18" t="s">
        <v>151</v>
      </c>
      <c r="EL894" s="18" t="s">
        <v>151</v>
      </c>
      <c r="EM894" s="18" t="s">
        <v>151</v>
      </c>
      <c r="EN894" s="18" t="s">
        <v>151</v>
      </c>
      <c r="EO894" s="18" t="s">
        <v>151</v>
      </c>
      <c r="EP894" s="17" t="s">
        <v>151</v>
      </c>
      <c r="EQ894" s="16" t="s">
        <v>151</v>
      </c>
      <c r="ER894" s="16" t="s">
        <v>151</v>
      </c>
      <c r="ES894" s="3">
        <f>HYPERLINK("https://my.pitchbook.com?c=469226-71","View Company Online")</f>
      </c>
    </row>
    <row r="895">
      <c r="A895" s="30" t="s">
        <v>18120</v>
      </c>
      <c r="B895" s="30" t="s">
        <v>18121</v>
      </c>
      <c r="C895" s="31" t="s">
        <v>151</v>
      </c>
      <c r="D895" s="30" t="s">
        <v>151</v>
      </c>
      <c r="E895" s="30" t="s">
        <v>151</v>
      </c>
      <c r="F895" s="30" t="s">
        <v>18122</v>
      </c>
      <c r="G895" s="30" t="s">
        <v>151</v>
      </c>
      <c r="H895" s="30" t="s">
        <v>151</v>
      </c>
      <c r="I895" s="30" t="s">
        <v>151</v>
      </c>
      <c r="J895" s="30" t="s">
        <v>18120</v>
      </c>
      <c r="K895" s="30" t="s">
        <v>18123</v>
      </c>
      <c r="L895" s="30" t="s">
        <v>155</v>
      </c>
      <c r="M895" s="30" t="s">
        <v>7474</v>
      </c>
      <c r="N895" s="30" t="s">
        <v>7475</v>
      </c>
      <c r="O895" s="30" t="s">
        <v>18124</v>
      </c>
      <c r="P895" s="30" t="s">
        <v>18125</v>
      </c>
      <c r="Q895" s="30" t="s">
        <v>18126</v>
      </c>
      <c r="R895" s="30" t="s">
        <v>151</v>
      </c>
      <c r="S895" s="30" t="s">
        <v>162</v>
      </c>
      <c r="T895" s="37">
        <v>1.87</v>
      </c>
      <c r="U895" s="30" t="s">
        <v>163</v>
      </c>
      <c r="V895" s="30" t="s">
        <v>164</v>
      </c>
      <c r="W895" s="30" t="s">
        <v>165</v>
      </c>
      <c r="X895" s="28" t="s">
        <v>18127</v>
      </c>
      <c r="Y895" s="28" t="s">
        <v>18128</v>
      </c>
      <c r="Z895" s="40">
        <v>14</v>
      </c>
      <c r="AA895" s="30" t="s">
        <v>18129</v>
      </c>
      <c r="AB895" s="30" t="s">
        <v>151</v>
      </c>
      <c r="AC895" s="30" t="s">
        <v>151</v>
      </c>
      <c r="AD895" s="39">
        <v>2019</v>
      </c>
      <c r="AE895" s="30" t="s">
        <v>151</v>
      </c>
      <c r="AF895" s="35">
        <v>45397</v>
      </c>
      <c r="AG895" s="30" t="s">
        <v>151</v>
      </c>
      <c r="AH895" s="30" t="s">
        <v>151</v>
      </c>
      <c r="AI895" s="38" t="s">
        <v>151</v>
      </c>
      <c r="AJ895" s="32" t="s">
        <v>151</v>
      </c>
      <c r="AK895" s="38" t="s">
        <v>151</v>
      </c>
      <c r="AL895" s="38" t="s">
        <v>151</v>
      </c>
      <c r="AM895" s="38" t="s">
        <v>151</v>
      </c>
      <c r="AN895" s="38" t="s">
        <v>151</v>
      </c>
      <c r="AO895" s="38" t="s">
        <v>151</v>
      </c>
      <c r="AP895" s="38" t="s">
        <v>151</v>
      </c>
      <c r="AQ895" s="38" t="s">
        <v>151</v>
      </c>
      <c r="AR895" s="29" t="s">
        <v>151</v>
      </c>
      <c r="AS895" s="30" t="s">
        <v>18130</v>
      </c>
      <c r="AT895" s="30" t="s">
        <v>18131</v>
      </c>
      <c r="AU895" s="31">
        <v>4</v>
      </c>
      <c r="AV895" s="30" t="s">
        <v>151</v>
      </c>
      <c r="AW895" s="30" t="s">
        <v>151</v>
      </c>
      <c r="AX895" s="30" t="s">
        <v>151</v>
      </c>
      <c r="AY895" s="30" t="s">
        <v>18132</v>
      </c>
      <c r="AZ895" s="30" t="s">
        <v>151</v>
      </c>
      <c r="BA895" s="30" t="s">
        <v>151</v>
      </c>
      <c r="BB895" s="30" t="s">
        <v>151</v>
      </c>
      <c r="BC895" s="30" t="s">
        <v>151</v>
      </c>
      <c r="BD895" s="30" t="s">
        <v>18133</v>
      </c>
      <c r="BE895" s="30" t="s">
        <v>18134</v>
      </c>
      <c r="BF895" s="30" t="s">
        <v>221</v>
      </c>
      <c r="BG895" s="30" t="s">
        <v>18135</v>
      </c>
      <c r="BH895" s="30" t="s">
        <v>151</v>
      </c>
      <c r="BI895" s="30" t="s">
        <v>6102</v>
      </c>
      <c r="BJ895" s="30" t="s">
        <v>18136</v>
      </c>
      <c r="BK895" s="30" t="s">
        <v>151</v>
      </c>
      <c r="BL895" s="30" t="s">
        <v>6104</v>
      </c>
      <c r="BM895" s="30" t="s">
        <v>184</v>
      </c>
      <c r="BN895" s="29" t="s">
        <v>18137</v>
      </c>
      <c r="BO895" s="30" t="s">
        <v>186</v>
      </c>
      <c r="BP895" s="29" t="s">
        <v>151</v>
      </c>
      <c r="BQ895" s="29" t="s">
        <v>151</v>
      </c>
      <c r="BR895" s="30" t="s">
        <v>18138</v>
      </c>
      <c r="BS895" s="30" t="s">
        <v>187</v>
      </c>
      <c r="BT895" s="30" t="s">
        <v>188</v>
      </c>
      <c r="BU895" s="35">
        <v>44622</v>
      </c>
      <c r="BV895" s="37">
        <v>1.85</v>
      </c>
      <c r="BW895" s="30" t="s">
        <v>192</v>
      </c>
      <c r="BX895" s="37" t="s">
        <v>151</v>
      </c>
      <c r="BY895" s="30" t="s">
        <v>151</v>
      </c>
      <c r="BZ895" s="30" t="s">
        <v>293</v>
      </c>
      <c r="CA895" s="30" t="s">
        <v>293</v>
      </c>
      <c r="CB895" s="30" t="s">
        <v>151</v>
      </c>
      <c r="CC895" s="30" t="s">
        <v>165</v>
      </c>
      <c r="CD895" s="30" t="s">
        <v>151</v>
      </c>
      <c r="CE895" s="30" t="s">
        <v>191</v>
      </c>
      <c r="CF895" s="35">
        <v>45012</v>
      </c>
      <c r="CG895" s="37">
        <v>0.02</v>
      </c>
      <c r="CH895" s="30" t="s">
        <v>192</v>
      </c>
      <c r="CI895" s="37" t="s">
        <v>151</v>
      </c>
      <c r="CJ895" s="30" t="s">
        <v>151</v>
      </c>
      <c r="CK895" s="29" t="s">
        <v>151</v>
      </c>
      <c r="CL895" s="30" t="s">
        <v>189</v>
      </c>
      <c r="CM895" s="30" t="s">
        <v>151</v>
      </c>
      <c r="CN895" s="30" t="s">
        <v>151</v>
      </c>
      <c r="CO895" s="30" t="s">
        <v>190</v>
      </c>
      <c r="CP895" s="35">
        <v>45012</v>
      </c>
      <c r="CQ895" s="37" t="s">
        <v>151</v>
      </c>
      <c r="CR895" s="30" t="s">
        <v>151</v>
      </c>
      <c r="CS895" s="30" t="s">
        <v>191</v>
      </c>
      <c r="CT895" s="29" t="s">
        <v>151</v>
      </c>
      <c r="CU895" s="30" t="s">
        <v>151</v>
      </c>
      <c r="CV895" s="32" t="s">
        <v>151</v>
      </c>
      <c r="CW895" s="32" t="s">
        <v>151</v>
      </c>
      <c r="CX895" s="30" t="s">
        <v>151</v>
      </c>
      <c r="CY895" s="32" t="s">
        <v>151</v>
      </c>
      <c r="CZ895" s="32" t="s">
        <v>151</v>
      </c>
      <c r="DA895" s="37" t="s">
        <v>151</v>
      </c>
      <c r="DB895" s="35" t="s">
        <v>151</v>
      </c>
      <c r="DC895" s="30" t="s">
        <v>151</v>
      </c>
      <c r="DD895" s="29" t="s">
        <v>151</v>
      </c>
      <c r="DE895" s="32">
        <v>1.24</v>
      </c>
      <c r="DF895" s="34">
        <v>97</v>
      </c>
      <c r="DG895" s="32">
        <v>-0.15</v>
      </c>
      <c r="DH895" s="32">
        <v>-10.5</v>
      </c>
      <c r="DI895" s="32">
        <v>1.24</v>
      </c>
      <c r="DJ895" s="34">
        <v>97</v>
      </c>
      <c r="DK895" s="32" t="s">
        <v>151</v>
      </c>
      <c r="DL895" s="34" t="s">
        <v>151</v>
      </c>
      <c r="DM895" s="32">
        <v>1.24</v>
      </c>
      <c r="DN895" s="34">
        <v>97</v>
      </c>
      <c r="DO895" s="36">
        <v>6.21</v>
      </c>
      <c r="DP895" s="34">
        <v>85</v>
      </c>
      <c r="DQ895" s="36">
        <v>0</v>
      </c>
      <c r="DR895" s="32">
        <v>0</v>
      </c>
      <c r="DS895" s="36">
        <v>6.21</v>
      </c>
      <c r="DT895" s="34">
        <v>85</v>
      </c>
      <c r="DU895" s="36" t="s">
        <v>151</v>
      </c>
      <c r="DV895" s="34" t="s">
        <v>151</v>
      </c>
      <c r="DW895" s="36">
        <v>6.21</v>
      </c>
      <c r="DX895" s="34">
        <v>84</v>
      </c>
      <c r="DY895" s="31" t="s">
        <v>151</v>
      </c>
      <c r="DZ895" s="35" t="s">
        <v>151</v>
      </c>
      <c r="EA895" s="35" t="s">
        <v>151</v>
      </c>
      <c r="EB895" s="34">
        <v>561</v>
      </c>
      <c r="EC895" s="33">
        <v>-30</v>
      </c>
      <c r="ED895" s="32">
        <v>-5.08</v>
      </c>
      <c r="EE895" s="34">
        <v>118</v>
      </c>
      <c r="EF895" s="33">
        <v>2</v>
      </c>
      <c r="EG895" s="32">
        <v>1.72</v>
      </c>
      <c r="EH895" s="29" t="s">
        <v>198</v>
      </c>
      <c r="EI895" s="30" t="s">
        <v>151</v>
      </c>
      <c r="EJ895" s="30" t="s">
        <v>151</v>
      </c>
      <c r="EK895" s="31" t="s">
        <v>151</v>
      </c>
      <c r="EL895" s="31" t="s">
        <v>151</v>
      </c>
      <c r="EM895" s="31" t="s">
        <v>151</v>
      </c>
      <c r="EN895" s="31" t="s">
        <v>151</v>
      </c>
      <c r="EO895" s="31" t="s">
        <v>151</v>
      </c>
      <c r="EP895" s="30" t="s">
        <v>151</v>
      </c>
      <c r="EQ895" s="29" t="s">
        <v>151</v>
      </c>
      <c r="ER895" s="29" t="s">
        <v>151</v>
      </c>
      <c r="ES895" s="4">
        <f>HYPERLINK("https://my.pitchbook.com?c=491635-81","View Company Online")</f>
      </c>
    </row>
    <row r="896">
      <c r="A896" s="17" t="s">
        <v>18139</v>
      </c>
      <c r="B896" s="17" t="s">
        <v>18140</v>
      </c>
      <c r="C896" s="18" t="s">
        <v>151</v>
      </c>
      <c r="D896" s="17" t="s">
        <v>151</v>
      </c>
      <c r="E896" s="17" t="s">
        <v>151</v>
      </c>
      <c r="F896" s="17" t="s">
        <v>18141</v>
      </c>
      <c r="G896" s="17" t="s">
        <v>151</v>
      </c>
      <c r="H896" s="17" t="s">
        <v>151</v>
      </c>
      <c r="I896" s="17" t="s">
        <v>151</v>
      </c>
      <c r="J896" s="17" t="s">
        <v>18139</v>
      </c>
      <c r="K896" s="17" t="s">
        <v>18142</v>
      </c>
      <c r="L896" s="17" t="s">
        <v>155</v>
      </c>
      <c r="M896" s="17" t="s">
        <v>2320</v>
      </c>
      <c r="N896" s="17" t="s">
        <v>2321</v>
      </c>
      <c r="O896" s="17" t="s">
        <v>2322</v>
      </c>
      <c r="P896" s="17" t="s">
        <v>2509</v>
      </c>
      <c r="Q896" s="17" t="s">
        <v>18143</v>
      </c>
      <c r="R896" s="17" t="s">
        <v>151</v>
      </c>
      <c r="S896" s="17" t="s">
        <v>162</v>
      </c>
      <c r="T896" s="24">
        <v>0.75</v>
      </c>
      <c r="U896" s="17" t="s">
        <v>4045</v>
      </c>
      <c r="V896" s="17" t="s">
        <v>164</v>
      </c>
      <c r="W896" s="17" t="s">
        <v>165</v>
      </c>
      <c r="X896" s="15" t="s">
        <v>18144</v>
      </c>
      <c r="Y896" s="15" t="s">
        <v>18145</v>
      </c>
      <c r="Z896" s="27">
        <v>10</v>
      </c>
      <c r="AA896" s="17" t="s">
        <v>18146</v>
      </c>
      <c r="AB896" s="17" t="s">
        <v>151</v>
      </c>
      <c r="AC896" s="17" t="s">
        <v>151</v>
      </c>
      <c r="AD896" s="26">
        <v>2021</v>
      </c>
      <c r="AE896" s="17" t="s">
        <v>151</v>
      </c>
      <c r="AF896" s="22">
        <v>45551</v>
      </c>
      <c r="AG896" s="17" t="s">
        <v>151</v>
      </c>
      <c r="AH896" s="17" t="s">
        <v>151</v>
      </c>
      <c r="AI896" s="25" t="s">
        <v>151</v>
      </c>
      <c r="AJ896" s="19" t="s">
        <v>151</v>
      </c>
      <c r="AK896" s="25" t="s">
        <v>151</v>
      </c>
      <c r="AL896" s="25" t="s">
        <v>151</v>
      </c>
      <c r="AM896" s="25" t="s">
        <v>151</v>
      </c>
      <c r="AN896" s="25" t="s">
        <v>151</v>
      </c>
      <c r="AO896" s="25" t="s">
        <v>151</v>
      </c>
      <c r="AP896" s="25" t="s">
        <v>151</v>
      </c>
      <c r="AQ896" s="25" t="s">
        <v>151</v>
      </c>
      <c r="AR896" s="16" t="s">
        <v>151</v>
      </c>
      <c r="AS896" s="17" t="s">
        <v>18147</v>
      </c>
      <c r="AT896" s="17" t="s">
        <v>18148</v>
      </c>
      <c r="AU896" s="18">
        <v>2</v>
      </c>
      <c r="AV896" s="17" t="s">
        <v>151</v>
      </c>
      <c r="AW896" s="17" t="s">
        <v>151</v>
      </c>
      <c r="AX896" s="17" t="s">
        <v>151</v>
      </c>
      <c r="AY896" s="17" t="s">
        <v>18149</v>
      </c>
      <c r="AZ896" s="17" t="s">
        <v>151</v>
      </c>
      <c r="BA896" s="17" t="s">
        <v>151</v>
      </c>
      <c r="BB896" s="17" t="s">
        <v>151</v>
      </c>
      <c r="BC896" s="17" t="s">
        <v>151</v>
      </c>
      <c r="BD896" s="17" t="s">
        <v>18150</v>
      </c>
      <c r="BE896" s="17" t="s">
        <v>18151</v>
      </c>
      <c r="BF896" s="17" t="s">
        <v>403</v>
      </c>
      <c r="BG896" s="17" t="s">
        <v>18152</v>
      </c>
      <c r="BH896" s="17" t="s">
        <v>151</v>
      </c>
      <c r="BI896" s="17" t="s">
        <v>18153</v>
      </c>
      <c r="BJ896" s="17" t="s">
        <v>151</v>
      </c>
      <c r="BK896" s="17" t="s">
        <v>151</v>
      </c>
      <c r="BL896" s="17" t="s">
        <v>18154</v>
      </c>
      <c r="BM896" s="17" t="s">
        <v>5682</v>
      </c>
      <c r="BN896" s="16" t="s">
        <v>18155</v>
      </c>
      <c r="BO896" s="17" t="s">
        <v>186</v>
      </c>
      <c r="BP896" s="16" t="s">
        <v>151</v>
      </c>
      <c r="BQ896" s="16" t="s">
        <v>151</v>
      </c>
      <c r="BR896" s="17" t="s">
        <v>18156</v>
      </c>
      <c r="BS896" s="17" t="s">
        <v>187</v>
      </c>
      <c r="BT896" s="17" t="s">
        <v>188</v>
      </c>
      <c r="BU896" s="22">
        <v>44958</v>
      </c>
      <c r="BV896" s="24">
        <v>0.75</v>
      </c>
      <c r="BW896" s="17" t="s">
        <v>192</v>
      </c>
      <c r="BX896" s="24" t="s">
        <v>151</v>
      </c>
      <c r="BY896" s="17" t="s">
        <v>151</v>
      </c>
      <c r="BZ896" s="17" t="s">
        <v>293</v>
      </c>
      <c r="CA896" s="17" t="s">
        <v>293</v>
      </c>
      <c r="CB896" s="17" t="s">
        <v>151</v>
      </c>
      <c r="CC896" s="17" t="s">
        <v>165</v>
      </c>
      <c r="CD896" s="17" t="s">
        <v>151</v>
      </c>
      <c r="CE896" s="17" t="s">
        <v>191</v>
      </c>
      <c r="CF896" s="22">
        <v>44958</v>
      </c>
      <c r="CG896" s="24">
        <v>0.75</v>
      </c>
      <c r="CH896" s="17" t="s">
        <v>192</v>
      </c>
      <c r="CI896" s="24" t="s">
        <v>151</v>
      </c>
      <c r="CJ896" s="17" t="s">
        <v>151</v>
      </c>
      <c r="CK896" s="16" t="s">
        <v>151</v>
      </c>
      <c r="CL896" s="17" t="s">
        <v>293</v>
      </c>
      <c r="CM896" s="17" t="s">
        <v>293</v>
      </c>
      <c r="CN896" s="17" t="s">
        <v>151</v>
      </c>
      <c r="CO896" s="17" t="s">
        <v>165</v>
      </c>
      <c r="CP896" s="22">
        <v>44958</v>
      </c>
      <c r="CQ896" s="24" t="s">
        <v>151</v>
      </c>
      <c r="CR896" s="17" t="s">
        <v>151</v>
      </c>
      <c r="CS896" s="17" t="s">
        <v>191</v>
      </c>
      <c r="CT896" s="16" t="s">
        <v>151</v>
      </c>
      <c r="CU896" s="17" t="s">
        <v>151</v>
      </c>
      <c r="CV896" s="19" t="s">
        <v>151</v>
      </c>
      <c r="CW896" s="19" t="s">
        <v>151</v>
      </c>
      <c r="CX896" s="17" t="s">
        <v>151</v>
      </c>
      <c r="CY896" s="19" t="s">
        <v>151</v>
      </c>
      <c r="CZ896" s="19" t="s">
        <v>151</v>
      </c>
      <c r="DA896" s="24" t="s">
        <v>151</v>
      </c>
      <c r="DB896" s="22" t="s">
        <v>151</v>
      </c>
      <c r="DC896" s="17" t="s">
        <v>151</v>
      </c>
      <c r="DD896" s="16" t="s">
        <v>151</v>
      </c>
      <c r="DE896" s="19" t="s">
        <v>151</v>
      </c>
      <c r="DF896" s="21" t="s">
        <v>151</v>
      </c>
      <c r="DG896" s="19" t="s">
        <v>151</v>
      </c>
      <c r="DH896" s="19" t="s">
        <v>151</v>
      </c>
      <c r="DI896" s="19" t="s">
        <v>151</v>
      </c>
      <c r="DJ896" s="21" t="s">
        <v>151</v>
      </c>
      <c r="DK896" s="19" t="s">
        <v>151</v>
      </c>
      <c r="DL896" s="21" t="s">
        <v>151</v>
      </c>
      <c r="DM896" s="19" t="s">
        <v>151</v>
      </c>
      <c r="DN896" s="21" t="s">
        <v>151</v>
      </c>
      <c r="DO896" s="23" t="s">
        <v>151</v>
      </c>
      <c r="DP896" s="21" t="s">
        <v>151</v>
      </c>
      <c r="DQ896" s="23" t="s">
        <v>151</v>
      </c>
      <c r="DR896" s="19" t="s">
        <v>151</v>
      </c>
      <c r="DS896" s="23" t="s">
        <v>151</v>
      </c>
      <c r="DT896" s="21" t="s">
        <v>151</v>
      </c>
      <c r="DU896" s="23" t="s">
        <v>151</v>
      </c>
      <c r="DV896" s="21" t="s">
        <v>151</v>
      </c>
      <c r="DW896" s="23" t="s">
        <v>151</v>
      </c>
      <c r="DX896" s="21" t="s">
        <v>151</v>
      </c>
      <c r="DY896" s="18" t="s">
        <v>151</v>
      </c>
      <c r="DZ896" s="22" t="s">
        <v>151</v>
      </c>
      <c r="EA896" s="22" t="s">
        <v>151</v>
      </c>
      <c r="EB896" s="21" t="s">
        <v>151</v>
      </c>
      <c r="EC896" s="20" t="s">
        <v>151</v>
      </c>
      <c r="ED896" s="19" t="s">
        <v>151</v>
      </c>
      <c r="EE896" s="21" t="s">
        <v>151</v>
      </c>
      <c r="EF896" s="20" t="s">
        <v>151</v>
      </c>
      <c r="EG896" s="19" t="s">
        <v>151</v>
      </c>
      <c r="EH896" s="16" t="s">
        <v>198</v>
      </c>
      <c r="EI896" s="17" t="s">
        <v>151</v>
      </c>
      <c r="EJ896" s="17" t="s">
        <v>151</v>
      </c>
      <c r="EK896" s="18" t="s">
        <v>151</v>
      </c>
      <c r="EL896" s="18" t="s">
        <v>151</v>
      </c>
      <c r="EM896" s="18" t="s">
        <v>151</v>
      </c>
      <c r="EN896" s="18" t="s">
        <v>151</v>
      </c>
      <c r="EO896" s="18" t="s">
        <v>151</v>
      </c>
      <c r="EP896" s="17" t="s">
        <v>151</v>
      </c>
      <c r="EQ896" s="16" t="s">
        <v>151</v>
      </c>
      <c r="ER896" s="16" t="s">
        <v>151</v>
      </c>
      <c r="ES896" s="3">
        <f>HYPERLINK("https://my.pitchbook.com?c=491214-61","View Company Online")</f>
      </c>
    </row>
    <row r="897">
      <c r="A897" s="30" t="s">
        <v>18157</v>
      </c>
      <c r="B897" s="30" t="s">
        <v>18158</v>
      </c>
      <c r="C897" s="31" t="s">
        <v>151</v>
      </c>
      <c r="D897" s="30" t="s">
        <v>151</v>
      </c>
      <c r="E897" s="30" t="s">
        <v>18159</v>
      </c>
      <c r="F897" s="30" t="s">
        <v>18160</v>
      </c>
      <c r="G897" s="30" t="s">
        <v>151</v>
      </c>
      <c r="H897" s="30" t="s">
        <v>151</v>
      </c>
      <c r="I897" s="30" t="s">
        <v>18161</v>
      </c>
      <c r="J897" s="30" t="s">
        <v>18157</v>
      </c>
      <c r="K897" s="30" t="s">
        <v>18162</v>
      </c>
      <c r="L897" s="30" t="s">
        <v>205</v>
      </c>
      <c r="M897" s="30" t="s">
        <v>206</v>
      </c>
      <c r="N897" s="30" t="s">
        <v>1940</v>
      </c>
      <c r="O897" s="30" t="s">
        <v>6692</v>
      </c>
      <c r="P897" s="30" t="s">
        <v>2174</v>
      </c>
      <c r="Q897" s="30" t="s">
        <v>18163</v>
      </c>
      <c r="R897" s="30" t="s">
        <v>151</v>
      </c>
      <c r="S897" s="30" t="s">
        <v>162</v>
      </c>
      <c r="T897" s="37">
        <v>6.98</v>
      </c>
      <c r="U897" s="30" t="s">
        <v>163</v>
      </c>
      <c r="V897" s="30" t="s">
        <v>164</v>
      </c>
      <c r="W897" s="30" t="s">
        <v>165</v>
      </c>
      <c r="X897" s="28" t="s">
        <v>18164</v>
      </c>
      <c r="Y897" s="28" t="s">
        <v>18165</v>
      </c>
      <c r="Z897" s="40">
        <v>10</v>
      </c>
      <c r="AA897" s="30" t="s">
        <v>18166</v>
      </c>
      <c r="AB897" s="30" t="s">
        <v>151</v>
      </c>
      <c r="AC897" s="30" t="s">
        <v>151</v>
      </c>
      <c r="AD897" s="39">
        <v>2021</v>
      </c>
      <c r="AE897" s="30" t="s">
        <v>151</v>
      </c>
      <c r="AF897" s="35">
        <v>45586</v>
      </c>
      <c r="AG897" s="30" t="s">
        <v>151</v>
      </c>
      <c r="AH897" s="30" t="s">
        <v>151</v>
      </c>
      <c r="AI897" s="38" t="s">
        <v>151</v>
      </c>
      <c r="AJ897" s="32" t="s">
        <v>151</v>
      </c>
      <c r="AK897" s="38" t="s">
        <v>151</v>
      </c>
      <c r="AL897" s="38" t="s">
        <v>151</v>
      </c>
      <c r="AM897" s="38" t="s">
        <v>151</v>
      </c>
      <c r="AN897" s="38" t="s">
        <v>151</v>
      </c>
      <c r="AO897" s="38" t="s">
        <v>151</v>
      </c>
      <c r="AP897" s="38" t="s">
        <v>151</v>
      </c>
      <c r="AQ897" s="38" t="s">
        <v>151</v>
      </c>
      <c r="AR897" s="29" t="s">
        <v>151</v>
      </c>
      <c r="AS897" s="30" t="s">
        <v>18167</v>
      </c>
      <c r="AT897" s="30" t="s">
        <v>18168</v>
      </c>
      <c r="AU897" s="31">
        <v>9</v>
      </c>
      <c r="AV897" s="30" t="s">
        <v>151</v>
      </c>
      <c r="AW897" s="30" t="s">
        <v>151</v>
      </c>
      <c r="AX897" s="30" t="s">
        <v>151</v>
      </c>
      <c r="AY897" s="30" t="s">
        <v>18169</v>
      </c>
      <c r="AZ897" s="30" t="s">
        <v>151</v>
      </c>
      <c r="BA897" s="30" t="s">
        <v>151</v>
      </c>
      <c r="BB897" s="30" t="s">
        <v>151</v>
      </c>
      <c r="BC897" s="30" t="s">
        <v>151</v>
      </c>
      <c r="BD897" s="30" t="s">
        <v>18170</v>
      </c>
      <c r="BE897" s="30" t="s">
        <v>18171</v>
      </c>
      <c r="BF897" s="30" t="s">
        <v>493</v>
      </c>
      <c r="BG897" s="30" t="s">
        <v>18172</v>
      </c>
      <c r="BH897" s="30" t="s">
        <v>18173</v>
      </c>
      <c r="BI897" s="30" t="s">
        <v>18174</v>
      </c>
      <c r="BJ897" s="30" t="s">
        <v>18175</v>
      </c>
      <c r="BK897" s="30" t="s">
        <v>151</v>
      </c>
      <c r="BL897" s="30" t="s">
        <v>18176</v>
      </c>
      <c r="BM897" s="30" t="s">
        <v>855</v>
      </c>
      <c r="BN897" s="29" t="s">
        <v>18177</v>
      </c>
      <c r="BO897" s="30" t="s">
        <v>186</v>
      </c>
      <c r="BP897" s="29" t="s">
        <v>18173</v>
      </c>
      <c r="BQ897" s="29" t="s">
        <v>151</v>
      </c>
      <c r="BR897" s="30" t="s">
        <v>18178</v>
      </c>
      <c r="BS897" s="30" t="s">
        <v>187</v>
      </c>
      <c r="BT897" s="30" t="s">
        <v>188</v>
      </c>
      <c r="BU897" s="35">
        <v>44197</v>
      </c>
      <c r="BV897" s="37">
        <v>1.3</v>
      </c>
      <c r="BW897" s="30" t="s">
        <v>192</v>
      </c>
      <c r="BX897" s="37" t="s">
        <v>151</v>
      </c>
      <c r="BY897" s="30" t="s">
        <v>151</v>
      </c>
      <c r="BZ897" s="30" t="s">
        <v>293</v>
      </c>
      <c r="CA897" s="30" t="s">
        <v>293</v>
      </c>
      <c r="CB897" s="30" t="s">
        <v>151</v>
      </c>
      <c r="CC897" s="30" t="s">
        <v>165</v>
      </c>
      <c r="CD897" s="30" t="s">
        <v>151</v>
      </c>
      <c r="CE897" s="30" t="s">
        <v>191</v>
      </c>
      <c r="CF897" s="35" t="s">
        <v>151</v>
      </c>
      <c r="CG897" s="37" t="s">
        <v>151</v>
      </c>
      <c r="CH897" s="30" t="s">
        <v>151</v>
      </c>
      <c r="CI897" s="37" t="s">
        <v>151</v>
      </c>
      <c r="CJ897" s="30" t="s">
        <v>151</v>
      </c>
      <c r="CK897" s="29" t="s">
        <v>151</v>
      </c>
      <c r="CL897" s="30" t="s">
        <v>231</v>
      </c>
      <c r="CM897" s="30" t="s">
        <v>151</v>
      </c>
      <c r="CN897" s="30" t="s">
        <v>151</v>
      </c>
      <c r="CO897" s="30" t="s">
        <v>165</v>
      </c>
      <c r="CP897" s="35" t="s">
        <v>151</v>
      </c>
      <c r="CQ897" s="37" t="s">
        <v>151</v>
      </c>
      <c r="CR897" s="30" t="s">
        <v>151</v>
      </c>
      <c r="CS897" s="30" t="s">
        <v>191</v>
      </c>
      <c r="CT897" s="29">
        <v>90</v>
      </c>
      <c r="CU897" s="30" t="s">
        <v>196</v>
      </c>
      <c r="CV897" s="32">
        <v>83</v>
      </c>
      <c r="CW897" s="32">
        <v>17</v>
      </c>
      <c r="CX897" s="30" t="s">
        <v>294</v>
      </c>
      <c r="CY897" s="32">
        <v>1</v>
      </c>
      <c r="CZ897" s="32">
        <v>82</v>
      </c>
      <c r="DA897" s="37">
        <v>25</v>
      </c>
      <c r="DB897" s="35">
        <v>44641</v>
      </c>
      <c r="DC897" s="30" t="s">
        <v>293</v>
      </c>
      <c r="DD897" s="29" t="s">
        <v>151</v>
      </c>
      <c r="DE897" s="32">
        <v>0</v>
      </c>
      <c r="DF897" s="34">
        <v>11</v>
      </c>
      <c r="DG897" s="32">
        <v>0</v>
      </c>
      <c r="DH897" s="32">
        <v>0</v>
      </c>
      <c r="DI897" s="32">
        <v>0</v>
      </c>
      <c r="DJ897" s="34">
        <v>10</v>
      </c>
      <c r="DK897" s="32">
        <v>0</v>
      </c>
      <c r="DL897" s="34">
        <v>11</v>
      </c>
      <c r="DM897" s="32">
        <v>0</v>
      </c>
      <c r="DN897" s="34">
        <v>10</v>
      </c>
      <c r="DO897" s="36">
        <v>1.72</v>
      </c>
      <c r="DP897" s="34">
        <v>63</v>
      </c>
      <c r="DQ897" s="36">
        <v>0</v>
      </c>
      <c r="DR897" s="32">
        <v>0</v>
      </c>
      <c r="DS897" s="36">
        <v>2.67</v>
      </c>
      <c r="DT897" s="34">
        <v>72</v>
      </c>
      <c r="DU897" s="36">
        <v>3.77</v>
      </c>
      <c r="DV897" s="34">
        <v>79</v>
      </c>
      <c r="DW897" s="36">
        <v>1.58</v>
      </c>
      <c r="DX897" s="34">
        <v>60</v>
      </c>
      <c r="DY897" s="31" t="s">
        <v>151</v>
      </c>
      <c r="DZ897" s="35" t="s">
        <v>151</v>
      </c>
      <c r="EA897" s="35" t="s">
        <v>151</v>
      </c>
      <c r="EB897" s="34">
        <v>0</v>
      </c>
      <c r="EC897" s="33">
        <v>0</v>
      </c>
      <c r="ED897" s="32">
        <v>0</v>
      </c>
      <c r="EE897" s="34">
        <v>30</v>
      </c>
      <c r="EF897" s="33">
        <v>0</v>
      </c>
      <c r="EG897" s="32">
        <v>0</v>
      </c>
      <c r="EH897" s="29" t="s">
        <v>198</v>
      </c>
      <c r="EI897" s="30" t="s">
        <v>151</v>
      </c>
      <c r="EJ897" s="30" t="s">
        <v>151</v>
      </c>
      <c r="EK897" s="31" t="s">
        <v>151</v>
      </c>
      <c r="EL897" s="31" t="s">
        <v>151</v>
      </c>
      <c r="EM897" s="31" t="s">
        <v>151</v>
      </c>
      <c r="EN897" s="31" t="s">
        <v>151</v>
      </c>
      <c r="EO897" s="31" t="s">
        <v>151</v>
      </c>
      <c r="EP897" s="30" t="s">
        <v>151</v>
      </c>
      <c r="EQ897" s="29" t="s">
        <v>151</v>
      </c>
      <c r="ER897" s="29" t="s">
        <v>151</v>
      </c>
      <c r="ES897" s="4">
        <f>HYPERLINK("https://my.pitchbook.com?c=481586-59","View Company Online")</f>
      </c>
    </row>
    <row r="898">
      <c r="A898" s="17" t="s">
        <v>18179</v>
      </c>
      <c r="B898" s="17" t="s">
        <v>18180</v>
      </c>
      <c r="C898" s="18" t="s">
        <v>151</v>
      </c>
      <c r="D898" s="17" t="s">
        <v>151</v>
      </c>
      <c r="E898" s="17" t="s">
        <v>151</v>
      </c>
      <c r="F898" s="17" t="s">
        <v>18181</v>
      </c>
      <c r="G898" s="17" t="s">
        <v>151</v>
      </c>
      <c r="H898" s="17" t="s">
        <v>151</v>
      </c>
      <c r="I898" s="17" t="s">
        <v>151</v>
      </c>
      <c r="J898" s="17" t="s">
        <v>18179</v>
      </c>
      <c r="K898" s="17" t="s">
        <v>18182</v>
      </c>
      <c r="L898" s="17" t="s">
        <v>155</v>
      </c>
      <c r="M898" s="17" t="s">
        <v>361</v>
      </c>
      <c r="N898" s="17" t="s">
        <v>3162</v>
      </c>
      <c r="O898" s="17" t="s">
        <v>3163</v>
      </c>
      <c r="P898" s="17" t="s">
        <v>151</v>
      </c>
      <c r="Q898" s="17" t="s">
        <v>18183</v>
      </c>
      <c r="R898" s="17" t="s">
        <v>151</v>
      </c>
      <c r="S898" s="17" t="s">
        <v>162</v>
      </c>
      <c r="T898" s="24">
        <v>2.32</v>
      </c>
      <c r="U898" s="17" t="s">
        <v>163</v>
      </c>
      <c r="V898" s="17" t="s">
        <v>164</v>
      </c>
      <c r="W898" s="17" t="s">
        <v>165</v>
      </c>
      <c r="X898" s="15" t="s">
        <v>18184</v>
      </c>
      <c r="Y898" s="15" t="s">
        <v>18185</v>
      </c>
      <c r="Z898" s="27">
        <v>10</v>
      </c>
      <c r="AA898" s="17" t="s">
        <v>18186</v>
      </c>
      <c r="AB898" s="17" t="s">
        <v>151</v>
      </c>
      <c r="AC898" s="17" t="s">
        <v>151</v>
      </c>
      <c r="AD898" s="26">
        <v>2019</v>
      </c>
      <c r="AE898" s="17" t="s">
        <v>151</v>
      </c>
      <c r="AF898" s="22">
        <v>45469</v>
      </c>
      <c r="AG898" s="17" t="s">
        <v>151</v>
      </c>
      <c r="AH898" s="17" t="s">
        <v>151</v>
      </c>
      <c r="AI898" s="25" t="s">
        <v>151</v>
      </c>
      <c r="AJ898" s="19" t="s">
        <v>151</v>
      </c>
      <c r="AK898" s="25" t="s">
        <v>151</v>
      </c>
      <c r="AL898" s="25">
        <v>0.54</v>
      </c>
      <c r="AM898" s="25" t="s">
        <v>151</v>
      </c>
      <c r="AN898" s="25" t="s">
        <v>151</v>
      </c>
      <c r="AO898" s="25" t="s">
        <v>151</v>
      </c>
      <c r="AP898" s="25" t="s">
        <v>151</v>
      </c>
      <c r="AQ898" s="25" t="s">
        <v>151</v>
      </c>
      <c r="AR898" s="16" t="s">
        <v>3435</v>
      </c>
      <c r="AS898" s="17" t="s">
        <v>18187</v>
      </c>
      <c r="AT898" s="17" t="s">
        <v>18188</v>
      </c>
      <c r="AU898" s="18">
        <v>2</v>
      </c>
      <c r="AV898" s="17" t="s">
        <v>151</v>
      </c>
      <c r="AW898" s="17" t="s">
        <v>151</v>
      </c>
      <c r="AX898" s="17" t="s">
        <v>151</v>
      </c>
      <c r="AY898" s="17" t="s">
        <v>18189</v>
      </c>
      <c r="AZ898" s="17" t="s">
        <v>151</v>
      </c>
      <c r="BA898" s="17" t="s">
        <v>151</v>
      </c>
      <c r="BB898" s="17" t="s">
        <v>151</v>
      </c>
      <c r="BC898" s="17" t="s">
        <v>18190</v>
      </c>
      <c r="BD898" s="17" t="s">
        <v>18191</v>
      </c>
      <c r="BE898" s="17" t="s">
        <v>18192</v>
      </c>
      <c r="BF898" s="17" t="s">
        <v>493</v>
      </c>
      <c r="BG898" s="17" t="s">
        <v>18193</v>
      </c>
      <c r="BH898" s="17" t="s">
        <v>18194</v>
      </c>
      <c r="BI898" s="17" t="s">
        <v>2289</v>
      </c>
      <c r="BJ898" s="17" t="s">
        <v>18195</v>
      </c>
      <c r="BK898" s="17" t="s">
        <v>151</v>
      </c>
      <c r="BL898" s="17" t="s">
        <v>2291</v>
      </c>
      <c r="BM898" s="17" t="s">
        <v>1043</v>
      </c>
      <c r="BN898" s="16" t="s">
        <v>3999</v>
      </c>
      <c r="BO898" s="17" t="s">
        <v>186</v>
      </c>
      <c r="BP898" s="16" t="s">
        <v>18194</v>
      </c>
      <c r="BQ898" s="16" t="s">
        <v>151</v>
      </c>
      <c r="BR898" s="17" t="s">
        <v>18196</v>
      </c>
      <c r="BS898" s="17" t="s">
        <v>187</v>
      </c>
      <c r="BT898" s="17" t="s">
        <v>188</v>
      </c>
      <c r="BU898" s="22">
        <v>44082</v>
      </c>
      <c r="BV898" s="24">
        <v>0.93</v>
      </c>
      <c r="BW898" s="17" t="s">
        <v>192</v>
      </c>
      <c r="BX898" s="24" t="s">
        <v>151</v>
      </c>
      <c r="BY898" s="17" t="s">
        <v>151</v>
      </c>
      <c r="BZ898" s="17" t="s">
        <v>1391</v>
      </c>
      <c r="CA898" s="17" t="s">
        <v>151</v>
      </c>
      <c r="CB898" s="17" t="s">
        <v>151</v>
      </c>
      <c r="CC898" s="17" t="s">
        <v>585</v>
      </c>
      <c r="CD898" s="17" t="s">
        <v>151</v>
      </c>
      <c r="CE898" s="17" t="s">
        <v>191</v>
      </c>
      <c r="CF898" s="22">
        <v>44656</v>
      </c>
      <c r="CG898" s="24">
        <v>0.09</v>
      </c>
      <c r="CH898" s="17" t="s">
        <v>192</v>
      </c>
      <c r="CI898" s="24">
        <v>10.09</v>
      </c>
      <c r="CJ898" s="17" t="s">
        <v>192</v>
      </c>
      <c r="CK898" s="16" t="s">
        <v>151</v>
      </c>
      <c r="CL898" s="17" t="s">
        <v>1363</v>
      </c>
      <c r="CM898" s="17" t="s">
        <v>151</v>
      </c>
      <c r="CN898" s="17" t="s">
        <v>151</v>
      </c>
      <c r="CO898" s="17" t="s">
        <v>585</v>
      </c>
      <c r="CP898" s="22">
        <v>44656</v>
      </c>
      <c r="CQ898" s="24">
        <v>0.09</v>
      </c>
      <c r="CR898" s="17" t="s">
        <v>151</v>
      </c>
      <c r="CS898" s="17" t="s">
        <v>191</v>
      </c>
      <c r="CT898" s="16" t="s">
        <v>151</v>
      </c>
      <c r="CU898" s="17" t="s">
        <v>151</v>
      </c>
      <c r="CV898" s="19" t="s">
        <v>151</v>
      </c>
      <c r="CW898" s="19" t="s">
        <v>151</v>
      </c>
      <c r="CX898" s="17" t="s">
        <v>151</v>
      </c>
      <c r="CY898" s="19" t="s">
        <v>151</v>
      </c>
      <c r="CZ898" s="19" t="s">
        <v>151</v>
      </c>
      <c r="DA898" s="24">
        <v>10.09</v>
      </c>
      <c r="DB898" s="22">
        <v>44656</v>
      </c>
      <c r="DC898" s="17" t="s">
        <v>1363</v>
      </c>
      <c r="DD898" s="16" t="s">
        <v>151</v>
      </c>
      <c r="DE898" s="19">
        <v>0.69</v>
      </c>
      <c r="DF898" s="21">
        <v>95</v>
      </c>
      <c r="DG898" s="19">
        <v>0</v>
      </c>
      <c r="DH898" s="19">
        <v>0</v>
      </c>
      <c r="DI898" s="19">
        <v>0</v>
      </c>
      <c r="DJ898" s="21">
        <v>10</v>
      </c>
      <c r="DK898" s="19" t="s">
        <v>151</v>
      </c>
      <c r="DL898" s="21" t="s">
        <v>151</v>
      </c>
      <c r="DM898" s="19">
        <v>0</v>
      </c>
      <c r="DN898" s="21">
        <v>10</v>
      </c>
      <c r="DO898" s="23">
        <v>1.78</v>
      </c>
      <c r="DP898" s="21">
        <v>63</v>
      </c>
      <c r="DQ898" s="23">
        <v>0</v>
      </c>
      <c r="DR898" s="19">
        <v>0</v>
      </c>
      <c r="DS898" s="23">
        <v>2.79</v>
      </c>
      <c r="DT898" s="21">
        <v>73</v>
      </c>
      <c r="DU898" s="23" t="s">
        <v>151</v>
      </c>
      <c r="DV898" s="21" t="s">
        <v>151</v>
      </c>
      <c r="DW898" s="23">
        <v>2.79</v>
      </c>
      <c r="DX898" s="21">
        <v>72</v>
      </c>
      <c r="DY898" s="18" t="s">
        <v>151</v>
      </c>
      <c r="DZ898" s="22" t="s">
        <v>151</v>
      </c>
      <c r="EA898" s="22" t="s">
        <v>151</v>
      </c>
      <c r="EB898" s="21">
        <v>454</v>
      </c>
      <c r="EC898" s="20">
        <v>32</v>
      </c>
      <c r="ED898" s="19">
        <v>7.58</v>
      </c>
      <c r="EE898" s="21">
        <v>53</v>
      </c>
      <c r="EF898" s="20">
        <v>0</v>
      </c>
      <c r="EG898" s="19">
        <v>0</v>
      </c>
      <c r="EH898" s="16" t="s">
        <v>198</v>
      </c>
      <c r="EI898" s="17" t="s">
        <v>151</v>
      </c>
      <c r="EJ898" s="17" t="s">
        <v>151</v>
      </c>
      <c r="EK898" s="18" t="s">
        <v>151</v>
      </c>
      <c r="EL898" s="18" t="s">
        <v>151</v>
      </c>
      <c r="EM898" s="18" t="s">
        <v>151</v>
      </c>
      <c r="EN898" s="18" t="s">
        <v>151</v>
      </c>
      <c r="EO898" s="18" t="s">
        <v>151</v>
      </c>
      <c r="EP898" s="17" t="s">
        <v>151</v>
      </c>
      <c r="EQ898" s="16" t="s">
        <v>151</v>
      </c>
      <c r="ER898" s="16" t="s">
        <v>151</v>
      </c>
      <c r="ES898" s="3">
        <f>HYPERLINK("https://my.pitchbook.com?c=466551-55","View Company Online")</f>
      </c>
    </row>
    <row r="899">
      <c r="A899" s="30" t="s">
        <v>18197</v>
      </c>
      <c r="B899" s="30" t="s">
        <v>18198</v>
      </c>
      <c r="C899" s="31" t="s">
        <v>151</v>
      </c>
      <c r="D899" s="30" t="s">
        <v>151</v>
      </c>
      <c r="E899" s="30" t="s">
        <v>151</v>
      </c>
      <c r="F899" s="30" t="s">
        <v>18199</v>
      </c>
      <c r="G899" s="30" t="s">
        <v>151</v>
      </c>
      <c r="H899" s="30" t="s">
        <v>151</v>
      </c>
      <c r="I899" s="30" t="s">
        <v>151</v>
      </c>
      <c r="J899" s="30" t="s">
        <v>18197</v>
      </c>
      <c r="K899" s="30" t="s">
        <v>18200</v>
      </c>
      <c r="L899" s="30" t="s">
        <v>155</v>
      </c>
      <c r="M899" s="30" t="s">
        <v>2320</v>
      </c>
      <c r="N899" s="30" t="s">
        <v>3427</v>
      </c>
      <c r="O899" s="30" t="s">
        <v>18201</v>
      </c>
      <c r="P899" s="30" t="s">
        <v>8332</v>
      </c>
      <c r="Q899" s="30" t="s">
        <v>18202</v>
      </c>
      <c r="R899" s="30" t="s">
        <v>151</v>
      </c>
      <c r="S899" s="30" t="s">
        <v>162</v>
      </c>
      <c r="T899" s="37">
        <v>2.46</v>
      </c>
      <c r="U899" s="30" t="s">
        <v>163</v>
      </c>
      <c r="V899" s="30" t="s">
        <v>164</v>
      </c>
      <c r="W899" s="30" t="s">
        <v>165</v>
      </c>
      <c r="X899" s="28" t="s">
        <v>18203</v>
      </c>
      <c r="Y899" s="28" t="s">
        <v>18204</v>
      </c>
      <c r="Z899" s="40">
        <v>35</v>
      </c>
      <c r="AA899" s="30" t="s">
        <v>18205</v>
      </c>
      <c r="AB899" s="30" t="s">
        <v>151</v>
      </c>
      <c r="AC899" s="30" t="s">
        <v>151</v>
      </c>
      <c r="AD899" s="39">
        <v>2020</v>
      </c>
      <c r="AE899" s="30" t="s">
        <v>151</v>
      </c>
      <c r="AF899" s="35">
        <v>45595</v>
      </c>
      <c r="AG899" s="30" t="s">
        <v>151</v>
      </c>
      <c r="AH899" s="30" t="s">
        <v>151</v>
      </c>
      <c r="AI899" s="38" t="s">
        <v>151</v>
      </c>
      <c r="AJ899" s="32" t="s">
        <v>151</v>
      </c>
      <c r="AK899" s="38" t="s">
        <v>151</v>
      </c>
      <c r="AL899" s="38" t="s">
        <v>151</v>
      </c>
      <c r="AM899" s="38" t="s">
        <v>151</v>
      </c>
      <c r="AN899" s="38" t="s">
        <v>151</v>
      </c>
      <c r="AO899" s="38" t="s">
        <v>151</v>
      </c>
      <c r="AP899" s="38" t="s">
        <v>151</v>
      </c>
      <c r="AQ899" s="38" t="s">
        <v>151</v>
      </c>
      <c r="AR899" s="29" t="s">
        <v>151</v>
      </c>
      <c r="AS899" s="30" t="s">
        <v>18206</v>
      </c>
      <c r="AT899" s="30" t="s">
        <v>18207</v>
      </c>
      <c r="AU899" s="31">
        <v>6</v>
      </c>
      <c r="AV899" s="30" t="s">
        <v>151</v>
      </c>
      <c r="AW899" s="30" t="s">
        <v>151</v>
      </c>
      <c r="AX899" s="30" t="s">
        <v>151</v>
      </c>
      <c r="AY899" s="30" t="s">
        <v>18208</v>
      </c>
      <c r="AZ899" s="30" t="s">
        <v>151</v>
      </c>
      <c r="BA899" s="30" t="s">
        <v>151</v>
      </c>
      <c r="BB899" s="30" t="s">
        <v>151</v>
      </c>
      <c r="BC899" s="30" t="s">
        <v>2626</v>
      </c>
      <c r="BD899" s="30" t="s">
        <v>18209</v>
      </c>
      <c r="BE899" s="30" t="s">
        <v>18210</v>
      </c>
      <c r="BF899" s="30" t="s">
        <v>18211</v>
      </c>
      <c r="BG899" s="30" t="s">
        <v>18212</v>
      </c>
      <c r="BH899" s="30" t="s">
        <v>18213</v>
      </c>
      <c r="BI899" s="30" t="s">
        <v>5127</v>
      </c>
      <c r="BJ899" s="30" t="s">
        <v>18214</v>
      </c>
      <c r="BK899" s="30" t="s">
        <v>18215</v>
      </c>
      <c r="BL899" s="30" t="s">
        <v>5129</v>
      </c>
      <c r="BM899" s="30" t="s">
        <v>259</v>
      </c>
      <c r="BN899" s="29" t="s">
        <v>5984</v>
      </c>
      <c r="BO899" s="30" t="s">
        <v>186</v>
      </c>
      <c r="BP899" s="29" t="s">
        <v>18213</v>
      </c>
      <c r="BQ899" s="29" t="s">
        <v>151</v>
      </c>
      <c r="BR899" s="30" t="s">
        <v>151</v>
      </c>
      <c r="BS899" s="30" t="s">
        <v>187</v>
      </c>
      <c r="BT899" s="30" t="s">
        <v>188</v>
      </c>
      <c r="BU899" s="35">
        <v>43891</v>
      </c>
      <c r="BV899" s="37">
        <v>1.2</v>
      </c>
      <c r="BW899" s="30" t="s">
        <v>192</v>
      </c>
      <c r="BX899" s="37" t="s">
        <v>151</v>
      </c>
      <c r="BY899" s="30" t="s">
        <v>151</v>
      </c>
      <c r="BZ899" s="30" t="s">
        <v>293</v>
      </c>
      <c r="CA899" s="30" t="s">
        <v>293</v>
      </c>
      <c r="CB899" s="30" t="s">
        <v>151</v>
      </c>
      <c r="CC899" s="30" t="s">
        <v>165</v>
      </c>
      <c r="CD899" s="30" t="s">
        <v>151</v>
      </c>
      <c r="CE899" s="30" t="s">
        <v>191</v>
      </c>
      <c r="CF899" s="35">
        <v>44748</v>
      </c>
      <c r="CG899" s="37">
        <v>0.36</v>
      </c>
      <c r="CH899" s="30" t="s">
        <v>192</v>
      </c>
      <c r="CI899" s="37" t="s">
        <v>151</v>
      </c>
      <c r="CJ899" s="30" t="s">
        <v>151</v>
      </c>
      <c r="CK899" s="29" t="s">
        <v>151</v>
      </c>
      <c r="CL899" s="30" t="s">
        <v>1363</v>
      </c>
      <c r="CM899" s="30" t="s">
        <v>151</v>
      </c>
      <c r="CN899" s="30" t="s">
        <v>151</v>
      </c>
      <c r="CO899" s="30" t="s">
        <v>585</v>
      </c>
      <c r="CP899" s="35">
        <v>44748</v>
      </c>
      <c r="CQ899" s="37">
        <v>0.36</v>
      </c>
      <c r="CR899" s="30" t="s">
        <v>18216</v>
      </c>
      <c r="CS899" s="30" t="s">
        <v>859</v>
      </c>
      <c r="CT899" s="29">
        <v>47</v>
      </c>
      <c r="CU899" s="30" t="s">
        <v>263</v>
      </c>
      <c r="CV899" s="32">
        <v>46</v>
      </c>
      <c r="CW899" s="32">
        <v>54</v>
      </c>
      <c r="CX899" s="30" t="s">
        <v>263</v>
      </c>
      <c r="CY899" s="32">
        <v>1</v>
      </c>
      <c r="CZ899" s="32">
        <v>45</v>
      </c>
      <c r="DA899" s="37">
        <v>15</v>
      </c>
      <c r="DB899" s="35">
        <v>44875</v>
      </c>
      <c r="DC899" s="30" t="s">
        <v>231</v>
      </c>
      <c r="DD899" s="29" t="s">
        <v>151</v>
      </c>
      <c r="DE899" s="32">
        <v>0.37</v>
      </c>
      <c r="DF899" s="34">
        <v>93</v>
      </c>
      <c r="DG899" s="32">
        <v>0</v>
      </c>
      <c r="DH899" s="32">
        <v>0</v>
      </c>
      <c r="DI899" s="32">
        <v>0.73</v>
      </c>
      <c r="DJ899" s="34">
        <v>96</v>
      </c>
      <c r="DK899" s="32" t="s">
        <v>151</v>
      </c>
      <c r="DL899" s="34" t="s">
        <v>151</v>
      </c>
      <c r="DM899" s="32">
        <v>0.73</v>
      </c>
      <c r="DN899" s="34">
        <v>96</v>
      </c>
      <c r="DO899" s="36">
        <v>7.43</v>
      </c>
      <c r="DP899" s="34">
        <v>87</v>
      </c>
      <c r="DQ899" s="36">
        <v>0</v>
      </c>
      <c r="DR899" s="32">
        <v>0</v>
      </c>
      <c r="DS899" s="36">
        <v>12.16</v>
      </c>
      <c r="DT899" s="34">
        <v>92</v>
      </c>
      <c r="DU899" s="36" t="s">
        <v>151</v>
      </c>
      <c r="DV899" s="34" t="s">
        <v>151</v>
      </c>
      <c r="DW899" s="36">
        <v>12.16</v>
      </c>
      <c r="DX899" s="34">
        <v>91</v>
      </c>
      <c r="DY899" s="31" t="s">
        <v>151</v>
      </c>
      <c r="DZ899" s="35" t="s">
        <v>151</v>
      </c>
      <c r="EA899" s="35" t="s">
        <v>151</v>
      </c>
      <c r="EB899" s="34">
        <v>3201</v>
      </c>
      <c r="EC899" s="33">
        <v>-624</v>
      </c>
      <c r="ED899" s="32">
        <v>-16.31</v>
      </c>
      <c r="EE899" s="34">
        <v>231</v>
      </c>
      <c r="EF899" s="33">
        <v>0</v>
      </c>
      <c r="EG899" s="32">
        <v>0</v>
      </c>
      <c r="EH899" s="29" t="s">
        <v>198</v>
      </c>
      <c r="EI899" s="30" t="s">
        <v>151</v>
      </c>
      <c r="EJ899" s="30" t="s">
        <v>151</v>
      </c>
      <c r="EK899" s="31" t="s">
        <v>151</v>
      </c>
      <c r="EL899" s="31" t="s">
        <v>151</v>
      </c>
      <c r="EM899" s="31" t="s">
        <v>151</v>
      </c>
      <c r="EN899" s="31" t="s">
        <v>151</v>
      </c>
      <c r="EO899" s="31" t="s">
        <v>151</v>
      </c>
      <c r="EP899" s="30" t="s">
        <v>151</v>
      </c>
      <c r="EQ899" s="29" t="s">
        <v>151</v>
      </c>
      <c r="ER899" s="29" t="s">
        <v>151</v>
      </c>
      <c r="ES899" s="4">
        <f>HYPERLINK("https://my.pitchbook.com?c=462949-21","View Company Online")</f>
      </c>
    </row>
    <row r="900">
      <c r="A900" s="17" t="s">
        <v>18217</v>
      </c>
      <c r="B900" s="17" t="s">
        <v>18218</v>
      </c>
      <c r="C900" s="18" t="s">
        <v>151</v>
      </c>
      <c r="D900" s="17" t="s">
        <v>151</v>
      </c>
      <c r="E900" s="17" t="s">
        <v>18219</v>
      </c>
      <c r="F900" s="17" t="s">
        <v>18220</v>
      </c>
      <c r="G900" s="17" t="s">
        <v>151</v>
      </c>
      <c r="H900" s="17" t="s">
        <v>151</v>
      </c>
      <c r="I900" s="17" t="s">
        <v>151</v>
      </c>
      <c r="J900" s="17" t="s">
        <v>18217</v>
      </c>
      <c r="K900" s="17" t="s">
        <v>18221</v>
      </c>
      <c r="L900" s="17" t="s">
        <v>205</v>
      </c>
      <c r="M900" s="17" t="s">
        <v>206</v>
      </c>
      <c r="N900" s="17" t="s">
        <v>269</v>
      </c>
      <c r="O900" s="17" t="s">
        <v>563</v>
      </c>
      <c r="P900" s="17" t="s">
        <v>2509</v>
      </c>
      <c r="Q900" s="17" t="s">
        <v>18222</v>
      </c>
      <c r="R900" s="17" t="s">
        <v>151</v>
      </c>
      <c r="S900" s="17" t="s">
        <v>162</v>
      </c>
      <c r="T900" s="24">
        <v>11.75</v>
      </c>
      <c r="U900" s="17" t="s">
        <v>163</v>
      </c>
      <c r="V900" s="17" t="s">
        <v>164</v>
      </c>
      <c r="W900" s="17" t="s">
        <v>165</v>
      </c>
      <c r="X900" s="15" t="s">
        <v>18223</v>
      </c>
      <c r="Y900" s="15" t="s">
        <v>18224</v>
      </c>
      <c r="Z900" s="27">
        <v>26</v>
      </c>
      <c r="AA900" s="17" t="s">
        <v>18225</v>
      </c>
      <c r="AB900" s="17" t="s">
        <v>151</v>
      </c>
      <c r="AC900" s="17" t="s">
        <v>151</v>
      </c>
      <c r="AD900" s="26">
        <v>2020</v>
      </c>
      <c r="AE900" s="17" t="s">
        <v>151</v>
      </c>
      <c r="AF900" s="22">
        <v>45551</v>
      </c>
      <c r="AG900" s="17" t="s">
        <v>151</v>
      </c>
      <c r="AH900" s="17" t="s">
        <v>151</v>
      </c>
      <c r="AI900" s="25" t="s">
        <v>151</v>
      </c>
      <c r="AJ900" s="19" t="s">
        <v>151</v>
      </c>
      <c r="AK900" s="25" t="s">
        <v>151</v>
      </c>
      <c r="AL900" s="25" t="s">
        <v>151</v>
      </c>
      <c r="AM900" s="25" t="s">
        <v>151</v>
      </c>
      <c r="AN900" s="25" t="s">
        <v>151</v>
      </c>
      <c r="AO900" s="25" t="s">
        <v>151</v>
      </c>
      <c r="AP900" s="25" t="s">
        <v>151</v>
      </c>
      <c r="AQ900" s="25" t="s">
        <v>151</v>
      </c>
      <c r="AR900" s="16" t="s">
        <v>151</v>
      </c>
      <c r="AS900" s="17" t="s">
        <v>18226</v>
      </c>
      <c r="AT900" s="17" t="s">
        <v>18227</v>
      </c>
      <c r="AU900" s="18">
        <v>6</v>
      </c>
      <c r="AV900" s="17" t="s">
        <v>151</v>
      </c>
      <c r="AW900" s="17" t="s">
        <v>151</v>
      </c>
      <c r="AX900" s="17" t="s">
        <v>151</v>
      </c>
      <c r="AY900" s="17" t="s">
        <v>18228</v>
      </c>
      <c r="AZ900" s="17" t="s">
        <v>151</v>
      </c>
      <c r="BA900" s="17" t="s">
        <v>151</v>
      </c>
      <c r="BB900" s="17" t="s">
        <v>151</v>
      </c>
      <c r="BC900" s="17" t="s">
        <v>4088</v>
      </c>
      <c r="BD900" s="17" t="s">
        <v>18229</v>
      </c>
      <c r="BE900" s="17" t="s">
        <v>18230</v>
      </c>
      <c r="BF900" s="17" t="s">
        <v>2427</v>
      </c>
      <c r="BG900" s="17" t="s">
        <v>18231</v>
      </c>
      <c r="BH900" s="17" t="s">
        <v>151</v>
      </c>
      <c r="BI900" s="17" t="s">
        <v>2720</v>
      </c>
      <c r="BJ900" s="17" t="s">
        <v>18232</v>
      </c>
      <c r="BK900" s="17" t="s">
        <v>151</v>
      </c>
      <c r="BL900" s="17" t="s">
        <v>2722</v>
      </c>
      <c r="BM900" s="17" t="s">
        <v>184</v>
      </c>
      <c r="BN900" s="16" t="s">
        <v>3650</v>
      </c>
      <c r="BO900" s="17" t="s">
        <v>186</v>
      </c>
      <c r="BP900" s="16" t="s">
        <v>151</v>
      </c>
      <c r="BQ900" s="16" t="s">
        <v>151</v>
      </c>
      <c r="BR900" s="17" t="s">
        <v>151</v>
      </c>
      <c r="BS900" s="17" t="s">
        <v>187</v>
      </c>
      <c r="BT900" s="17" t="s">
        <v>188</v>
      </c>
      <c r="BU900" s="22">
        <v>44064</v>
      </c>
      <c r="BV900" s="24">
        <v>3</v>
      </c>
      <c r="BW900" s="17" t="s">
        <v>192</v>
      </c>
      <c r="BX900" s="24">
        <v>10</v>
      </c>
      <c r="BY900" s="17" t="s">
        <v>192</v>
      </c>
      <c r="BZ900" s="17" t="s">
        <v>293</v>
      </c>
      <c r="CA900" s="17" t="s">
        <v>293</v>
      </c>
      <c r="CB900" s="17" t="s">
        <v>151</v>
      </c>
      <c r="CC900" s="17" t="s">
        <v>165</v>
      </c>
      <c r="CD900" s="17" t="s">
        <v>151</v>
      </c>
      <c r="CE900" s="17" t="s">
        <v>191</v>
      </c>
      <c r="CF900" s="22">
        <v>45160</v>
      </c>
      <c r="CG900" s="24" t="s">
        <v>151</v>
      </c>
      <c r="CH900" s="17" t="s">
        <v>151</v>
      </c>
      <c r="CI900" s="24" t="s">
        <v>151</v>
      </c>
      <c r="CJ900" s="17" t="s">
        <v>151</v>
      </c>
      <c r="CK900" s="16" t="s">
        <v>151</v>
      </c>
      <c r="CL900" s="17" t="s">
        <v>231</v>
      </c>
      <c r="CM900" s="17" t="s">
        <v>151</v>
      </c>
      <c r="CN900" s="17" t="s">
        <v>151</v>
      </c>
      <c r="CO900" s="17" t="s">
        <v>385</v>
      </c>
      <c r="CP900" s="22">
        <v>45160</v>
      </c>
      <c r="CQ900" s="24" t="s">
        <v>151</v>
      </c>
      <c r="CR900" s="17" t="s">
        <v>151</v>
      </c>
      <c r="CS900" s="17" t="s">
        <v>191</v>
      </c>
      <c r="CT900" s="16">
        <v>92</v>
      </c>
      <c r="CU900" s="17" t="s">
        <v>196</v>
      </c>
      <c r="CV900" s="19">
        <v>85</v>
      </c>
      <c r="CW900" s="19">
        <v>15</v>
      </c>
      <c r="CX900" s="17" t="s">
        <v>294</v>
      </c>
      <c r="CY900" s="19">
        <v>1</v>
      </c>
      <c r="CZ900" s="19">
        <v>84</v>
      </c>
      <c r="DA900" s="24">
        <v>18.75</v>
      </c>
      <c r="DB900" s="22">
        <v>44370</v>
      </c>
      <c r="DC900" s="17" t="s">
        <v>293</v>
      </c>
      <c r="DD900" s="16">
        <v>1</v>
      </c>
      <c r="DE900" s="19">
        <v>0.6</v>
      </c>
      <c r="DF900" s="21">
        <v>94</v>
      </c>
      <c r="DG900" s="19">
        <v>0</v>
      </c>
      <c r="DH900" s="19">
        <v>0</v>
      </c>
      <c r="DI900" s="19">
        <v>1.66</v>
      </c>
      <c r="DJ900" s="21">
        <v>98</v>
      </c>
      <c r="DK900" s="19" t="s">
        <v>151</v>
      </c>
      <c r="DL900" s="21" t="s">
        <v>151</v>
      </c>
      <c r="DM900" s="19">
        <v>1.66</v>
      </c>
      <c r="DN900" s="21">
        <v>98</v>
      </c>
      <c r="DO900" s="23">
        <v>10.61</v>
      </c>
      <c r="DP900" s="21">
        <v>91</v>
      </c>
      <c r="DQ900" s="23">
        <v>0</v>
      </c>
      <c r="DR900" s="19">
        <v>0</v>
      </c>
      <c r="DS900" s="23">
        <v>19.21</v>
      </c>
      <c r="DT900" s="21">
        <v>95</v>
      </c>
      <c r="DU900" s="23" t="s">
        <v>151</v>
      </c>
      <c r="DV900" s="21" t="s">
        <v>151</v>
      </c>
      <c r="DW900" s="23">
        <v>19.21</v>
      </c>
      <c r="DX900" s="21">
        <v>95</v>
      </c>
      <c r="DY900" s="18" t="s">
        <v>151</v>
      </c>
      <c r="DZ900" s="22" t="s">
        <v>151</v>
      </c>
      <c r="EA900" s="22" t="s">
        <v>151</v>
      </c>
      <c r="EB900" s="21">
        <v>835</v>
      </c>
      <c r="EC900" s="20">
        <v>-22</v>
      </c>
      <c r="ED900" s="19">
        <v>-2.57</v>
      </c>
      <c r="EE900" s="21">
        <v>365</v>
      </c>
      <c r="EF900" s="20">
        <v>3</v>
      </c>
      <c r="EG900" s="19">
        <v>0.83</v>
      </c>
      <c r="EH900" s="16" t="s">
        <v>198</v>
      </c>
      <c r="EI900" s="17" t="s">
        <v>151</v>
      </c>
      <c r="EJ900" s="17" t="s">
        <v>151</v>
      </c>
      <c r="EK900" s="18" t="s">
        <v>151</v>
      </c>
      <c r="EL900" s="18" t="s">
        <v>151</v>
      </c>
      <c r="EM900" s="18" t="s">
        <v>151</v>
      </c>
      <c r="EN900" s="18" t="s">
        <v>151</v>
      </c>
      <c r="EO900" s="18" t="s">
        <v>151</v>
      </c>
      <c r="EP900" s="17" t="s">
        <v>151</v>
      </c>
      <c r="EQ900" s="16" t="s">
        <v>151</v>
      </c>
      <c r="ER900" s="16" t="s">
        <v>151</v>
      </c>
      <c r="ES900" s="3">
        <f>HYPERLINK("https://my.pitchbook.com?c=454253-14","View Company Online")</f>
      </c>
    </row>
    <row r="901">
      <c r="A901" s="30" t="s">
        <v>18233</v>
      </c>
      <c r="B901" s="30" t="s">
        <v>18234</v>
      </c>
      <c r="C901" s="31" t="s">
        <v>151</v>
      </c>
      <c r="D901" s="30" t="s">
        <v>151</v>
      </c>
      <c r="E901" s="30" t="s">
        <v>18235</v>
      </c>
      <c r="F901" s="30" t="s">
        <v>18236</v>
      </c>
      <c r="G901" s="30" t="s">
        <v>151</v>
      </c>
      <c r="H901" s="30" t="s">
        <v>151</v>
      </c>
      <c r="I901" s="30" t="s">
        <v>18237</v>
      </c>
      <c r="J901" s="30" t="s">
        <v>18233</v>
      </c>
      <c r="K901" s="30" t="s">
        <v>18238</v>
      </c>
      <c r="L901" s="30" t="s">
        <v>205</v>
      </c>
      <c r="M901" s="30" t="s">
        <v>206</v>
      </c>
      <c r="N901" s="30" t="s">
        <v>269</v>
      </c>
      <c r="O901" s="30" t="s">
        <v>891</v>
      </c>
      <c r="P901" s="30" t="s">
        <v>892</v>
      </c>
      <c r="Q901" s="30" t="s">
        <v>18239</v>
      </c>
      <c r="R901" s="30" t="s">
        <v>151</v>
      </c>
      <c r="S901" s="30" t="s">
        <v>162</v>
      </c>
      <c r="T901" s="37">
        <v>9</v>
      </c>
      <c r="U901" s="30" t="s">
        <v>163</v>
      </c>
      <c r="V901" s="30" t="s">
        <v>164</v>
      </c>
      <c r="W901" s="30" t="s">
        <v>165</v>
      </c>
      <c r="X901" s="28" t="s">
        <v>18240</v>
      </c>
      <c r="Y901" s="28" t="s">
        <v>18241</v>
      </c>
      <c r="Z901" s="40">
        <v>36</v>
      </c>
      <c r="AA901" s="30" t="s">
        <v>18242</v>
      </c>
      <c r="AB901" s="30" t="s">
        <v>151</v>
      </c>
      <c r="AC901" s="30" t="s">
        <v>151</v>
      </c>
      <c r="AD901" s="39">
        <v>2020</v>
      </c>
      <c r="AE901" s="30" t="s">
        <v>151</v>
      </c>
      <c r="AF901" s="35">
        <v>45573</v>
      </c>
      <c r="AG901" s="30" t="s">
        <v>151</v>
      </c>
      <c r="AH901" s="30" t="s">
        <v>151</v>
      </c>
      <c r="AI901" s="38" t="s">
        <v>151</v>
      </c>
      <c r="AJ901" s="32" t="s">
        <v>151</v>
      </c>
      <c r="AK901" s="38" t="s">
        <v>151</v>
      </c>
      <c r="AL901" s="38" t="s">
        <v>151</v>
      </c>
      <c r="AM901" s="38" t="s">
        <v>151</v>
      </c>
      <c r="AN901" s="38" t="s">
        <v>151</v>
      </c>
      <c r="AO901" s="38" t="s">
        <v>151</v>
      </c>
      <c r="AP901" s="38" t="s">
        <v>151</v>
      </c>
      <c r="AQ901" s="38" t="s">
        <v>151</v>
      </c>
      <c r="AR901" s="29" t="s">
        <v>151</v>
      </c>
      <c r="AS901" s="30" t="s">
        <v>18243</v>
      </c>
      <c r="AT901" s="30" t="s">
        <v>18244</v>
      </c>
      <c r="AU901" s="31">
        <v>7</v>
      </c>
      <c r="AV901" s="30" t="s">
        <v>151</v>
      </c>
      <c r="AW901" s="30" t="s">
        <v>151</v>
      </c>
      <c r="AX901" s="30" t="s">
        <v>151</v>
      </c>
      <c r="AY901" s="30" t="s">
        <v>18245</v>
      </c>
      <c r="AZ901" s="30" t="s">
        <v>151</v>
      </c>
      <c r="BA901" s="30" t="s">
        <v>151</v>
      </c>
      <c r="BB901" s="30" t="s">
        <v>151</v>
      </c>
      <c r="BC901" s="30" t="s">
        <v>4237</v>
      </c>
      <c r="BD901" s="30" t="s">
        <v>18246</v>
      </c>
      <c r="BE901" s="30" t="s">
        <v>18247</v>
      </c>
      <c r="BF901" s="30" t="s">
        <v>282</v>
      </c>
      <c r="BG901" s="30" t="s">
        <v>18248</v>
      </c>
      <c r="BH901" s="30" t="s">
        <v>151</v>
      </c>
      <c r="BI901" s="30" t="s">
        <v>1068</v>
      </c>
      <c r="BJ901" s="30" t="s">
        <v>151</v>
      </c>
      <c r="BK901" s="30" t="s">
        <v>151</v>
      </c>
      <c r="BL901" s="30" t="s">
        <v>1071</v>
      </c>
      <c r="BM901" s="30" t="s">
        <v>1072</v>
      </c>
      <c r="BN901" s="29" t="s">
        <v>151</v>
      </c>
      <c r="BO901" s="30" t="s">
        <v>186</v>
      </c>
      <c r="BP901" s="29" t="s">
        <v>151</v>
      </c>
      <c r="BQ901" s="29" t="s">
        <v>151</v>
      </c>
      <c r="BR901" s="30" t="s">
        <v>18249</v>
      </c>
      <c r="BS901" s="30" t="s">
        <v>187</v>
      </c>
      <c r="BT901" s="30" t="s">
        <v>188</v>
      </c>
      <c r="BU901" s="35">
        <v>44670</v>
      </c>
      <c r="BV901" s="37">
        <v>9</v>
      </c>
      <c r="BW901" s="30" t="s">
        <v>192</v>
      </c>
      <c r="BX901" s="37">
        <v>38</v>
      </c>
      <c r="BY901" s="30" t="s">
        <v>192</v>
      </c>
      <c r="BZ901" s="30" t="s">
        <v>293</v>
      </c>
      <c r="CA901" s="30" t="s">
        <v>293</v>
      </c>
      <c r="CB901" s="30" t="s">
        <v>151</v>
      </c>
      <c r="CC901" s="30" t="s">
        <v>165</v>
      </c>
      <c r="CD901" s="30" t="s">
        <v>151</v>
      </c>
      <c r="CE901" s="30" t="s">
        <v>191</v>
      </c>
      <c r="CF901" s="35">
        <v>44835</v>
      </c>
      <c r="CG901" s="37" t="s">
        <v>151</v>
      </c>
      <c r="CH901" s="30" t="s">
        <v>151</v>
      </c>
      <c r="CI901" s="37" t="s">
        <v>151</v>
      </c>
      <c r="CJ901" s="30" t="s">
        <v>151</v>
      </c>
      <c r="CK901" s="29" t="s">
        <v>151</v>
      </c>
      <c r="CL901" s="30" t="s">
        <v>231</v>
      </c>
      <c r="CM901" s="30" t="s">
        <v>151</v>
      </c>
      <c r="CN901" s="30" t="s">
        <v>151</v>
      </c>
      <c r="CO901" s="30" t="s">
        <v>165</v>
      </c>
      <c r="CP901" s="35">
        <v>44835</v>
      </c>
      <c r="CQ901" s="37" t="s">
        <v>151</v>
      </c>
      <c r="CR901" s="30" t="s">
        <v>151</v>
      </c>
      <c r="CS901" s="30" t="s">
        <v>191</v>
      </c>
      <c r="CT901" s="29">
        <v>72</v>
      </c>
      <c r="CU901" s="30" t="s">
        <v>196</v>
      </c>
      <c r="CV901" s="32">
        <v>67</v>
      </c>
      <c r="CW901" s="32">
        <v>33</v>
      </c>
      <c r="CX901" s="30" t="s">
        <v>294</v>
      </c>
      <c r="CY901" s="32">
        <v>1</v>
      </c>
      <c r="CZ901" s="32">
        <v>66</v>
      </c>
      <c r="DA901" s="37">
        <v>38</v>
      </c>
      <c r="DB901" s="35">
        <v>44670</v>
      </c>
      <c r="DC901" s="30" t="s">
        <v>293</v>
      </c>
      <c r="DD901" s="29" t="s">
        <v>151</v>
      </c>
      <c r="DE901" s="32">
        <v>0.85</v>
      </c>
      <c r="DF901" s="34">
        <v>96</v>
      </c>
      <c r="DG901" s="32">
        <v>0</v>
      </c>
      <c r="DH901" s="32">
        <v>0</v>
      </c>
      <c r="DI901" s="32">
        <v>0.98</v>
      </c>
      <c r="DJ901" s="34">
        <v>96</v>
      </c>
      <c r="DK901" s="32" t="s">
        <v>151</v>
      </c>
      <c r="DL901" s="34" t="s">
        <v>151</v>
      </c>
      <c r="DM901" s="32">
        <v>0.98</v>
      </c>
      <c r="DN901" s="34">
        <v>97</v>
      </c>
      <c r="DO901" s="36">
        <v>6.99</v>
      </c>
      <c r="DP901" s="34">
        <v>86</v>
      </c>
      <c r="DQ901" s="36">
        <v>0</v>
      </c>
      <c r="DR901" s="32">
        <v>0</v>
      </c>
      <c r="DS901" s="36">
        <v>11.21</v>
      </c>
      <c r="DT901" s="34">
        <v>91</v>
      </c>
      <c r="DU901" s="36" t="s">
        <v>151</v>
      </c>
      <c r="DV901" s="34" t="s">
        <v>151</v>
      </c>
      <c r="DW901" s="36">
        <v>11.21</v>
      </c>
      <c r="DX901" s="34">
        <v>91</v>
      </c>
      <c r="DY901" s="31" t="s">
        <v>151</v>
      </c>
      <c r="DZ901" s="35" t="s">
        <v>151</v>
      </c>
      <c r="EA901" s="35" t="s">
        <v>151</v>
      </c>
      <c r="EB901" s="34">
        <v>1171</v>
      </c>
      <c r="EC901" s="33">
        <v>53</v>
      </c>
      <c r="ED901" s="32">
        <v>4.74</v>
      </c>
      <c r="EE901" s="34">
        <v>213</v>
      </c>
      <c r="EF901" s="33">
        <v>2</v>
      </c>
      <c r="EG901" s="32">
        <v>0.95</v>
      </c>
      <c r="EH901" s="29" t="s">
        <v>198</v>
      </c>
      <c r="EI901" s="30" t="s">
        <v>151</v>
      </c>
      <c r="EJ901" s="30" t="s">
        <v>151</v>
      </c>
      <c r="EK901" s="31" t="s">
        <v>151</v>
      </c>
      <c r="EL901" s="31" t="s">
        <v>151</v>
      </c>
      <c r="EM901" s="31" t="s">
        <v>151</v>
      </c>
      <c r="EN901" s="31" t="s">
        <v>151</v>
      </c>
      <c r="EO901" s="31" t="s">
        <v>151</v>
      </c>
      <c r="EP901" s="30" t="s">
        <v>151</v>
      </c>
      <c r="EQ901" s="29" t="s">
        <v>151</v>
      </c>
      <c r="ER901" s="29" t="s">
        <v>151</v>
      </c>
      <c r="ES901" s="4">
        <f>HYPERLINK("https://my.pitchbook.com?c=484612-48","View Company Online")</f>
      </c>
    </row>
    <row r="902">
      <c r="A902" s="17" t="s">
        <v>18250</v>
      </c>
      <c r="B902" s="17" t="s">
        <v>18251</v>
      </c>
      <c r="C902" s="18" t="s">
        <v>151</v>
      </c>
      <c r="D902" s="17" t="s">
        <v>151</v>
      </c>
      <c r="E902" s="17" t="s">
        <v>151</v>
      </c>
      <c r="F902" s="17" t="s">
        <v>18252</v>
      </c>
      <c r="G902" s="17" t="s">
        <v>151</v>
      </c>
      <c r="H902" s="17" t="s">
        <v>151</v>
      </c>
      <c r="I902" s="17" t="s">
        <v>151</v>
      </c>
      <c r="J902" s="17" t="s">
        <v>18250</v>
      </c>
      <c r="K902" s="17" t="s">
        <v>18253</v>
      </c>
      <c r="L902" s="17" t="s">
        <v>205</v>
      </c>
      <c r="M902" s="17" t="s">
        <v>206</v>
      </c>
      <c r="N902" s="17" t="s">
        <v>269</v>
      </c>
      <c r="O902" s="17" t="s">
        <v>5013</v>
      </c>
      <c r="P902" s="17" t="s">
        <v>18254</v>
      </c>
      <c r="Q902" s="17" t="s">
        <v>18255</v>
      </c>
      <c r="R902" s="17" t="s">
        <v>151</v>
      </c>
      <c r="S902" s="17" t="s">
        <v>162</v>
      </c>
      <c r="T902" s="24">
        <v>1.78</v>
      </c>
      <c r="U902" s="17" t="s">
        <v>163</v>
      </c>
      <c r="V902" s="17" t="s">
        <v>164</v>
      </c>
      <c r="W902" s="17" t="s">
        <v>165</v>
      </c>
      <c r="X902" s="15" t="s">
        <v>18256</v>
      </c>
      <c r="Y902" s="15" t="s">
        <v>18257</v>
      </c>
      <c r="Z902" s="27">
        <v>8</v>
      </c>
      <c r="AA902" s="17" t="s">
        <v>9632</v>
      </c>
      <c r="AB902" s="17" t="s">
        <v>151</v>
      </c>
      <c r="AC902" s="17" t="s">
        <v>151</v>
      </c>
      <c r="AD902" s="26">
        <v>2023</v>
      </c>
      <c r="AE902" s="17" t="s">
        <v>151</v>
      </c>
      <c r="AF902" s="22">
        <v>45426</v>
      </c>
      <c r="AG902" s="17" t="s">
        <v>151</v>
      </c>
      <c r="AH902" s="17" t="s">
        <v>151</v>
      </c>
      <c r="AI902" s="25" t="s">
        <v>151</v>
      </c>
      <c r="AJ902" s="19" t="s">
        <v>151</v>
      </c>
      <c r="AK902" s="25" t="s">
        <v>151</v>
      </c>
      <c r="AL902" s="25" t="s">
        <v>151</v>
      </c>
      <c r="AM902" s="25" t="s">
        <v>151</v>
      </c>
      <c r="AN902" s="25" t="s">
        <v>151</v>
      </c>
      <c r="AO902" s="25" t="s">
        <v>151</v>
      </c>
      <c r="AP902" s="25" t="s">
        <v>151</v>
      </c>
      <c r="AQ902" s="25" t="s">
        <v>151</v>
      </c>
      <c r="AR902" s="16" t="s">
        <v>151</v>
      </c>
      <c r="AS902" s="17" t="s">
        <v>18258</v>
      </c>
      <c r="AT902" s="17" t="s">
        <v>18259</v>
      </c>
      <c r="AU902" s="18">
        <v>2</v>
      </c>
      <c r="AV902" s="17" t="s">
        <v>151</v>
      </c>
      <c r="AW902" s="17" t="s">
        <v>151</v>
      </c>
      <c r="AX902" s="17" t="s">
        <v>151</v>
      </c>
      <c r="AY902" s="17" t="s">
        <v>18260</v>
      </c>
      <c r="AZ902" s="17" t="s">
        <v>151</v>
      </c>
      <c r="BA902" s="17" t="s">
        <v>151</v>
      </c>
      <c r="BB902" s="17" t="s">
        <v>151</v>
      </c>
      <c r="BC902" s="17" t="s">
        <v>151</v>
      </c>
      <c r="BD902" s="17" t="s">
        <v>18261</v>
      </c>
      <c r="BE902" s="17" t="s">
        <v>18262</v>
      </c>
      <c r="BF902" s="17" t="s">
        <v>221</v>
      </c>
      <c r="BG902" s="17" t="s">
        <v>18263</v>
      </c>
      <c r="BH902" s="17" t="s">
        <v>18264</v>
      </c>
      <c r="BI902" s="17" t="s">
        <v>764</v>
      </c>
      <c r="BJ902" s="17" t="s">
        <v>16374</v>
      </c>
      <c r="BK902" s="17" t="s">
        <v>18265</v>
      </c>
      <c r="BL902" s="17" t="s">
        <v>767</v>
      </c>
      <c r="BM902" s="17" t="s">
        <v>184</v>
      </c>
      <c r="BN902" s="16" t="s">
        <v>1260</v>
      </c>
      <c r="BO902" s="17" t="s">
        <v>186</v>
      </c>
      <c r="BP902" s="16" t="s">
        <v>18264</v>
      </c>
      <c r="BQ902" s="16" t="s">
        <v>151</v>
      </c>
      <c r="BR902" s="17" t="s">
        <v>18266</v>
      </c>
      <c r="BS902" s="17" t="s">
        <v>187</v>
      </c>
      <c r="BT902" s="17" t="s">
        <v>188</v>
      </c>
      <c r="BU902" s="22">
        <v>45159</v>
      </c>
      <c r="BV902" s="24">
        <v>1.78</v>
      </c>
      <c r="BW902" s="17" t="s">
        <v>192</v>
      </c>
      <c r="BX902" s="24" t="s">
        <v>151</v>
      </c>
      <c r="BY902" s="17" t="s">
        <v>151</v>
      </c>
      <c r="BZ902" s="17" t="s">
        <v>231</v>
      </c>
      <c r="CA902" s="17" t="s">
        <v>151</v>
      </c>
      <c r="CB902" s="17" t="s">
        <v>151</v>
      </c>
      <c r="CC902" s="17" t="s">
        <v>165</v>
      </c>
      <c r="CD902" s="17" t="s">
        <v>151</v>
      </c>
      <c r="CE902" s="17" t="s">
        <v>191</v>
      </c>
      <c r="CF902" s="22">
        <v>45159</v>
      </c>
      <c r="CG902" s="24">
        <v>1.78</v>
      </c>
      <c r="CH902" s="17" t="s">
        <v>192</v>
      </c>
      <c r="CI902" s="24" t="s">
        <v>151</v>
      </c>
      <c r="CJ902" s="17" t="s">
        <v>151</v>
      </c>
      <c r="CK902" s="16" t="s">
        <v>151</v>
      </c>
      <c r="CL902" s="17" t="s">
        <v>231</v>
      </c>
      <c r="CM902" s="17" t="s">
        <v>151</v>
      </c>
      <c r="CN902" s="17" t="s">
        <v>151</v>
      </c>
      <c r="CO902" s="17" t="s">
        <v>165</v>
      </c>
      <c r="CP902" s="22">
        <v>45159</v>
      </c>
      <c r="CQ902" s="24" t="s">
        <v>151</v>
      </c>
      <c r="CR902" s="17" t="s">
        <v>151</v>
      </c>
      <c r="CS902" s="17" t="s">
        <v>191</v>
      </c>
      <c r="CT902" s="16" t="s">
        <v>151</v>
      </c>
      <c r="CU902" s="17" t="s">
        <v>151</v>
      </c>
      <c r="CV902" s="19" t="s">
        <v>151</v>
      </c>
      <c r="CW902" s="19" t="s">
        <v>151</v>
      </c>
      <c r="CX902" s="17" t="s">
        <v>151</v>
      </c>
      <c r="CY902" s="19" t="s">
        <v>151</v>
      </c>
      <c r="CZ902" s="19" t="s">
        <v>151</v>
      </c>
      <c r="DA902" s="24" t="s">
        <v>151</v>
      </c>
      <c r="DB902" s="22" t="s">
        <v>151</v>
      </c>
      <c r="DC902" s="17" t="s">
        <v>151</v>
      </c>
      <c r="DD902" s="16" t="s">
        <v>151</v>
      </c>
      <c r="DE902" s="19">
        <v>0</v>
      </c>
      <c r="DF902" s="21">
        <v>11</v>
      </c>
      <c r="DG902" s="19">
        <v>0</v>
      </c>
      <c r="DH902" s="19">
        <v>0</v>
      </c>
      <c r="DI902" s="19">
        <v>0</v>
      </c>
      <c r="DJ902" s="21">
        <v>10</v>
      </c>
      <c r="DK902" s="19" t="s">
        <v>151</v>
      </c>
      <c r="DL902" s="21" t="s">
        <v>151</v>
      </c>
      <c r="DM902" s="19">
        <v>0</v>
      </c>
      <c r="DN902" s="21">
        <v>10</v>
      </c>
      <c r="DO902" s="23">
        <v>0.05</v>
      </c>
      <c r="DP902" s="21">
        <v>1</v>
      </c>
      <c r="DQ902" s="23">
        <v>0</v>
      </c>
      <c r="DR902" s="19">
        <v>0</v>
      </c>
      <c r="DS902" s="23">
        <v>0.05</v>
      </c>
      <c r="DT902" s="21">
        <v>1</v>
      </c>
      <c r="DU902" s="23" t="s">
        <v>151</v>
      </c>
      <c r="DV902" s="21" t="s">
        <v>151</v>
      </c>
      <c r="DW902" s="23">
        <v>0.05</v>
      </c>
      <c r="DX902" s="21">
        <v>1</v>
      </c>
      <c r="DY902" s="18" t="s">
        <v>151</v>
      </c>
      <c r="DZ902" s="22" t="s">
        <v>151</v>
      </c>
      <c r="EA902" s="22" t="s">
        <v>151</v>
      </c>
      <c r="EB902" s="21">
        <v>389</v>
      </c>
      <c r="EC902" s="20">
        <v>67</v>
      </c>
      <c r="ED902" s="19">
        <v>20.81</v>
      </c>
      <c r="EE902" s="21">
        <v>1</v>
      </c>
      <c r="EF902" s="20">
        <v>0</v>
      </c>
      <c r="EG902" s="19">
        <v>0</v>
      </c>
      <c r="EH902" s="16" t="s">
        <v>198</v>
      </c>
      <c r="EI902" s="17" t="s">
        <v>151</v>
      </c>
      <c r="EJ902" s="17" t="s">
        <v>151</v>
      </c>
      <c r="EK902" s="18" t="s">
        <v>151</v>
      </c>
      <c r="EL902" s="18" t="s">
        <v>151</v>
      </c>
      <c r="EM902" s="18" t="s">
        <v>151</v>
      </c>
      <c r="EN902" s="18" t="s">
        <v>151</v>
      </c>
      <c r="EO902" s="18" t="s">
        <v>151</v>
      </c>
      <c r="EP902" s="17" t="s">
        <v>151</v>
      </c>
      <c r="EQ902" s="16" t="s">
        <v>151</v>
      </c>
      <c r="ER902" s="16" t="s">
        <v>151</v>
      </c>
      <c r="ES902" s="3">
        <f>HYPERLINK("https://my.pitchbook.com?c=538936-03","View Company Online")</f>
      </c>
    </row>
    <row r="903">
      <c r="A903" s="30" t="s">
        <v>18267</v>
      </c>
      <c r="B903" s="30" t="s">
        <v>18268</v>
      </c>
      <c r="C903" s="31" t="s">
        <v>151</v>
      </c>
      <c r="D903" s="30" t="s">
        <v>151</v>
      </c>
      <c r="E903" s="30" t="s">
        <v>151</v>
      </c>
      <c r="F903" s="30" t="s">
        <v>18269</v>
      </c>
      <c r="G903" s="30" t="s">
        <v>151</v>
      </c>
      <c r="H903" s="30" t="s">
        <v>151</v>
      </c>
      <c r="I903" s="30" t="s">
        <v>151</v>
      </c>
      <c r="J903" s="30" t="s">
        <v>18267</v>
      </c>
      <c r="K903" s="30" t="s">
        <v>18270</v>
      </c>
      <c r="L903" s="30" t="s">
        <v>616</v>
      </c>
      <c r="M903" s="30" t="s">
        <v>834</v>
      </c>
      <c r="N903" s="30" t="s">
        <v>3076</v>
      </c>
      <c r="O903" s="30" t="s">
        <v>18271</v>
      </c>
      <c r="P903" s="30" t="s">
        <v>18272</v>
      </c>
      <c r="Q903" s="30" t="s">
        <v>18273</v>
      </c>
      <c r="R903" s="30" t="s">
        <v>151</v>
      </c>
      <c r="S903" s="30" t="s">
        <v>162</v>
      </c>
      <c r="T903" s="37">
        <v>2</v>
      </c>
      <c r="U903" s="30" t="s">
        <v>163</v>
      </c>
      <c r="V903" s="30" t="s">
        <v>164</v>
      </c>
      <c r="W903" s="30" t="s">
        <v>165</v>
      </c>
      <c r="X903" s="28" t="s">
        <v>18274</v>
      </c>
      <c r="Y903" s="28" t="s">
        <v>18275</v>
      </c>
      <c r="Z903" s="40">
        <v>12</v>
      </c>
      <c r="AA903" s="30" t="s">
        <v>18276</v>
      </c>
      <c r="AB903" s="30" t="s">
        <v>151</v>
      </c>
      <c r="AC903" s="30" t="s">
        <v>151</v>
      </c>
      <c r="AD903" s="39">
        <v>2020</v>
      </c>
      <c r="AE903" s="30" t="s">
        <v>151</v>
      </c>
      <c r="AF903" s="35">
        <v>45399</v>
      </c>
      <c r="AG903" s="30" t="s">
        <v>151</v>
      </c>
      <c r="AH903" s="30" t="s">
        <v>151</v>
      </c>
      <c r="AI903" s="38">
        <v>3650</v>
      </c>
      <c r="AJ903" s="32" t="s">
        <v>151</v>
      </c>
      <c r="AK903" s="38" t="s">
        <v>151</v>
      </c>
      <c r="AL903" s="38" t="s">
        <v>151</v>
      </c>
      <c r="AM903" s="38" t="s">
        <v>151</v>
      </c>
      <c r="AN903" s="38" t="s">
        <v>151</v>
      </c>
      <c r="AO903" s="38" t="s">
        <v>151</v>
      </c>
      <c r="AP903" s="38" t="s">
        <v>151</v>
      </c>
      <c r="AQ903" s="38" t="s">
        <v>151</v>
      </c>
      <c r="AR903" s="29" t="s">
        <v>3435</v>
      </c>
      <c r="AS903" s="30" t="s">
        <v>18277</v>
      </c>
      <c r="AT903" s="30" t="s">
        <v>18278</v>
      </c>
      <c r="AU903" s="31">
        <v>7</v>
      </c>
      <c r="AV903" s="30" t="s">
        <v>151</v>
      </c>
      <c r="AW903" s="30" t="s">
        <v>151</v>
      </c>
      <c r="AX903" s="30" t="s">
        <v>151</v>
      </c>
      <c r="AY903" s="30" t="s">
        <v>18279</v>
      </c>
      <c r="AZ903" s="30" t="s">
        <v>151</v>
      </c>
      <c r="BA903" s="30" t="s">
        <v>151</v>
      </c>
      <c r="BB903" s="30" t="s">
        <v>151</v>
      </c>
      <c r="BC903" s="30" t="s">
        <v>151</v>
      </c>
      <c r="BD903" s="30" t="s">
        <v>18280</v>
      </c>
      <c r="BE903" s="30" t="s">
        <v>18281</v>
      </c>
      <c r="BF903" s="30" t="s">
        <v>1118</v>
      </c>
      <c r="BG903" s="30" t="s">
        <v>18282</v>
      </c>
      <c r="BH903" s="30" t="s">
        <v>151</v>
      </c>
      <c r="BI903" s="30" t="s">
        <v>1012</v>
      </c>
      <c r="BJ903" s="30" t="s">
        <v>18283</v>
      </c>
      <c r="BK903" s="30" t="s">
        <v>151</v>
      </c>
      <c r="BL903" s="30" t="s">
        <v>1015</v>
      </c>
      <c r="BM903" s="30" t="s">
        <v>184</v>
      </c>
      <c r="BN903" s="29" t="s">
        <v>1016</v>
      </c>
      <c r="BO903" s="30" t="s">
        <v>186</v>
      </c>
      <c r="BP903" s="29" t="s">
        <v>151</v>
      </c>
      <c r="BQ903" s="29" t="s">
        <v>151</v>
      </c>
      <c r="BR903" s="30" t="s">
        <v>151</v>
      </c>
      <c r="BS903" s="30" t="s">
        <v>187</v>
      </c>
      <c r="BT903" s="30" t="s">
        <v>188</v>
      </c>
      <c r="BU903" s="35">
        <v>44133</v>
      </c>
      <c r="BV903" s="37">
        <v>0.5</v>
      </c>
      <c r="BW903" s="30" t="s">
        <v>192</v>
      </c>
      <c r="BX903" s="37" t="s">
        <v>151</v>
      </c>
      <c r="BY903" s="30" t="s">
        <v>151</v>
      </c>
      <c r="BZ903" s="30" t="s">
        <v>293</v>
      </c>
      <c r="CA903" s="30" t="s">
        <v>293</v>
      </c>
      <c r="CB903" s="30" t="s">
        <v>151</v>
      </c>
      <c r="CC903" s="30" t="s">
        <v>165</v>
      </c>
      <c r="CD903" s="30" t="s">
        <v>151</v>
      </c>
      <c r="CE903" s="30" t="s">
        <v>191</v>
      </c>
      <c r="CF903" s="35">
        <v>44281</v>
      </c>
      <c r="CG903" s="37">
        <v>1.5</v>
      </c>
      <c r="CH903" s="30" t="s">
        <v>192</v>
      </c>
      <c r="CI903" s="37">
        <v>7</v>
      </c>
      <c r="CJ903" s="30" t="s">
        <v>192</v>
      </c>
      <c r="CK903" s="29" t="s">
        <v>151</v>
      </c>
      <c r="CL903" s="30" t="s">
        <v>231</v>
      </c>
      <c r="CM903" s="30" t="s">
        <v>472</v>
      </c>
      <c r="CN903" s="30" t="s">
        <v>151</v>
      </c>
      <c r="CO903" s="30" t="s">
        <v>165</v>
      </c>
      <c r="CP903" s="35">
        <v>44281</v>
      </c>
      <c r="CQ903" s="37" t="s">
        <v>151</v>
      </c>
      <c r="CR903" s="30" t="s">
        <v>151</v>
      </c>
      <c r="CS903" s="30" t="s">
        <v>191</v>
      </c>
      <c r="CT903" s="29">
        <v>8</v>
      </c>
      <c r="CU903" s="30" t="s">
        <v>263</v>
      </c>
      <c r="CV903" s="32">
        <v>9</v>
      </c>
      <c r="CW903" s="32">
        <v>91</v>
      </c>
      <c r="CX903" s="30" t="s">
        <v>263</v>
      </c>
      <c r="CY903" s="32">
        <v>1</v>
      </c>
      <c r="CZ903" s="32">
        <v>8</v>
      </c>
      <c r="DA903" s="37">
        <v>7</v>
      </c>
      <c r="DB903" s="35">
        <v>44281</v>
      </c>
      <c r="DC903" s="30" t="s">
        <v>231</v>
      </c>
      <c r="DD903" s="29" t="s">
        <v>151</v>
      </c>
      <c r="DE903" s="32">
        <v>4.14</v>
      </c>
      <c r="DF903" s="34">
        <v>100</v>
      </c>
      <c r="DG903" s="32">
        <v>0</v>
      </c>
      <c r="DH903" s="32">
        <v>0</v>
      </c>
      <c r="DI903" s="32">
        <v>4.14</v>
      </c>
      <c r="DJ903" s="34">
        <v>100</v>
      </c>
      <c r="DK903" s="32" t="s">
        <v>151</v>
      </c>
      <c r="DL903" s="34" t="s">
        <v>151</v>
      </c>
      <c r="DM903" s="32">
        <v>4.14</v>
      </c>
      <c r="DN903" s="34">
        <v>100</v>
      </c>
      <c r="DO903" s="36">
        <v>7.26</v>
      </c>
      <c r="DP903" s="34">
        <v>87</v>
      </c>
      <c r="DQ903" s="36">
        <v>0</v>
      </c>
      <c r="DR903" s="32">
        <v>0</v>
      </c>
      <c r="DS903" s="36">
        <v>7.26</v>
      </c>
      <c r="DT903" s="34">
        <v>87</v>
      </c>
      <c r="DU903" s="36" t="s">
        <v>151</v>
      </c>
      <c r="DV903" s="34" t="s">
        <v>151</v>
      </c>
      <c r="DW903" s="36">
        <v>7.26</v>
      </c>
      <c r="DX903" s="34">
        <v>86</v>
      </c>
      <c r="DY903" s="31" t="s">
        <v>151</v>
      </c>
      <c r="DZ903" s="35" t="s">
        <v>151</v>
      </c>
      <c r="EA903" s="35" t="s">
        <v>151</v>
      </c>
      <c r="EB903" s="34">
        <v>1089</v>
      </c>
      <c r="EC903" s="33">
        <v>140</v>
      </c>
      <c r="ED903" s="32">
        <v>14.75</v>
      </c>
      <c r="EE903" s="34">
        <v>138</v>
      </c>
      <c r="EF903" s="33">
        <v>3</v>
      </c>
      <c r="EG903" s="32">
        <v>2.22</v>
      </c>
      <c r="EH903" s="29" t="s">
        <v>198</v>
      </c>
      <c r="EI903" s="30" t="s">
        <v>151</v>
      </c>
      <c r="EJ903" s="30" t="s">
        <v>151</v>
      </c>
      <c r="EK903" s="31" t="s">
        <v>151</v>
      </c>
      <c r="EL903" s="31" t="s">
        <v>151</v>
      </c>
      <c r="EM903" s="31" t="s">
        <v>151</v>
      </c>
      <c r="EN903" s="31" t="s">
        <v>151</v>
      </c>
      <c r="EO903" s="31" t="s">
        <v>151</v>
      </c>
      <c r="EP903" s="30" t="s">
        <v>151</v>
      </c>
      <c r="EQ903" s="29" t="s">
        <v>151</v>
      </c>
      <c r="ER903" s="29" t="s">
        <v>151</v>
      </c>
      <c r="ES903" s="4">
        <f>HYPERLINK("https://my.pitchbook.com?c=458160-13","View Company Online")</f>
      </c>
    </row>
    <row r="904">
      <c r="A904" s="17" t="s">
        <v>18284</v>
      </c>
      <c r="B904" s="17" t="s">
        <v>18285</v>
      </c>
      <c r="C904" s="18" t="s">
        <v>151</v>
      </c>
      <c r="D904" s="17" t="s">
        <v>151</v>
      </c>
      <c r="E904" s="17" t="s">
        <v>18286</v>
      </c>
      <c r="F904" s="17" t="s">
        <v>18287</v>
      </c>
      <c r="G904" s="17" t="s">
        <v>151</v>
      </c>
      <c r="H904" s="17" t="s">
        <v>151</v>
      </c>
      <c r="I904" s="17" t="s">
        <v>18288</v>
      </c>
      <c r="J904" s="17" t="s">
        <v>18284</v>
      </c>
      <c r="K904" s="17" t="s">
        <v>18289</v>
      </c>
      <c r="L904" s="17" t="s">
        <v>205</v>
      </c>
      <c r="M904" s="17" t="s">
        <v>206</v>
      </c>
      <c r="N904" s="17" t="s">
        <v>1082</v>
      </c>
      <c r="O904" s="17" t="s">
        <v>4103</v>
      </c>
      <c r="P904" s="17" t="s">
        <v>2149</v>
      </c>
      <c r="Q904" s="17" t="s">
        <v>18290</v>
      </c>
      <c r="R904" s="17" t="s">
        <v>2798</v>
      </c>
      <c r="S904" s="17" t="s">
        <v>162</v>
      </c>
      <c r="T904" s="24">
        <v>2.5</v>
      </c>
      <c r="U904" s="17" t="s">
        <v>4045</v>
      </c>
      <c r="V904" s="17" t="s">
        <v>164</v>
      </c>
      <c r="W904" s="17" t="s">
        <v>165</v>
      </c>
      <c r="X904" s="15" t="s">
        <v>18291</v>
      </c>
      <c r="Y904" s="15" t="s">
        <v>18292</v>
      </c>
      <c r="Z904" s="27">
        <v>8</v>
      </c>
      <c r="AA904" s="17" t="s">
        <v>18293</v>
      </c>
      <c r="AB904" s="17" t="s">
        <v>151</v>
      </c>
      <c r="AC904" s="17" t="s">
        <v>151</v>
      </c>
      <c r="AD904" s="26">
        <v>2020</v>
      </c>
      <c r="AE904" s="17" t="s">
        <v>151</v>
      </c>
      <c r="AF904" s="22">
        <v>45196</v>
      </c>
      <c r="AG904" s="17" t="s">
        <v>151</v>
      </c>
      <c r="AH904" s="17" t="s">
        <v>151</v>
      </c>
      <c r="AI904" s="25" t="s">
        <v>151</v>
      </c>
      <c r="AJ904" s="19" t="s">
        <v>151</v>
      </c>
      <c r="AK904" s="25" t="s">
        <v>151</v>
      </c>
      <c r="AL904" s="25" t="s">
        <v>151</v>
      </c>
      <c r="AM904" s="25" t="s">
        <v>151</v>
      </c>
      <c r="AN904" s="25" t="s">
        <v>151</v>
      </c>
      <c r="AO904" s="25" t="s">
        <v>151</v>
      </c>
      <c r="AP904" s="25" t="s">
        <v>151</v>
      </c>
      <c r="AQ904" s="25" t="s">
        <v>151</v>
      </c>
      <c r="AR904" s="16" t="s">
        <v>151</v>
      </c>
      <c r="AS904" s="17" t="s">
        <v>18294</v>
      </c>
      <c r="AT904" s="17" t="s">
        <v>18295</v>
      </c>
      <c r="AU904" s="18">
        <v>4</v>
      </c>
      <c r="AV904" s="17" t="s">
        <v>151</v>
      </c>
      <c r="AW904" s="17" t="s">
        <v>151</v>
      </c>
      <c r="AX904" s="17" t="s">
        <v>151</v>
      </c>
      <c r="AY904" s="17" t="s">
        <v>18296</v>
      </c>
      <c r="AZ904" s="17" t="s">
        <v>151</v>
      </c>
      <c r="BA904" s="17" t="s">
        <v>151</v>
      </c>
      <c r="BB904" s="17" t="s">
        <v>151</v>
      </c>
      <c r="BC904" s="17" t="s">
        <v>151</v>
      </c>
      <c r="BD904" s="17" t="s">
        <v>18297</v>
      </c>
      <c r="BE904" s="17" t="s">
        <v>18298</v>
      </c>
      <c r="BF904" s="17" t="s">
        <v>403</v>
      </c>
      <c r="BG904" s="17" t="s">
        <v>18299</v>
      </c>
      <c r="BH904" s="17" t="s">
        <v>151</v>
      </c>
      <c r="BI904" s="17" t="s">
        <v>764</v>
      </c>
      <c r="BJ904" s="17" t="s">
        <v>18077</v>
      </c>
      <c r="BK904" s="17" t="s">
        <v>18300</v>
      </c>
      <c r="BL904" s="17" t="s">
        <v>767</v>
      </c>
      <c r="BM904" s="17" t="s">
        <v>184</v>
      </c>
      <c r="BN904" s="16" t="s">
        <v>1260</v>
      </c>
      <c r="BO904" s="17" t="s">
        <v>186</v>
      </c>
      <c r="BP904" s="16" t="s">
        <v>151</v>
      </c>
      <c r="BQ904" s="16" t="s">
        <v>151</v>
      </c>
      <c r="BR904" s="17" t="s">
        <v>18301</v>
      </c>
      <c r="BS904" s="17" t="s">
        <v>187</v>
      </c>
      <c r="BT904" s="17" t="s">
        <v>188</v>
      </c>
      <c r="BU904" s="22">
        <v>44308</v>
      </c>
      <c r="BV904" s="24">
        <v>2.5</v>
      </c>
      <c r="BW904" s="17" t="s">
        <v>192</v>
      </c>
      <c r="BX904" s="24" t="s">
        <v>151</v>
      </c>
      <c r="BY904" s="17" t="s">
        <v>151</v>
      </c>
      <c r="BZ904" s="17" t="s">
        <v>293</v>
      </c>
      <c r="CA904" s="17" t="s">
        <v>293</v>
      </c>
      <c r="CB904" s="17" t="s">
        <v>151</v>
      </c>
      <c r="CC904" s="17" t="s">
        <v>165</v>
      </c>
      <c r="CD904" s="17" t="s">
        <v>151</v>
      </c>
      <c r="CE904" s="17" t="s">
        <v>191</v>
      </c>
      <c r="CF904" s="22">
        <v>44927</v>
      </c>
      <c r="CG904" s="24" t="s">
        <v>151</v>
      </c>
      <c r="CH904" s="17" t="s">
        <v>151</v>
      </c>
      <c r="CI904" s="24" t="s">
        <v>151</v>
      </c>
      <c r="CJ904" s="17" t="s">
        <v>151</v>
      </c>
      <c r="CK904" s="16" t="s">
        <v>151</v>
      </c>
      <c r="CL904" s="17" t="s">
        <v>231</v>
      </c>
      <c r="CM904" s="17" t="s">
        <v>151</v>
      </c>
      <c r="CN904" s="17" t="s">
        <v>151</v>
      </c>
      <c r="CO904" s="17" t="s">
        <v>165</v>
      </c>
      <c r="CP904" s="22">
        <v>44927</v>
      </c>
      <c r="CQ904" s="24" t="s">
        <v>151</v>
      </c>
      <c r="CR904" s="17" t="s">
        <v>151</v>
      </c>
      <c r="CS904" s="17" t="s">
        <v>191</v>
      </c>
      <c r="CT904" s="16">
        <v>32</v>
      </c>
      <c r="CU904" s="17" t="s">
        <v>263</v>
      </c>
      <c r="CV904" s="19">
        <v>33</v>
      </c>
      <c r="CW904" s="19">
        <v>67</v>
      </c>
      <c r="CX904" s="17" t="s">
        <v>263</v>
      </c>
      <c r="CY904" s="19">
        <v>1</v>
      </c>
      <c r="CZ904" s="19">
        <v>32</v>
      </c>
      <c r="DA904" s="24" t="s">
        <v>151</v>
      </c>
      <c r="DB904" s="22" t="s">
        <v>151</v>
      </c>
      <c r="DC904" s="17" t="s">
        <v>151</v>
      </c>
      <c r="DD904" s="16" t="s">
        <v>151</v>
      </c>
      <c r="DE904" s="19">
        <v>0</v>
      </c>
      <c r="DF904" s="21">
        <v>11</v>
      </c>
      <c r="DG904" s="19">
        <v>0</v>
      </c>
      <c r="DH904" s="19">
        <v>0</v>
      </c>
      <c r="DI904" s="19">
        <v>0</v>
      </c>
      <c r="DJ904" s="21">
        <v>10</v>
      </c>
      <c r="DK904" s="19" t="s">
        <v>151</v>
      </c>
      <c r="DL904" s="21" t="s">
        <v>151</v>
      </c>
      <c r="DM904" s="19">
        <v>0</v>
      </c>
      <c r="DN904" s="21">
        <v>10</v>
      </c>
      <c r="DO904" s="23">
        <v>4.05</v>
      </c>
      <c r="DP904" s="21">
        <v>79</v>
      </c>
      <c r="DQ904" s="23">
        <v>0</v>
      </c>
      <c r="DR904" s="19">
        <v>0</v>
      </c>
      <c r="DS904" s="23">
        <v>4.05</v>
      </c>
      <c r="DT904" s="21">
        <v>79</v>
      </c>
      <c r="DU904" s="23" t="s">
        <v>151</v>
      </c>
      <c r="DV904" s="21" t="s">
        <v>151</v>
      </c>
      <c r="DW904" s="23">
        <v>4.05</v>
      </c>
      <c r="DX904" s="21">
        <v>79</v>
      </c>
      <c r="DY904" s="18" t="s">
        <v>151</v>
      </c>
      <c r="DZ904" s="22" t="s">
        <v>151</v>
      </c>
      <c r="EA904" s="22" t="s">
        <v>151</v>
      </c>
      <c r="EB904" s="21">
        <v>6</v>
      </c>
      <c r="EC904" s="20">
        <v>-30</v>
      </c>
      <c r="ED904" s="19">
        <v>-83.33</v>
      </c>
      <c r="EE904" s="21">
        <v>77</v>
      </c>
      <c r="EF904" s="20">
        <v>0</v>
      </c>
      <c r="EG904" s="19">
        <v>0</v>
      </c>
      <c r="EH904" s="16" t="s">
        <v>198</v>
      </c>
      <c r="EI904" s="17" t="s">
        <v>151</v>
      </c>
      <c r="EJ904" s="17" t="s">
        <v>151</v>
      </c>
      <c r="EK904" s="18" t="s">
        <v>151</v>
      </c>
      <c r="EL904" s="18" t="s">
        <v>151</v>
      </c>
      <c r="EM904" s="18" t="s">
        <v>151</v>
      </c>
      <c r="EN904" s="18" t="s">
        <v>151</v>
      </c>
      <c r="EO904" s="18" t="s">
        <v>151</v>
      </c>
      <c r="EP904" s="17" t="s">
        <v>151</v>
      </c>
      <c r="EQ904" s="16" t="s">
        <v>151</v>
      </c>
      <c r="ER904" s="16" t="s">
        <v>151</v>
      </c>
      <c r="ES904" s="3">
        <f>HYPERLINK("https://my.pitchbook.com?c=465330-34","View Company Online")</f>
      </c>
    </row>
    <row r="905">
      <c r="A905" s="30" t="s">
        <v>18302</v>
      </c>
      <c r="B905" s="30" t="s">
        <v>18303</v>
      </c>
      <c r="C905" s="31" t="s">
        <v>151</v>
      </c>
      <c r="D905" s="30" t="s">
        <v>18304</v>
      </c>
      <c r="E905" s="30" t="s">
        <v>151</v>
      </c>
      <c r="F905" s="30" t="s">
        <v>18305</v>
      </c>
      <c r="G905" s="30" t="s">
        <v>151</v>
      </c>
      <c r="H905" s="30" t="s">
        <v>151</v>
      </c>
      <c r="I905" s="30" t="s">
        <v>18306</v>
      </c>
      <c r="J905" s="30" t="s">
        <v>18302</v>
      </c>
      <c r="K905" s="30" t="s">
        <v>18307</v>
      </c>
      <c r="L905" s="30" t="s">
        <v>205</v>
      </c>
      <c r="M905" s="30" t="s">
        <v>206</v>
      </c>
      <c r="N905" s="30" t="s">
        <v>1268</v>
      </c>
      <c r="O905" s="30" t="s">
        <v>2129</v>
      </c>
      <c r="P905" s="30" t="s">
        <v>2130</v>
      </c>
      <c r="Q905" s="30" t="s">
        <v>18308</v>
      </c>
      <c r="R905" s="30" t="s">
        <v>151</v>
      </c>
      <c r="S905" s="30" t="s">
        <v>162</v>
      </c>
      <c r="T905" s="37">
        <v>0.42</v>
      </c>
      <c r="U905" s="30" t="s">
        <v>163</v>
      </c>
      <c r="V905" s="30" t="s">
        <v>164</v>
      </c>
      <c r="W905" s="30" t="s">
        <v>165</v>
      </c>
      <c r="X905" s="28" t="s">
        <v>18309</v>
      </c>
      <c r="Y905" s="28" t="s">
        <v>18310</v>
      </c>
      <c r="Z905" s="40">
        <v>6</v>
      </c>
      <c r="AA905" s="30" t="s">
        <v>18311</v>
      </c>
      <c r="AB905" s="30" t="s">
        <v>151</v>
      </c>
      <c r="AC905" s="30" t="s">
        <v>151</v>
      </c>
      <c r="AD905" s="39" t="s">
        <v>151</v>
      </c>
      <c r="AE905" s="30" t="s">
        <v>151</v>
      </c>
      <c r="AF905" s="35">
        <v>45569</v>
      </c>
      <c r="AG905" s="30" t="s">
        <v>151</v>
      </c>
      <c r="AH905" s="30" t="s">
        <v>151</v>
      </c>
      <c r="AI905" s="38">
        <v>0.23</v>
      </c>
      <c r="AJ905" s="32">
        <v>155.56</v>
      </c>
      <c r="AK905" s="38" t="s">
        <v>151</v>
      </c>
      <c r="AL905" s="38" t="s">
        <v>151</v>
      </c>
      <c r="AM905" s="38" t="s">
        <v>151</v>
      </c>
      <c r="AN905" s="38" t="s">
        <v>151</v>
      </c>
      <c r="AO905" s="38" t="s">
        <v>151</v>
      </c>
      <c r="AP905" s="38" t="s">
        <v>151</v>
      </c>
      <c r="AQ905" s="38" t="s">
        <v>151</v>
      </c>
      <c r="AR905" s="29" t="s">
        <v>170</v>
      </c>
      <c r="AS905" s="30" t="s">
        <v>18312</v>
      </c>
      <c r="AT905" s="30" t="s">
        <v>18313</v>
      </c>
      <c r="AU905" s="31">
        <v>8</v>
      </c>
      <c r="AV905" s="30" t="s">
        <v>151</v>
      </c>
      <c r="AW905" s="30" t="s">
        <v>151</v>
      </c>
      <c r="AX905" s="30" t="s">
        <v>151</v>
      </c>
      <c r="AY905" s="30" t="s">
        <v>18314</v>
      </c>
      <c r="AZ905" s="30" t="s">
        <v>151</v>
      </c>
      <c r="BA905" s="30" t="s">
        <v>151</v>
      </c>
      <c r="BB905" s="30" t="s">
        <v>18315</v>
      </c>
      <c r="BC905" s="30" t="s">
        <v>151</v>
      </c>
      <c r="BD905" s="30" t="s">
        <v>18316</v>
      </c>
      <c r="BE905" s="30" t="s">
        <v>18317</v>
      </c>
      <c r="BF905" s="30" t="s">
        <v>221</v>
      </c>
      <c r="BG905" s="30" t="s">
        <v>18318</v>
      </c>
      <c r="BH905" s="30" t="s">
        <v>18319</v>
      </c>
      <c r="BI905" s="30" t="s">
        <v>764</v>
      </c>
      <c r="BJ905" s="30" t="s">
        <v>18320</v>
      </c>
      <c r="BK905" s="30" t="s">
        <v>151</v>
      </c>
      <c r="BL905" s="30" t="s">
        <v>767</v>
      </c>
      <c r="BM905" s="30" t="s">
        <v>184</v>
      </c>
      <c r="BN905" s="29" t="s">
        <v>4531</v>
      </c>
      <c r="BO905" s="30" t="s">
        <v>186</v>
      </c>
      <c r="BP905" s="29" t="s">
        <v>18319</v>
      </c>
      <c r="BQ905" s="29" t="s">
        <v>151</v>
      </c>
      <c r="BR905" s="30" t="s">
        <v>18321</v>
      </c>
      <c r="BS905" s="30" t="s">
        <v>187</v>
      </c>
      <c r="BT905" s="30" t="s">
        <v>188</v>
      </c>
      <c r="BU905" s="35">
        <v>44136</v>
      </c>
      <c r="BV905" s="37">
        <v>0.05</v>
      </c>
      <c r="BW905" s="30" t="s">
        <v>192</v>
      </c>
      <c r="BX905" s="37">
        <v>0.5</v>
      </c>
      <c r="BY905" s="30" t="s">
        <v>192</v>
      </c>
      <c r="BZ905" s="30" t="s">
        <v>189</v>
      </c>
      <c r="CA905" s="30" t="s">
        <v>151</v>
      </c>
      <c r="CB905" s="30" t="s">
        <v>151</v>
      </c>
      <c r="CC905" s="30" t="s">
        <v>190</v>
      </c>
      <c r="CD905" s="30" t="s">
        <v>151</v>
      </c>
      <c r="CE905" s="30" t="s">
        <v>191</v>
      </c>
      <c r="CF905" s="35">
        <v>45267</v>
      </c>
      <c r="CG905" s="37" t="s">
        <v>151</v>
      </c>
      <c r="CH905" s="30" t="s">
        <v>151</v>
      </c>
      <c r="CI905" s="37" t="s">
        <v>151</v>
      </c>
      <c r="CJ905" s="30" t="s">
        <v>151</v>
      </c>
      <c r="CK905" s="29" t="s">
        <v>151</v>
      </c>
      <c r="CL905" s="30" t="s">
        <v>194</v>
      </c>
      <c r="CM905" s="30" t="s">
        <v>151</v>
      </c>
      <c r="CN905" s="30" t="s">
        <v>151</v>
      </c>
      <c r="CO905" s="30" t="s">
        <v>165</v>
      </c>
      <c r="CP905" s="35">
        <v>45267</v>
      </c>
      <c r="CQ905" s="37" t="s">
        <v>151</v>
      </c>
      <c r="CR905" s="30" t="s">
        <v>151</v>
      </c>
      <c r="CS905" s="30" t="s">
        <v>191</v>
      </c>
      <c r="CT905" s="29">
        <v>33</v>
      </c>
      <c r="CU905" s="30" t="s">
        <v>263</v>
      </c>
      <c r="CV905" s="32">
        <v>46</v>
      </c>
      <c r="CW905" s="32">
        <v>54</v>
      </c>
      <c r="CX905" s="30" t="s">
        <v>263</v>
      </c>
      <c r="CY905" s="32">
        <v>1</v>
      </c>
      <c r="CZ905" s="32">
        <v>45</v>
      </c>
      <c r="DA905" s="37">
        <v>4</v>
      </c>
      <c r="DB905" s="35">
        <v>44835</v>
      </c>
      <c r="DC905" s="30" t="s">
        <v>231</v>
      </c>
      <c r="DD905" s="29" t="s">
        <v>151</v>
      </c>
      <c r="DE905" s="32">
        <v>0</v>
      </c>
      <c r="DF905" s="34">
        <v>11</v>
      </c>
      <c r="DG905" s="32">
        <v>0</v>
      </c>
      <c r="DH905" s="32">
        <v>0</v>
      </c>
      <c r="DI905" s="32">
        <v>0</v>
      </c>
      <c r="DJ905" s="34">
        <v>10</v>
      </c>
      <c r="DK905" s="32" t="s">
        <v>151</v>
      </c>
      <c r="DL905" s="34" t="s">
        <v>151</v>
      </c>
      <c r="DM905" s="32">
        <v>0</v>
      </c>
      <c r="DN905" s="34">
        <v>10</v>
      </c>
      <c r="DO905" s="36">
        <v>0.52</v>
      </c>
      <c r="DP905" s="34">
        <v>33</v>
      </c>
      <c r="DQ905" s="36">
        <v>0</v>
      </c>
      <c r="DR905" s="32">
        <v>0</v>
      </c>
      <c r="DS905" s="36">
        <v>0.58</v>
      </c>
      <c r="DT905" s="34">
        <v>36</v>
      </c>
      <c r="DU905" s="36" t="s">
        <v>151</v>
      </c>
      <c r="DV905" s="34" t="s">
        <v>151</v>
      </c>
      <c r="DW905" s="36">
        <v>0.58</v>
      </c>
      <c r="DX905" s="34">
        <v>36</v>
      </c>
      <c r="DY905" s="31" t="s">
        <v>151</v>
      </c>
      <c r="DZ905" s="35" t="s">
        <v>151</v>
      </c>
      <c r="EA905" s="35" t="s">
        <v>151</v>
      </c>
      <c r="EB905" s="34">
        <v>155</v>
      </c>
      <c r="EC905" s="33">
        <v>-83</v>
      </c>
      <c r="ED905" s="32">
        <v>-34.87</v>
      </c>
      <c r="EE905" s="34">
        <v>11</v>
      </c>
      <c r="EF905" s="33">
        <v>0</v>
      </c>
      <c r="EG905" s="32">
        <v>0</v>
      </c>
      <c r="EH905" s="29" t="s">
        <v>198</v>
      </c>
      <c r="EI905" s="30" t="s">
        <v>151</v>
      </c>
      <c r="EJ905" s="30" t="s">
        <v>151</v>
      </c>
      <c r="EK905" s="31" t="s">
        <v>151</v>
      </c>
      <c r="EL905" s="31" t="s">
        <v>151</v>
      </c>
      <c r="EM905" s="31" t="s">
        <v>151</v>
      </c>
      <c r="EN905" s="31" t="s">
        <v>151</v>
      </c>
      <c r="EO905" s="31" t="s">
        <v>151</v>
      </c>
      <c r="EP905" s="30" t="s">
        <v>151</v>
      </c>
      <c r="EQ905" s="29" t="s">
        <v>151</v>
      </c>
      <c r="ER905" s="29" t="s">
        <v>151</v>
      </c>
      <c r="ES905" s="4">
        <f>HYPERLINK("https://my.pitchbook.com?c=482383-72","View Company Online")</f>
      </c>
    </row>
    <row r="906">
      <c r="A906" s="17" t="s">
        <v>18322</v>
      </c>
      <c r="B906" s="17" t="s">
        <v>18323</v>
      </c>
      <c r="C906" s="18" t="s">
        <v>151</v>
      </c>
      <c r="D906" s="17" t="s">
        <v>151</v>
      </c>
      <c r="E906" s="17" t="s">
        <v>18324</v>
      </c>
      <c r="F906" s="17" t="s">
        <v>151</v>
      </c>
      <c r="G906" s="17" t="s">
        <v>151</v>
      </c>
      <c r="H906" s="17" t="s">
        <v>151</v>
      </c>
      <c r="I906" s="17" t="s">
        <v>151</v>
      </c>
      <c r="J906" s="17" t="s">
        <v>18322</v>
      </c>
      <c r="K906" s="17" t="s">
        <v>18325</v>
      </c>
      <c r="L906" s="17" t="s">
        <v>205</v>
      </c>
      <c r="M906" s="17" t="s">
        <v>206</v>
      </c>
      <c r="N906" s="17" t="s">
        <v>269</v>
      </c>
      <c r="O906" s="17" t="s">
        <v>1819</v>
      </c>
      <c r="P906" s="17" t="s">
        <v>18326</v>
      </c>
      <c r="Q906" s="17" t="s">
        <v>18327</v>
      </c>
      <c r="R906" s="17" t="s">
        <v>151</v>
      </c>
      <c r="S906" s="17" t="s">
        <v>162</v>
      </c>
      <c r="T906" s="24">
        <v>1.5</v>
      </c>
      <c r="U906" s="17" t="s">
        <v>163</v>
      </c>
      <c r="V906" s="17" t="s">
        <v>164</v>
      </c>
      <c r="W906" s="17" t="s">
        <v>165</v>
      </c>
      <c r="X906" s="15" t="s">
        <v>18328</v>
      </c>
      <c r="Y906" s="15" t="s">
        <v>18329</v>
      </c>
      <c r="Z906" s="27">
        <v>9</v>
      </c>
      <c r="AA906" s="17" t="s">
        <v>7329</v>
      </c>
      <c r="AB906" s="17" t="s">
        <v>151</v>
      </c>
      <c r="AC906" s="17" t="s">
        <v>151</v>
      </c>
      <c r="AD906" s="26">
        <v>2023</v>
      </c>
      <c r="AE906" s="17" t="s">
        <v>151</v>
      </c>
      <c r="AF906" s="22">
        <v>45605</v>
      </c>
      <c r="AG906" s="17" t="s">
        <v>151</v>
      </c>
      <c r="AH906" s="17" t="s">
        <v>151</v>
      </c>
      <c r="AI906" s="25" t="s">
        <v>151</v>
      </c>
      <c r="AJ906" s="19" t="s">
        <v>151</v>
      </c>
      <c r="AK906" s="25" t="s">
        <v>151</v>
      </c>
      <c r="AL906" s="25" t="s">
        <v>151</v>
      </c>
      <c r="AM906" s="25" t="s">
        <v>151</v>
      </c>
      <c r="AN906" s="25" t="s">
        <v>151</v>
      </c>
      <c r="AO906" s="25" t="s">
        <v>151</v>
      </c>
      <c r="AP906" s="25" t="s">
        <v>151</v>
      </c>
      <c r="AQ906" s="25" t="s">
        <v>151</v>
      </c>
      <c r="AR906" s="16" t="s">
        <v>151</v>
      </c>
      <c r="AS906" s="17" t="s">
        <v>18330</v>
      </c>
      <c r="AT906" s="17" t="s">
        <v>18331</v>
      </c>
      <c r="AU906" s="18">
        <v>9</v>
      </c>
      <c r="AV906" s="17" t="s">
        <v>151</v>
      </c>
      <c r="AW906" s="17" t="s">
        <v>151</v>
      </c>
      <c r="AX906" s="17" t="s">
        <v>151</v>
      </c>
      <c r="AY906" s="17" t="s">
        <v>18332</v>
      </c>
      <c r="AZ906" s="17" t="s">
        <v>151</v>
      </c>
      <c r="BA906" s="17" t="s">
        <v>151</v>
      </c>
      <c r="BB906" s="17" t="s">
        <v>151</v>
      </c>
      <c r="BC906" s="17" t="s">
        <v>601</v>
      </c>
      <c r="BD906" s="17" t="s">
        <v>18333</v>
      </c>
      <c r="BE906" s="17" t="s">
        <v>18334</v>
      </c>
      <c r="BF906" s="17" t="s">
        <v>221</v>
      </c>
      <c r="BG906" s="17" t="s">
        <v>18335</v>
      </c>
      <c r="BH906" s="17" t="s">
        <v>18336</v>
      </c>
      <c r="BI906" s="17" t="s">
        <v>15602</v>
      </c>
      <c r="BJ906" s="17" t="s">
        <v>151</v>
      </c>
      <c r="BK906" s="17" t="s">
        <v>151</v>
      </c>
      <c r="BL906" s="17" t="s">
        <v>15604</v>
      </c>
      <c r="BM906" s="17" t="s">
        <v>525</v>
      </c>
      <c r="BN906" s="16" t="s">
        <v>151</v>
      </c>
      <c r="BO906" s="17" t="s">
        <v>186</v>
      </c>
      <c r="BP906" s="16" t="s">
        <v>18336</v>
      </c>
      <c r="BQ906" s="16" t="s">
        <v>151</v>
      </c>
      <c r="BR906" s="17" t="s">
        <v>151</v>
      </c>
      <c r="BS906" s="17" t="s">
        <v>187</v>
      </c>
      <c r="BT906" s="17" t="s">
        <v>188</v>
      </c>
      <c r="BU906" s="22" t="s">
        <v>151</v>
      </c>
      <c r="BV906" s="24" t="s">
        <v>151</v>
      </c>
      <c r="BW906" s="17" t="s">
        <v>151</v>
      </c>
      <c r="BX906" s="24" t="s">
        <v>151</v>
      </c>
      <c r="BY906" s="17" t="s">
        <v>151</v>
      </c>
      <c r="BZ906" s="17" t="s">
        <v>189</v>
      </c>
      <c r="CA906" s="17" t="s">
        <v>151</v>
      </c>
      <c r="CB906" s="17" t="s">
        <v>151</v>
      </c>
      <c r="CC906" s="17" t="s">
        <v>190</v>
      </c>
      <c r="CD906" s="17" t="s">
        <v>151</v>
      </c>
      <c r="CE906" s="17" t="s">
        <v>191</v>
      </c>
      <c r="CF906" s="22">
        <v>45377</v>
      </c>
      <c r="CG906" s="24">
        <v>1.5</v>
      </c>
      <c r="CH906" s="17" t="s">
        <v>192</v>
      </c>
      <c r="CI906" s="24">
        <v>6</v>
      </c>
      <c r="CJ906" s="17" t="s">
        <v>192</v>
      </c>
      <c r="CK906" s="16" t="s">
        <v>151</v>
      </c>
      <c r="CL906" s="17" t="s">
        <v>293</v>
      </c>
      <c r="CM906" s="17" t="s">
        <v>293</v>
      </c>
      <c r="CN906" s="17" t="s">
        <v>151</v>
      </c>
      <c r="CO906" s="17" t="s">
        <v>165</v>
      </c>
      <c r="CP906" s="22">
        <v>45377</v>
      </c>
      <c r="CQ906" s="24" t="s">
        <v>151</v>
      </c>
      <c r="CR906" s="17" t="s">
        <v>151</v>
      </c>
      <c r="CS906" s="17" t="s">
        <v>191</v>
      </c>
      <c r="CT906" s="16" t="s">
        <v>151</v>
      </c>
      <c r="CU906" s="17" t="s">
        <v>151</v>
      </c>
      <c r="CV906" s="19" t="s">
        <v>151</v>
      </c>
      <c r="CW906" s="19" t="s">
        <v>151</v>
      </c>
      <c r="CX906" s="17" t="s">
        <v>151</v>
      </c>
      <c r="CY906" s="19" t="s">
        <v>151</v>
      </c>
      <c r="CZ906" s="19" t="s">
        <v>151</v>
      </c>
      <c r="DA906" s="24">
        <v>6</v>
      </c>
      <c r="DB906" s="22">
        <v>45377</v>
      </c>
      <c r="DC906" s="17" t="s">
        <v>293</v>
      </c>
      <c r="DD906" s="16" t="s">
        <v>151</v>
      </c>
      <c r="DE906" s="19">
        <v>0.89</v>
      </c>
      <c r="DF906" s="21">
        <v>96</v>
      </c>
      <c r="DG906" s="19">
        <v>0</v>
      </c>
      <c r="DH906" s="19">
        <v>0</v>
      </c>
      <c r="DI906" s="19">
        <v>0</v>
      </c>
      <c r="DJ906" s="21">
        <v>10</v>
      </c>
      <c r="DK906" s="19" t="s">
        <v>151</v>
      </c>
      <c r="DL906" s="21" t="s">
        <v>151</v>
      </c>
      <c r="DM906" s="19">
        <v>0</v>
      </c>
      <c r="DN906" s="21">
        <v>10</v>
      </c>
      <c r="DO906" s="23">
        <v>0.81</v>
      </c>
      <c r="DP906" s="21">
        <v>45</v>
      </c>
      <c r="DQ906" s="23">
        <v>0</v>
      </c>
      <c r="DR906" s="19">
        <v>0</v>
      </c>
      <c r="DS906" s="23">
        <v>1</v>
      </c>
      <c r="DT906" s="21">
        <v>50</v>
      </c>
      <c r="DU906" s="23" t="s">
        <v>151</v>
      </c>
      <c r="DV906" s="21" t="s">
        <v>151</v>
      </c>
      <c r="DW906" s="23">
        <v>1</v>
      </c>
      <c r="DX906" s="21">
        <v>49</v>
      </c>
      <c r="DY906" s="18" t="s">
        <v>151</v>
      </c>
      <c r="DZ906" s="22" t="s">
        <v>151</v>
      </c>
      <c r="EA906" s="22" t="s">
        <v>151</v>
      </c>
      <c r="EB906" s="21">
        <v>538</v>
      </c>
      <c r="EC906" s="20">
        <v>34</v>
      </c>
      <c r="ED906" s="19">
        <v>6.75</v>
      </c>
      <c r="EE906" s="21">
        <v>19</v>
      </c>
      <c r="EF906" s="20">
        <v>0</v>
      </c>
      <c r="EG906" s="19">
        <v>0</v>
      </c>
      <c r="EH906" s="16" t="s">
        <v>198</v>
      </c>
      <c r="EI906" s="17" t="s">
        <v>151</v>
      </c>
      <c r="EJ906" s="17" t="s">
        <v>151</v>
      </c>
      <c r="EK906" s="18" t="s">
        <v>151</v>
      </c>
      <c r="EL906" s="18" t="s">
        <v>151</v>
      </c>
      <c r="EM906" s="18" t="s">
        <v>151</v>
      </c>
      <c r="EN906" s="18" t="s">
        <v>151</v>
      </c>
      <c r="EO906" s="18" t="s">
        <v>151</v>
      </c>
      <c r="EP906" s="17" t="s">
        <v>151</v>
      </c>
      <c r="EQ906" s="16" t="s">
        <v>151</v>
      </c>
      <c r="ER906" s="16" t="s">
        <v>151</v>
      </c>
      <c r="ES906" s="3">
        <f>HYPERLINK("https://my.pitchbook.com?c=590209-48","View Company Online")</f>
      </c>
    </row>
    <row r="907">
      <c r="A907" s="30" t="s">
        <v>18337</v>
      </c>
      <c r="B907" s="30" t="s">
        <v>18338</v>
      </c>
      <c r="C907" s="31" t="s">
        <v>151</v>
      </c>
      <c r="D907" s="30" t="s">
        <v>151</v>
      </c>
      <c r="E907" s="30" t="s">
        <v>18339</v>
      </c>
      <c r="F907" s="30" t="s">
        <v>18340</v>
      </c>
      <c r="G907" s="30" t="s">
        <v>151</v>
      </c>
      <c r="H907" s="30" t="s">
        <v>151</v>
      </c>
      <c r="I907" s="30" t="s">
        <v>151</v>
      </c>
      <c r="J907" s="30" t="s">
        <v>18337</v>
      </c>
      <c r="K907" s="30" t="s">
        <v>18341</v>
      </c>
      <c r="L907" s="30" t="s">
        <v>205</v>
      </c>
      <c r="M907" s="30" t="s">
        <v>206</v>
      </c>
      <c r="N907" s="30" t="s">
        <v>917</v>
      </c>
      <c r="O907" s="30" t="s">
        <v>7345</v>
      </c>
      <c r="P907" s="30" t="s">
        <v>2640</v>
      </c>
      <c r="Q907" s="30" t="s">
        <v>18342</v>
      </c>
      <c r="R907" s="30" t="s">
        <v>151</v>
      </c>
      <c r="S907" s="30" t="s">
        <v>162</v>
      </c>
      <c r="T907" s="37">
        <v>7</v>
      </c>
      <c r="U907" s="30" t="s">
        <v>163</v>
      </c>
      <c r="V907" s="30" t="s">
        <v>164</v>
      </c>
      <c r="W907" s="30" t="s">
        <v>165</v>
      </c>
      <c r="X907" s="28" t="s">
        <v>18343</v>
      </c>
      <c r="Y907" s="28" t="s">
        <v>18344</v>
      </c>
      <c r="Z907" s="40">
        <v>13</v>
      </c>
      <c r="AA907" s="30" t="s">
        <v>18345</v>
      </c>
      <c r="AB907" s="30" t="s">
        <v>151</v>
      </c>
      <c r="AC907" s="30" t="s">
        <v>151</v>
      </c>
      <c r="AD907" s="39">
        <v>2021</v>
      </c>
      <c r="AE907" s="30" t="s">
        <v>151</v>
      </c>
      <c r="AF907" s="35">
        <v>45318</v>
      </c>
      <c r="AG907" s="30" t="s">
        <v>151</v>
      </c>
      <c r="AH907" s="30" t="s">
        <v>151</v>
      </c>
      <c r="AI907" s="38" t="s">
        <v>151</v>
      </c>
      <c r="AJ907" s="32" t="s">
        <v>151</v>
      </c>
      <c r="AK907" s="38" t="s">
        <v>151</v>
      </c>
      <c r="AL907" s="38" t="s">
        <v>151</v>
      </c>
      <c r="AM907" s="38" t="s">
        <v>151</v>
      </c>
      <c r="AN907" s="38" t="s">
        <v>151</v>
      </c>
      <c r="AO907" s="38" t="s">
        <v>151</v>
      </c>
      <c r="AP907" s="38" t="s">
        <v>151</v>
      </c>
      <c r="AQ907" s="38" t="s">
        <v>151</v>
      </c>
      <c r="AR907" s="29" t="s">
        <v>151</v>
      </c>
      <c r="AS907" s="30" t="s">
        <v>18346</v>
      </c>
      <c r="AT907" s="30" t="s">
        <v>18347</v>
      </c>
      <c r="AU907" s="31">
        <v>2</v>
      </c>
      <c r="AV907" s="30" t="s">
        <v>151</v>
      </c>
      <c r="AW907" s="30" t="s">
        <v>151</v>
      </c>
      <c r="AX907" s="30" t="s">
        <v>151</v>
      </c>
      <c r="AY907" s="30" t="s">
        <v>18348</v>
      </c>
      <c r="AZ907" s="30" t="s">
        <v>151</v>
      </c>
      <c r="BA907" s="30" t="s">
        <v>151</v>
      </c>
      <c r="BB907" s="30" t="s">
        <v>151</v>
      </c>
      <c r="BC907" s="30" t="s">
        <v>151</v>
      </c>
      <c r="BD907" s="30" t="s">
        <v>18349</v>
      </c>
      <c r="BE907" s="30" t="s">
        <v>18350</v>
      </c>
      <c r="BF907" s="30" t="s">
        <v>221</v>
      </c>
      <c r="BG907" s="30" t="s">
        <v>18351</v>
      </c>
      <c r="BH907" s="30" t="s">
        <v>151</v>
      </c>
      <c r="BI907" s="30" t="s">
        <v>906</v>
      </c>
      <c r="BJ907" s="30" t="s">
        <v>151</v>
      </c>
      <c r="BK907" s="30" t="s">
        <v>151</v>
      </c>
      <c r="BL907" s="30" t="s">
        <v>259</v>
      </c>
      <c r="BM907" s="30" t="s">
        <v>259</v>
      </c>
      <c r="BN907" s="29" t="s">
        <v>1476</v>
      </c>
      <c r="BO907" s="30" t="s">
        <v>186</v>
      </c>
      <c r="BP907" s="29" t="s">
        <v>151</v>
      </c>
      <c r="BQ907" s="29" t="s">
        <v>151</v>
      </c>
      <c r="BR907" s="30" t="s">
        <v>18352</v>
      </c>
      <c r="BS907" s="30" t="s">
        <v>187</v>
      </c>
      <c r="BT907" s="30" t="s">
        <v>188</v>
      </c>
      <c r="BU907" s="35">
        <v>45223</v>
      </c>
      <c r="BV907" s="37">
        <v>7</v>
      </c>
      <c r="BW907" s="30" t="s">
        <v>192</v>
      </c>
      <c r="BX907" s="37" t="s">
        <v>151</v>
      </c>
      <c r="BY907" s="30" t="s">
        <v>151</v>
      </c>
      <c r="BZ907" s="30" t="s">
        <v>293</v>
      </c>
      <c r="CA907" s="30" t="s">
        <v>293</v>
      </c>
      <c r="CB907" s="30" t="s">
        <v>151</v>
      </c>
      <c r="CC907" s="30" t="s">
        <v>165</v>
      </c>
      <c r="CD907" s="30" t="s">
        <v>151</v>
      </c>
      <c r="CE907" s="30" t="s">
        <v>191</v>
      </c>
      <c r="CF907" s="35">
        <v>45223</v>
      </c>
      <c r="CG907" s="37">
        <v>7</v>
      </c>
      <c r="CH907" s="30" t="s">
        <v>192</v>
      </c>
      <c r="CI907" s="37" t="s">
        <v>151</v>
      </c>
      <c r="CJ907" s="30" t="s">
        <v>151</v>
      </c>
      <c r="CK907" s="29" t="s">
        <v>151</v>
      </c>
      <c r="CL907" s="30" t="s">
        <v>293</v>
      </c>
      <c r="CM907" s="30" t="s">
        <v>293</v>
      </c>
      <c r="CN907" s="30" t="s">
        <v>151</v>
      </c>
      <c r="CO907" s="30" t="s">
        <v>165</v>
      </c>
      <c r="CP907" s="35">
        <v>45223</v>
      </c>
      <c r="CQ907" s="37" t="s">
        <v>151</v>
      </c>
      <c r="CR907" s="30" t="s">
        <v>151</v>
      </c>
      <c r="CS907" s="30" t="s">
        <v>191</v>
      </c>
      <c r="CT907" s="29" t="s">
        <v>151</v>
      </c>
      <c r="CU907" s="30" t="s">
        <v>151</v>
      </c>
      <c r="CV907" s="32" t="s">
        <v>151</v>
      </c>
      <c r="CW907" s="32" t="s">
        <v>151</v>
      </c>
      <c r="CX907" s="30" t="s">
        <v>151</v>
      </c>
      <c r="CY907" s="32" t="s">
        <v>151</v>
      </c>
      <c r="CZ907" s="32" t="s">
        <v>151</v>
      </c>
      <c r="DA907" s="37" t="s">
        <v>151</v>
      </c>
      <c r="DB907" s="35" t="s">
        <v>151</v>
      </c>
      <c r="DC907" s="30" t="s">
        <v>151</v>
      </c>
      <c r="DD907" s="29" t="s">
        <v>151</v>
      </c>
      <c r="DE907" s="32">
        <v>-3.57</v>
      </c>
      <c r="DF907" s="34">
        <v>1</v>
      </c>
      <c r="DG907" s="32">
        <v>0</v>
      </c>
      <c r="DH907" s="32">
        <v>0</v>
      </c>
      <c r="DI907" s="32">
        <v>-3.57</v>
      </c>
      <c r="DJ907" s="34">
        <v>1</v>
      </c>
      <c r="DK907" s="32" t="s">
        <v>151</v>
      </c>
      <c r="DL907" s="34" t="s">
        <v>151</v>
      </c>
      <c r="DM907" s="32">
        <v>-3.57</v>
      </c>
      <c r="DN907" s="34">
        <v>1</v>
      </c>
      <c r="DO907" s="36">
        <v>7.47</v>
      </c>
      <c r="DP907" s="34">
        <v>87</v>
      </c>
      <c r="DQ907" s="36">
        <v>0</v>
      </c>
      <c r="DR907" s="32">
        <v>0</v>
      </c>
      <c r="DS907" s="36">
        <v>7.47</v>
      </c>
      <c r="DT907" s="34">
        <v>87</v>
      </c>
      <c r="DU907" s="36" t="s">
        <v>151</v>
      </c>
      <c r="DV907" s="34" t="s">
        <v>151</v>
      </c>
      <c r="DW907" s="36">
        <v>7.47</v>
      </c>
      <c r="DX907" s="34">
        <v>87</v>
      </c>
      <c r="DY907" s="31" t="s">
        <v>151</v>
      </c>
      <c r="DZ907" s="35" t="s">
        <v>151</v>
      </c>
      <c r="EA907" s="35" t="s">
        <v>151</v>
      </c>
      <c r="EB907" s="34">
        <v>17</v>
      </c>
      <c r="EC907" s="33">
        <v>-85</v>
      </c>
      <c r="ED907" s="32">
        <v>-83.33</v>
      </c>
      <c r="EE907" s="34">
        <v>142</v>
      </c>
      <c r="EF907" s="33">
        <v>-3</v>
      </c>
      <c r="EG907" s="32">
        <v>-2.07</v>
      </c>
      <c r="EH907" s="29" t="s">
        <v>198</v>
      </c>
      <c r="EI907" s="30" t="s">
        <v>151</v>
      </c>
      <c r="EJ907" s="30" t="s">
        <v>151</v>
      </c>
      <c r="EK907" s="31" t="s">
        <v>151</v>
      </c>
      <c r="EL907" s="31" t="s">
        <v>151</v>
      </c>
      <c r="EM907" s="31" t="s">
        <v>151</v>
      </c>
      <c r="EN907" s="31" t="s">
        <v>151</v>
      </c>
      <c r="EO907" s="31" t="s">
        <v>151</v>
      </c>
      <c r="EP907" s="30" t="s">
        <v>151</v>
      </c>
      <c r="EQ907" s="29" t="s">
        <v>151</v>
      </c>
      <c r="ER907" s="29" t="s">
        <v>151</v>
      </c>
      <c r="ES907" s="4">
        <f>HYPERLINK("https://my.pitchbook.com?c=538929-01","View Company Online")</f>
      </c>
    </row>
    <row r="908">
      <c r="A908" s="17" t="s">
        <v>18353</v>
      </c>
      <c r="B908" s="17" t="s">
        <v>18354</v>
      </c>
      <c r="C908" s="18" t="s">
        <v>151</v>
      </c>
      <c r="D908" s="17" t="s">
        <v>151</v>
      </c>
      <c r="E908" s="17" t="s">
        <v>151</v>
      </c>
      <c r="F908" s="17" t="s">
        <v>18355</v>
      </c>
      <c r="G908" s="17" t="s">
        <v>151</v>
      </c>
      <c r="H908" s="17" t="s">
        <v>151</v>
      </c>
      <c r="I908" s="17" t="s">
        <v>151</v>
      </c>
      <c r="J908" s="17" t="s">
        <v>18353</v>
      </c>
      <c r="K908" s="17" t="s">
        <v>18356</v>
      </c>
      <c r="L908" s="17" t="s">
        <v>205</v>
      </c>
      <c r="M908" s="17" t="s">
        <v>206</v>
      </c>
      <c r="N908" s="17" t="s">
        <v>269</v>
      </c>
      <c r="O908" s="17" t="s">
        <v>1106</v>
      </c>
      <c r="P908" s="17" t="s">
        <v>304</v>
      </c>
      <c r="Q908" s="17" t="s">
        <v>18357</v>
      </c>
      <c r="R908" s="17" t="s">
        <v>151</v>
      </c>
      <c r="S908" s="17" t="s">
        <v>162</v>
      </c>
      <c r="T908" s="24">
        <v>6</v>
      </c>
      <c r="U908" s="17" t="s">
        <v>163</v>
      </c>
      <c r="V908" s="17" t="s">
        <v>164</v>
      </c>
      <c r="W908" s="17" t="s">
        <v>165</v>
      </c>
      <c r="X908" s="15" t="s">
        <v>18358</v>
      </c>
      <c r="Y908" s="15" t="s">
        <v>18359</v>
      </c>
      <c r="Z908" s="27">
        <v>9</v>
      </c>
      <c r="AA908" s="17" t="s">
        <v>7329</v>
      </c>
      <c r="AB908" s="17" t="s">
        <v>151</v>
      </c>
      <c r="AC908" s="17" t="s">
        <v>151</v>
      </c>
      <c r="AD908" s="26">
        <v>2023</v>
      </c>
      <c r="AE908" s="17" t="s">
        <v>151</v>
      </c>
      <c r="AF908" s="22">
        <v>45569</v>
      </c>
      <c r="AG908" s="17" t="s">
        <v>151</v>
      </c>
      <c r="AH908" s="17" t="s">
        <v>151</v>
      </c>
      <c r="AI908" s="25" t="s">
        <v>151</v>
      </c>
      <c r="AJ908" s="19" t="s">
        <v>151</v>
      </c>
      <c r="AK908" s="25" t="s">
        <v>151</v>
      </c>
      <c r="AL908" s="25" t="s">
        <v>151</v>
      </c>
      <c r="AM908" s="25" t="s">
        <v>151</v>
      </c>
      <c r="AN908" s="25" t="s">
        <v>151</v>
      </c>
      <c r="AO908" s="25" t="s">
        <v>151</v>
      </c>
      <c r="AP908" s="25" t="s">
        <v>151</v>
      </c>
      <c r="AQ908" s="25" t="s">
        <v>151</v>
      </c>
      <c r="AR908" s="16" t="s">
        <v>151</v>
      </c>
      <c r="AS908" s="17" t="s">
        <v>18360</v>
      </c>
      <c r="AT908" s="17" t="s">
        <v>18361</v>
      </c>
      <c r="AU908" s="18">
        <v>6</v>
      </c>
      <c r="AV908" s="17" t="s">
        <v>151</v>
      </c>
      <c r="AW908" s="17" t="s">
        <v>151</v>
      </c>
      <c r="AX908" s="17" t="s">
        <v>151</v>
      </c>
      <c r="AY908" s="17" t="s">
        <v>18362</v>
      </c>
      <c r="AZ908" s="17" t="s">
        <v>151</v>
      </c>
      <c r="BA908" s="17" t="s">
        <v>151</v>
      </c>
      <c r="BB908" s="17" t="s">
        <v>151</v>
      </c>
      <c r="BC908" s="17" t="s">
        <v>151</v>
      </c>
      <c r="BD908" s="17" t="s">
        <v>18363</v>
      </c>
      <c r="BE908" s="17" t="s">
        <v>18364</v>
      </c>
      <c r="BF908" s="17" t="s">
        <v>221</v>
      </c>
      <c r="BG908" s="17" t="s">
        <v>151</v>
      </c>
      <c r="BH908" s="17" t="s">
        <v>151</v>
      </c>
      <c r="BI908" s="17" t="s">
        <v>906</v>
      </c>
      <c r="BJ908" s="17" t="s">
        <v>18365</v>
      </c>
      <c r="BK908" s="17" t="s">
        <v>18366</v>
      </c>
      <c r="BL908" s="17" t="s">
        <v>259</v>
      </c>
      <c r="BM908" s="17" t="s">
        <v>259</v>
      </c>
      <c r="BN908" s="16" t="s">
        <v>1123</v>
      </c>
      <c r="BO908" s="17" t="s">
        <v>186</v>
      </c>
      <c r="BP908" s="16" t="s">
        <v>151</v>
      </c>
      <c r="BQ908" s="16" t="s">
        <v>151</v>
      </c>
      <c r="BR908" s="17" t="s">
        <v>18367</v>
      </c>
      <c r="BS908" s="17" t="s">
        <v>187</v>
      </c>
      <c r="BT908" s="17" t="s">
        <v>188</v>
      </c>
      <c r="BU908" s="22">
        <v>45566</v>
      </c>
      <c r="BV908" s="24">
        <v>6</v>
      </c>
      <c r="BW908" s="17" t="s">
        <v>151</v>
      </c>
      <c r="BX908" s="24" t="s">
        <v>151</v>
      </c>
      <c r="BY908" s="17" t="s">
        <v>151</v>
      </c>
      <c r="BZ908" s="17" t="s">
        <v>293</v>
      </c>
      <c r="CA908" s="17" t="s">
        <v>293</v>
      </c>
      <c r="CB908" s="17" t="s">
        <v>151</v>
      </c>
      <c r="CC908" s="17" t="s">
        <v>165</v>
      </c>
      <c r="CD908" s="17" t="s">
        <v>151</v>
      </c>
      <c r="CE908" s="17" t="s">
        <v>191</v>
      </c>
      <c r="CF908" s="22">
        <v>45566</v>
      </c>
      <c r="CG908" s="24">
        <v>6</v>
      </c>
      <c r="CH908" s="17" t="s">
        <v>151</v>
      </c>
      <c r="CI908" s="24" t="s">
        <v>151</v>
      </c>
      <c r="CJ908" s="17" t="s">
        <v>151</v>
      </c>
      <c r="CK908" s="16" t="s">
        <v>151</v>
      </c>
      <c r="CL908" s="17" t="s">
        <v>293</v>
      </c>
      <c r="CM908" s="17" t="s">
        <v>293</v>
      </c>
      <c r="CN908" s="17" t="s">
        <v>151</v>
      </c>
      <c r="CO908" s="17" t="s">
        <v>165</v>
      </c>
      <c r="CP908" s="22">
        <v>45566</v>
      </c>
      <c r="CQ908" s="24" t="s">
        <v>151</v>
      </c>
      <c r="CR908" s="17" t="s">
        <v>151</v>
      </c>
      <c r="CS908" s="17" t="s">
        <v>191</v>
      </c>
      <c r="CT908" s="16" t="s">
        <v>151</v>
      </c>
      <c r="CU908" s="17" t="s">
        <v>151</v>
      </c>
      <c r="CV908" s="19" t="s">
        <v>151</v>
      </c>
      <c r="CW908" s="19" t="s">
        <v>151</v>
      </c>
      <c r="CX908" s="17" t="s">
        <v>151</v>
      </c>
      <c r="CY908" s="19" t="s">
        <v>151</v>
      </c>
      <c r="CZ908" s="19" t="s">
        <v>151</v>
      </c>
      <c r="DA908" s="24" t="s">
        <v>151</v>
      </c>
      <c r="DB908" s="22" t="s">
        <v>151</v>
      </c>
      <c r="DC908" s="17" t="s">
        <v>151</v>
      </c>
      <c r="DD908" s="16" t="s">
        <v>151</v>
      </c>
      <c r="DE908" s="19" t="s">
        <v>151</v>
      </c>
      <c r="DF908" s="21" t="s">
        <v>151</v>
      </c>
      <c r="DG908" s="19" t="s">
        <v>151</v>
      </c>
      <c r="DH908" s="19" t="s">
        <v>151</v>
      </c>
      <c r="DI908" s="19" t="s">
        <v>151</v>
      </c>
      <c r="DJ908" s="21" t="s">
        <v>151</v>
      </c>
      <c r="DK908" s="19" t="s">
        <v>151</v>
      </c>
      <c r="DL908" s="21" t="s">
        <v>151</v>
      </c>
      <c r="DM908" s="19" t="s">
        <v>151</v>
      </c>
      <c r="DN908" s="21" t="s">
        <v>151</v>
      </c>
      <c r="DO908" s="23" t="s">
        <v>151</v>
      </c>
      <c r="DP908" s="21" t="s">
        <v>151</v>
      </c>
      <c r="DQ908" s="23" t="s">
        <v>151</v>
      </c>
      <c r="DR908" s="19" t="s">
        <v>151</v>
      </c>
      <c r="DS908" s="23" t="s">
        <v>151</v>
      </c>
      <c r="DT908" s="21" t="s">
        <v>151</v>
      </c>
      <c r="DU908" s="23" t="s">
        <v>151</v>
      </c>
      <c r="DV908" s="21" t="s">
        <v>151</v>
      </c>
      <c r="DW908" s="23" t="s">
        <v>151</v>
      </c>
      <c r="DX908" s="21" t="s">
        <v>151</v>
      </c>
      <c r="DY908" s="18">
        <v>2</v>
      </c>
      <c r="DZ908" s="22">
        <v>43980</v>
      </c>
      <c r="EA908" s="22" t="s">
        <v>151</v>
      </c>
      <c r="EB908" s="21" t="s">
        <v>151</v>
      </c>
      <c r="EC908" s="20" t="s">
        <v>151</v>
      </c>
      <c r="ED908" s="19" t="s">
        <v>151</v>
      </c>
      <c r="EE908" s="21" t="s">
        <v>151</v>
      </c>
      <c r="EF908" s="20" t="s">
        <v>151</v>
      </c>
      <c r="EG908" s="19" t="s">
        <v>151</v>
      </c>
      <c r="EH908" s="16" t="s">
        <v>198</v>
      </c>
      <c r="EI908" s="17" t="s">
        <v>151</v>
      </c>
      <c r="EJ908" s="17" t="s">
        <v>151</v>
      </c>
      <c r="EK908" s="18" t="s">
        <v>151</v>
      </c>
      <c r="EL908" s="18" t="s">
        <v>151</v>
      </c>
      <c r="EM908" s="18" t="s">
        <v>151</v>
      </c>
      <c r="EN908" s="18" t="s">
        <v>151</v>
      </c>
      <c r="EO908" s="18" t="s">
        <v>151</v>
      </c>
      <c r="EP908" s="17" t="s">
        <v>151</v>
      </c>
      <c r="EQ908" s="16" t="s">
        <v>151</v>
      </c>
      <c r="ER908" s="16" t="s">
        <v>151</v>
      </c>
      <c r="ES908" s="3">
        <f>HYPERLINK("https://my.pitchbook.com?c=615663-55","View Company Online")</f>
      </c>
    </row>
    <row r="909">
      <c r="A909" s="30" t="s">
        <v>18368</v>
      </c>
      <c r="B909" s="30" t="s">
        <v>18369</v>
      </c>
      <c r="C909" s="31" t="s">
        <v>151</v>
      </c>
      <c r="D909" s="30" t="s">
        <v>151</v>
      </c>
      <c r="E909" s="30" t="s">
        <v>151</v>
      </c>
      <c r="F909" s="30" t="s">
        <v>151</v>
      </c>
      <c r="G909" s="30" t="s">
        <v>151</v>
      </c>
      <c r="H909" s="30" t="s">
        <v>151</v>
      </c>
      <c r="I909" s="30" t="s">
        <v>151</v>
      </c>
      <c r="J909" s="30" t="s">
        <v>18368</v>
      </c>
      <c r="K909" s="30" t="s">
        <v>18370</v>
      </c>
      <c r="L909" s="30" t="s">
        <v>205</v>
      </c>
      <c r="M909" s="30" t="s">
        <v>206</v>
      </c>
      <c r="N909" s="30" t="s">
        <v>776</v>
      </c>
      <c r="O909" s="30" t="s">
        <v>4204</v>
      </c>
      <c r="P909" s="30" t="s">
        <v>304</v>
      </c>
      <c r="Q909" s="30" t="s">
        <v>18371</v>
      </c>
      <c r="R909" s="30" t="s">
        <v>151</v>
      </c>
      <c r="S909" s="30" t="s">
        <v>162</v>
      </c>
      <c r="T909" s="37">
        <v>1.5</v>
      </c>
      <c r="U909" s="30" t="s">
        <v>163</v>
      </c>
      <c r="V909" s="30" t="s">
        <v>164</v>
      </c>
      <c r="W909" s="30" t="s">
        <v>165</v>
      </c>
      <c r="X909" s="28" t="s">
        <v>18372</v>
      </c>
      <c r="Y909" s="28" t="s">
        <v>18373</v>
      </c>
      <c r="Z909" s="40">
        <v>3</v>
      </c>
      <c r="AA909" s="30" t="s">
        <v>18374</v>
      </c>
      <c r="AB909" s="30" t="s">
        <v>151</v>
      </c>
      <c r="AC909" s="30" t="s">
        <v>151</v>
      </c>
      <c r="AD909" s="39">
        <v>2023</v>
      </c>
      <c r="AE909" s="30" t="s">
        <v>151</v>
      </c>
      <c r="AF909" s="35">
        <v>45523</v>
      </c>
      <c r="AG909" s="30" t="s">
        <v>151</v>
      </c>
      <c r="AH909" s="30" t="s">
        <v>151</v>
      </c>
      <c r="AI909" s="38" t="s">
        <v>151</v>
      </c>
      <c r="AJ909" s="32" t="s">
        <v>151</v>
      </c>
      <c r="AK909" s="38" t="s">
        <v>151</v>
      </c>
      <c r="AL909" s="38" t="s">
        <v>151</v>
      </c>
      <c r="AM909" s="38" t="s">
        <v>151</v>
      </c>
      <c r="AN909" s="38" t="s">
        <v>151</v>
      </c>
      <c r="AO909" s="38" t="s">
        <v>151</v>
      </c>
      <c r="AP909" s="38" t="s">
        <v>151</v>
      </c>
      <c r="AQ909" s="38" t="s">
        <v>151</v>
      </c>
      <c r="AR909" s="29" t="s">
        <v>151</v>
      </c>
      <c r="AS909" s="30" t="s">
        <v>18375</v>
      </c>
      <c r="AT909" s="30" t="s">
        <v>18376</v>
      </c>
      <c r="AU909" s="31">
        <v>1</v>
      </c>
      <c r="AV909" s="30" t="s">
        <v>151</v>
      </c>
      <c r="AW909" s="30" t="s">
        <v>151</v>
      </c>
      <c r="AX909" s="30" t="s">
        <v>151</v>
      </c>
      <c r="AY909" s="30" t="s">
        <v>18377</v>
      </c>
      <c r="AZ909" s="30" t="s">
        <v>151</v>
      </c>
      <c r="BA909" s="30" t="s">
        <v>151</v>
      </c>
      <c r="BB909" s="30" t="s">
        <v>151</v>
      </c>
      <c r="BC909" s="30" t="s">
        <v>151</v>
      </c>
      <c r="BD909" s="30" t="s">
        <v>18378</v>
      </c>
      <c r="BE909" s="30" t="s">
        <v>18379</v>
      </c>
      <c r="BF909" s="30" t="s">
        <v>221</v>
      </c>
      <c r="BG909" s="30" t="s">
        <v>151</v>
      </c>
      <c r="BH909" s="30" t="s">
        <v>151</v>
      </c>
      <c r="BI909" s="30" t="s">
        <v>1808</v>
      </c>
      <c r="BJ909" s="30" t="s">
        <v>18380</v>
      </c>
      <c r="BK909" s="30" t="s">
        <v>11989</v>
      </c>
      <c r="BL909" s="30" t="s">
        <v>1811</v>
      </c>
      <c r="BM909" s="30" t="s">
        <v>525</v>
      </c>
      <c r="BN909" s="29" t="s">
        <v>1812</v>
      </c>
      <c r="BO909" s="30" t="s">
        <v>186</v>
      </c>
      <c r="BP909" s="29" t="s">
        <v>151</v>
      </c>
      <c r="BQ909" s="29" t="s">
        <v>151</v>
      </c>
      <c r="BR909" s="30" t="s">
        <v>18381</v>
      </c>
      <c r="BS909" s="30" t="s">
        <v>187</v>
      </c>
      <c r="BT909" s="30" t="s">
        <v>188</v>
      </c>
      <c r="BU909" s="35">
        <v>45474</v>
      </c>
      <c r="BV909" s="37">
        <v>1.5</v>
      </c>
      <c r="BW909" s="30" t="s">
        <v>192</v>
      </c>
      <c r="BX909" s="37" t="s">
        <v>151</v>
      </c>
      <c r="BY909" s="30" t="s">
        <v>151</v>
      </c>
      <c r="BZ909" s="30" t="s">
        <v>293</v>
      </c>
      <c r="CA909" s="30" t="s">
        <v>293</v>
      </c>
      <c r="CB909" s="30" t="s">
        <v>151</v>
      </c>
      <c r="CC909" s="30" t="s">
        <v>165</v>
      </c>
      <c r="CD909" s="30" t="s">
        <v>151</v>
      </c>
      <c r="CE909" s="30" t="s">
        <v>191</v>
      </c>
      <c r="CF909" s="35">
        <v>45474</v>
      </c>
      <c r="CG909" s="37">
        <v>1.5</v>
      </c>
      <c r="CH909" s="30" t="s">
        <v>192</v>
      </c>
      <c r="CI909" s="37" t="s">
        <v>151</v>
      </c>
      <c r="CJ909" s="30" t="s">
        <v>151</v>
      </c>
      <c r="CK909" s="29" t="s">
        <v>151</v>
      </c>
      <c r="CL909" s="30" t="s">
        <v>293</v>
      </c>
      <c r="CM909" s="30" t="s">
        <v>293</v>
      </c>
      <c r="CN909" s="30" t="s">
        <v>151</v>
      </c>
      <c r="CO909" s="30" t="s">
        <v>165</v>
      </c>
      <c r="CP909" s="35">
        <v>45474</v>
      </c>
      <c r="CQ909" s="37" t="s">
        <v>151</v>
      </c>
      <c r="CR909" s="30" t="s">
        <v>151</v>
      </c>
      <c r="CS909" s="30" t="s">
        <v>191</v>
      </c>
      <c r="CT909" s="29" t="s">
        <v>151</v>
      </c>
      <c r="CU909" s="30" t="s">
        <v>151</v>
      </c>
      <c r="CV909" s="32" t="s">
        <v>151</v>
      </c>
      <c r="CW909" s="32" t="s">
        <v>151</v>
      </c>
      <c r="CX909" s="30" t="s">
        <v>151</v>
      </c>
      <c r="CY909" s="32" t="s">
        <v>151</v>
      </c>
      <c r="CZ909" s="32" t="s">
        <v>151</v>
      </c>
      <c r="DA909" s="37" t="s">
        <v>151</v>
      </c>
      <c r="DB909" s="35" t="s">
        <v>151</v>
      </c>
      <c r="DC909" s="30" t="s">
        <v>151</v>
      </c>
      <c r="DD909" s="29" t="s">
        <v>151</v>
      </c>
      <c r="DE909" s="32">
        <v>0</v>
      </c>
      <c r="DF909" s="34">
        <v>11</v>
      </c>
      <c r="DG909" s="32" t="s">
        <v>151</v>
      </c>
      <c r="DH909" s="32" t="s">
        <v>151</v>
      </c>
      <c r="DI909" s="32">
        <v>0</v>
      </c>
      <c r="DJ909" s="34">
        <v>10</v>
      </c>
      <c r="DK909" s="32" t="s">
        <v>151</v>
      </c>
      <c r="DL909" s="34" t="s">
        <v>151</v>
      </c>
      <c r="DM909" s="32">
        <v>0</v>
      </c>
      <c r="DN909" s="34">
        <v>10</v>
      </c>
      <c r="DO909" s="36">
        <v>0.26</v>
      </c>
      <c r="DP909" s="34">
        <v>17</v>
      </c>
      <c r="DQ909" s="36" t="s">
        <v>151</v>
      </c>
      <c r="DR909" s="32" t="s">
        <v>151</v>
      </c>
      <c r="DS909" s="36">
        <v>0.26</v>
      </c>
      <c r="DT909" s="34">
        <v>18</v>
      </c>
      <c r="DU909" s="36" t="s">
        <v>151</v>
      </c>
      <c r="DV909" s="34" t="s">
        <v>151</v>
      </c>
      <c r="DW909" s="36">
        <v>0.26</v>
      </c>
      <c r="DX909" s="34">
        <v>18</v>
      </c>
      <c r="DY909" s="31" t="s">
        <v>151</v>
      </c>
      <c r="DZ909" s="35" t="s">
        <v>151</v>
      </c>
      <c r="EA909" s="35" t="s">
        <v>151</v>
      </c>
      <c r="EB909" s="34" t="s">
        <v>151</v>
      </c>
      <c r="EC909" s="33" t="s">
        <v>151</v>
      </c>
      <c r="ED909" s="32" t="s">
        <v>151</v>
      </c>
      <c r="EE909" s="34">
        <v>5</v>
      </c>
      <c r="EF909" s="33">
        <v>0</v>
      </c>
      <c r="EG909" s="32">
        <v>0</v>
      </c>
      <c r="EH909" s="29" t="s">
        <v>198</v>
      </c>
      <c r="EI909" s="30" t="s">
        <v>151</v>
      </c>
      <c r="EJ909" s="30" t="s">
        <v>151</v>
      </c>
      <c r="EK909" s="31" t="s">
        <v>151</v>
      </c>
      <c r="EL909" s="31" t="s">
        <v>151</v>
      </c>
      <c r="EM909" s="31" t="s">
        <v>151</v>
      </c>
      <c r="EN909" s="31" t="s">
        <v>151</v>
      </c>
      <c r="EO909" s="31" t="s">
        <v>151</v>
      </c>
      <c r="EP909" s="30" t="s">
        <v>151</v>
      </c>
      <c r="EQ909" s="29" t="s">
        <v>151</v>
      </c>
      <c r="ER909" s="29" t="s">
        <v>151</v>
      </c>
      <c r="ES909" s="4">
        <f>HYPERLINK("https://my.pitchbook.com?c=608856-58","View Company Online")</f>
      </c>
    </row>
    <row r="910">
      <c r="A910" s="17" t="s">
        <v>18382</v>
      </c>
      <c r="B910" s="17" t="s">
        <v>18383</v>
      </c>
      <c r="C910" s="18" t="s">
        <v>151</v>
      </c>
      <c r="D910" s="17" t="s">
        <v>151</v>
      </c>
      <c r="E910" s="17" t="s">
        <v>151</v>
      </c>
      <c r="F910" s="17" t="s">
        <v>18384</v>
      </c>
      <c r="G910" s="17" t="s">
        <v>151</v>
      </c>
      <c r="H910" s="17" t="s">
        <v>151</v>
      </c>
      <c r="I910" s="17" t="s">
        <v>151</v>
      </c>
      <c r="J910" s="17" t="s">
        <v>18382</v>
      </c>
      <c r="K910" s="17" t="s">
        <v>18385</v>
      </c>
      <c r="L910" s="17" t="s">
        <v>205</v>
      </c>
      <c r="M910" s="17" t="s">
        <v>206</v>
      </c>
      <c r="N910" s="17" t="s">
        <v>1268</v>
      </c>
      <c r="O910" s="17" t="s">
        <v>2129</v>
      </c>
      <c r="P910" s="17" t="s">
        <v>18386</v>
      </c>
      <c r="Q910" s="17" t="s">
        <v>18387</v>
      </c>
      <c r="R910" s="17" t="s">
        <v>151</v>
      </c>
      <c r="S910" s="17" t="s">
        <v>162</v>
      </c>
      <c r="T910" s="24">
        <v>2.07</v>
      </c>
      <c r="U910" s="17" t="s">
        <v>163</v>
      </c>
      <c r="V910" s="17" t="s">
        <v>164</v>
      </c>
      <c r="W910" s="17" t="s">
        <v>165</v>
      </c>
      <c r="X910" s="15" t="s">
        <v>18388</v>
      </c>
      <c r="Y910" s="15" t="s">
        <v>18389</v>
      </c>
      <c r="Z910" s="27" t="s">
        <v>151</v>
      </c>
      <c r="AA910" s="17" t="s">
        <v>151</v>
      </c>
      <c r="AB910" s="17" t="s">
        <v>151</v>
      </c>
      <c r="AC910" s="17" t="s">
        <v>151</v>
      </c>
      <c r="AD910" s="26">
        <v>2022</v>
      </c>
      <c r="AE910" s="17" t="s">
        <v>151</v>
      </c>
      <c r="AF910" s="22">
        <v>45560</v>
      </c>
      <c r="AG910" s="17" t="s">
        <v>151</v>
      </c>
      <c r="AH910" s="17" t="s">
        <v>151</v>
      </c>
      <c r="AI910" s="25" t="s">
        <v>151</v>
      </c>
      <c r="AJ910" s="19" t="s">
        <v>151</v>
      </c>
      <c r="AK910" s="25" t="s">
        <v>151</v>
      </c>
      <c r="AL910" s="25" t="s">
        <v>151</v>
      </c>
      <c r="AM910" s="25" t="s">
        <v>151</v>
      </c>
      <c r="AN910" s="25" t="s">
        <v>151</v>
      </c>
      <c r="AO910" s="25" t="s">
        <v>151</v>
      </c>
      <c r="AP910" s="25" t="s">
        <v>151</v>
      </c>
      <c r="AQ910" s="25" t="s">
        <v>151</v>
      </c>
      <c r="AR910" s="16" t="s">
        <v>151</v>
      </c>
      <c r="AS910" s="17" t="s">
        <v>18390</v>
      </c>
      <c r="AT910" s="17" t="s">
        <v>18391</v>
      </c>
      <c r="AU910" s="18">
        <v>1</v>
      </c>
      <c r="AV910" s="17" t="s">
        <v>151</v>
      </c>
      <c r="AW910" s="17" t="s">
        <v>151</v>
      </c>
      <c r="AX910" s="17" t="s">
        <v>151</v>
      </c>
      <c r="AY910" s="17" t="s">
        <v>18392</v>
      </c>
      <c r="AZ910" s="17" t="s">
        <v>151</v>
      </c>
      <c r="BA910" s="17" t="s">
        <v>151</v>
      </c>
      <c r="BB910" s="17" t="s">
        <v>151</v>
      </c>
      <c r="BC910" s="17" t="s">
        <v>151</v>
      </c>
      <c r="BD910" s="17" t="s">
        <v>18393</v>
      </c>
      <c r="BE910" s="17" t="s">
        <v>18394</v>
      </c>
      <c r="BF910" s="17" t="s">
        <v>221</v>
      </c>
      <c r="BG910" s="17" t="s">
        <v>18395</v>
      </c>
      <c r="BH910" s="17" t="s">
        <v>151</v>
      </c>
      <c r="BI910" s="17" t="s">
        <v>12816</v>
      </c>
      <c r="BJ910" s="17" t="s">
        <v>18396</v>
      </c>
      <c r="BK910" s="17" t="s">
        <v>18397</v>
      </c>
      <c r="BL910" s="17" t="s">
        <v>12819</v>
      </c>
      <c r="BM910" s="17" t="s">
        <v>2591</v>
      </c>
      <c r="BN910" s="16" t="s">
        <v>18398</v>
      </c>
      <c r="BO910" s="17" t="s">
        <v>186</v>
      </c>
      <c r="BP910" s="16" t="s">
        <v>151</v>
      </c>
      <c r="BQ910" s="16" t="s">
        <v>151</v>
      </c>
      <c r="BR910" s="17" t="s">
        <v>18399</v>
      </c>
      <c r="BS910" s="17" t="s">
        <v>187</v>
      </c>
      <c r="BT910" s="17" t="s">
        <v>188</v>
      </c>
      <c r="BU910" s="22">
        <v>44991</v>
      </c>
      <c r="BV910" s="24">
        <v>2.07</v>
      </c>
      <c r="BW910" s="17" t="s">
        <v>193</v>
      </c>
      <c r="BX910" s="24">
        <v>12.07</v>
      </c>
      <c r="BY910" s="17" t="s">
        <v>193</v>
      </c>
      <c r="BZ910" s="17" t="s">
        <v>293</v>
      </c>
      <c r="CA910" s="17" t="s">
        <v>293</v>
      </c>
      <c r="CB910" s="17" t="s">
        <v>151</v>
      </c>
      <c r="CC910" s="17" t="s">
        <v>165</v>
      </c>
      <c r="CD910" s="17" t="s">
        <v>151</v>
      </c>
      <c r="CE910" s="17" t="s">
        <v>191</v>
      </c>
      <c r="CF910" s="22">
        <v>44991</v>
      </c>
      <c r="CG910" s="24">
        <v>2.07</v>
      </c>
      <c r="CH910" s="17" t="s">
        <v>193</v>
      </c>
      <c r="CI910" s="24">
        <v>12.07</v>
      </c>
      <c r="CJ910" s="17" t="s">
        <v>193</v>
      </c>
      <c r="CK910" s="16" t="s">
        <v>151</v>
      </c>
      <c r="CL910" s="17" t="s">
        <v>293</v>
      </c>
      <c r="CM910" s="17" t="s">
        <v>293</v>
      </c>
      <c r="CN910" s="17" t="s">
        <v>151</v>
      </c>
      <c r="CO910" s="17" t="s">
        <v>165</v>
      </c>
      <c r="CP910" s="22">
        <v>44991</v>
      </c>
      <c r="CQ910" s="24" t="s">
        <v>151</v>
      </c>
      <c r="CR910" s="17" t="s">
        <v>151</v>
      </c>
      <c r="CS910" s="17" t="s">
        <v>191</v>
      </c>
      <c r="CT910" s="16" t="s">
        <v>151</v>
      </c>
      <c r="CU910" s="17" t="s">
        <v>151</v>
      </c>
      <c r="CV910" s="19" t="s">
        <v>151</v>
      </c>
      <c r="CW910" s="19" t="s">
        <v>151</v>
      </c>
      <c r="CX910" s="17" t="s">
        <v>151</v>
      </c>
      <c r="CY910" s="19" t="s">
        <v>151</v>
      </c>
      <c r="CZ910" s="19" t="s">
        <v>151</v>
      </c>
      <c r="DA910" s="24">
        <v>12.07</v>
      </c>
      <c r="DB910" s="22">
        <v>44991</v>
      </c>
      <c r="DC910" s="17" t="s">
        <v>293</v>
      </c>
      <c r="DD910" s="16" t="s">
        <v>151</v>
      </c>
      <c r="DE910" s="19" t="s">
        <v>151</v>
      </c>
      <c r="DF910" s="21" t="s">
        <v>151</v>
      </c>
      <c r="DG910" s="19" t="s">
        <v>151</v>
      </c>
      <c r="DH910" s="19" t="s">
        <v>151</v>
      </c>
      <c r="DI910" s="19" t="s">
        <v>151</v>
      </c>
      <c r="DJ910" s="21" t="s">
        <v>151</v>
      </c>
      <c r="DK910" s="19" t="s">
        <v>151</v>
      </c>
      <c r="DL910" s="21" t="s">
        <v>151</v>
      </c>
      <c r="DM910" s="19" t="s">
        <v>151</v>
      </c>
      <c r="DN910" s="21" t="s">
        <v>151</v>
      </c>
      <c r="DO910" s="23" t="s">
        <v>151</v>
      </c>
      <c r="DP910" s="21" t="s">
        <v>151</v>
      </c>
      <c r="DQ910" s="23" t="s">
        <v>151</v>
      </c>
      <c r="DR910" s="19" t="s">
        <v>151</v>
      </c>
      <c r="DS910" s="23" t="s">
        <v>151</v>
      </c>
      <c r="DT910" s="21" t="s">
        <v>151</v>
      </c>
      <c r="DU910" s="23" t="s">
        <v>151</v>
      </c>
      <c r="DV910" s="21" t="s">
        <v>151</v>
      </c>
      <c r="DW910" s="23" t="s">
        <v>151</v>
      </c>
      <c r="DX910" s="21" t="s">
        <v>151</v>
      </c>
      <c r="DY910" s="18" t="s">
        <v>151</v>
      </c>
      <c r="DZ910" s="22" t="s">
        <v>151</v>
      </c>
      <c r="EA910" s="22" t="s">
        <v>151</v>
      </c>
      <c r="EB910" s="21" t="s">
        <v>151</v>
      </c>
      <c r="EC910" s="20" t="s">
        <v>151</v>
      </c>
      <c r="ED910" s="19" t="s">
        <v>151</v>
      </c>
      <c r="EE910" s="21" t="s">
        <v>151</v>
      </c>
      <c r="EF910" s="20" t="s">
        <v>151</v>
      </c>
      <c r="EG910" s="19" t="s">
        <v>151</v>
      </c>
      <c r="EH910" s="16" t="s">
        <v>198</v>
      </c>
      <c r="EI910" s="17" t="s">
        <v>151</v>
      </c>
      <c r="EJ910" s="17" t="s">
        <v>151</v>
      </c>
      <c r="EK910" s="18" t="s">
        <v>151</v>
      </c>
      <c r="EL910" s="18" t="s">
        <v>151</v>
      </c>
      <c r="EM910" s="18" t="s">
        <v>151</v>
      </c>
      <c r="EN910" s="18" t="s">
        <v>151</v>
      </c>
      <c r="EO910" s="18" t="s">
        <v>151</v>
      </c>
      <c r="EP910" s="17" t="s">
        <v>151</v>
      </c>
      <c r="EQ910" s="16" t="s">
        <v>151</v>
      </c>
      <c r="ER910" s="16" t="s">
        <v>151</v>
      </c>
      <c r="ES910" s="3">
        <f>HYPERLINK("https://my.pitchbook.com?c=519670-54","View Company Online")</f>
      </c>
    </row>
    <row r="911">
      <c r="A911" s="30" t="s">
        <v>18400</v>
      </c>
      <c r="B911" s="30" t="s">
        <v>18401</v>
      </c>
      <c r="C911" s="31" t="s">
        <v>151</v>
      </c>
      <c r="D911" s="30" t="s">
        <v>151</v>
      </c>
      <c r="E911" s="30" t="s">
        <v>18402</v>
      </c>
      <c r="F911" s="30" t="s">
        <v>18403</v>
      </c>
      <c r="G911" s="30" t="s">
        <v>151</v>
      </c>
      <c r="H911" s="30" t="s">
        <v>151</v>
      </c>
      <c r="I911" s="30" t="s">
        <v>18404</v>
      </c>
      <c r="J911" s="30" t="s">
        <v>18400</v>
      </c>
      <c r="K911" s="30" t="s">
        <v>18405</v>
      </c>
      <c r="L911" s="30" t="s">
        <v>616</v>
      </c>
      <c r="M911" s="30" t="s">
        <v>834</v>
      </c>
      <c r="N911" s="30" t="s">
        <v>3076</v>
      </c>
      <c r="O911" s="30" t="s">
        <v>10611</v>
      </c>
      <c r="P911" s="30" t="s">
        <v>1652</v>
      </c>
      <c r="Q911" s="30" t="s">
        <v>18406</v>
      </c>
      <c r="R911" s="30" t="s">
        <v>151</v>
      </c>
      <c r="S911" s="30" t="s">
        <v>162</v>
      </c>
      <c r="T911" s="37">
        <v>30.28</v>
      </c>
      <c r="U911" s="30" t="s">
        <v>163</v>
      </c>
      <c r="V911" s="30" t="s">
        <v>164</v>
      </c>
      <c r="W911" s="30" t="s">
        <v>165</v>
      </c>
      <c r="X911" s="28" t="s">
        <v>18407</v>
      </c>
      <c r="Y911" s="28" t="s">
        <v>18408</v>
      </c>
      <c r="Z911" s="40">
        <v>112</v>
      </c>
      <c r="AA911" s="30" t="s">
        <v>18409</v>
      </c>
      <c r="AB911" s="30" t="s">
        <v>151</v>
      </c>
      <c r="AC911" s="30" t="s">
        <v>151</v>
      </c>
      <c r="AD911" s="39">
        <v>2017</v>
      </c>
      <c r="AE911" s="30" t="s">
        <v>151</v>
      </c>
      <c r="AF911" s="35">
        <v>45569</v>
      </c>
      <c r="AG911" s="30" t="s">
        <v>151</v>
      </c>
      <c r="AH911" s="30" t="s">
        <v>151</v>
      </c>
      <c r="AI911" s="38" t="s">
        <v>151</v>
      </c>
      <c r="AJ911" s="32" t="s">
        <v>151</v>
      </c>
      <c r="AK911" s="38" t="s">
        <v>151</v>
      </c>
      <c r="AL911" s="38" t="s">
        <v>151</v>
      </c>
      <c r="AM911" s="38" t="s">
        <v>151</v>
      </c>
      <c r="AN911" s="38" t="s">
        <v>151</v>
      </c>
      <c r="AO911" s="38" t="s">
        <v>151</v>
      </c>
      <c r="AP911" s="38" t="s">
        <v>151</v>
      </c>
      <c r="AQ911" s="38" t="s">
        <v>151</v>
      </c>
      <c r="AR911" s="29" t="s">
        <v>151</v>
      </c>
      <c r="AS911" s="30" t="s">
        <v>18410</v>
      </c>
      <c r="AT911" s="30" t="s">
        <v>18411</v>
      </c>
      <c r="AU911" s="31">
        <v>13</v>
      </c>
      <c r="AV911" s="30" t="s">
        <v>151</v>
      </c>
      <c r="AW911" s="30" t="s">
        <v>151</v>
      </c>
      <c r="AX911" s="30" t="s">
        <v>151</v>
      </c>
      <c r="AY911" s="30" t="s">
        <v>18412</v>
      </c>
      <c r="AZ911" s="30" t="s">
        <v>151</v>
      </c>
      <c r="BA911" s="30" t="s">
        <v>151</v>
      </c>
      <c r="BB911" s="30" t="s">
        <v>151</v>
      </c>
      <c r="BC911" s="30" t="s">
        <v>3711</v>
      </c>
      <c r="BD911" s="30" t="s">
        <v>18413</v>
      </c>
      <c r="BE911" s="30" t="s">
        <v>18414</v>
      </c>
      <c r="BF911" s="30" t="s">
        <v>282</v>
      </c>
      <c r="BG911" s="30" t="s">
        <v>18415</v>
      </c>
      <c r="BH911" s="30" t="s">
        <v>18416</v>
      </c>
      <c r="BI911" s="30" t="s">
        <v>18417</v>
      </c>
      <c r="BJ911" s="30" t="s">
        <v>18418</v>
      </c>
      <c r="BK911" s="30" t="s">
        <v>18419</v>
      </c>
      <c r="BL911" s="30" t="s">
        <v>18420</v>
      </c>
      <c r="BM911" s="30" t="s">
        <v>855</v>
      </c>
      <c r="BN911" s="29" t="s">
        <v>18421</v>
      </c>
      <c r="BO911" s="30" t="s">
        <v>186</v>
      </c>
      <c r="BP911" s="29" t="s">
        <v>18416</v>
      </c>
      <c r="BQ911" s="29" t="s">
        <v>151</v>
      </c>
      <c r="BR911" s="30" t="s">
        <v>151</v>
      </c>
      <c r="BS911" s="30" t="s">
        <v>187</v>
      </c>
      <c r="BT911" s="30" t="s">
        <v>188</v>
      </c>
      <c r="BU911" s="35">
        <v>43704</v>
      </c>
      <c r="BV911" s="37">
        <v>0.02</v>
      </c>
      <c r="BW911" s="30" t="s">
        <v>192</v>
      </c>
      <c r="BX911" s="37" t="s">
        <v>151</v>
      </c>
      <c r="BY911" s="30" t="s">
        <v>151</v>
      </c>
      <c r="BZ911" s="30" t="s">
        <v>189</v>
      </c>
      <c r="CA911" s="30" t="s">
        <v>151</v>
      </c>
      <c r="CB911" s="30" t="s">
        <v>151</v>
      </c>
      <c r="CC911" s="30" t="s">
        <v>190</v>
      </c>
      <c r="CD911" s="30" t="s">
        <v>151</v>
      </c>
      <c r="CE911" s="30" t="s">
        <v>191</v>
      </c>
      <c r="CF911" s="35">
        <v>45415</v>
      </c>
      <c r="CG911" s="37">
        <v>15</v>
      </c>
      <c r="CH911" s="30" t="s">
        <v>192</v>
      </c>
      <c r="CI911" s="37">
        <v>73.5</v>
      </c>
      <c r="CJ911" s="30" t="s">
        <v>192</v>
      </c>
      <c r="CK911" s="29">
        <v>0.98</v>
      </c>
      <c r="CL911" s="30" t="s">
        <v>194</v>
      </c>
      <c r="CM911" s="30" t="s">
        <v>326</v>
      </c>
      <c r="CN911" s="30" t="s">
        <v>151</v>
      </c>
      <c r="CO911" s="30" t="s">
        <v>165</v>
      </c>
      <c r="CP911" s="35">
        <v>45415</v>
      </c>
      <c r="CQ911" s="37" t="s">
        <v>151</v>
      </c>
      <c r="CR911" s="30" t="s">
        <v>151</v>
      </c>
      <c r="CS911" s="30" t="s">
        <v>191</v>
      </c>
      <c r="CT911" s="29">
        <v>85</v>
      </c>
      <c r="CU911" s="30" t="s">
        <v>196</v>
      </c>
      <c r="CV911" s="32">
        <v>93</v>
      </c>
      <c r="CW911" s="32">
        <v>7</v>
      </c>
      <c r="CX911" s="30" t="s">
        <v>294</v>
      </c>
      <c r="CY911" s="32">
        <v>2</v>
      </c>
      <c r="CZ911" s="32">
        <v>91</v>
      </c>
      <c r="DA911" s="37">
        <v>73.5</v>
      </c>
      <c r="DB911" s="35">
        <v>45415</v>
      </c>
      <c r="DC911" s="30" t="s">
        <v>194</v>
      </c>
      <c r="DD911" s="29">
        <v>0.98</v>
      </c>
      <c r="DE911" s="32">
        <v>0.34</v>
      </c>
      <c r="DF911" s="34">
        <v>93</v>
      </c>
      <c r="DG911" s="32">
        <v>0</v>
      </c>
      <c r="DH911" s="32">
        <v>0</v>
      </c>
      <c r="DI911" s="32" t="s">
        <v>151</v>
      </c>
      <c r="DJ911" s="34" t="s">
        <v>151</v>
      </c>
      <c r="DK911" s="32" t="s">
        <v>151</v>
      </c>
      <c r="DL911" s="34" t="s">
        <v>151</v>
      </c>
      <c r="DM911" s="32" t="s">
        <v>151</v>
      </c>
      <c r="DN911" s="34" t="s">
        <v>151</v>
      </c>
      <c r="DO911" s="36">
        <v>8.62</v>
      </c>
      <c r="DP911" s="34">
        <v>89</v>
      </c>
      <c r="DQ911" s="36">
        <v>0</v>
      </c>
      <c r="DR911" s="32">
        <v>0</v>
      </c>
      <c r="DS911" s="36" t="s">
        <v>151</v>
      </c>
      <c r="DT911" s="34" t="s">
        <v>151</v>
      </c>
      <c r="DU911" s="36" t="s">
        <v>151</v>
      </c>
      <c r="DV911" s="34" t="s">
        <v>151</v>
      </c>
      <c r="DW911" s="36" t="s">
        <v>151</v>
      </c>
      <c r="DX911" s="34" t="s">
        <v>151</v>
      </c>
      <c r="DY911" s="31">
        <v>1</v>
      </c>
      <c r="DZ911" s="35">
        <v>45133</v>
      </c>
      <c r="EA911" s="35" t="s">
        <v>151</v>
      </c>
      <c r="EB911" s="34">
        <v>559</v>
      </c>
      <c r="EC911" s="33">
        <v>-265</v>
      </c>
      <c r="ED911" s="32">
        <v>-32.16</v>
      </c>
      <c r="EE911" s="34" t="s">
        <v>151</v>
      </c>
      <c r="EF911" s="33" t="s">
        <v>151</v>
      </c>
      <c r="EG911" s="32" t="s">
        <v>151</v>
      </c>
      <c r="EH911" s="29" t="s">
        <v>198</v>
      </c>
      <c r="EI911" s="30" t="s">
        <v>151</v>
      </c>
      <c r="EJ911" s="30" t="s">
        <v>151</v>
      </c>
      <c r="EK911" s="31" t="s">
        <v>151</v>
      </c>
      <c r="EL911" s="31" t="s">
        <v>151</v>
      </c>
      <c r="EM911" s="31" t="s">
        <v>151</v>
      </c>
      <c r="EN911" s="31" t="s">
        <v>151</v>
      </c>
      <c r="EO911" s="31" t="s">
        <v>151</v>
      </c>
      <c r="EP911" s="30" t="s">
        <v>151</v>
      </c>
      <c r="EQ911" s="29" t="s">
        <v>151</v>
      </c>
      <c r="ER911" s="29" t="s">
        <v>151</v>
      </c>
      <c r="ES911" s="4">
        <f>HYPERLINK("https://my.pitchbook.com?c=280133-65","View Company Online")</f>
      </c>
    </row>
    <row r="912">
      <c r="A912" s="17" t="s">
        <v>18422</v>
      </c>
      <c r="B912" s="17" t="s">
        <v>18423</v>
      </c>
      <c r="C912" s="18" t="s">
        <v>151</v>
      </c>
      <c r="D912" s="17" t="s">
        <v>151</v>
      </c>
      <c r="E912" s="17" t="s">
        <v>151</v>
      </c>
      <c r="F912" s="17" t="s">
        <v>18424</v>
      </c>
      <c r="G912" s="17" t="s">
        <v>151</v>
      </c>
      <c r="H912" s="17" t="s">
        <v>151</v>
      </c>
      <c r="I912" s="17" t="s">
        <v>151</v>
      </c>
      <c r="J912" s="17" t="s">
        <v>18422</v>
      </c>
      <c r="K912" s="17" t="s">
        <v>18425</v>
      </c>
      <c r="L912" s="17" t="s">
        <v>205</v>
      </c>
      <c r="M912" s="17" t="s">
        <v>206</v>
      </c>
      <c r="N912" s="17" t="s">
        <v>269</v>
      </c>
      <c r="O912" s="17" t="s">
        <v>18426</v>
      </c>
      <c r="P912" s="17" t="s">
        <v>8649</v>
      </c>
      <c r="Q912" s="17" t="s">
        <v>18427</v>
      </c>
      <c r="R912" s="17" t="s">
        <v>151</v>
      </c>
      <c r="S912" s="17" t="s">
        <v>162</v>
      </c>
      <c r="T912" s="24">
        <v>10.5</v>
      </c>
      <c r="U912" s="17" t="s">
        <v>163</v>
      </c>
      <c r="V912" s="17" t="s">
        <v>164</v>
      </c>
      <c r="W912" s="17" t="s">
        <v>165</v>
      </c>
      <c r="X912" s="15" t="s">
        <v>18428</v>
      </c>
      <c r="Y912" s="15" t="s">
        <v>18429</v>
      </c>
      <c r="Z912" s="27">
        <v>14</v>
      </c>
      <c r="AA912" s="17" t="s">
        <v>18430</v>
      </c>
      <c r="AB912" s="17" t="s">
        <v>151</v>
      </c>
      <c r="AC912" s="17" t="s">
        <v>151</v>
      </c>
      <c r="AD912" s="26">
        <v>2021</v>
      </c>
      <c r="AE912" s="17" t="s">
        <v>151</v>
      </c>
      <c r="AF912" s="22">
        <v>45553</v>
      </c>
      <c r="AG912" s="17" t="s">
        <v>151</v>
      </c>
      <c r="AH912" s="17" t="s">
        <v>151</v>
      </c>
      <c r="AI912" s="25" t="s">
        <v>151</v>
      </c>
      <c r="AJ912" s="19" t="s">
        <v>151</v>
      </c>
      <c r="AK912" s="25" t="s">
        <v>151</v>
      </c>
      <c r="AL912" s="25" t="s">
        <v>151</v>
      </c>
      <c r="AM912" s="25" t="s">
        <v>151</v>
      </c>
      <c r="AN912" s="25" t="s">
        <v>151</v>
      </c>
      <c r="AO912" s="25" t="s">
        <v>151</v>
      </c>
      <c r="AP912" s="25" t="s">
        <v>151</v>
      </c>
      <c r="AQ912" s="25" t="s">
        <v>151</v>
      </c>
      <c r="AR912" s="16" t="s">
        <v>151</v>
      </c>
      <c r="AS912" s="17" t="s">
        <v>18431</v>
      </c>
      <c r="AT912" s="17" t="s">
        <v>18432</v>
      </c>
      <c r="AU912" s="18">
        <v>5</v>
      </c>
      <c r="AV912" s="17" t="s">
        <v>151</v>
      </c>
      <c r="AW912" s="17" t="s">
        <v>151</v>
      </c>
      <c r="AX912" s="17" t="s">
        <v>151</v>
      </c>
      <c r="AY912" s="17" t="s">
        <v>18433</v>
      </c>
      <c r="AZ912" s="17" t="s">
        <v>151</v>
      </c>
      <c r="BA912" s="17" t="s">
        <v>151</v>
      </c>
      <c r="BB912" s="17" t="s">
        <v>151</v>
      </c>
      <c r="BC912" s="17" t="s">
        <v>151</v>
      </c>
      <c r="BD912" s="17" t="s">
        <v>151</v>
      </c>
      <c r="BE912" s="17" t="s">
        <v>151</v>
      </c>
      <c r="BF912" s="17" t="s">
        <v>151</v>
      </c>
      <c r="BG912" s="17" t="s">
        <v>151</v>
      </c>
      <c r="BH912" s="17" t="s">
        <v>151</v>
      </c>
      <c r="BI912" s="17" t="s">
        <v>8523</v>
      </c>
      <c r="BJ912" s="17" t="s">
        <v>18434</v>
      </c>
      <c r="BK912" s="17" t="s">
        <v>151</v>
      </c>
      <c r="BL912" s="17" t="s">
        <v>8526</v>
      </c>
      <c r="BM912" s="17" t="s">
        <v>184</v>
      </c>
      <c r="BN912" s="16" t="s">
        <v>14257</v>
      </c>
      <c r="BO912" s="17" t="s">
        <v>186</v>
      </c>
      <c r="BP912" s="16" t="s">
        <v>151</v>
      </c>
      <c r="BQ912" s="16" t="s">
        <v>151</v>
      </c>
      <c r="BR912" s="17" t="s">
        <v>18435</v>
      </c>
      <c r="BS912" s="17" t="s">
        <v>187</v>
      </c>
      <c r="BT912" s="17" t="s">
        <v>188</v>
      </c>
      <c r="BU912" s="22">
        <v>44652</v>
      </c>
      <c r="BV912" s="24">
        <v>10.5</v>
      </c>
      <c r="BW912" s="17" t="s">
        <v>193</v>
      </c>
      <c r="BX912" s="24">
        <v>40.5</v>
      </c>
      <c r="BY912" s="17" t="s">
        <v>192</v>
      </c>
      <c r="BZ912" s="17" t="s">
        <v>293</v>
      </c>
      <c r="CA912" s="17" t="s">
        <v>293</v>
      </c>
      <c r="CB912" s="17" t="s">
        <v>151</v>
      </c>
      <c r="CC912" s="17" t="s">
        <v>165</v>
      </c>
      <c r="CD912" s="17" t="s">
        <v>151</v>
      </c>
      <c r="CE912" s="17" t="s">
        <v>191</v>
      </c>
      <c r="CF912" s="22">
        <v>44652</v>
      </c>
      <c r="CG912" s="24">
        <v>10.5</v>
      </c>
      <c r="CH912" s="17" t="s">
        <v>193</v>
      </c>
      <c r="CI912" s="24">
        <v>40.5</v>
      </c>
      <c r="CJ912" s="17" t="s">
        <v>192</v>
      </c>
      <c r="CK912" s="16" t="s">
        <v>151</v>
      </c>
      <c r="CL912" s="17" t="s">
        <v>293</v>
      </c>
      <c r="CM912" s="17" t="s">
        <v>293</v>
      </c>
      <c r="CN912" s="17" t="s">
        <v>151</v>
      </c>
      <c r="CO912" s="17" t="s">
        <v>165</v>
      </c>
      <c r="CP912" s="22">
        <v>44652</v>
      </c>
      <c r="CQ912" s="24" t="s">
        <v>151</v>
      </c>
      <c r="CR912" s="17" t="s">
        <v>151</v>
      </c>
      <c r="CS912" s="17" t="s">
        <v>191</v>
      </c>
      <c r="CT912" s="16" t="s">
        <v>151</v>
      </c>
      <c r="CU912" s="17" t="s">
        <v>151</v>
      </c>
      <c r="CV912" s="19" t="s">
        <v>151</v>
      </c>
      <c r="CW912" s="19" t="s">
        <v>151</v>
      </c>
      <c r="CX912" s="17" t="s">
        <v>151</v>
      </c>
      <c r="CY912" s="19" t="s">
        <v>151</v>
      </c>
      <c r="CZ912" s="19" t="s">
        <v>151</v>
      </c>
      <c r="DA912" s="24">
        <v>40.5</v>
      </c>
      <c r="DB912" s="22">
        <v>44652</v>
      </c>
      <c r="DC912" s="17" t="s">
        <v>293</v>
      </c>
      <c r="DD912" s="16" t="s">
        <v>151</v>
      </c>
      <c r="DE912" s="19" t="s">
        <v>151</v>
      </c>
      <c r="DF912" s="21" t="s">
        <v>151</v>
      </c>
      <c r="DG912" s="19" t="s">
        <v>151</v>
      </c>
      <c r="DH912" s="19" t="s">
        <v>151</v>
      </c>
      <c r="DI912" s="19" t="s">
        <v>151</v>
      </c>
      <c r="DJ912" s="21" t="s">
        <v>151</v>
      </c>
      <c r="DK912" s="19" t="s">
        <v>151</v>
      </c>
      <c r="DL912" s="21" t="s">
        <v>151</v>
      </c>
      <c r="DM912" s="19" t="s">
        <v>151</v>
      </c>
      <c r="DN912" s="21" t="s">
        <v>151</v>
      </c>
      <c r="DO912" s="23" t="s">
        <v>151</v>
      </c>
      <c r="DP912" s="21" t="s">
        <v>151</v>
      </c>
      <c r="DQ912" s="23" t="s">
        <v>151</v>
      </c>
      <c r="DR912" s="19" t="s">
        <v>151</v>
      </c>
      <c r="DS912" s="23" t="s">
        <v>151</v>
      </c>
      <c r="DT912" s="21" t="s">
        <v>151</v>
      </c>
      <c r="DU912" s="23" t="s">
        <v>151</v>
      </c>
      <c r="DV912" s="21" t="s">
        <v>151</v>
      </c>
      <c r="DW912" s="23" t="s">
        <v>151</v>
      </c>
      <c r="DX912" s="21" t="s">
        <v>151</v>
      </c>
      <c r="DY912" s="18" t="s">
        <v>151</v>
      </c>
      <c r="DZ912" s="22" t="s">
        <v>151</v>
      </c>
      <c r="EA912" s="22" t="s">
        <v>151</v>
      </c>
      <c r="EB912" s="21" t="s">
        <v>151</v>
      </c>
      <c r="EC912" s="20" t="s">
        <v>151</v>
      </c>
      <c r="ED912" s="19" t="s">
        <v>151</v>
      </c>
      <c r="EE912" s="21" t="s">
        <v>151</v>
      </c>
      <c r="EF912" s="20" t="s">
        <v>151</v>
      </c>
      <c r="EG912" s="19" t="s">
        <v>151</v>
      </c>
      <c r="EH912" s="16" t="s">
        <v>198</v>
      </c>
      <c r="EI912" s="17" t="s">
        <v>151</v>
      </c>
      <c r="EJ912" s="17" t="s">
        <v>151</v>
      </c>
      <c r="EK912" s="18" t="s">
        <v>151</v>
      </c>
      <c r="EL912" s="18" t="s">
        <v>151</v>
      </c>
      <c r="EM912" s="18" t="s">
        <v>151</v>
      </c>
      <c r="EN912" s="18" t="s">
        <v>151</v>
      </c>
      <c r="EO912" s="18" t="s">
        <v>151</v>
      </c>
      <c r="EP912" s="17" t="s">
        <v>151</v>
      </c>
      <c r="EQ912" s="16" t="s">
        <v>151</v>
      </c>
      <c r="ER912" s="16" t="s">
        <v>151</v>
      </c>
      <c r="ES912" s="3">
        <f>HYPERLINK("https://my.pitchbook.com?c=494415-64","View Company Online")</f>
      </c>
    </row>
    <row r="913">
      <c r="A913" s="30" t="s">
        <v>18436</v>
      </c>
      <c r="B913" s="30" t="s">
        <v>18437</v>
      </c>
      <c r="C913" s="31" t="s">
        <v>151</v>
      </c>
      <c r="D913" s="30" t="s">
        <v>151</v>
      </c>
      <c r="E913" s="30" t="s">
        <v>151</v>
      </c>
      <c r="F913" s="30" t="s">
        <v>18438</v>
      </c>
      <c r="G913" s="30" t="s">
        <v>151</v>
      </c>
      <c r="H913" s="30" t="s">
        <v>151</v>
      </c>
      <c r="I913" s="30" t="s">
        <v>151</v>
      </c>
      <c r="J913" s="30" t="s">
        <v>18436</v>
      </c>
      <c r="K913" s="30" t="s">
        <v>18439</v>
      </c>
      <c r="L913" s="30" t="s">
        <v>205</v>
      </c>
      <c r="M913" s="30" t="s">
        <v>206</v>
      </c>
      <c r="N913" s="30" t="s">
        <v>269</v>
      </c>
      <c r="O913" s="30" t="s">
        <v>11636</v>
      </c>
      <c r="P913" s="30" t="s">
        <v>7308</v>
      </c>
      <c r="Q913" s="30" t="s">
        <v>18440</v>
      </c>
      <c r="R913" s="30" t="s">
        <v>151</v>
      </c>
      <c r="S913" s="30" t="s">
        <v>162</v>
      </c>
      <c r="T913" s="37">
        <v>2</v>
      </c>
      <c r="U913" s="30" t="s">
        <v>163</v>
      </c>
      <c r="V913" s="30" t="s">
        <v>164</v>
      </c>
      <c r="W913" s="30" t="s">
        <v>165</v>
      </c>
      <c r="X913" s="28" t="s">
        <v>18441</v>
      </c>
      <c r="Y913" s="28" t="s">
        <v>18442</v>
      </c>
      <c r="Z913" s="40">
        <v>10</v>
      </c>
      <c r="AA913" s="30" t="s">
        <v>6436</v>
      </c>
      <c r="AB913" s="30" t="s">
        <v>151</v>
      </c>
      <c r="AC913" s="30" t="s">
        <v>151</v>
      </c>
      <c r="AD913" s="39">
        <v>2022</v>
      </c>
      <c r="AE913" s="30" t="s">
        <v>151</v>
      </c>
      <c r="AF913" s="35">
        <v>45478</v>
      </c>
      <c r="AG913" s="30" t="s">
        <v>151</v>
      </c>
      <c r="AH913" s="30" t="s">
        <v>151</v>
      </c>
      <c r="AI913" s="38" t="s">
        <v>151</v>
      </c>
      <c r="AJ913" s="32" t="s">
        <v>151</v>
      </c>
      <c r="AK913" s="38" t="s">
        <v>151</v>
      </c>
      <c r="AL913" s="38" t="s">
        <v>151</v>
      </c>
      <c r="AM913" s="38" t="s">
        <v>151</v>
      </c>
      <c r="AN913" s="38" t="s">
        <v>151</v>
      </c>
      <c r="AO913" s="38" t="s">
        <v>151</v>
      </c>
      <c r="AP913" s="38" t="s">
        <v>151</v>
      </c>
      <c r="AQ913" s="38" t="s">
        <v>151</v>
      </c>
      <c r="AR913" s="29" t="s">
        <v>151</v>
      </c>
      <c r="AS913" s="30" t="s">
        <v>18443</v>
      </c>
      <c r="AT913" s="30" t="s">
        <v>18444</v>
      </c>
      <c r="AU913" s="31">
        <v>2</v>
      </c>
      <c r="AV913" s="30" t="s">
        <v>151</v>
      </c>
      <c r="AW913" s="30" t="s">
        <v>151</v>
      </c>
      <c r="AX913" s="30" t="s">
        <v>151</v>
      </c>
      <c r="AY913" s="30" t="s">
        <v>18445</v>
      </c>
      <c r="AZ913" s="30" t="s">
        <v>151</v>
      </c>
      <c r="BA913" s="30" t="s">
        <v>151</v>
      </c>
      <c r="BB913" s="30" t="s">
        <v>151</v>
      </c>
      <c r="BC913" s="30" t="s">
        <v>151</v>
      </c>
      <c r="BD913" s="30" t="s">
        <v>18446</v>
      </c>
      <c r="BE913" s="30" t="s">
        <v>18447</v>
      </c>
      <c r="BF913" s="30" t="s">
        <v>221</v>
      </c>
      <c r="BG913" s="30" t="s">
        <v>151</v>
      </c>
      <c r="BH913" s="30" t="s">
        <v>151</v>
      </c>
      <c r="BI913" s="30" t="s">
        <v>906</v>
      </c>
      <c r="BJ913" s="30" t="s">
        <v>151</v>
      </c>
      <c r="BK913" s="30" t="s">
        <v>151</v>
      </c>
      <c r="BL913" s="30" t="s">
        <v>259</v>
      </c>
      <c r="BM913" s="30" t="s">
        <v>259</v>
      </c>
      <c r="BN913" s="29" t="s">
        <v>151</v>
      </c>
      <c r="BO913" s="30" t="s">
        <v>186</v>
      </c>
      <c r="BP913" s="29" t="s">
        <v>151</v>
      </c>
      <c r="BQ913" s="29" t="s">
        <v>151</v>
      </c>
      <c r="BR913" s="30" t="s">
        <v>18448</v>
      </c>
      <c r="BS913" s="30" t="s">
        <v>187</v>
      </c>
      <c r="BT913" s="30" t="s">
        <v>188</v>
      </c>
      <c r="BU913" s="35">
        <v>44677</v>
      </c>
      <c r="BV913" s="37">
        <v>2</v>
      </c>
      <c r="BW913" s="30" t="s">
        <v>192</v>
      </c>
      <c r="BX913" s="37" t="s">
        <v>151</v>
      </c>
      <c r="BY913" s="30" t="s">
        <v>151</v>
      </c>
      <c r="BZ913" s="30" t="s">
        <v>231</v>
      </c>
      <c r="CA913" s="30" t="s">
        <v>151</v>
      </c>
      <c r="CB913" s="30" t="s">
        <v>151</v>
      </c>
      <c r="CC913" s="30" t="s">
        <v>165</v>
      </c>
      <c r="CD913" s="30" t="s">
        <v>151</v>
      </c>
      <c r="CE913" s="30" t="s">
        <v>191</v>
      </c>
      <c r="CF913" s="35">
        <v>44677</v>
      </c>
      <c r="CG913" s="37">
        <v>2</v>
      </c>
      <c r="CH913" s="30" t="s">
        <v>192</v>
      </c>
      <c r="CI913" s="37" t="s">
        <v>151</v>
      </c>
      <c r="CJ913" s="30" t="s">
        <v>151</v>
      </c>
      <c r="CK913" s="29" t="s">
        <v>151</v>
      </c>
      <c r="CL913" s="30" t="s">
        <v>231</v>
      </c>
      <c r="CM913" s="30" t="s">
        <v>151</v>
      </c>
      <c r="CN913" s="30" t="s">
        <v>151</v>
      </c>
      <c r="CO913" s="30" t="s">
        <v>165</v>
      </c>
      <c r="CP913" s="35">
        <v>44677</v>
      </c>
      <c r="CQ913" s="37" t="s">
        <v>151</v>
      </c>
      <c r="CR913" s="30" t="s">
        <v>151</v>
      </c>
      <c r="CS913" s="30" t="s">
        <v>191</v>
      </c>
      <c r="CT913" s="29" t="s">
        <v>151</v>
      </c>
      <c r="CU913" s="30" t="s">
        <v>151</v>
      </c>
      <c r="CV913" s="32" t="s">
        <v>151</v>
      </c>
      <c r="CW913" s="32" t="s">
        <v>151</v>
      </c>
      <c r="CX913" s="30" t="s">
        <v>151</v>
      </c>
      <c r="CY913" s="32" t="s">
        <v>151</v>
      </c>
      <c r="CZ913" s="32" t="s">
        <v>151</v>
      </c>
      <c r="DA913" s="37" t="s">
        <v>151</v>
      </c>
      <c r="DB913" s="35" t="s">
        <v>151</v>
      </c>
      <c r="DC913" s="30" t="s">
        <v>151</v>
      </c>
      <c r="DD913" s="29" t="s">
        <v>151</v>
      </c>
      <c r="DE913" s="32">
        <v>0</v>
      </c>
      <c r="DF913" s="34">
        <v>11</v>
      </c>
      <c r="DG913" s="32">
        <v>0</v>
      </c>
      <c r="DH913" s="32">
        <v>0</v>
      </c>
      <c r="DI913" s="32">
        <v>0</v>
      </c>
      <c r="DJ913" s="34">
        <v>10</v>
      </c>
      <c r="DK913" s="32" t="s">
        <v>151</v>
      </c>
      <c r="DL913" s="34" t="s">
        <v>151</v>
      </c>
      <c r="DM913" s="32">
        <v>0</v>
      </c>
      <c r="DN913" s="34">
        <v>10</v>
      </c>
      <c r="DO913" s="36">
        <v>2.89</v>
      </c>
      <c r="DP913" s="34">
        <v>74</v>
      </c>
      <c r="DQ913" s="36">
        <v>0</v>
      </c>
      <c r="DR913" s="32">
        <v>0</v>
      </c>
      <c r="DS913" s="36">
        <v>2.89</v>
      </c>
      <c r="DT913" s="34">
        <v>73</v>
      </c>
      <c r="DU913" s="36" t="s">
        <v>151</v>
      </c>
      <c r="DV913" s="34" t="s">
        <v>151</v>
      </c>
      <c r="DW913" s="36">
        <v>2.89</v>
      </c>
      <c r="DX913" s="34">
        <v>73</v>
      </c>
      <c r="DY913" s="31" t="s">
        <v>151</v>
      </c>
      <c r="DZ913" s="35" t="s">
        <v>151</v>
      </c>
      <c r="EA913" s="35" t="s">
        <v>151</v>
      </c>
      <c r="EB913" s="34">
        <v>1391</v>
      </c>
      <c r="EC913" s="33">
        <v>-155</v>
      </c>
      <c r="ED913" s="32">
        <v>-10.03</v>
      </c>
      <c r="EE913" s="34">
        <v>55</v>
      </c>
      <c r="EF913" s="33">
        <v>1</v>
      </c>
      <c r="EG913" s="32">
        <v>1.85</v>
      </c>
      <c r="EH913" s="29" t="s">
        <v>198</v>
      </c>
      <c r="EI913" s="30" t="s">
        <v>151</v>
      </c>
      <c r="EJ913" s="30" t="s">
        <v>151</v>
      </c>
      <c r="EK913" s="31" t="s">
        <v>151</v>
      </c>
      <c r="EL913" s="31" t="s">
        <v>151</v>
      </c>
      <c r="EM913" s="31" t="s">
        <v>151</v>
      </c>
      <c r="EN913" s="31" t="s">
        <v>151</v>
      </c>
      <c r="EO913" s="31" t="s">
        <v>151</v>
      </c>
      <c r="EP913" s="30" t="s">
        <v>151</v>
      </c>
      <c r="EQ913" s="29" t="s">
        <v>151</v>
      </c>
      <c r="ER913" s="29" t="s">
        <v>151</v>
      </c>
      <c r="ES913" s="4">
        <f>HYPERLINK("https://my.pitchbook.com?c=496327-33","View Company Online")</f>
      </c>
    </row>
    <row r="914">
      <c r="A914" s="17" t="s">
        <v>18449</v>
      </c>
      <c r="B914" s="17" t="s">
        <v>18450</v>
      </c>
      <c r="C914" s="18" t="s">
        <v>151</v>
      </c>
      <c r="D914" s="17" t="s">
        <v>151</v>
      </c>
      <c r="E914" s="17" t="s">
        <v>18451</v>
      </c>
      <c r="F914" s="17" t="s">
        <v>18452</v>
      </c>
      <c r="G914" s="17" t="s">
        <v>151</v>
      </c>
      <c r="H914" s="17" t="s">
        <v>151</v>
      </c>
      <c r="I914" s="17" t="s">
        <v>18453</v>
      </c>
      <c r="J914" s="17" t="s">
        <v>18449</v>
      </c>
      <c r="K914" s="17" t="s">
        <v>18454</v>
      </c>
      <c r="L914" s="17" t="s">
        <v>616</v>
      </c>
      <c r="M914" s="17" t="s">
        <v>834</v>
      </c>
      <c r="N914" s="17" t="s">
        <v>7969</v>
      </c>
      <c r="O914" s="17" t="s">
        <v>18455</v>
      </c>
      <c r="P914" s="17" t="s">
        <v>2416</v>
      </c>
      <c r="Q914" s="17" t="s">
        <v>18456</v>
      </c>
      <c r="R914" s="17" t="s">
        <v>151</v>
      </c>
      <c r="S914" s="17" t="s">
        <v>162</v>
      </c>
      <c r="T914" s="24">
        <v>4.2</v>
      </c>
      <c r="U914" s="17" t="s">
        <v>163</v>
      </c>
      <c r="V914" s="17" t="s">
        <v>164</v>
      </c>
      <c r="W914" s="17" t="s">
        <v>165</v>
      </c>
      <c r="X914" s="15" t="s">
        <v>18457</v>
      </c>
      <c r="Y914" s="15" t="s">
        <v>18458</v>
      </c>
      <c r="Z914" s="27">
        <v>21</v>
      </c>
      <c r="AA914" s="17" t="s">
        <v>18459</v>
      </c>
      <c r="AB914" s="17" t="s">
        <v>151</v>
      </c>
      <c r="AC914" s="17" t="s">
        <v>151</v>
      </c>
      <c r="AD914" s="26">
        <v>2021</v>
      </c>
      <c r="AE914" s="17" t="s">
        <v>151</v>
      </c>
      <c r="AF914" s="22">
        <v>45552</v>
      </c>
      <c r="AG914" s="17" t="s">
        <v>151</v>
      </c>
      <c r="AH914" s="17" t="s">
        <v>151</v>
      </c>
      <c r="AI914" s="25" t="s">
        <v>151</v>
      </c>
      <c r="AJ914" s="19" t="s">
        <v>151</v>
      </c>
      <c r="AK914" s="25" t="s">
        <v>151</v>
      </c>
      <c r="AL914" s="25" t="s">
        <v>151</v>
      </c>
      <c r="AM914" s="25" t="s">
        <v>151</v>
      </c>
      <c r="AN914" s="25" t="s">
        <v>151</v>
      </c>
      <c r="AO914" s="25" t="s">
        <v>151</v>
      </c>
      <c r="AP914" s="25" t="s">
        <v>151</v>
      </c>
      <c r="AQ914" s="25" t="s">
        <v>151</v>
      </c>
      <c r="AR914" s="16" t="s">
        <v>151</v>
      </c>
      <c r="AS914" s="17" t="s">
        <v>18460</v>
      </c>
      <c r="AT914" s="17" t="s">
        <v>18461</v>
      </c>
      <c r="AU914" s="18">
        <v>9</v>
      </c>
      <c r="AV914" s="17" t="s">
        <v>151</v>
      </c>
      <c r="AW914" s="17" t="s">
        <v>151</v>
      </c>
      <c r="AX914" s="17" t="s">
        <v>151</v>
      </c>
      <c r="AY914" s="17" t="s">
        <v>18462</v>
      </c>
      <c r="AZ914" s="17" t="s">
        <v>151</v>
      </c>
      <c r="BA914" s="17" t="s">
        <v>151</v>
      </c>
      <c r="BB914" s="17" t="s">
        <v>151</v>
      </c>
      <c r="BC914" s="17" t="s">
        <v>601</v>
      </c>
      <c r="BD914" s="17" t="s">
        <v>18463</v>
      </c>
      <c r="BE914" s="17" t="s">
        <v>18464</v>
      </c>
      <c r="BF914" s="17" t="s">
        <v>18465</v>
      </c>
      <c r="BG914" s="17" t="s">
        <v>18466</v>
      </c>
      <c r="BH914" s="17" t="s">
        <v>18467</v>
      </c>
      <c r="BI914" s="17" t="s">
        <v>934</v>
      </c>
      <c r="BJ914" s="17" t="s">
        <v>18468</v>
      </c>
      <c r="BK914" s="17" t="s">
        <v>151</v>
      </c>
      <c r="BL914" s="17" t="s">
        <v>937</v>
      </c>
      <c r="BM914" s="17" t="s">
        <v>184</v>
      </c>
      <c r="BN914" s="16" t="s">
        <v>18469</v>
      </c>
      <c r="BO914" s="17" t="s">
        <v>186</v>
      </c>
      <c r="BP914" s="16" t="s">
        <v>18467</v>
      </c>
      <c r="BQ914" s="16" t="s">
        <v>151</v>
      </c>
      <c r="BR914" s="17" t="s">
        <v>18470</v>
      </c>
      <c r="BS914" s="17" t="s">
        <v>187</v>
      </c>
      <c r="BT914" s="17" t="s">
        <v>188</v>
      </c>
      <c r="BU914" s="22">
        <v>44509</v>
      </c>
      <c r="BV914" s="24">
        <v>0.6</v>
      </c>
      <c r="BW914" s="17" t="s">
        <v>193</v>
      </c>
      <c r="BX914" s="24">
        <v>1.6</v>
      </c>
      <c r="BY914" s="17" t="s">
        <v>192</v>
      </c>
      <c r="BZ914" s="17" t="s">
        <v>293</v>
      </c>
      <c r="CA914" s="17" t="s">
        <v>293</v>
      </c>
      <c r="CB914" s="17" t="s">
        <v>151</v>
      </c>
      <c r="CC914" s="17" t="s">
        <v>165</v>
      </c>
      <c r="CD914" s="17" t="s">
        <v>151</v>
      </c>
      <c r="CE914" s="17" t="s">
        <v>191</v>
      </c>
      <c r="CF914" s="22">
        <v>45065</v>
      </c>
      <c r="CG914" s="24">
        <v>3.6</v>
      </c>
      <c r="CH914" s="17" t="s">
        <v>192</v>
      </c>
      <c r="CI914" s="24">
        <v>11</v>
      </c>
      <c r="CJ914" s="17" t="s">
        <v>192</v>
      </c>
      <c r="CK914" s="16">
        <v>4.88</v>
      </c>
      <c r="CL914" s="17" t="s">
        <v>293</v>
      </c>
      <c r="CM914" s="17" t="s">
        <v>293</v>
      </c>
      <c r="CN914" s="17" t="s">
        <v>151</v>
      </c>
      <c r="CO914" s="17" t="s">
        <v>165</v>
      </c>
      <c r="CP914" s="22">
        <v>45065</v>
      </c>
      <c r="CQ914" s="24">
        <v>0.41</v>
      </c>
      <c r="CR914" s="17" t="s">
        <v>18471</v>
      </c>
      <c r="CS914" s="17" t="s">
        <v>191</v>
      </c>
      <c r="CT914" s="16">
        <v>91</v>
      </c>
      <c r="CU914" s="17" t="s">
        <v>196</v>
      </c>
      <c r="CV914" s="19">
        <v>83</v>
      </c>
      <c r="CW914" s="19">
        <v>17</v>
      </c>
      <c r="CX914" s="17" t="s">
        <v>294</v>
      </c>
      <c r="CY914" s="19">
        <v>1</v>
      </c>
      <c r="CZ914" s="19">
        <v>82</v>
      </c>
      <c r="DA914" s="24">
        <v>11</v>
      </c>
      <c r="DB914" s="22">
        <v>45065</v>
      </c>
      <c r="DC914" s="17" t="s">
        <v>293</v>
      </c>
      <c r="DD914" s="16">
        <v>4.88</v>
      </c>
      <c r="DE914" s="19">
        <v>0.31</v>
      </c>
      <c r="DF914" s="21">
        <v>92</v>
      </c>
      <c r="DG914" s="19">
        <v>0</v>
      </c>
      <c r="DH914" s="19">
        <v>0</v>
      </c>
      <c r="DI914" s="19">
        <v>0</v>
      </c>
      <c r="DJ914" s="21">
        <v>10</v>
      </c>
      <c r="DK914" s="19" t="s">
        <v>151</v>
      </c>
      <c r="DL914" s="21" t="s">
        <v>151</v>
      </c>
      <c r="DM914" s="19">
        <v>0</v>
      </c>
      <c r="DN914" s="21">
        <v>10</v>
      </c>
      <c r="DO914" s="23">
        <v>2.36</v>
      </c>
      <c r="DP914" s="21">
        <v>70</v>
      </c>
      <c r="DQ914" s="23">
        <v>0</v>
      </c>
      <c r="DR914" s="19">
        <v>0</v>
      </c>
      <c r="DS914" s="23">
        <v>3.11</v>
      </c>
      <c r="DT914" s="21">
        <v>75</v>
      </c>
      <c r="DU914" s="23" t="s">
        <v>151</v>
      </c>
      <c r="DV914" s="21" t="s">
        <v>151</v>
      </c>
      <c r="DW914" s="23">
        <v>3.11</v>
      </c>
      <c r="DX914" s="21">
        <v>74</v>
      </c>
      <c r="DY914" s="18">
        <v>1</v>
      </c>
      <c r="DZ914" s="22">
        <v>45244</v>
      </c>
      <c r="EA914" s="22" t="s">
        <v>151</v>
      </c>
      <c r="EB914" s="21">
        <v>330</v>
      </c>
      <c r="EC914" s="20">
        <v>159</v>
      </c>
      <c r="ED914" s="19">
        <v>92.98</v>
      </c>
      <c r="EE914" s="21">
        <v>59</v>
      </c>
      <c r="EF914" s="20">
        <v>0</v>
      </c>
      <c r="EG914" s="19">
        <v>0</v>
      </c>
      <c r="EH914" s="16" t="s">
        <v>198</v>
      </c>
      <c r="EI914" s="17" t="s">
        <v>151</v>
      </c>
      <c r="EJ914" s="17" t="s">
        <v>151</v>
      </c>
      <c r="EK914" s="18" t="s">
        <v>151</v>
      </c>
      <c r="EL914" s="18" t="s">
        <v>151</v>
      </c>
      <c r="EM914" s="18" t="s">
        <v>151</v>
      </c>
      <c r="EN914" s="18" t="s">
        <v>151</v>
      </c>
      <c r="EO914" s="18" t="s">
        <v>151</v>
      </c>
      <c r="EP914" s="17" t="s">
        <v>151</v>
      </c>
      <c r="EQ914" s="16" t="s">
        <v>151</v>
      </c>
      <c r="ER914" s="16" t="s">
        <v>151</v>
      </c>
      <c r="ES914" s="3">
        <f>HYPERLINK("https://my.pitchbook.com?c=491797-72","View Company Online")</f>
      </c>
    </row>
    <row r="915">
      <c r="A915" s="30" t="s">
        <v>18472</v>
      </c>
      <c r="B915" s="30" t="s">
        <v>18473</v>
      </c>
      <c r="C915" s="31" t="s">
        <v>151</v>
      </c>
      <c r="D915" s="30" t="s">
        <v>18474</v>
      </c>
      <c r="E915" s="30" t="s">
        <v>151</v>
      </c>
      <c r="F915" s="30" t="s">
        <v>18475</v>
      </c>
      <c r="G915" s="30" t="s">
        <v>151</v>
      </c>
      <c r="H915" s="30" t="s">
        <v>151</v>
      </c>
      <c r="I915" s="30" t="s">
        <v>18476</v>
      </c>
      <c r="J915" s="30" t="s">
        <v>18472</v>
      </c>
      <c r="K915" s="30" t="s">
        <v>18477</v>
      </c>
      <c r="L915" s="30" t="s">
        <v>205</v>
      </c>
      <c r="M915" s="30" t="s">
        <v>206</v>
      </c>
      <c r="N915" s="30" t="s">
        <v>269</v>
      </c>
      <c r="O915" s="30" t="s">
        <v>3703</v>
      </c>
      <c r="P915" s="30" t="s">
        <v>5311</v>
      </c>
      <c r="Q915" s="30" t="s">
        <v>18478</v>
      </c>
      <c r="R915" s="30" t="s">
        <v>151</v>
      </c>
      <c r="S915" s="30" t="s">
        <v>162</v>
      </c>
      <c r="T915" s="37">
        <v>33.35</v>
      </c>
      <c r="U915" s="30" t="s">
        <v>163</v>
      </c>
      <c r="V915" s="30" t="s">
        <v>164</v>
      </c>
      <c r="W915" s="30" t="s">
        <v>165</v>
      </c>
      <c r="X915" s="28" t="s">
        <v>18479</v>
      </c>
      <c r="Y915" s="28" t="s">
        <v>18480</v>
      </c>
      <c r="Z915" s="40">
        <v>67</v>
      </c>
      <c r="AA915" s="30" t="s">
        <v>18481</v>
      </c>
      <c r="AB915" s="30" t="s">
        <v>151</v>
      </c>
      <c r="AC915" s="30" t="s">
        <v>151</v>
      </c>
      <c r="AD915" s="39">
        <v>2021</v>
      </c>
      <c r="AE915" s="30" t="s">
        <v>151</v>
      </c>
      <c r="AF915" s="35">
        <v>45596</v>
      </c>
      <c r="AG915" s="30" t="s">
        <v>151</v>
      </c>
      <c r="AH915" s="30" t="s">
        <v>151</v>
      </c>
      <c r="AI915" s="38" t="s">
        <v>151</v>
      </c>
      <c r="AJ915" s="32" t="s">
        <v>151</v>
      </c>
      <c r="AK915" s="38" t="s">
        <v>151</v>
      </c>
      <c r="AL915" s="38" t="s">
        <v>151</v>
      </c>
      <c r="AM915" s="38" t="s">
        <v>151</v>
      </c>
      <c r="AN915" s="38" t="s">
        <v>151</v>
      </c>
      <c r="AO915" s="38" t="s">
        <v>151</v>
      </c>
      <c r="AP915" s="38" t="s">
        <v>151</v>
      </c>
      <c r="AQ915" s="38" t="s">
        <v>151</v>
      </c>
      <c r="AR915" s="29" t="s">
        <v>151</v>
      </c>
      <c r="AS915" s="30" t="s">
        <v>18482</v>
      </c>
      <c r="AT915" s="30" t="s">
        <v>18483</v>
      </c>
      <c r="AU915" s="31">
        <v>12</v>
      </c>
      <c r="AV915" s="30" t="s">
        <v>151</v>
      </c>
      <c r="AW915" s="30" t="s">
        <v>151</v>
      </c>
      <c r="AX915" s="30" t="s">
        <v>151</v>
      </c>
      <c r="AY915" s="30" t="s">
        <v>18484</v>
      </c>
      <c r="AZ915" s="30" t="s">
        <v>151</v>
      </c>
      <c r="BA915" s="30" t="s">
        <v>151</v>
      </c>
      <c r="BB915" s="30" t="s">
        <v>151</v>
      </c>
      <c r="BC915" s="30" t="s">
        <v>1277</v>
      </c>
      <c r="BD915" s="30" t="s">
        <v>18485</v>
      </c>
      <c r="BE915" s="30" t="s">
        <v>18486</v>
      </c>
      <c r="BF915" s="30" t="s">
        <v>18487</v>
      </c>
      <c r="BG915" s="30" t="s">
        <v>18488</v>
      </c>
      <c r="BH915" s="30" t="s">
        <v>18489</v>
      </c>
      <c r="BI915" s="30" t="s">
        <v>707</v>
      </c>
      <c r="BJ915" s="30" t="s">
        <v>18490</v>
      </c>
      <c r="BK915" s="30" t="s">
        <v>151</v>
      </c>
      <c r="BL915" s="30" t="s">
        <v>709</v>
      </c>
      <c r="BM915" s="30" t="s">
        <v>184</v>
      </c>
      <c r="BN915" s="29" t="s">
        <v>18491</v>
      </c>
      <c r="BO915" s="30" t="s">
        <v>186</v>
      </c>
      <c r="BP915" s="29" t="s">
        <v>18492</v>
      </c>
      <c r="BQ915" s="29" t="s">
        <v>151</v>
      </c>
      <c r="BR915" s="30" t="s">
        <v>18493</v>
      </c>
      <c r="BS915" s="30" t="s">
        <v>187</v>
      </c>
      <c r="BT915" s="30" t="s">
        <v>188</v>
      </c>
      <c r="BU915" s="35">
        <v>44609</v>
      </c>
      <c r="BV915" s="37">
        <v>8.35</v>
      </c>
      <c r="BW915" s="30" t="s">
        <v>192</v>
      </c>
      <c r="BX915" s="37">
        <v>110</v>
      </c>
      <c r="BY915" s="30" t="s">
        <v>192</v>
      </c>
      <c r="BZ915" s="30" t="s">
        <v>293</v>
      </c>
      <c r="CA915" s="30" t="s">
        <v>293</v>
      </c>
      <c r="CB915" s="30" t="s">
        <v>151</v>
      </c>
      <c r="CC915" s="30" t="s">
        <v>165</v>
      </c>
      <c r="CD915" s="30" t="s">
        <v>151</v>
      </c>
      <c r="CE915" s="30" t="s">
        <v>191</v>
      </c>
      <c r="CF915" s="35">
        <v>45474</v>
      </c>
      <c r="CG915" s="37">
        <v>25</v>
      </c>
      <c r="CH915" s="30" t="s">
        <v>192</v>
      </c>
      <c r="CI915" s="37">
        <v>155</v>
      </c>
      <c r="CJ915" s="30" t="s">
        <v>192</v>
      </c>
      <c r="CK915" s="29">
        <v>1.18</v>
      </c>
      <c r="CL915" s="30" t="s">
        <v>231</v>
      </c>
      <c r="CM915" s="30" t="s">
        <v>232</v>
      </c>
      <c r="CN915" s="30" t="s">
        <v>151</v>
      </c>
      <c r="CO915" s="30" t="s">
        <v>165</v>
      </c>
      <c r="CP915" s="35">
        <v>45474</v>
      </c>
      <c r="CQ915" s="37" t="s">
        <v>151</v>
      </c>
      <c r="CR915" s="30" t="s">
        <v>151</v>
      </c>
      <c r="CS915" s="30" t="s">
        <v>191</v>
      </c>
      <c r="CT915" s="29">
        <v>91</v>
      </c>
      <c r="CU915" s="30" t="s">
        <v>196</v>
      </c>
      <c r="CV915" s="32">
        <v>82</v>
      </c>
      <c r="CW915" s="32">
        <v>18</v>
      </c>
      <c r="CX915" s="30" t="s">
        <v>294</v>
      </c>
      <c r="CY915" s="32">
        <v>2</v>
      </c>
      <c r="CZ915" s="32">
        <v>80</v>
      </c>
      <c r="DA915" s="37">
        <v>155</v>
      </c>
      <c r="DB915" s="35">
        <v>45474</v>
      </c>
      <c r="DC915" s="30" t="s">
        <v>231</v>
      </c>
      <c r="DD915" s="29">
        <v>1.18</v>
      </c>
      <c r="DE915" s="32">
        <v>-0.2</v>
      </c>
      <c r="DF915" s="34">
        <v>10</v>
      </c>
      <c r="DG915" s="32">
        <v>0</v>
      </c>
      <c r="DH915" s="32">
        <v>0</v>
      </c>
      <c r="DI915" s="32">
        <v>-1.58</v>
      </c>
      <c r="DJ915" s="34">
        <v>3</v>
      </c>
      <c r="DK915" s="32" t="s">
        <v>151</v>
      </c>
      <c r="DL915" s="34" t="s">
        <v>151</v>
      </c>
      <c r="DM915" s="32">
        <v>-1.58</v>
      </c>
      <c r="DN915" s="34">
        <v>3</v>
      </c>
      <c r="DO915" s="36">
        <v>6.6</v>
      </c>
      <c r="DP915" s="34">
        <v>86</v>
      </c>
      <c r="DQ915" s="36">
        <v>0</v>
      </c>
      <c r="DR915" s="32">
        <v>0</v>
      </c>
      <c r="DS915" s="36">
        <v>8.05</v>
      </c>
      <c r="DT915" s="34">
        <v>88</v>
      </c>
      <c r="DU915" s="36" t="s">
        <v>151</v>
      </c>
      <c r="DV915" s="34" t="s">
        <v>151</v>
      </c>
      <c r="DW915" s="36">
        <v>8.05</v>
      </c>
      <c r="DX915" s="34">
        <v>88</v>
      </c>
      <c r="DY915" s="31" t="s">
        <v>151</v>
      </c>
      <c r="DZ915" s="35" t="s">
        <v>151</v>
      </c>
      <c r="EA915" s="35" t="s">
        <v>151</v>
      </c>
      <c r="EB915" s="34">
        <v>4412</v>
      </c>
      <c r="EC915" s="33">
        <v>-320</v>
      </c>
      <c r="ED915" s="32">
        <v>-6.76</v>
      </c>
      <c r="EE915" s="34">
        <v>153</v>
      </c>
      <c r="EF915" s="33">
        <v>0</v>
      </c>
      <c r="EG915" s="32">
        <v>0</v>
      </c>
      <c r="EH915" s="29" t="s">
        <v>198</v>
      </c>
      <c r="EI915" s="30" t="s">
        <v>151</v>
      </c>
      <c r="EJ915" s="30" t="s">
        <v>151</v>
      </c>
      <c r="EK915" s="31" t="s">
        <v>151</v>
      </c>
      <c r="EL915" s="31" t="s">
        <v>151</v>
      </c>
      <c r="EM915" s="31" t="s">
        <v>151</v>
      </c>
      <c r="EN915" s="31" t="s">
        <v>151</v>
      </c>
      <c r="EO915" s="31" t="s">
        <v>151</v>
      </c>
      <c r="EP915" s="30" t="s">
        <v>151</v>
      </c>
      <c r="EQ915" s="29" t="s">
        <v>151</v>
      </c>
      <c r="ER915" s="29" t="s">
        <v>151</v>
      </c>
      <c r="ES915" s="4">
        <f>HYPERLINK("https://my.pitchbook.com?c=491509-90","View Company Online")</f>
      </c>
    </row>
    <row r="916">
      <c r="A916" s="17" t="s">
        <v>18494</v>
      </c>
      <c r="B916" s="17" t="s">
        <v>18495</v>
      </c>
      <c r="C916" s="18" t="s">
        <v>151</v>
      </c>
      <c r="D916" s="17" t="s">
        <v>151</v>
      </c>
      <c r="E916" s="17" t="s">
        <v>151</v>
      </c>
      <c r="F916" s="17" t="s">
        <v>18496</v>
      </c>
      <c r="G916" s="17" t="s">
        <v>151</v>
      </c>
      <c r="H916" s="17" t="s">
        <v>151</v>
      </c>
      <c r="I916" s="17" t="s">
        <v>151</v>
      </c>
      <c r="J916" s="17" t="s">
        <v>18494</v>
      </c>
      <c r="K916" s="17" t="s">
        <v>18497</v>
      </c>
      <c r="L916" s="17" t="s">
        <v>1792</v>
      </c>
      <c r="M916" s="17" t="s">
        <v>5329</v>
      </c>
      <c r="N916" s="17" t="s">
        <v>5330</v>
      </c>
      <c r="O916" s="17" t="s">
        <v>18498</v>
      </c>
      <c r="P916" s="17" t="s">
        <v>18499</v>
      </c>
      <c r="Q916" s="17" t="s">
        <v>18500</v>
      </c>
      <c r="R916" s="17" t="s">
        <v>151</v>
      </c>
      <c r="S916" s="17" t="s">
        <v>162</v>
      </c>
      <c r="T916" s="24">
        <v>3.3</v>
      </c>
      <c r="U916" s="17" t="s">
        <v>163</v>
      </c>
      <c r="V916" s="17" t="s">
        <v>164</v>
      </c>
      <c r="W916" s="17" t="s">
        <v>165</v>
      </c>
      <c r="X916" s="15" t="s">
        <v>18501</v>
      </c>
      <c r="Y916" s="15" t="s">
        <v>18502</v>
      </c>
      <c r="Z916" s="27">
        <v>250</v>
      </c>
      <c r="AA916" s="17" t="s">
        <v>18503</v>
      </c>
      <c r="AB916" s="17" t="s">
        <v>151</v>
      </c>
      <c r="AC916" s="17" t="s">
        <v>151</v>
      </c>
      <c r="AD916" s="26">
        <v>2021</v>
      </c>
      <c r="AE916" s="17" t="s">
        <v>151</v>
      </c>
      <c r="AF916" s="22">
        <v>45608</v>
      </c>
      <c r="AG916" s="17" t="s">
        <v>151</v>
      </c>
      <c r="AH916" s="17" t="s">
        <v>151</v>
      </c>
      <c r="AI916" s="25">
        <v>10</v>
      </c>
      <c r="AJ916" s="19">
        <v>233.33</v>
      </c>
      <c r="AK916" s="25" t="s">
        <v>151</v>
      </c>
      <c r="AL916" s="25" t="s">
        <v>151</v>
      </c>
      <c r="AM916" s="25" t="s">
        <v>151</v>
      </c>
      <c r="AN916" s="25" t="s">
        <v>151</v>
      </c>
      <c r="AO916" s="25" t="s">
        <v>151</v>
      </c>
      <c r="AP916" s="25" t="s">
        <v>151</v>
      </c>
      <c r="AQ916" s="25" t="s">
        <v>151</v>
      </c>
      <c r="AR916" s="16" t="s">
        <v>170</v>
      </c>
      <c r="AS916" s="17" t="s">
        <v>18504</v>
      </c>
      <c r="AT916" s="17" t="s">
        <v>18505</v>
      </c>
      <c r="AU916" s="18">
        <v>5</v>
      </c>
      <c r="AV916" s="17" t="s">
        <v>151</v>
      </c>
      <c r="AW916" s="17" t="s">
        <v>151</v>
      </c>
      <c r="AX916" s="17" t="s">
        <v>151</v>
      </c>
      <c r="AY916" s="17" t="s">
        <v>18506</v>
      </c>
      <c r="AZ916" s="17" t="s">
        <v>151</v>
      </c>
      <c r="BA916" s="17" t="s">
        <v>151</v>
      </c>
      <c r="BB916" s="17" t="s">
        <v>151</v>
      </c>
      <c r="BC916" s="17" t="s">
        <v>151</v>
      </c>
      <c r="BD916" s="17" t="s">
        <v>18507</v>
      </c>
      <c r="BE916" s="17" t="s">
        <v>18508</v>
      </c>
      <c r="BF916" s="17" t="s">
        <v>403</v>
      </c>
      <c r="BG916" s="17" t="s">
        <v>18509</v>
      </c>
      <c r="BH916" s="17" t="s">
        <v>18510</v>
      </c>
      <c r="BI916" s="17" t="s">
        <v>18511</v>
      </c>
      <c r="BJ916" s="17" t="s">
        <v>18512</v>
      </c>
      <c r="BK916" s="17" t="s">
        <v>1712</v>
      </c>
      <c r="BL916" s="17" t="s">
        <v>11299</v>
      </c>
      <c r="BM916" s="17" t="s">
        <v>823</v>
      </c>
      <c r="BN916" s="16" t="s">
        <v>18513</v>
      </c>
      <c r="BO916" s="17" t="s">
        <v>186</v>
      </c>
      <c r="BP916" s="16" t="s">
        <v>18514</v>
      </c>
      <c r="BQ916" s="16" t="s">
        <v>151</v>
      </c>
      <c r="BR916" s="17" t="s">
        <v>18515</v>
      </c>
      <c r="BS916" s="17" t="s">
        <v>187</v>
      </c>
      <c r="BT916" s="17" t="s">
        <v>188</v>
      </c>
      <c r="BU916" s="22">
        <v>45078</v>
      </c>
      <c r="BV916" s="24">
        <v>3.3</v>
      </c>
      <c r="BW916" s="17" t="s">
        <v>192</v>
      </c>
      <c r="BX916" s="24" t="s">
        <v>151</v>
      </c>
      <c r="BY916" s="17" t="s">
        <v>151</v>
      </c>
      <c r="BZ916" s="17" t="s">
        <v>293</v>
      </c>
      <c r="CA916" s="17" t="s">
        <v>293</v>
      </c>
      <c r="CB916" s="17" t="s">
        <v>151</v>
      </c>
      <c r="CC916" s="17" t="s">
        <v>165</v>
      </c>
      <c r="CD916" s="17" t="s">
        <v>18516</v>
      </c>
      <c r="CE916" s="17" t="s">
        <v>191</v>
      </c>
      <c r="CF916" s="22" t="s">
        <v>151</v>
      </c>
      <c r="CG916" s="24">
        <v>20</v>
      </c>
      <c r="CH916" s="17" t="s">
        <v>192</v>
      </c>
      <c r="CI916" s="24" t="s">
        <v>151</v>
      </c>
      <c r="CJ916" s="17" t="s">
        <v>151</v>
      </c>
      <c r="CK916" s="16" t="s">
        <v>151</v>
      </c>
      <c r="CL916" s="17" t="s">
        <v>231</v>
      </c>
      <c r="CM916" s="17" t="s">
        <v>232</v>
      </c>
      <c r="CN916" s="17" t="s">
        <v>151</v>
      </c>
      <c r="CO916" s="17" t="s">
        <v>165</v>
      </c>
      <c r="CP916" s="22" t="s">
        <v>151</v>
      </c>
      <c r="CQ916" s="24" t="s">
        <v>151</v>
      </c>
      <c r="CR916" s="17" t="s">
        <v>151</v>
      </c>
      <c r="CS916" s="17" t="s">
        <v>1125</v>
      </c>
      <c r="CT916" s="16" t="s">
        <v>151</v>
      </c>
      <c r="CU916" s="17" t="s">
        <v>151</v>
      </c>
      <c r="CV916" s="19" t="s">
        <v>151</v>
      </c>
      <c r="CW916" s="19" t="s">
        <v>151</v>
      </c>
      <c r="CX916" s="17" t="s">
        <v>151</v>
      </c>
      <c r="CY916" s="19" t="s">
        <v>151</v>
      </c>
      <c r="CZ916" s="19" t="s">
        <v>151</v>
      </c>
      <c r="DA916" s="24" t="s">
        <v>151</v>
      </c>
      <c r="DB916" s="22" t="s">
        <v>151</v>
      </c>
      <c r="DC916" s="17" t="s">
        <v>151</v>
      </c>
      <c r="DD916" s="16" t="s">
        <v>151</v>
      </c>
      <c r="DE916" s="19">
        <v>1.08</v>
      </c>
      <c r="DF916" s="21">
        <v>96</v>
      </c>
      <c r="DG916" s="19">
        <v>0</v>
      </c>
      <c r="DH916" s="19">
        <v>0</v>
      </c>
      <c r="DI916" s="19">
        <v>0</v>
      </c>
      <c r="DJ916" s="21">
        <v>10</v>
      </c>
      <c r="DK916" s="19" t="s">
        <v>151</v>
      </c>
      <c r="DL916" s="21" t="s">
        <v>151</v>
      </c>
      <c r="DM916" s="19">
        <v>0</v>
      </c>
      <c r="DN916" s="21">
        <v>10</v>
      </c>
      <c r="DO916" s="23">
        <v>10.9</v>
      </c>
      <c r="DP916" s="21">
        <v>91</v>
      </c>
      <c r="DQ916" s="23">
        <v>0</v>
      </c>
      <c r="DR916" s="19">
        <v>0</v>
      </c>
      <c r="DS916" s="23">
        <v>2.58</v>
      </c>
      <c r="DT916" s="21">
        <v>71</v>
      </c>
      <c r="DU916" s="23" t="s">
        <v>151</v>
      </c>
      <c r="DV916" s="21" t="s">
        <v>151</v>
      </c>
      <c r="DW916" s="23">
        <v>2.58</v>
      </c>
      <c r="DX916" s="21">
        <v>71</v>
      </c>
      <c r="DY916" s="18" t="s">
        <v>151</v>
      </c>
      <c r="DZ916" s="22" t="s">
        <v>151</v>
      </c>
      <c r="EA916" s="22" t="s">
        <v>151</v>
      </c>
      <c r="EB916" s="21">
        <v>1979</v>
      </c>
      <c r="EC916" s="20">
        <v>-101</v>
      </c>
      <c r="ED916" s="19">
        <v>-4.86</v>
      </c>
      <c r="EE916" s="21">
        <v>49</v>
      </c>
      <c r="EF916" s="20">
        <v>0</v>
      </c>
      <c r="EG916" s="19">
        <v>0</v>
      </c>
      <c r="EH916" s="16" t="s">
        <v>198</v>
      </c>
      <c r="EI916" s="17" t="s">
        <v>151</v>
      </c>
      <c r="EJ916" s="17" t="s">
        <v>151</v>
      </c>
      <c r="EK916" s="18" t="s">
        <v>151</v>
      </c>
      <c r="EL916" s="18" t="s">
        <v>151</v>
      </c>
      <c r="EM916" s="18" t="s">
        <v>151</v>
      </c>
      <c r="EN916" s="18" t="s">
        <v>151</v>
      </c>
      <c r="EO916" s="18" t="s">
        <v>151</v>
      </c>
      <c r="EP916" s="17" t="s">
        <v>151</v>
      </c>
      <c r="EQ916" s="16" t="s">
        <v>151</v>
      </c>
      <c r="ER916" s="16" t="s">
        <v>151</v>
      </c>
      <c r="ES916" s="3">
        <f>HYPERLINK("https://my.pitchbook.com?c=484809-13","View Company Online")</f>
      </c>
    </row>
    <row r="917">
      <c r="A917" s="30" t="s">
        <v>18517</v>
      </c>
      <c r="B917" s="30" t="s">
        <v>18518</v>
      </c>
      <c r="C917" s="31" t="s">
        <v>151</v>
      </c>
      <c r="D917" s="30" t="s">
        <v>151</v>
      </c>
      <c r="E917" s="30" t="s">
        <v>1647</v>
      </c>
      <c r="F917" s="30" t="s">
        <v>18519</v>
      </c>
      <c r="G917" s="30" t="s">
        <v>151</v>
      </c>
      <c r="H917" s="30" t="s">
        <v>151</v>
      </c>
      <c r="I917" s="30" t="s">
        <v>151</v>
      </c>
      <c r="J917" s="30" t="s">
        <v>18517</v>
      </c>
      <c r="K917" s="30" t="s">
        <v>18520</v>
      </c>
      <c r="L917" s="30" t="s">
        <v>205</v>
      </c>
      <c r="M917" s="30" t="s">
        <v>206</v>
      </c>
      <c r="N917" s="30" t="s">
        <v>1268</v>
      </c>
      <c r="O917" s="30" t="s">
        <v>2461</v>
      </c>
      <c r="P917" s="30" t="s">
        <v>1205</v>
      </c>
      <c r="Q917" s="30" t="s">
        <v>18521</v>
      </c>
      <c r="R917" s="30" t="s">
        <v>151</v>
      </c>
      <c r="S917" s="30" t="s">
        <v>162</v>
      </c>
      <c r="T917" s="37">
        <v>2.33</v>
      </c>
      <c r="U917" s="30" t="s">
        <v>163</v>
      </c>
      <c r="V917" s="30" t="s">
        <v>164</v>
      </c>
      <c r="W917" s="30" t="s">
        <v>165</v>
      </c>
      <c r="X917" s="28" t="s">
        <v>18522</v>
      </c>
      <c r="Y917" s="28" t="s">
        <v>18523</v>
      </c>
      <c r="Z917" s="40">
        <v>2</v>
      </c>
      <c r="AA917" s="30" t="s">
        <v>18524</v>
      </c>
      <c r="AB917" s="30" t="s">
        <v>151</v>
      </c>
      <c r="AC917" s="30" t="s">
        <v>151</v>
      </c>
      <c r="AD917" s="39">
        <v>2022</v>
      </c>
      <c r="AE917" s="30" t="s">
        <v>151</v>
      </c>
      <c r="AF917" s="35">
        <v>45593</v>
      </c>
      <c r="AG917" s="30" t="s">
        <v>151</v>
      </c>
      <c r="AH917" s="30" t="s">
        <v>151</v>
      </c>
      <c r="AI917" s="38" t="s">
        <v>151</v>
      </c>
      <c r="AJ917" s="32" t="s">
        <v>151</v>
      </c>
      <c r="AK917" s="38" t="s">
        <v>151</v>
      </c>
      <c r="AL917" s="38" t="s">
        <v>151</v>
      </c>
      <c r="AM917" s="38" t="s">
        <v>151</v>
      </c>
      <c r="AN917" s="38" t="s">
        <v>151</v>
      </c>
      <c r="AO917" s="38" t="s">
        <v>151</v>
      </c>
      <c r="AP917" s="38" t="s">
        <v>151</v>
      </c>
      <c r="AQ917" s="38" t="s">
        <v>151</v>
      </c>
      <c r="AR917" s="29" t="s">
        <v>151</v>
      </c>
      <c r="AS917" s="30" t="s">
        <v>18525</v>
      </c>
      <c r="AT917" s="30" t="s">
        <v>18526</v>
      </c>
      <c r="AU917" s="31">
        <v>7</v>
      </c>
      <c r="AV917" s="30" t="s">
        <v>151</v>
      </c>
      <c r="AW917" s="30" t="s">
        <v>151</v>
      </c>
      <c r="AX917" s="30" t="s">
        <v>151</v>
      </c>
      <c r="AY917" s="30" t="s">
        <v>18527</v>
      </c>
      <c r="AZ917" s="30" t="s">
        <v>151</v>
      </c>
      <c r="BA917" s="30" t="s">
        <v>151</v>
      </c>
      <c r="BB917" s="30" t="s">
        <v>151</v>
      </c>
      <c r="BC917" s="30" t="s">
        <v>10078</v>
      </c>
      <c r="BD917" s="30" t="s">
        <v>18528</v>
      </c>
      <c r="BE917" s="30" t="s">
        <v>18529</v>
      </c>
      <c r="BF917" s="30" t="s">
        <v>789</v>
      </c>
      <c r="BG917" s="30" t="s">
        <v>151</v>
      </c>
      <c r="BH917" s="30" t="s">
        <v>18530</v>
      </c>
      <c r="BI917" s="30" t="s">
        <v>4669</v>
      </c>
      <c r="BJ917" s="30" t="s">
        <v>18531</v>
      </c>
      <c r="BK917" s="30" t="s">
        <v>151</v>
      </c>
      <c r="BL917" s="30" t="s">
        <v>4671</v>
      </c>
      <c r="BM917" s="30" t="s">
        <v>4672</v>
      </c>
      <c r="BN917" s="29" t="s">
        <v>18532</v>
      </c>
      <c r="BO917" s="30" t="s">
        <v>186</v>
      </c>
      <c r="BP917" s="29" t="s">
        <v>18530</v>
      </c>
      <c r="BQ917" s="29" t="s">
        <v>151</v>
      </c>
      <c r="BR917" s="30" t="s">
        <v>18533</v>
      </c>
      <c r="BS917" s="30" t="s">
        <v>187</v>
      </c>
      <c r="BT917" s="30" t="s">
        <v>188</v>
      </c>
      <c r="BU917" s="35">
        <v>44831</v>
      </c>
      <c r="BV917" s="37">
        <v>0.13</v>
      </c>
      <c r="BW917" s="30" t="s">
        <v>192</v>
      </c>
      <c r="BX917" s="37" t="s">
        <v>151</v>
      </c>
      <c r="BY917" s="30" t="s">
        <v>151</v>
      </c>
      <c r="BZ917" s="30" t="s">
        <v>189</v>
      </c>
      <c r="CA917" s="30" t="s">
        <v>151</v>
      </c>
      <c r="CB917" s="30" t="s">
        <v>151</v>
      </c>
      <c r="CC917" s="30" t="s">
        <v>190</v>
      </c>
      <c r="CD917" s="30" t="s">
        <v>151</v>
      </c>
      <c r="CE917" s="30" t="s">
        <v>191</v>
      </c>
      <c r="CF917" s="35">
        <v>45352</v>
      </c>
      <c r="CG917" s="37" t="s">
        <v>151</v>
      </c>
      <c r="CH917" s="30" t="s">
        <v>151</v>
      </c>
      <c r="CI917" s="37" t="s">
        <v>151</v>
      </c>
      <c r="CJ917" s="30" t="s">
        <v>151</v>
      </c>
      <c r="CK917" s="29" t="s">
        <v>151</v>
      </c>
      <c r="CL917" s="30" t="s">
        <v>231</v>
      </c>
      <c r="CM917" s="30" t="s">
        <v>151</v>
      </c>
      <c r="CN917" s="30" t="s">
        <v>151</v>
      </c>
      <c r="CO917" s="30" t="s">
        <v>165</v>
      </c>
      <c r="CP917" s="35">
        <v>45352</v>
      </c>
      <c r="CQ917" s="37" t="s">
        <v>151</v>
      </c>
      <c r="CR917" s="30" t="s">
        <v>355</v>
      </c>
      <c r="CS917" s="30" t="s">
        <v>191</v>
      </c>
      <c r="CT917" s="29">
        <v>70</v>
      </c>
      <c r="CU917" s="30" t="s">
        <v>196</v>
      </c>
      <c r="CV917" s="32">
        <v>65</v>
      </c>
      <c r="CW917" s="32">
        <v>35</v>
      </c>
      <c r="CX917" s="30" t="s">
        <v>294</v>
      </c>
      <c r="CY917" s="32">
        <v>1</v>
      </c>
      <c r="CZ917" s="32">
        <v>64</v>
      </c>
      <c r="DA917" s="37" t="s">
        <v>151</v>
      </c>
      <c r="DB917" s="35" t="s">
        <v>151</v>
      </c>
      <c r="DC917" s="30" t="s">
        <v>151</v>
      </c>
      <c r="DD917" s="29" t="s">
        <v>151</v>
      </c>
      <c r="DE917" s="32">
        <v>-3.65</v>
      </c>
      <c r="DF917" s="34">
        <v>1</v>
      </c>
      <c r="DG917" s="32">
        <v>0</v>
      </c>
      <c r="DH917" s="32">
        <v>0</v>
      </c>
      <c r="DI917" s="32">
        <v>0</v>
      </c>
      <c r="DJ917" s="34">
        <v>10</v>
      </c>
      <c r="DK917" s="32">
        <v>0</v>
      </c>
      <c r="DL917" s="34">
        <v>11</v>
      </c>
      <c r="DM917" s="32" t="s">
        <v>151</v>
      </c>
      <c r="DN917" s="34" t="s">
        <v>151</v>
      </c>
      <c r="DO917" s="36">
        <v>0.1</v>
      </c>
      <c r="DP917" s="34">
        <v>5</v>
      </c>
      <c r="DQ917" s="36">
        <v>0</v>
      </c>
      <c r="DR917" s="32">
        <v>0</v>
      </c>
      <c r="DS917" s="36">
        <v>0.05</v>
      </c>
      <c r="DT917" s="34">
        <v>1</v>
      </c>
      <c r="DU917" s="36">
        <v>0.05</v>
      </c>
      <c r="DV917" s="34">
        <v>26</v>
      </c>
      <c r="DW917" s="36" t="s">
        <v>151</v>
      </c>
      <c r="DX917" s="34" t="s">
        <v>151</v>
      </c>
      <c r="DY917" s="31" t="s">
        <v>151</v>
      </c>
      <c r="DZ917" s="35" t="s">
        <v>151</v>
      </c>
      <c r="EA917" s="35" t="s">
        <v>151</v>
      </c>
      <c r="EB917" s="34">
        <v>0</v>
      </c>
      <c r="EC917" s="33">
        <v>0</v>
      </c>
      <c r="ED917" s="32">
        <v>0</v>
      </c>
      <c r="EE917" s="34" t="s">
        <v>151</v>
      </c>
      <c r="EF917" s="33" t="s">
        <v>151</v>
      </c>
      <c r="EG917" s="32" t="s">
        <v>151</v>
      </c>
      <c r="EH917" s="29" t="s">
        <v>198</v>
      </c>
      <c r="EI917" s="30" t="s">
        <v>151</v>
      </c>
      <c r="EJ917" s="30" t="s">
        <v>151</v>
      </c>
      <c r="EK917" s="31" t="s">
        <v>151</v>
      </c>
      <c r="EL917" s="31" t="s">
        <v>151</v>
      </c>
      <c r="EM917" s="31" t="s">
        <v>151</v>
      </c>
      <c r="EN917" s="31" t="s">
        <v>151</v>
      </c>
      <c r="EO917" s="31" t="s">
        <v>151</v>
      </c>
      <c r="EP917" s="30" t="s">
        <v>151</v>
      </c>
      <c r="EQ917" s="29" t="s">
        <v>151</v>
      </c>
      <c r="ER917" s="29" t="s">
        <v>151</v>
      </c>
      <c r="ES917" s="4">
        <f>HYPERLINK("https://my.pitchbook.com?c=501440-14","View Company Online")</f>
      </c>
    </row>
    <row r="918">
      <c r="A918" s="17" t="s">
        <v>18534</v>
      </c>
      <c r="B918" s="17" t="s">
        <v>18535</v>
      </c>
      <c r="C918" s="18" t="s">
        <v>151</v>
      </c>
      <c r="D918" s="17" t="s">
        <v>151</v>
      </c>
      <c r="E918" s="17" t="s">
        <v>151</v>
      </c>
      <c r="F918" s="17" t="s">
        <v>18536</v>
      </c>
      <c r="G918" s="17" t="s">
        <v>151</v>
      </c>
      <c r="H918" s="17" t="s">
        <v>151</v>
      </c>
      <c r="I918" s="17" t="s">
        <v>151</v>
      </c>
      <c r="J918" s="17" t="s">
        <v>18534</v>
      </c>
      <c r="K918" s="17" t="s">
        <v>18537</v>
      </c>
      <c r="L918" s="17" t="s">
        <v>205</v>
      </c>
      <c r="M918" s="17" t="s">
        <v>206</v>
      </c>
      <c r="N918" s="17" t="s">
        <v>269</v>
      </c>
      <c r="O918" s="17" t="s">
        <v>18538</v>
      </c>
      <c r="P918" s="17" t="s">
        <v>1421</v>
      </c>
      <c r="Q918" s="17" t="s">
        <v>18539</v>
      </c>
      <c r="R918" s="17" t="s">
        <v>151</v>
      </c>
      <c r="S918" s="17" t="s">
        <v>162</v>
      </c>
      <c r="T918" s="24">
        <v>1.99</v>
      </c>
      <c r="U918" s="17" t="s">
        <v>4045</v>
      </c>
      <c r="V918" s="17" t="s">
        <v>164</v>
      </c>
      <c r="W918" s="17" t="s">
        <v>165</v>
      </c>
      <c r="X918" s="15" t="s">
        <v>18540</v>
      </c>
      <c r="Y918" s="15" t="s">
        <v>18541</v>
      </c>
      <c r="Z918" s="27">
        <v>7</v>
      </c>
      <c r="AA918" s="17" t="s">
        <v>2374</v>
      </c>
      <c r="AB918" s="17" t="s">
        <v>151</v>
      </c>
      <c r="AC918" s="17" t="s">
        <v>151</v>
      </c>
      <c r="AD918" s="26">
        <v>2021</v>
      </c>
      <c r="AE918" s="17" t="s">
        <v>151</v>
      </c>
      <c r="AF918" s="22">
        <v>45600</v>
      </c>
      <c r="AG918" s="17" t="s">
        <v>151</v>
      </c>
      <c r="AH918" s="17" t="s">
        <v>151</v>
      </c>
      <c r="AI918" s="25" t="s">
        <v>151</v>
      </c>
      <c r="AJ918" s="19" t="s">
        <v>151</v>
      </c>
      <c r="AK918" s="25" t="s">
        <v>151</v>
      </c>
      <c r="AL918" s="25" t="s">
        <v>151</v>
      </c>
      <c r="AM918" s="25" t="s">
        <v>151</v>
      </c>
      <c r="AN918" s="25" t="s">
        <v>151</v>
      </c>
      <c r="AO918" s="25" t="s">
        <v>151</v>
      </c>
      <c r="AP918" s="25" t="s">
        <v>151</v>
      </c>
      <c r="AQ918" s="25" t="s">
        <v>151</v>
      </c>
      <c r="AR918" s="16" t="s">
        <v>151</v>
      </c>
      <c r="AS918" s="17" t="s">
        <v>18542</v>
      </c>
      <c r="AT918" s="17" t="s">
        <v>18543</v>
      </c>
      <c r="AU918" s="18">
        <v>9</v>
      </c>
      <c r="AV918" s="17" t="s">
        <v>151</v>
      </c>
      <c r="AW918" s="17" t="s">
        <v>151</v>
      </c>
      <c r="AX918" s="17" t="s">
        <v>151</v>
      </c>
      <c r="AY918" s="17" t="s">
        <v>18544</v>
      </c>
      <c r="AZ918" s="17" t="s">
        <v>151</v>
      </c>
      <c r="BA918" s="17" t="s">
        <v>151</v>
      </c>
      <c r="BB918" s="17" t="s">
        <v>151</v>
      </c>
      <c r="BC918" s="17" t="s">
        <v>151</v>
      </c>
      <c r="BD918" s="17" t="s">
        <v>18545</v>
      </c>
      <c r="BE918" s="17" t="s">
        <v>18546</v>
      </c>
      <c r="BF918" s="17" t="s">
        <v>221</v>
      </c>
      <c r="BG918" s="17" t="s">
        <v>18547</v>
      </c>
      <c r="BH918" s="17" t="s">
        <v>151</v>
      </c>
      <c r="BI918" s="17" t="s">
        <v>906</v>
      </c>
      <c r="BJ918" s="17" t="s">
        <v>18548</v>
      </c>
      <c r="BK918" s="17" t="s">
        <v>18549</v>
      </c>
      <c r="BL918" s="17" t="s">
        <v>259</v>
      </c>
      <c r="BM918" s="17" t="s">
        <v>259</v>
      </c>
      <c r="BN918" s="16" t="s">
        <v>1306</v>
      </c>
      <c r="BO918" s="17" t="s">
        <v>186</v>
      </c>
      <c r="BP918" s="16" t="s">
        <v>151</v>
      </c>
      <c r="BQ918" s="16" t="s">
        <v>151</v>
      </c>
      <c r="BR918" s="17" t="s">
        <v>18550</v>
      </c>
      <c r="BS918" s="17" t="s">
        <v>187</v>
      </c>
      <c r="BT918" s="17" t="s">
        <v>188</v>
      </c>
      <c r="BU918" s="22">
        <v>45078</v>
      </c>
      <c r="BV918" s="24">
        <v>0.13</v>
      </c>
      <c r="BW918" s="17" t="s">
        <v>192</v>
      </c>
      <c r="BX918" s="24" t="s">
        <v>151</v>
      </c>
      <c r="BY918" s="17" t="s">
        <v>151</v>
      </c>
      <c r="BZ918" s="17" t="s">
        <v>189</v>
      </c>
      <c r="CA918" s="17" t="s">
        <v>151</v>
      </c>
      <c r="CB918" s="17" t="s">
        <v>151</v>
      </c>
      <c r="CC918" s="17" t="s">
        <v>190</v>
      </c>
      <c r="CD918" s="17" t="s">
        <v>151</v>
      </c>
      <c r="CE918" s="17" t="s">
        <v>191</v>
      </c>
      <c r="CF918" s="22">
        <v>45199</v>
      </c>
      <c r="CG918" s="24">
        <v>1.87</v>
      </c>
      <c r="CH918" s="17" t="s">
        <v>192</v>
      </c>
      <c r="CI918" s="24" t="s">
        <v>151</v>
      </c>
      <c r="CJ918" s="17" t="s">
        <v>151</v>
      </c>
      <c r="CK918" s="16" t="s">
        <v>151</v>
      </c>
      <c r="CL918" s="17" t="s">
        <v>231</v>
      </c>
      <c r="CM918" s="17" t="s">
        <v>151</v>
      </c>
      <c r="CN918" s="17" t="s">
        <v>151</v>
      </c>
      <c r="CO918" s="17" t="s">
        <v>165</v>
      </c>
      <c r="CP918" s="22">
        <v>45199</v>
      </c>
      <c r="CQ918" s="24" t="s">
        <v>151</v>
      </c>
      <c r="CR918" s="17" t="s">
        <v>151</v>
      </c>
      <c r="CS918" s="17" t="s">
        <v>191</v>
      </c>
      <c r="CT918" s="16" t="s">
        <v>151</v>
      </c>
      <c r="CU918" s="17" t="s">
        <v>151</v>
      </c>
      <c r="CV918" s="19" t="s">
        <v>151</v>
      </c>
      <c r="CW918" s="19" t="s">
        <v>151</v>
      </c>
      <c r="CX918" s="17" t="s">
        <v>151</v>
      </c>
      <c r="CY918" s="19" t="s">
        <v>151</v>
      </c>
      <c r="CZ918" s="19" t="s">
        <v>151</v>
      </c>
      <c r="DA918" s="24" t="s">
        <v>151</v>
      </c>
      <c r="DB918" s="22" t="s">
        <v>151</v>
      </c>
      <c r="DC918" s="17" t="s">
        <v>151</v>
      </c>
      <c r="DD918" s="16" t="s">
        <v>151</v>
      </c>
      <c r="DE918" s="19">
        <v>1.04</v>
      </c>
      <c r="DF918" s="21">
        <v>96</v>
      </c>
      <c r="DG918" s="19">
        <v>0</v>
      </c>
      <c r="DH918" s="19">
        <v>0</v>
      </c>
      <c r="DI918" s="19">
        <v>0</v>
      </c>
      <c r="DJ918" s="21">
        <v>10</v>
      </c>
      <c r="DK918" s="19" t="s">
        <v>151</v>
      </c>
      <c r="DL918" s="21" t="s">
        <v>151</v>
      </c>
      <c r="DM918" s="19">
        <v>0</v>
      </c>
      <c r="DN918" s="21">
        <v>10</v>
      </c>
      <c r="DO918" s="23">
        <v>0.82</v>
      </c>
      <c r="DP918" s="21">
        <v>45</v>
      </c>
      <c r="DQ918" s="23">
        <v>0</v>
      </c>
      <c r="DR918" s="19">
        <v>0</v>
      </c>
      <c r="DS918" s="23">
        <v>1.11</v>
      </c>
      <c r="DT918" s="21">
        <v>52</v>
      </c>
      <c r="DU918" s="23" t="s">
        <v>151</v>
      </c>
      <c r="DV918" s="21" t="s">
        <v>151</v>
      </c>
      <c r="DW918" s="23">
        <v>1.11</v>
      </c>
      <c r="DX918" s="21">
        <v>52</v>
      </c>
      <c r="DY918" s="18" t="s">
        <v>151</v>
      </c>
      <c r="DZ918" s="22" t="s">
        <v>151</v>
      </c>
      <c r="EA918" s="22" t="s">
        <v>151</v>
      </c>
      <c r="EB918" s="21">
        <v>817</v>
      </c>
      <c r="EC918" s="20">
        <v>65</v>
      </c>
      <c r="ED918" s="19">
        <v>8.64</v>
      </c>
      <c r="EE918" s="21">
        <v>21</v>
      </c>
      <c r="EF918" s="20">
        <v>0</v>
      </c>
      <c r="EG918" s="19">
        <v>0</v>
      </c>
      <c r="EH918" s="16" t="s">
        <v>198</v>
      </c>
      <c r="EI918" s="17" t="s">
        <v>151</v>
      </c>
      <c r="EJ918" s="17" t="s">
        <v>151</v>
      </c>
      <c r="EK918" s="18" t="s">
        <v>151</v>
      </c>
      <c r="EL918" s="18" t="s">
        <v>151</v>
      </c>
      <c r="EM918" s="18" t="s">
        <v>151</v>
      </c>
      <c r="EN918" s="18" t="s">
        <v>151</v>
      </c>
      <c r="EO918" s="18" t="s">
        <v>151</v>
      </c>
      <c r="EP918" s="17" t="s">
        <v>151</v>
      </c>
      <c r="EQ918" s="16" t="s">
        <v>151</v>
      </c>
      <c r="ER918" s="16" t="s">
        <v>151</v>
      </c>
      <c r="ES918" s="3">
        <f>HYPERLINK("https://my.pitchbook.com?c=534513-43","View Company Online")</f>
      </c>
    </row>
    <row r="919">
      <c r="A919" s="30" t="s">
        <v>18551</v>
      </c>
      <c r="B919" s="30" t="s">
        <v>18552</v>
      </c>
      <c r="C919" s="31" t="s">
        <v>151</v>
      </c>
      <c r="D919" s="30" t="s">
        <v>151</v>
      </c>
      <c r="E919" s="30" t="s">
        <v>18553</v>
      </c>
      <c r="F919" s="30" t="s">
        <v>18554</v>
      </c>
      <c r="G919" s="30" t="s">
        <v>151</v>
      </c>
      <c r="H919" s="30" t="s">
        <v>151</v>
      </c>
      <c r="I919" s="30" t="s">
        <v>151</v>
      </c>
      <c r="J919" s="30" t="s">
        <v>18551</v>
      </c>
      <c r="K919" s="30" t="s">
        <v>18555</v>
      </c>
      <c r="L919" s="30" t="s">
        <v>205</v>
      </c>
      <c r="M919" s="30" t="s">
        <v>206</v>
      </c>
      <c r="N919" s="30" t="s">
        <v>1940</v>
      </c>
      <c r="O919" s="30" t="s">
        <v>5396</v>
      </c>
      <c r="P919" s="30" t="s">
        <v>151</v>
      </c>
      <c r="Q919" s="30" t="s">
        <v>18556</v>
      </c>
      <c r="R919" s="30" t="s">
        <v>151</v>
      </c>
      <c r="S919" s="30" t="s">
        <v>162</v>
      </c>
      <c r="T919" s="37">
        <v>1.4</v>
      </c>
      <c r="U919" s="30" t="s">
        <v>163</v>
      </c>
      <c r="V919" s="30" t="s">
        <v>164</v>
      </c>
      <c r="W919" s="30" t="s">
        <v>165</v>
      </c>
      <c r="X919" s="28" t="s">
        <v>18557</v>
      </c>
      <c r="Y919" s="28" t="s">
        <v>18558</v>
      </c>
      <c r="Z919" s="40">
        <v>15</v>
      </c>
      <c r="AA919" s="30" t="s">
        <v>18559</v>
      </c>
      <c r="AB919" s="30" t="s">
        <v>151</v>
      </c>
      <c r="AC919" s="30" t="s">
        <v>151</v>
      </c>
      <c r="AD919" s="39">
        <v>2020</v>
      </c>
      <c r="AE919" s="30" t="s">
        <v>151</v>
      </c>
      <c r="AF919" s="35">
        <v>45504</v>
      </c>
      <c r="AG919" s="30" t="s">
        <v>151</v>
      </c>
      <c r="AH919" s="30" t="s">
        <v>151</v>
      </c>
      <c r="AI919" s="38" t="s">
        <v>151</v>
      </c>
      <c r="AJ919" s="32" t="s">
        <v>151</v>
      </c>
      <c r="AK919" s="38" t="s">
        <v>151</v>
      </c>
      <c r="AL919" s="38" t="s">
        <v>151</v>
      </c>
      <c r="AM919" s="38" t="s">
        <v>151</v>
      </c>
      <c r="AN919" s="38" t="s">
        <v>151</v>
      </c>
      <c r="AO919" s="38" t="s">
        <v>151</v>
      </c>
      <c r="AP919" s="38" t="s">
        <v>151</v>
      </c>
      <c r="AQ919" s="38" t="s">
        <v>151</v>
      </c>
      <c r="AR919" s="29" t="s">
        <v>151</v>
      </c>
      <c r="AS919" s="30" t="s">
        <v>18560</v>
      </c>
      <c r="AT919" s="30" t="s">
        <v>18561</v>
      </c>
      <c r="AU919" s="31">
        <v>3</v>
      </c>
      <c r="AV919" s="30" t="s">
        <v>151</v>
      </c>
      <c r="AW919" s="30" t="s">
        <v>18562</v>
      </c>
      <c r="AX919" s="30" t="s">
        <v>151</v>
      </c>
      <c r="AY919" s="30" t="s">
        <v>18563</v>
      </c>
      <c r="AZ919" s="30" t="s">
        <v>18564</v>
      </c>
      <c r="BA919" s="30" t="s">
        <v>151</v>
      </c>
      <c r="BB919" s="30" t="s">
        <v>151</v>
      </c>
      <c r="BC919" s="30" t="s">
        <v>151</v>
      </c>
      <c r="BD919" s="30" t="s">
        <v>18565</v>
      </c>
      <c r="BE919" s="30" t="s">
        <v>18566</v>
      </c>
      <c r="BF919" s="30" t="s">
        <v>3087</v>
      </c>
      <c r="BG919" s="30" t="s">
        <v>151</v>
      </c>
      <c r="BH919" s="30" t="s">
        <v>18567</v>
      </c>
      <c r="BI919" s="30" t="s">
        <v>1040</v>
      </c>
      <c r="BJ919" s="30" t="s">
        <v>18568</v>
      </c>
      <c r="BK919" s="30" t="s">
        <v>18569</v>
      </c>
      <c r="BL919" s="30" t="s">
        <v>1042</v>
      </c>
      <c r="BM919" s="30" t="s">
        <v>1043</v>
      </c>
      <c r="BN919" s="29" t="s">
        <v>18570</v>
      </c>
      <c r="BO919" s="30" t="s">
        <v>186</v>
      </c>
      <c r="BP919" s="29" t="s">
        <v>18567</v>
      </c>
      <c r="BQ919" s="29" t="s">
        <v>151</v>
      </c>
      <c r="BR919" s="30" t="s">
        <v>18571</v>
      </c>
      <c r="BS919" s="30" t="s">
        <v>187</v>
      </c>
      <c r="BT919" s="30" t="s">
        <v>188</v>
      </c>
      <c r="BU919" s="35">
        <v>44386</v>
      </c>
      <c r="BV919" s="37">
        <v>1.4</v>
      </c>
      <c r="BW919" s="30" t="s">
        <v>193</v>
      </c>
      <c r="BX919" s="37">
        <v>4.4</v>
      </c>
      <c r="BY919" s="30" t="s">
        <v>192</v>
      </c>
      <c r="BZ919" s="30" t="s">
        <v>293</v>
      </c>
      <c r="CA919" s="30" t="s">
        <v>293</v>
      </c>
      <c r="CB919" s="30" t="s">
        <v>151</v>
      </c>
      <c r="CC919" s="30" t="s">
        <v>165</v>
      </c>
      <c r="CD919" s="30" t="s">
        <v>151</v>
      </c>
      <c r="CE919" s="30" t="s">
        <v>191</v>
      </c>
      <c r="CF919" s="35" t="s">
        <v>151</v>
      </c>
      <c r="CG919" s="37" t="s">
        <v>151</v>
      </c>
      <c r="CH919" s="30" t="s">
        <v>151</v>
      </c>
      <c r="CI919" s="37" t="s">
        <v>151</v>
      </c>
      <c r="CJ919" s="30" t="s">
        <v>151</v>
      </c>
      <c r="CK919" s="29" t="s">
        <v>151</v>
      </c>
      <c r="CL919" s="30" t="s">
        <v>911</v>
      </c>
      <c r="CM919" s="30" t="s">
        <v>151</v>
      </c>
      <c r="CN919" s="30" t="s">
        <v>151</v>
      </c>
      <c r="CO919" s="30" t="s">
        <v>165</v>
      </c>
      <c r="CP919" s="35" t="s">
        <v>151</v>
      </c>
      <c r="CQ919" s="37" t="s">
        <v>151</v>
      </c>
      <c r="CR919" s="30" t="s">
        <v>151</v>
      </c>
      <c r="CS919" s="30" t="s">
        <v>191</v>
      </c>
      <c r="CT919" s="29" t="s">
        <v>151</v>
      </c>
      <c r="CU919" s="30" t="s">
        <v>151</v>
      </c>
      <c r="CV919" s="32" t="s">
        <v>151</v>
      </c>
      <c r="CW919" s="32" t="s">
        <v>151</v>
      </c>
      <c r="CX919" s="30" t="s">
        <v>151</v>
      </c>
      <c r="CY919" s="32" t="s">
        <v>151</v>
      </c>
      <c r="CZ919" s="32" t="s">
        <v>151</v>
      </c>
      <c r="DA919" s="37">
        <v>4.4</v>
      </c>
      <c r="DB919" s="35">
        <v>44386</v>
      </c>
      <c r="DC919" s="30" t="s">
        <v>293</v>
      </c>
      <c r="DD919" s="29" t="s">
        <v>151</v>
      </c>
      <c r="DE919" s="32">
        <v>0</v>
      </c>
      <c r="DF919" s="34">
        <v>11</v>
      </c>
      <c r="DG919" s="32">
        <v>0</v>
      </c>
      <c r="DH919" s="32">
        <v>0</v>
      </c>
      <c r="DI919" s="32">
        <v>0</v>
      </c>
      <c r="DJ919" s="34">
        <v>10</v>
      </c>
      <c r="DK919" s="32" t="s">
        <v>151</v>
      </c>
      <c r="DL919" s="34" t="s">
        <v>151</v>
      </c>
      <c r="DM919" s="32">
        <v>0</v>
      </c>
      <c r="DN919" s="34">
        <v>10</v>
      </c>
      <c r="DO919" s="36">
        <v>1.76</v>
      </c>
      <c r="DP919" s="34">
        <v>63</v>
      </c>
      <c r="DQ919" s="36">
        <v>0</v>
      </c>
      <c r="DR919" s="32">
        <v>0</v>
      </c>
      <c r="DS919" s="36">
        <v>2.37</v>
      </c>
      <c r="DT919" s="34">
        <v>70</v>
      </c>
      <c r="DU919" s="36" t="s">
        <v>151</v>
      </c>
      <c r="DV919" s="34" t="s">
        <v>151</v>
      </c>
      <c r="DW919" s="36">
        <v>2.37</v>
      </c>
      <c r="DX919" s="34">
        <v>69</v>
      </c>
      <c r="DY919" s="31" t="s">
        <v>151</v>
      </c>
      <c r="DZ919" s="35" t="s">
        <v>151</v>
      </c>
      <c r="EA919" s="35" t="s">
        <v>151</v>
      </c>
      <c r="EB919" s="34">
        <v>509</v>
      </c>
      <c r="EC919" s="33">
        <v>88</v>
      </c>
      <c r="ED919" s="32">
        <v>20.9</v>
      </c>
      <c r="EE919" s="34">
        <v>45</v>
      </c>
      <c r="EF919" s="33">
        <v>0</v>
      </c>
      <c r="EG919" s="32">
        <v>0</v>
      </c>
      <c r="EH919" s="29" t="s">
        <v>198</v>
      </c>
      <c r="EI919" s="30" t="s">
        <v>151</v>
      </c>
      <c r="EJ919" s="30" t="s">
        <v>151</v>
      </c>
      <c r="EK919" s="31" t="s">
        <v>151</v>
      </c>
      <c r="EL919" s="31" t="s">
        <v>151</v>
      </c>
      <c r="EM919" s="31" t="s">
        <v>151</v>
      </c>
      <c r="EN919" s="31" t="s">
        <v>151</v>
      </c>
      <c r="EO919" s="31" t="s">
        <v>151</v>
      </c>
      <c r="EP919" s="30" t="s">
        <v>151</v>
      </c>
      <c r="EQ919" s="29" t="s">
        <v>151</v>
      </c>
      <c r="ER919" s="29" t="s">
        <v>151</v>
      </c>
      <c r="ES919" s="4">
        <f>HYPERLINK("https://my.pitchbook.com?c=471041-92","View Company Online")</f>
      </c>
    </row>
    <row r="920">
      <c r="A920" s="17" t="s">
        <v>18572</v>
      </c>
      <c r="B920" s="17" t="s">
        <v>18573</v>
      </c>
      <c r="C920" s="18" t="s">
        <v>151</v>
      </c>
      <c r="D920" s="17" t="s">
        <v>151</v>
      </c>
      <c r="E920" s="17" t="s">
        <v>18553</v>
      </c>
      <c r="F920" s="17" t="s">
        <v>18574</v>
      </c>
      <c r="G920" s="17" t="s">
        <v>151</v>
      </c>
      <c r="H920" s="17" t="s">
        <v>151</v>
      </c>
      <c r="I920" s="17" t="s">
        <v>18575</v>
      </c>
      <c r="J920" s="17" t="s">
        <v>18572</v>
      </c>
      <c r="K920" s="17" t="s">
        <v>18576</v>
      </c>
      <c r="L920" s="17" t="s">
        <v>616</v>
      </c>
      <c r="M920" s="17" t="s">
        <v>834</v>
      </c>
      <c r="N920" s="17" t="s">
        <v>3076</v>
      </c>
      <c r="O920" s="17" t="s">
        <v>10611</v>
      </c>
      <c r="P920" s="17" t="s">
        <v>18577</v>
      </c>
      <c r="Q920" s="17" t="s">
        <v>18578</v>
      </c>
      <c r="R920" s="17" t="s">
        <v>151</v>
      </c>
      <c r="S920" s="17" t="s">
        <v>162</v>
      </c>
      <c r="T920" s="24">
        <v>3.25</v>
      </c>
      <c r="U920" s="17" t="s">
        <v>163</v>
      </c>
      <c r="V920" s="17" t="s">
        <v>164</v>
      </c>
      <c r="W920" s="17" t="s">
        <v>165</v>
      </c>
      <c r="X920" s="15" t="s">
        <v>18579</v>
      </c>
      <c r="Y920" s="15" t="s">
        <v>18580</v>
      </c>
      <c r="Z920" s="27">
        <v>73</v>
      </c>
      <c r="AA920" s="17" t="s">
        <v>18581</v>
      </c>
      <c r="AB920" s="17" t="s">
        <v>151</v>
      </c>
      <c r="AC920" s="17" t="s">
        <v>151</v>
      </c>
      <c r="AD920" s="26">
        <v>2018</v>
      </c>
      <c r="AE920" s="17" t="s">
        <v>151</v>
      </c>
      <c r="AF920" s="22">
        <v>45569</v>
      </c>
      <c r="AG920" s="17" t="s">
        <v>151</v>
      </c>
      <c r="AH920" s="17" t="s">
        <v>151</v>
      </c>
      <c r="AI920" s="25" t="s">
        <v>151</v>
      </c>
      <c r="AJ920" s="19" t="s">
        <v>151</v>
      </c>
      <c r="AK920" s="25" t="s">
        <v>151</v>
      </c>
      <c r="AL920" s="25" t="s">
        <v>151</v>
      </c>
      <c r="AM920" s="25" t="s">
        <v>151</v>
      </c>
      <c r="AN920" s="25" t="s">
        <v>151</v>
      </c>
      <c r="AO920" s="25" t="s">
        <v>151</v>
      </c>
      <c r="AP920" s="25" t="s">
        <v>151</v>
      </c>
      <c r="AQ920" s="25" t="s">
        <v>151</v>
      </c>
      <c r="AR920" s="16" t="s">
        <v>151</v>
      </c>
      <c r="AS920" s="17" t="s">
        <v>18582</v>
      </c>
      <c r="AT920" s="17" t="s">
        <v>18583</v>
      </c>
      <c r="AU920" s="18">
        <v>1</v>
      </c>
      <c r="AV920" s="17" t="s">
        <v>151</v>
      </c>
      <c r="AW920" s="17" t="s">
        <v>151</v>
      </c>
      <c r="AX920" s="17" t="s">
        <v>151</v>
      </c>
      <c r="AY920" s="17" t="s">
        <v>151</v>
      </c>
      <c r="AZ920" s="17" t="s">
        <v>151</v>
      </c>
      <c r="BA920" s="17" t="s">
        <v>151</v>
      </c>
      <c r="BB920" s="17" t="s">
        <v>151</v>
      </c>
      <c r="BC920" s="17" t="s">
        <v>151</v>
      </c>
      <c r="BD920" s="17" t="s">
        <v>18584</v>
      </c>
      <c r="BE920" s="17" t="s">
        <v>18585</v>
      </c>
      <c r="BF920" s="17" t="s">
        <v>3087</v>
      </c>
      <c r="BG920" s="17" t="s">
        <v>18586</v>
      </c>
      <c r="BH920" s="17" t="s">
        <v>151</v>
      </c>
      <c r="BI920" s="17" t="s">
        <v>18587</v>
      </c>
      <c r="BJ920" s="17" t="s">
        <v>18588</v>
      </c>
      <c r="BK920" s="17" t="s">
        <v>18589</v>
      </c>
      <c r="BL920" s="17" t="s">
        <v>18590</v>
      </c>
      <c r="BM920" s="17" t="s">
        <v>353</v>
      </c>
      <c r="BN920" s="16" t="s">
        <v>18591</v>
      </c>
      <c r="BO920" s="17" t="s">
        <v>186</v>
      </c>
      <c r="BP920" s="16" t="s">
        <v>151</v>
      </c>
      <c r="BQ920" s="16" t="s">
        <v>151</v>
      </c>
      <c r="BR920" s="17" t="s">
        <v>18592</v>
      </c>
      <c r="BS920" s="17" t="s">
        <v>187</v>
      </c>
      <c r="BT920" s="17" t="s">
        <v>188</v>
      </c>
      <c r="BU920" s="22">
        <v>45490</v>
      </c>
      <c r="BV920" s="24">
        <v>3.25</v>
      </c>
      <c r="BW920" s="17" t="s">
        <v>192</v>
      </c>
      <c r="BX920" s="24" t="s">
        <v>151</v>
      </c>
      <c r="BY920" s="17" t="s">
        <v>151</v>
      </c>
      <c r="BZ920" s="17" t="s">
        <v>293</v>
      </c>
      <c r="CA920" s="17" t="s">
        <v>293</v>
      </c>
      <c r="CB920" s="17" t="s">
        <v>151</v>
      </c>
      <c r="CC920" s="17" t="s">
        <v>165</v>
      </c>
      <c r="CD920" s="17" t="s">
        <v>151</v>
      </c>
      <c r="CE920" s="17" t="s">
        <v>191</v>
      </c>
      <c r="CF920" s="22">
        <v>45490</v>
      </c>
      <c r="CG920" s="24">
        <v>3.25</v>
      </c>
      <c r="CH920" s="17" t="s">
        <v>192</v>
      </c>
      <c r="CI920" s="24" t="s">
        <v>151</v>
      </c>
      <c r="CJ920" s="17" t="s">
        <v>151</v>
      </c>
      <c r="CK920" s="16" t="s">
        <v>151</v>
      </c>
      <c r="CL920" s="17" t="s">
        <v>293</v>
      </c>
      <c r="CM920" s="17" t="s">
        <v>293</v>
      </c>
      <c r="CN920" s="17" t="s">
        <v>151</v>
      </c>
      <c r="CO920" s="17" t="s">
        <v>165</v>
      </c>
      <c r="CP920" s="22">
        <v>45490</v>
      </c>
      <c r="CQ920" s="24" t="s">
        <v>151</v>
      </c>
      <c r="CR920" s="17" t="s">
        <v>151</v>
      </c>
      <c r="CS920" s="17" t="s">
        <v>191</v>
      </c>
      <c r="CT920" s="16" t="s">
        <v>151</v>
      </c>
      <c r="CU920" s="17" t="s">
        <v>151</v>
      </c>
      <c r="CV920" s="19" t="s">
        <v>151</v>
      </c>
      <c r="CW920" s="19" t="s">
        <v>151</v>
      </c>
      <c r="CX920" s="17" t="s">
        <v>151</v>
      </c>
      <c r="CY920" s="19" t="s">
        <v>151</v>
      </c>
      <c r="CZ920" s="19" t="s">
        <v>151</v>
      </c>
      <c r="DA920" s="24" t="s">
        <v>151</v>
      </c>
      <c r="DB920" s="22" t="s">
        <v>151</v>
      </c>
      <c r="DC920" s="17" t="s">
        <v>151</v>
      </c>
      <c r="DD920" s="16" t="s">
        <v>151</v>
      </c>
      <c r="DE920" s="19">
        <v>0.03</v>
      </c>
      <c r="DF920" s="21">
        <v>90</v>
      </c>
      <c r="DG920" s="19">
        <v>0</v>
      </c>
      <c r="DH920" s="19">
        <v>0</v>
      </c>
      <c r="DI920" s="19">
        <v>-1.8</v>
      </c>
      <c r="DJ920" s="21">
        <v>2</v>
      </c>
      <c r="DK920" s="19" t="s">
        <v>151</v>
      </c>
      <c r="DL920" s="21" t="s">
        <v>151</v>
      </c>
      <c r="DM920" s="19">
        <v>-1.8</v>
      </c>
      <c r="DN920" s="21">
        <v>2</v>
      </c>
      <c r="DO920" s="23">
        <v>5.49</v>
      </c>
      <c r="DP920" s="21">
        <v>84</v>
      </c>
      <c r="DQ920" s="23">
        <v>0</v>
      </c>
      <c r="DR920" s="19">
        <v>0</v>
      </c>
      <c r="DS920" s="23">
        <v>5.37</v>
      </c>
      <c r="DT920" s="21">
        <v>83</v>
      </c>
      <c r="DU920" s="23" t="s">
        <v>151</v>
      </c>
      <c r="DV920" s="21" t="s">
        <v>151</v>
      </c>
      <c r="DW920" s="23">
        <v>5.37</v>
      </c>
      <c r="DX920" s="21">
        <v>83</v>
      </c>
      <c r="DY920" s="18" t="s">
        <v>151</v>
      </c>
      <c r="DZ920" s="22" t="s">
        <v>151</v>
      </c>
      <c r="EA920" s="22" t="s">
        <v>151</v>
      </c>
      <c r="EB920" s="21">
        <v>3677</v>
      </c>
      <c r="EC920" s="20">
        <v>-268</v>
      </c>
      <c r="ED920" s="19">
        <v>-6.79</v>
      </c>
      <c r="EE920" s="21">
        <v>102</v>
      </c>
      <c r="EF920" s="20">
        <v>0</v>
      </c>
      <c r="EG920" s="19">
        <v>0</v>
      </c>
      <c r="EH920" s="16" t="s">
        <v>198</v>
      </c>
      <c r="EI920" s="17" t="s">
        <v>151</v>
      </c>
      <c r="EJ920" s="17" t="s">
        <v>151</v>
      </c>
      <c r="EK920" s="18" t="s">
        <v>151</v>
      </c>
      <c r="EL920" s="18" t="s">
        <v>151</v>
      </c>
      <c r="EM920" s="18" t="s">
        <v>151</v>
      </c>
      <c r="EN920" s="18" t="s">
        <v>151</v>
      </c>
      <c r="EO920" s="18" t="s">
        <v>151</v>
      </c>
      <c r="EP920" s="17" t="s">
        <v>151</v>
      </c>
      <c r="EQ920" s="16" t="s">
        <v>151</v>
      </c>
      <c r="ER920" s="16" t="s">
        <v>151</v>
      </c>
      <c r="ES920" s="3">
        <f>HYPERLINK("https://my.pitchbook.com?c=398871-10","View Company Online")</f>
      </c>
    </row>
    <row r="921">
      <c r="A921" s="30" t="s">
        <v>18593</v>
      </c>
      <c r="B921" s="30" t="s">
        <v>18594</v>
      </c>
      <c r="C921" s="31" t="s">
        <v>151</v>
      </c>
      <c r="D921" s="30" t="s">
        <v>151</v>
      </c>
      <c r="E921" s="30" t="s">
        <v>151</v>
      </c>
      <c r="F921" s="30" t="s">
        <v>18595</v>
      </c>
      <c r="G921" s="30" t="s">
        <v>151</v>
      </c>
      <c r="H921" s="30" t="s">
        <v>151</v>
      </c>
      <c r="I921" s="30" t="s">
        <v>18596</v>
      </c>
      <c r="J921" s="30" t="s">
        <v>18593</v>
      </c>
      <c r="K921" s="30" t="s">
        <v>18597</v>
      </c>
      <c r="L921" s="30" t="s">
        <v>205</v>
      </c>
      <c r="M921" s="30" t="s">
        <v>206</v>
      </c>
      <c r="N921" s="30" t="s">
        <v>269</v>
      </c>
      <c r="O921" s="30" t="s">
        <v>3516</v>
      </c>
      <c r="P921" s="30" t="s">
        <v>6054</v>
      </c>
      <c r="Q921" s="30" t="s">
        <v>18598</v>
      </c>
      <c r="R921" s="30" t="s">
        <v>151</v>
      </c>
      <c r="S921" s="30" t="s">
        <v>162</v>
      </c>
      <c r="T921" s="37">
        <v>0.28</v>
      </c>
      <c r="U921" s="30" t="s">
        <v>163</v>
      </c>
      <c r="V921" s="30" t="s">
        <v>164</v>
      </c>
      <c r="W921" s="30" t="s">
        <v>165</v>
      </c>
      <c r="X921" s="28" t="s">
        <v>18599</v>
      </c>
      <c r="Y921" s="28" t="s">
        <v>18600</v>
      </c>
      <c r="Z921" s="40">
        <v>16</v>
      </c>
      <c r="AA921" s="30" t="s">
        <v>18601</v>
      </c>
      <c r="AB921" s="30" t="s">
        <v>151</v>
      </c>
      <c r="AC921" s="30" t="s">
        <v>151</v>
      </c>
      <c r="AD921" s="39">
        <v>2018</v>
      </c>
      <c r="AE921" s="30" t="s">
        <v>151</v>
      </c>
      <c r="AF921" s="35">
        <v>45558</v>
      </c>
      <c r="AG921" s="30" t="s">
        <v>151</v>
      </c>
      <c r="AH921" s="30" t="s">
        <v>151</v>
      </c>
      <c r="AI921" s="38" t="s">
        <v>151</v>
      </c>
      <c r="AJ921" s="32" t="s">
        <v>151</v>
      </c>
      <c r="AK921" s="38" t="s">
        <v>151</v>
      </c>
      <c r="AL921" s="38" t="s">
        <v>151</v>
      </c>
      <c r="AM921" s="38" t="s">
        <v>151</v>
      </c>
      <c r="AN921" s="38" t="s">
        <v>151</v>
      </c>
      <c r="AO921" s="38" t="s">
        <v>151</v>
      </c>
      <c r="AP921" s="38" t="s">
        <v>151</v>
      </c>
      <c r="AQ921" s="38" t="s">
        <v>151</v>
      </c>
      <c r="AR921" s="29" t="s">
        <v>151</v>
      </c>
      <c r="AS921" s="30" t="s">
        <v>18602</v>
      </c>
      <c r="AT921" s="30" t="s">
        <v>18603</v>
      </c>
      <c r="AU921" s="31">
        <v>13</v>
      </c>
      <c r="AV921" s="30" t="s">
        <v>151</v>
      </c>
      <c r="AW921" s="30" t="s">
        <v>151</v>
      </c>
      <c r="AX921" s="30" t="s">
        <v>151</v>
      </c>
      <c r="AY921" s="30" t="s">
        <v>18604</v>
      </c>
      <c r="AZ921" s="30" t="s">
        <v>151</v>
      </c>
      <c r="BA921" s="30" t="s">
        <v>151</v>
      </c>
      <c r="BB921" s="30" t="s">
        <v>151</v>
      </c>
      <c r="BC921" s="30" t="s">
        <v>151</v>
      </c>
      <c r="BD921" s="30" t="s">
        <v>18605</v>
      </c>
      <c r="BE921" s="30" t="s">
        <v>18606</v>
      </c>
      <c r="BF921" s="30" t="s">
        <v>546</v>
      </c>
      <c r="BG921" s="30" t="s">
        <v>18607</v>
      </c>
      <c r="BH921" s="30" t="s">
        <v>18608</v>
      </c>
      <c r="BI921" s="30" t="s">
        <v>285</v>
      </c>
      <c r="BJ921" s="30" t="s">
        <v>18609</v>
      </c>
      <c r="BK921" s="30" t="s">
        <v>151</v>
      </c>
      <c r="BL921" s="30" t="s">
        <v>288</v>
      </c>
      <c r="BM921" s="30" t="s">
        <v>289</v>
      </c>
      <c r="BN921" s="29" t="s">
        <v>18610</v>
      </c>
      <c r="BO921" s="30" t="s">
        <v>186</v>
      </c>
      <c r="BP921" s="29" t="s">
        <v>18608</v>
      </c>
      <c r="BQ921" s="29" t="s">
        <v>151</v>
      </c>
      <c r="BR921" s="30" t="s">
        <v>18611</v>
      </c>
      <c r="BS921" s="30" t="s">
        <v>187</v>
      </c>
      <c r="BT921" s="30" t="s">
        <v>188</v>
      </c>
      <c r="BU921" s="35">
        <v>43965</v>
      </c>
      <c r="BV921" s="37">
        <v>0.13</v>
      </c>
      <c r="BW921" s="30" t="s">
        <v>192</v>
      </c>
      <c r="BX921" s="37" t="s">
        <v>151</v>
      </c>
      <c r="BY921" s="30" t="s">
        <v>151</v>
      </c>
      <c r="BZ921" s="30" t="s">
        <v>501</v>
      </c>
      <c r="CA921" s="30" t="s">
        <v>151</v>
      </c>
      <c r="CB921" s="30" t="s">
        <v>151</v>
      </c>
      <c r="CC921" s="30" t="s">
        <v>190</v>
      </c>
      <c r="CD921" s="30" t="s">
        <v>151</v>
      </c>
      <c r="CE921" s="30" t="s">
        <v>191</v>
      </c>
      <c r="CF921" s="35">
        <v>44954</v>
      </c>
      <c r="CG921" s="37" t="s">
        <v>151</v>
      </c>
      <c r="CH921" s="30" t="s">
        <v>151</v>
      </c>
      <c r="CI921" s="37" t="s">
        <v>151</v>
      </c>
      <c r="CJ921" s="30" t="s">
        <v>151</v>
      </c>
      <c r="CK921" s="29" t="s">
        <v>151</v>
      </c>
      <c r="CL921" s="30" t="s">
        <v>194</v>
      </c>
      <c r="CM921" s="30" t="s">
        <v>151</v>
      </c>
      <c r="CN921" s="30" t="s">
        <v>151</v>
      </c>
      <c r="CO921" s="30" t="s">
        <v>165</v>
      </c>
      <c r="CP921" s="35">
        <v>44954</v>
      </c>
      <c r="CQ921" s="37" t="s">
        <v>151</v>
      </c>
      <c r="CR921" s="30" t="s">
        <v>151</v>
      </c>
      <c r="CS921" s="30" t="s">
        <v>191</v>
      </c>
      <c r="CT921" s="29">
        <v>56</v>
      </c>
      <c r="CU921" s="30" t="s">
        <v>196</v>
      </c>
      <c r="CV921" s="32">
        <v>53</v>
      </c>
      <c r="CW921" s="32">
        <v>47</v>
      </c>
      <c r="CX921" s="30" t="s">
        <v>294</v>
      </c>
      <c r="CY921" s="32">
        <v>1</v>
      </c>
      <c r="CZ921" s="32">
        <v>52</v>
      </c>
      <c r="DA921" s="37" t="s">
        <v>151</v>
      </c>
      <c r="DB921" s="35" t="s">
        <v>151</v>
      </c>
      <c r="DC921" s="30" t="s">
        <v>151</v>
      </c>
      <c r="DD921" s="29" t="s">
        <v>151</v>
      </c>
      <c r="DE921" s="32" t="s">
        <v>151</v>
      </c>
      <c r="DF921" s="34" t="s">
        <v>151</v>
      </c>
      <c r="DG921" s="32" t="s">
        <v>151</v>
      </c>
      <c r="DH921" s="32" t="s">
        <v>151</v>
      </c>
      <c r="DI921" s="32" t="s">
        <v>151</v>
      </c>
      <c r="DJ921" s="34" t="s">
        <v>151</v>
      </c>
      <c r="DK921" s="32" t="s">
        <v>151</v>
      </c>
      <c r="DL921" s="34" t="s">
        <v>151</v>
      </c>
      <c r="DM921" s="32" t="s">
        <v>151</v>
      </c>
      <c r="DN921" s="34" t="s">
        <v>151</v>
      </c>
      <c r="DO921" s="36" t="s">
        <v>151</v>
      </c>
      <c r="DP921" s="34" t="s">
        <v>151</v>
      </c>
      <c r="DQ921" s="36" t="s">
        <v>151</v>
      </c>
      <c r="DR921" s="32" t="s">
        <v>151</v>
      </c>
      <c r="DS921" s="36" t="s">
        <v>151</v>
      </c>
      <c r="DT921" s="34" t="s">
        <v>151</v>
      </c>
      <c r="DU921" s="36" t="s">
        <v>151</v>
      </c>
      <c r="DV921" s="34" t="s">
        <v>151</v>
      </c>
      <c r="DW921" s="36" t="s">
        <v>151</v>
      </c>
      <c r="DX921" s="34" t="s">
        <v>151</v>
      </c>
      <c r="DY921" s="31">
        <v>1</v>
      </c>
      <c r="DZ921" s="35">
        <v>42598</v>
      </c>
      <c r="EA921" s="35" t="s">
        <v>151</v>
      </c>
      <c r="EB921" s="34" t="s">
        <v>151</v>
      </c>
      <c r="EC921" s="33" t="s">
        <v>151</v>
      </c>
      <c r="ED921" s="32" t="s">
        <v>151</v>
      </c>
      <c r="EE921" s="34" t="s">
        <v>151</v>
      </c>
      <c r="EF921" s="33" t="s">
        <v>151</v>
      </c>
      <c r="EG921" s="32" t="s">
        <v>151</v>
      </c>
      <c r="EH921" s="29" t="s">
        <v>198</v>
      </c>
      <c r="EI921" s="30" t="s">
        <v>151</v>
      </c>
      <c r="EJ921" s="30" t="s">
        <v>151</v>
      </c>
      <c r="EK921" s="31" t="s">
        <v>151</v>
      </c>
      <c r="EL921" s="31" t="s">
        <v>151</v>
      </c>
      <c r="EM921" s="31" t="s">
        <v>151</v>
      </c>
      <c r="EN921" s="31" t="s">
        <v>151</v>
      </c>
      <c r="EO921" s="31" t="s">
        <v>151</v>
      </c>
      <c r="EP921" s="30" t="s">
        <v>151</v>
      </c>
      <c r="EQ921" s="29" t="s">
        <v>151</v>
      </c>
      <c r="ER921" s="29" t="s">
        <v>151</v>
      </c>
      <c r="ES921" s="4">
        <f>HYPERLINK("https://my.pitchbook.com?c=327340-63","View Company Online")</f>
      </c>
    </row>
    <row r="922">
      <c r="A922" s="17" t="s">
        <v>18612</v>
      </c>
      <c r="B922" s="17" t="s">
        <v>18613</v>
      </c>
      <c r="C922" s="18" t="s">
        <v>151</v>
      </c>
      <c r="D922" s="17" t="s">
        <v>151</v>
      </c>
      <c r="E922" s="17" t="s">
        <v>151</v>
      </c>
      <c r="F922" s="17" t="s">
        <v>18614</v>
      </c>
      <c r="G922" s="17" t="s">
        <v>151</v>
      </c>
      <c r="H922" s="17" t="s">
        <v>151</v>
      </c>
      <c r="I922" s="17" t="s">
        <v>151</v>
      </c>
      <c r="J922" s="17" t="s">
        <v>18612</v>
      </c>
      <c r="K922" s="17" t="s">
        <v>18615</v>
      </c>
      <c r="L922" s="17" t="s">
        <v>205</v>
      </c>
      <c r="M922" s="17" t="s">
        <v>206</v>
      </c>
      <c r="N922" s="17" t="s">
        <v>269</v>
      </c>
      <c r="O922" s="17" t="s">
        <v>1420</v>
      </c>
      <c r="P922" s="17" t="s">
        <v>2130</v>
      </c>
      <c r="Q922" s="17" t="s">
        <v>18616</v>
      </c>
      <c r="R922" s="17" t="s">
        <v>151</v>
      </c>
      <c r="S922" s="17" t="s">
        <v>162</v>
      </c>
      <c r="T922" s="24">
        <v>4.5</v>
      </c>
      <c r="U922" s="17" t="s">
        <v>163</v>
      </c>
      <c r="V922" s="17" t="s">
        <v>164</v>
      </c>
      <c r="W922" s="17" t="s">
        <v>165</v>
      </c>
      <c r="X922" s="15" t="s">
        <v>18617</v>
      </c>
      <c r="Y922" s="15" t="s">
        <v>18618</v>
      </c>
      <c r="Z922" s="27">
        <v>10</v>
      </c>
      <c r="AA922" s="17" t="s">
        <v>6643</v>
      </c>
      <c r="AB922" s="17" t="s">
        <v>151</v>
      </c>
      <c r="AC922" s="17" t="s">
        <v>151</v>
      </c>
      <c r="AD922" s="26">
        <v>2022</v>
      </c>
      <c r="AE922" s="17" t="s">
        <v>151</v>
      </c>
      <c r="AF922" s="22">
        <v>45604</v>
      </c>
      <c r="AG922" s="17" t="s">
        <v>151</v>
      </c>
      <c r="AH922" s="17" t="s">
        <v>151</v>
      </c>
      <c r="AI922" s="25" t="s">
        <v>151</v>
      </c>
      <c r="AJ922" s="19" t="s">
        <v>151</v>
      </c>
      <c r="AK922" s="25" t="s">
        <v>151</v>
      </c>
      <c r="AL922" s="25" t="s">
        <v>151</v>
      </c>
      <c r="AM922" s="25" t="s">
        <v>151</v>
      </c>
      <c r="AN922" s="25" t="s">
        <v>151</v>
      </c>
      <c r="AO922" s="25" t="s">
        <v>151</v>
      </c>
      <c r="AP922" s="25" t="s">
        <v>151</v>
      </c>
      <c r="AQ922" s="25" t="s">
        <v>151</v>
      </c>
      <c r="AR922" s="16" t="s">
        <v>151</v>
      </c>
      <c r="AS922" s="17" t="s">
        <v>18619</v>
      </c>
      <c r="AT922" s="17" t="s">
        <v>18620</v>
      </c>
      <c r="AU922" s="18">
        <v>2</v>
      </c>
      <c r="AV922" s="17" t="s">
        <v>151</v>
      </c>
      <c r="AW922" s="17" t="s">
        <v>151</v>
      </c>
      <c r="AX922" s="17" t="s">
        <v>151</v>
      </c>
      <c r="AY922" s="17" t="s">
        <v>18621</v>
      </c>
      <c r="AZ922" s="17" t="s">
        <v>151</v>
      </c>
      <c r="BA922" s="17" t="s">
        <v>151</v>
      </c>
      <c r="BB922" s="17" t="s">
        <v>151</v>
      </c>
      <c r="BC922" s="17" t="s">
        <v>151</v>
      </c>
      <c r="BD922" s="17" t="s">
        <v>18622</v>
      </c>
      <c r="BE922" s="17" t="s">
        <v>18623</v>
      </c>
      <c r="BF922" s="17" t="s">
        <v>731</v>
      </c>
      <c r="BG922" s="17" t="s">
        <v>18624</v>
      </c>
      <c r="BH922" s="17" t="s">
        <v>18625</v>
      </c>
      <c r="BI922" s="17" t="s">
        <v>906</v>
      </c>
      <c r="BJ922" s="17" t="s">
        <v>18626</v>
      </c>
      <c r="BK922" s="17" t="s">
        <v>2957</v>
      </c>
      <c r="BL922" s="17" t="s">
        <v>259</v>
      </c>
      <c r="BM922" s="17" t="s">
        <v>259</v>
      </c>
      <c r="BN922" s="16" t="s">
        <v>9247</v>
      </c>
      <c r="BO922" s="17" t="s">
        <v>186</v>
      </c>
      <c r="BP922" s="16" t="s">
        <v>18625</v>
      </c>
      <c r="BQ922" s="16" t="s">
        <v>151</v>
      </c>
      <c r="BR922" s="17" t="s">
        <v>18627</v>
      </c>
      <c r="BS922" s="17" t="s">
        <v>187</v>
      </c>
      <c r="BT922" s="17" t="s">
        <v>188</v>
      </c>
      <c r="BU922" s="22">
        <v>45139</v>
      </c>
      <c r="BV922" s="24">
        <v>2</v>
      </c>
      <c r="BW922" s="17" t="s">
        <v>192</v>
      </c>
      <c r="BX922" s="24">
        <v>9</v>
      </c>
      <c r="BY922" s="17" t="s">
        <v>192</v>
      </c>
      <c r="BZ922" s="17" t="s">
        <v>293</v>
      </c>
      <c r="CA922" s="17" t="s">
        <v>293</v>
      </c>
      <c r="CB922" s="17" t="s">
        <v>151</v>
      </c>
      <c r="CC922" s="17" t="s">
        <v>165</v>
      </c>
      <c r="CD922" s="17" t="s">
        <v>151</v>
      </c>
      <c r="CE922" s="17" t="s">
        <v>191</v>
      </c>
      <c r="CF922" s="22">
        <v>45552</v>
      </c>
      <c r="CG922" s="24">
        <v>2.5</v>
      </c>
      <c r="CH922" s="17" t="s">
        <v>192</v>
      </c>
      <c r="CI922" s="24">
        <v>17</v>
      </c>
      <c r="CJ922" s="17" t="s">
        <v>192</v>
      </c>
      <c r="CK922" s="16">
        <v>1.61</v>
      </c>
      <c r="CL922" s="17" t="s">
        <v>293</v>
      </c>
      <c r="CM922" s="17" t="s">
        <v>293</v>
      </c>
      <c r="CN922" s="17" t="s">
        <v>151</v>
      </c>
      <c r="CO922" s="17" t="s">
        <v>165</v>
      </c>
      <c r="CP922" s="22">
        <v>45552</v>
      </c>
      <c r="CQ922" s="24" t="s">
        <v>151</v>
      </c>
      <c r="CR922" s="17" t="s">
        <v>151</v>
      </c>
      <c r="CS922" s="17" t="s">
        <v>191</v>
      </c>
      <c r="CT922" s="16">
        <v>52</v>
      </c>
      <c r="CU922" s="17" t="s">
        <v>196</v>
      </c>
      <c r="CV922" s="19">
        <v>50</v>
      </c>
      <c r="CW922" s="19">
        <v>50</v>
      </c>
      <c r="CX922" s="17" t="s">
        <v>294</v>
      </c>
      <c r="CY922" s="19">
        <v>1</v>
      </c>
      <c r="CZ922" s="19">
        <v>49</v>
      </c>
      <c r="DA922" s="24">
        <v>17</v>
      </c>
      <c r="DB922" s="22">
        <v>45552</v>
      </c>
      <c r="DC922" s="17" t="s">
        <v>293</v>
      </c>
      <c r="DD922" s="16">
        <v>1.61</v>
      </c>
      <c r="DE922" s="19">
        <v>0.69</v>
      </c>
      <c r="DF922" s="21">
        <v>95</v>
      </c>
      <c r="DG922" s="19">
        <v>0</v>
      </c>
      <c r="DH922" s="19">
        <v>0</v>
      </c>
      <c r="DI922" s="19">
        <v>0</v>
      </c>
      <c r="DJ922" s="21">
        <v>10</v>
      </c>
      <c r="DK922" s="19" t="s">
        <v>151</v>
      </c>
      <c r="DL922" s="21" t="s">
        <v>151</v>
      </c>
      <c r="DM922" s="19">
        <v>0</v>
      </c>
      <c r="DN922" s="21">
        <v>10</v>
      </c>
      <c r="DO922" s="23">
        <v>0.75</v>
      </c>
      <c r="DP922" s="21">
        <v>43</v>
      </c>
      <c r="DQ922" s="23">
        <v>0</v>
      </c>
      <c r="DR922" s="19">
        <v>0</v>
      </c>
      <c r="DS922" s="23">
        <v>0.74</v>
      </c>
      <c r="DT922" s="21">
        <v>42</v>
      </c>
      <c r="DU922" s="23" t="s">
        <v>151</v>
      </c>
      <c r="DV922" s="21" t="s">
        <v>151</v>
      </c>
      <c r="DW922" s="23">
        <v>0.74</v>
      </c>
      <c r="DX922" s="21">
        <v>42</v>
      </c>
      <c r="DY922" s="18" t="s">
        <v>151</v>
      </c>
      <c r="DZ922" s="22" t="s">
        <v>151</v>
      </c>
      <c r="EA922" s="22" t="s">
        <v>151</v>
      </c>
      <c r="EB922" s="21">
        <v>1440</v>
      </c>
      <c r="EC922" s="20">
        <v>191</v>
      </c>
      <c r="ED922" s="19">
        <v>15.29</v>
      </c>
      <c r="EE922" s="21">
        <v>14</v>
      </c>
      <c r="EF922" s="20">
        <v>0</v>
      </c>
      <c r="EG922" s="19">
        <v>0</v>
      </c>
      <c r="EH922" s="16" t="s">
        <v>198</v>
      </c>
      <c r="EI922" s="17" t="s">
        <v>151</v>
      </c>
      <c r="EJ922" s="17" t="s">
        <v>151</v>
      </c>
      <c r="EK922" s="18" t="s">
        <v>151</v>
      </c>
      <c r="EL922" s="18" t="s">
        <v>151</v>
      </c>
      <c r="EM922" s="18" t="s">
        <v>151</v>
      </c>
      <c r="EN922" s="18" t="s">
        <v>151</v>
      </c>
      <c r="EO922" s="18" t="s">
        <v>151</v>
      </c>
      <c r="EP922" s="17" t="s">
        <v>151</v>
      </c>
      <c r="EQ922" s="16" t="s">
        <v>151</v>
      </c>
      <c r="ER922" s="16" t="s">
        <v>151</v>
      </c>
      <c r="ES922" s="3">
        <f>HYPERLINK("https://my.pitchbook.com?c=532917-28","View Company Online")</f>
      </c>
    </row>
    <row r="923">
      <c r="A923" s="30" t="s">
        <v>18628</v>
      </c>
      <c r="B923" s="30" t="s">
        <v>18629</v>
      </c>
      <c r="C923" s="31" t="s">
        <v>151</v>
      </c>
      <c r="D923" s="30" t="s">
        <v>151</v>
      </c>
      <c r="E923" s="30" t="s">
        <v>151</v>
      </c>
      <c r="F923" s="30" t="s">
        <v>18630</v>
      </c>
      <c r="G923" s="30" t="s">
        <v>151</v>
      </c>
      <c r="H923" s="30" t="s">
        <v>151</v>
      </c>
      <c r="I923" s="30" t="s">
        <v>151</v>
      </c>
      <c r="J923" s="30" t="s">
        <v>18628</v>
      </c>
      <c r="K923" s="30" t="s">
        <v>18631</v>
      </c>
      <c r="L923" s="30" t="s">
        <v>1792</v>
      </c>
      <c r="M923" s="30" t="s">
        <v>2199</v>
      </c>
      <c r="N923" s="30" t="s">
        <v>2200</v>
      </c>
      <c r="O923" s="30" t="s">
        <v>18632</v>
      </c>
      <c r="P923" s="30" t="s">
        <v>18633</v>
      </c>
      <c r="Q923" s="30" t="s">
        <v>18634</v>
      </c>
      <c r="R923" s="30" t="s">
        <v>151</v>
      </c>
      <c r="S923" s="30" t="s">
        <v>162</v>
      </c>
      <c r="T923" s="37">
        <v>2.65</v>
      </c>
      <c r="U923" s="30" t="s">
        <v>163</v>
      </c>
      <c r="V923" s="30" t="s">
        <v>164</v>
      </c>
      <c r="W923" s="30" t="s">
        <v>165</v>
      </c>
      <c r="X923" s="28" t="s">
        <v>18635</v>
      </c>
      <c r="Y923" s="28" t="s">
        <v>18636</v>
      </c>
      <c r="Z923" s="40">
        <v>5</v>
      </c>
      <c r="AA923" s="30" t="s">
        <v>4170</v>
      </c>
      <c r="AB923" s="30" t="s">
        <v>151</v>
      </c>
      <c r="AC923" s="30" t="s">
        <v>151</v>
      </c>
      <c r="AD923" s="39">
        <v>2014</v>
      </c>
      <c r="AE923" s="30" t="s">
        <v>151</v>
      </c>
      <c r="AF923" s="35">
        <v>45595</v>
      </c>
      <c r="AG923" s="30" t="s">
        <v>151</v>
      </c>
      <c r="AH923" s="30" t="s">
        <v>151</v>
      </c>
      <c r="AI923" s="38" t="s">
        <v>151</v>
      </c>
      <c r="AJ923" s="32" t="s">
        <v>151</v>
      </c>
      <c r="AK923" s="38" t="s">
        <v>151</v>
      </c>
      <c r="AL923" s="38" t="s">
        <v>151</v>
      </c>
      <c r="AM923" s="38" t="s">
        <v>151</v>
      </c>
      <c r="AN923" s="38" t="s">
        <v>151</v>
      </c>
      <c r="AO923" s="38" t="s">
        <v>151</v>
      </c>
      <c r="AP923" s="38" t="s">
        <v>151</v>
      </c>
      <c r="AQ923" s="38" t="s">
        <v>151</v>
      </c>
      <c r="AR923" s="29" t="s">
        <v>151</v>
      </c>
      <c r="AS923" s="30" t="s">
        <v>18637</v>
      </c>
      <c r="AT923" s="30" t="s">
        <v>18638</v>
      </c>
      <c r="AU923" s="31">
        <v>10</v>
      </c>
      <c r="AV923" s="30" t="s">
        <v>151</v>
      </c>
      <c r="AW923" s="30" t="s">
        <v>151</v>
      </c>
      <c r="AX923" s="30" t="s">
        <v>151</v>
      </c>
      <c r="AY923" s="30" t="s">
        <v>18639</v>
      </c>
      <c r="AZ923" s="30" t="s">
        <v>151</v>
      </c>
      <c r="BA923" s="30" t="s">
        <v>151</v>
      </c>
      <c r="BB923" s="30" t="s">
        <v>151</v>
      </c>
      <c r="BC923" s="30" t="s">
        <v>151</v>
      </c>
      <c r="BD923" s="30" t="s">
        <v>18640</v>
      </c>
      <c r="BE923" s="30" t="s">
        <v>18641</v>
      </c>
      <c r="BF923" s="30" t="s">
        <v>18642</v>
      </c>
      <c r="BG923" s="30" t="s">
        <v>18643</v>
      </c>
      <c r="BH923" s="30" t="s">
        <v>151</v>
      </c>
      <c r="BI923" s="30" t="s">
        <v>2430</v>
      </c>
      <c r="BJ923" s="30" t="s">
        <v>18644</v>
      </c>
      <c r="BK923" s="30" t="s">
        <v>151</v>
      </c>
      <c r="BL923" s="30" t="s">
        <v>2432</v>
      </c>
      <c r="BM923" s="30" t="s">
        <v>322</v>
      </c>
      <c r="BN923" s="29" t="s">
        <v>17305</v>
      </c>
      <c r="BO923" s="30" t="s">
        <v>186</v>
      </c>
      <c r="BP923" s="29" t="s">
        <v>151</v>
      </c>
      <c r="BQ923" s="29" t="s">
        <v>151</v>
      </c>
      <c r="BR923" s="30" t="s">
        <v>18645</v>
      </c>
      <c r="BS923" s="30" t="s">
        <v>187</v>
      </c>
      <c r="BT923" s="30" t="s">
        <v>188</v>
      </c>
      <c r="BU923" s="35">
        <v>41842</v>
      </c>
      <c r="BV923" s="37">
        <v>0.05</v>
      </c>
      <c r="BW923" s="30" t="s">
        <v>192</v>
      </c>
      <c r="BX923" s="37" t="s">
        <v>151</v>
      </c>
      <c r="BY923" s="30" t="s">
        <v>151</v>
      </c>
      <c r="BZ923" s="30" t="s">
        <v>189</v>
      </c>
      <c r="CA923" s="30" t="s">
        <v>151</v>
      </c>
      <c r="CB923" s="30" t="s">
        <v>151</v>
      </c>
      <c r="CC923" s="30" t="s">
        <v>190</v>
      </c>
      <c r="CD923" s="30" t="s">
        <v>151</v>
      </c>
      <c r="CE923" s="30" t="s">
        <v>191</v>
      </c>
      <c r="CF923" s="35">
        <v>45387</v>
      </c>
      <c r="CG923" s="37">
        <v>2.1</v>
      </c>
      <c r="CH923" s="30" t="s">
        <v>193</v>
      </c>
      <c r="CI923" s="37" t="s">
        <v>151</v>
      </c>
      <c r="CJ923" s="30" t="s">
        <v>151</v>
      </c>
      <c r="CK923" s="29" t="s">
        <v>151</v>
      </c>
      <c r="CL923" s="30" t="s">
        <v>293</v>
      </c>
      <c r="CM923" s="30" t="s">
        <v>293</v>
      </c>
      <c r="CN923" s="30" t="s">
        <v>151</v>
      </c>
      <c r="CO923" s="30" t="s">
        <v>165</v>
      </c>
      <c r="CP923" s="35">
        <v>45387</v>
      </c>
      <c r="CQ923" s="37" t="s">
        <v>151</v>
      </c>
      <c r="CR923" s="30" t="s">
        <v>151</v>
      </c>
      <c r="CS923" s="30" t="s">
        <v>191</v>
      </c>
      <c r="CT923" s="29" t="s">
        <v>151</v>
      </c>
      <c r="CU923" s="30" t="s">
        <v>151</v>
      </c>
      <c r="CV923" s="32" t="s">
        <v>151</v>
      </c>
      <c r="CW923" s="32" t="s">
        <v>151</v>
      </c>
      <c r="CX923" s="30" t="s">
        <v>151</v>
      </c>
      <c r="CY923" s="32" t="s">
        <v>151</v>
      </c>
      <c r="CZ923" s="32" t="s">
        <v>151</v>
      </c>
      <c r="DA923" s="37">
        <v>7.16</v>
      </c>
      <c r="DB923" s="35">
        <v>45292</v>
      </c>
      <c r="DC923" s="30" t="s">
        <v>189</v>
      </c>
      <c r="DD923" s="29" t="s">
        <v>151</v>
      </c>
      <c r="DE923" s="32">
        <v>3.13</v>
      </c>
      <c r="DF923" s="34">
        <v>99</v>
      </c>
      <c r="DG923" s="32">
        <v>0</v>
      </c>
      <c r="DH923" s="32">
        <v>0</v>
      </c>
      <c r="DI923" s="32">
        <v>0</v>
      </c>
      <c r="DJ923" s="34">
        <v>10</v>
      </c>
      <c r="DK923" s="32" t="s">
        <v>151</v>
      </c>
      <c r="DL923" s="34" t="s">
        <v>151</v>
      </c>
      <c r="DM923" s="32">
        <v>0</v>
      </c>
      <c r="DN923" s="34">
        <v>10</v>
      </c>
      <c r="DO923" s="36">
        <v>1.09</v>
      </c>
      <c r="DP923" s="34">
        <v>52</v>
      </c>
      <c r="DQ923" s="36">
        <v>0</v>
      </c>
      <c r="DR923" s="32">
        <v>0</v>
      </c>
      <c r="DS923" s="36">
        <v>1.95</v>
      </c>
      <c r="DT923" s="34">
        <v>65</v>
      </c>
      <c r="DU923" s="36" t="s">
        <v>151</v>
      </c>
      <c r="DV923" s="34" t="s">
        <v>151</v>
      </c>
      <c r="DW923" s="36">
        <v>1.95</v>
      </c>
      <c r="DX923" s="34">
        <v>65</v>
      </c>
      <c r="DY923" s="31" t="s">
        <v>151</v>
      </c>
      <c r="DZ923" s="35" t="s">
        <v>151</v>
      </c>
      <c r="EA923" s="35" t="s">
        <v>151</v>
      </c>
      <c r="EB923" s="34">
        <v>789</v>
      </c>
      <c r="EC923" s="33">
        <v>47</v>
      </c>
      <c r="ED923" s="32">
        <v>6.33</v>
      </c>
      <c r="EE923" s="34">
        <v>37</v>
      </c>
      <c r="EF923" s="33">
        <v>0</v>
      </c>
      <c r="EG923" s="32">
        <v>0</v>
      </c>
      <c r="EH923" s="29" t="s">
        <v>198</v>
      </c>
      <c r="EI923" s="30" t="s">
        <v>151</v>
      </c>
      <c r="EJ923" s="30" t="s">
        <v>151</v>
      </c>
      <c r="EK923" s="31" t="s">
        <v>151</v>
      </c>
      <c r="EL923" s="31" t="s">
        <v>151</v>
      </c>
      <c r="EM923" s="31" t="s">
        <v>151</v>
      </c>
      <c r="EN923" s="31" t="s">
        <v>151</v>
      </c>
      <c r="EO923" s="31" t="s">
        <v>151</v>
      </c>
      <c r="EP923" s="30" t="s">
        <v>151</v>
      </c>
      <c r="EQ923" s="29" t="s">
        <v>151</v>
      </c>
      <c r="ER923" s="29" t="s">
        <v>151</v>
      </c>
      <c r="ES923" s="4">
        <f>HYPERLINK("https://my.pitchbook.com?c=98752-06","View Company Online")</f>
      </c>
    </row>
    <row r="924">
      <c r="A924" s="17" t="s">
        <v>18646</v>
      </c>
      <c r="B924" s="17" t="s">
        <v>18647</v>
      </c>
      <c r="C924" s="18" t="s">
        <v>151</v>
      </c>
      <c r="D924" s="17" t="s">
        <v>151</v>
      </c>
      <c r="E924" s="17" t="s">
        <v>151</v>
      </c>
      <c r="F924" s="17" t="s">
        <v>18648</v>
      </c>
      <c r="G924" s="17" t="s">
        <v>151</v>
      </c>
      <c r="H924" s="17" t="s">
        <v>151</v>
      </c>
      <c r="I924" s="17" t="s">
        <v>18649</v>
      </c>
      <c r="J924" s="17" t="s">
        <v>18646</v>
      </c>
      <c r="K924" s="17" t="s">
        <v>18650</v>
      </c>
      <c r="L924" s="17" t="s">
        <v>205</v>
      </c>
      <c r="M924" s="17" t="s">
        <v>206</v>
      </c>
      <c r="N924" s="17" t="s">
        <v>269</v>
      </c>
      <c r="O924" s="17" t="s">
        <v>18651</v>
      </c>
      <c r="P924" s="17" t="s">
        <v>18652</v>
      </c>
      <c r="Q924" s="17" t="s">
        <v>18653</v>
      </c>
      <c r="R924" s="17" t="s">
        <v>18654</v>
      </c>
      <c r="S924" s="17" t="s">
        <v>162</v>
      </c>
      <c r="T924" s="24">
        <v>72.22</v>
      </c>
      <c r="U924" s="17" t="s">
        <v>163</v>
      </c>
      <c r="V924" s="17" t="s">
        <v>164</v>
      </c>
      <c r="W924" s="17" t="s">
        <v>165</v>
      </c>
      <c r="X924" s="15" t="s">
        <v>18655</v>
      </c>
      <c r="Y924" s="15" t="s">
        <v>18656</v>
      </c>
      <c r="Z924" s="27">
        <v>46</v>
      </c>
      <c r="AA924" s="17" t="s">
        <v>18657</v>
      </c>
      <c r="AB924" s="17" t="s">
        <v>151</v>
      </c>
      <c r="AC924" s="17" t="s">
        <v>151</v>
      </c>
      <c r="AD924" s="26">
        <v>2019</v>
      </c>
      <c r="AE924" s="17" t="s">
        <v>151</v>
      </c>
      <c r="AF924" s="22">
        <v>45566</v>
      </c>
      <c r="AG924" s="17" t="s">
        <v>151</v>
      </c>
      <c r="AH924" s="17" t="s">
        <v>151</v>
      </c>
      <c r="AI924" s="25">
        <v>8</v>
      </c>
      <c r="AJ924" s="19" t="s">
        <v>151</v>
      </c>
      <c r="AK924" s="25" t="s">
        <v>151</v>
      </c>
      <c r="AL924" s="25" t="s">
        <v>151</v>
      </c>
      <c r="AM924" s="25" t="s">
        <v>151</v>
      </c>
      <c r="AN924" s="25" t="s">
        <v>151</v>
      </c>
      <c r="AO924" s="25" t="s">
        <v>151</v>
      </c>
      <c r="AP924" s="25" t="s">
        <v>151</v>
      </c>
      <c r="AQ924" s="25" t="s">
        <v>151</v>
      </c>
      <c r="AR924" s="16" t="s">
        <v>3435</v>
      </c>
      <c r="AS924" s="17" t="s">
        <v>18658</v>
      </c>
      <c r="AT924" s="17" t="s">
        <v>18659</v>
      </c>
      <c r="AU924" s="18">
        <v>21</v>
      </c>
      <c r="AV924" s="17" t="s">
        <v>151</v>
      </c>
      <c r="AW924" s="17" t="s">
        <v>151</v>
      </c>
      <c r="AX924" s="17" t="s">
        <v>151</v>
      </c>
      <c r="AY924" s="17" t="s">
        <v>18660</v>
      </c>
      <c r="AZ924" s="17" t="s">
        <v>151</v>
      </c>
      <c r="BA924" s="17" t="s">
        <v>151</v>
      </c>
      <c r="BB924" s="17" t="s">
        <v>151</v>
      </c>
      <c r="BC924" s="17" t="s">
        <v>151</v>
      </c>
      <c r="BD924" s="17" t="s">
        <v>18661</v>
      </c>
      <c r="BE924" s="17" t="s">
        <v>18662</v>
      </c>
      <c r="BF924" s="17" t="s">
        <v>2427</v>
      </c>
      <c r="BG924" s="17" t="s">
        <v>18663</v>
      </c>
      <c r="BH924" s="17" t="s">
        <v>18664</v>
      </c>
      <c r="BI924" s="17" t="s">
        <v>764</v>
      </c>
      <c r="BJ924" s="17" t="s">
        <v>18665</v>
      </c>
      <c r="BK924" s="17" t="s">
        <v>151</v>
      </c>
      <c r="BL924" s="17" t="s">
        <v>767</v>
      </c>
      <c r="BM924" s="17" t="s">
        <v>184</v>
      </c>
      <c r="BN924" s="16" t="s">
        <v>1260</v>
      </c>
      <c r="BO924" s="17" t="s">
        <v>186</v>
      </c>
      <c r="BP924" s="16" t="s">
        <v>18664</v>
      </c>
      <c r="BQ924" s="16" t="s">
        <v>151</v>
      </c>
      <c r="BR924" s="17" t="s">
        <v>18666</v>
      </c>
      <c r="BS924" s="17" t="s">
        <v>187</v>
      </c>
      <c r="BT924" s="17" t="s">
        <v>188</v>
      </c>
      <c r="BU924" s="22">
        <v>43868</v>
      </c>
      <c r="BV924" s="24">
        <v>0.13</v>
      </c>
      <c r="BW924" s="17" t="s">
        <v>192</v>
      </c>
      <c r="BX924" s="24">
        <v>1.79</v>
      </c>
      <c r="BY924" s="17" t="s">
        <v>192</v>
      </c>
      <c r="BZ924" s="17" t="s">
        <v>189</v>
      </c>
      <c r="CA924" s="17" t="s">
        <v>151</v>
      </c>
      <c r="CB924" s="17" t="s">
        <v>151</v>
      </c>
      <c r="CC924" s="17" t="s">
        <v>190</v>
      </c>
      <c r="CD924" s="17" t="s">
        <v>151</v>
      </c>
      <c r="CE924" s="17" t="s">
        <v>191</v>
      </c>
      <c r="CF924" s="22">
        <v>44561</v>
      </c>
      <c r="CG924" s="24">
        <v>60</v>
      </c>
      <c r="CH924" s="17" t="s">
        <v>192</v>
      </c>
      <c r="CI924" s="24" t="s">
        <v>151</v>
      </c>
      <c r="CJ924" s="17" t="s">
        <v>151</v>
      </c>
      <c r="CK924" s="16" t="s">
        <v>151</v>
      </c>
      <c r="CL924" s="17" t="s">
        <v>231</v>
      </c>
      <c r="CM924" s="17" t="s">
        <v>326</v>
      </c>
      <c r="CN924" s="17" t="s">
        <v>151</v>
      </c>
      <c r="CO924" s="17" t="s">
        <v>165</v>
      </c>
      <c r="CP924" s="22">
        <v>44561</v>
      </c>
      <c r="CQ924" s="24">
        <v>10</v>
      </c>
      <c r="CR924" s="17" t="s">
        <v>18667</v>
      </c>
      <c r="CS924" s="17" t="s">
        <v>191</v>
      </c>
      <c r="CT924" s="16">
        <v>81</v>
      </c>
      <c r="CU924" s="17" t="s">
        <v>196</v>
      </c>
      <c r="CV924" s="19">
        <v>90</v>
      </c>
      <c r="CW924" s="19">
        <v>10</v>
      </c>
      <c r="CX924" s="17" t="s">
        <v>294</v>
      </c>
      <c r="CY924" s="19">
        <v>4</v>
      </c>
      <c r="CZ924" s="19">
        <v>86</v>
      </c>
      <c r="DA924" s="24">
        <v>15</v>
      </c>
      <c r="DB924" s="22">
        <v>43868</v>
      </c>
      <c r="DC924" s="17" t="s">
        <v>293</v>
      </c>
      <c r="DD924" s="16" t="s">
        <v>151</v>
      </c>
      <c r="DE924" s="19">
        <v>-1.32</v>
      </c>
      <c r="DF924" s="21">
        <v>3</v>
      </c>
      <c r="DG924" s="19">
        <v>0</v>
      </c>
      <c r="DH924" s="19">
        <v>0</v>
      </c>
      <c r="DI924" s="19">
        <v>-2.37</v>
      </c>
      <c r="DJ924" s="21">
        <v>2</v>
      </c>
      <c r="DK924" s="19" t="s">
        <v>151</v>
      </c>
      <c r="DL924" s="21" t="s">
        <v>151</v>
      </c>
      <c r="DM924" s="19">
        <v>-2.37</v>
      </c>
      <c r="DN924" s="21">
        <v>2</v>
      </c>
      <c r="DO924" s="23">
        <v>4.06</v>
      </c>
      <c r="DP924" s="21">
        <v>79</v>
      </c>
      <c r="DQ924" s="23">
        <v>0</v>
      </c>
      <c r="DR924" s="19">
        <v>0</v>
      </c>
      <c r="DS924" s="23">
        <v>4.58</v>
      </c>
      <c r="DT924" s="21">
        <v>81</v>
      </c>
      <c r="DU924" s="23" t="s">
        <v>151</v>
      </c>
      <c r="DV924" s="21" t="s">
        <v>151</v>
      </c>
      <c r="DW924" s="23">
        <v>4.58</v>
      </c>
      <c r="DX924" s="21">
        <v>81</v>
      </c>
      <c r="DY924" s="18" t="s">
        <v>151</v>
      </c>
      <c r="DZ924" s="22" t="s">
        <v>151</v>
      </c>
      <c r="EA924" s="22" t="s">
        <v>151</v>
      </c>
      <c r="EB924" s="21">
        <v>660</v>
      </c>
      <c r="EC924" s="20">
        <v>-34</v>
      </c>
      <c r="ED924" s="19">
        <v>-4.9</v>
      </c>
      <c r="EE924" s="21">
        <v>87</v>
      </c>
      <c r="EF924" s="20">
        <v>-6</v>
      </c>
      <c r="EG924" s="19">
        <v>-6.45</v>
      </c>
      <c r="EH924" s="16" t="s">
        <v>198</v>
      </c>
      <c r="EI924" s="17" t="s">
        <v>151</v>
      </c>
      <c r="EJ924" s="17" t="s">
        <v>151</v>
      </c>
      <c r="EK924" s="18" t="s">
        <v>151</v>
      </c>
      <c r="EL924" s="18" t="s">
        <v>151</v>
      </c>
      <c r="EM924" s="18" t="s">
        <v>151</v>
      </c>
      <c r="EN924" s="18" t="s">
        <v>151</v>
      </c>
      <c r="EO924" s="18" t="s">
        <v>151</v>
      </c>
      <c r="EP924" s="17" t="s">
        <v>151</v>
      </c>
      <c r="EQ924" s="16" t="s">
        <v>151</v>
      </c>
      <c r="ER924" s="16" t="s">
        <v>151</v>
      </c>
      <c r="ES924" s="3">
        <f>HYPERLINK("https://my.pitchbook.com?c=432820-00","View Company Online")</f>
      </c>
    </row>
    <row r="925">
      <c r="A925" s="30" t="s">
        <v>18668</v>
      </c>
      <c r="B925" s="30" t="s">
        <v>18669</v>
      </c>
      <c r="C925" s="31" t="s">
        <v>151</v>
      </c>
      <c r="D925" s="30" t="s">
        <v>151</v>
      </c>
      <c r="E925" s="30" t="s">
        <v>151</v>
      </c>
      <c r="F925" s="30" t="s">
        <v>18670</v>
      </c>
      <c r="G925" s="30" t="s">
        <v>151</v>
      </c>
      <c r="H925" s="30" t="s">
        <v>151</v>
      </c>
      <c r="I925" s="30" t="s">
        <v>18671</v>
      </c>
      <c r="J925" s="30" t="s">
        <v>18668</v>
      </c>
      <c r="K925" s="30" t="s">
        <v>18672</v>
      </c>
      <c r="L925" s="30" t="s">
        <v>205</v>
      </c>
      <c r="M925" s="30" t="s">
        <v>206</v>
      </c>
      <c r="N925" s="30" t="s">
        <v>269</v>
      </c>
      <c r="O925" s="30" t="s">
        <v>4805</v>
      </c>
      <c r="P925" s="30" t="s">
        <v>18673</v>
      </c>
      <c r="Q925" s="30" t="s">
        <v>18674</v>
      </c>
      <c r="R925" s="30" t="s">
        <v>151</v>
      </c>
      <c r="S925" s="30" t="s">
        <v>162</v>
      </c>
      <c r="T925" s="37">
        <v>29.9</v>
      </c>
      <c r="U925" s="30" t="s">
        <v>163</v>
      </c>
      <c r="V925" s="30" t="s">
        <v>164</v>
      </c>
      <c r="W925" s="30" t="s">
        <v>165</v>
      </c>
      <c r="X925" s="28" t="s">
        <v>18675</v>
      </c>
      <c r="Y925" s="28" t="s">
        <v>18676</v>
      </c>
      <c r="Z925" s="40">
        <v>33</v>
      </c>
      <c r="AA925" s="30" t="s">
        <v>18677</v>
      </c>
      <c r="AB925" s="30" t="s">
        <v>151</v>
      </c>
      <c r="AC925" s="30" t="s">
        <v>151</v>
      </c>
      <c r="AD925" s="39">
        <v>2021</v>
      </c>
      <c r="AE925" s="30" t="s">
        <v>151</v>
      </c>
      <c r="AF925" s="35">
        <v>45595</v>
      </c>
      <c r="AG925" s="30" t="s">
        <v>151</v>
      </c>
      <c r="AH925" s="30" t="s">
        <v>151</v>
      </c>
      <c r="AI925" s="38" t="s">
        <v>151</v>
      </c>
      <c r="AJ925" s="32" t="s">
        <v>151</v>
      </c>
      <c r="AK925" s="38" t="s">
        <v>151</v>
      </c>
      <c r="AL925" s="38" t="s">
        <v>151</v>
      </c>
      <c r="AM925" s="38" t="s">
        <v>151</v>
      </c>
      <c r="AN925" s="38" t="s">
        <v>151</v>
      </c>
      <c r="AO925" s="38" t="s">
        <v>151</v>
      </c>
      <c r="AP925" s="38" t="s">
        <v>151</v>
      </c>
      <c r="AQ925" s="38" t="s">
        <v>151</v>
      </c>
      <c r="AR925" s="29" t="s">
        <v>151</v>
      </c>
      <c r="AS925" s="30" t="s">
        <v>18678</v>
      </c>
      <c r="AT925" s="30" t="s">
        <v>18679</v>
      </c>
      <c r="AU925" s="31">
        <v>14</v>
      </c>
      <c r="AV925" s="30" t="s">
        <v>151</v>
      </c>
      <c r="AW925" s="30" t="s">
        <v>151</v>
      </c>
      <c r="AX925" s="30" t="s">
        <v>151</v>
      </c>
      <c r="AY925" s="30" t="s">
        <v>18680</v>
      </c>
      <c r="AZ925" s="30" t="s">
        <v>151</v>
      </c>
      <c r="BA925" s="30" t="s">
        <v>151</v>
      </c>
      <c r="BB925" s="30" t="s">
        <v>151</v>
      </c>
      <c r="BC925" s="30" t="s">
        <v>374</v>
      </c>
      <c r="BD925" s="30" t="s">
        <v>18681</v>
      </c>
      <c r="BE925" s="30" t="s">
        <v>18682</v>
      </c>
      <c r="BF925" s="30" t="s">
        <v>403</v>
      </c>
      <c r="BG925" s="30" t="s">
        <v>18683</v>
      </c>
      <c r="BH925" s="30" t="s">
        <v>18684</v>
      </c>
      <c r="BI925" s="30" t="s">
        <v>906</v>
      </c>
      <c r="BJ925" s="30" t="s">
        <v>18685</v>
      </c>
      <c r="BK925" s="30" t="s">
        <v>151</v>
      </c>
      <c r="BL925" s="30" t="s">
        <v>259</v>
      </c>
      <c r="BM925" s="30" t="s">
        <v>259</v>
      </c>
      <c r="BN925" s="29" t="s">
        <v>1306</v>
      </c>
      <c r="BO925" s="30" t="s">
        <v>186</v>
      </c>
      <c r="BP925" s="29" t="s">
        <v>18684</v>
      </c>
      <c r="BQ925" s="29" t="s">
        <v>151</v>
      </c>
      <c r="BR925" s="30" t="s">
        <v>151</v>
      </c>
      <c r="BS925" s="30" t="s">
        <v>187</v>
      </c>
      <c r="BT925" s="30" t="s">
        <v>188</v>
      </c>
      <c r="BU925" s="35">
        <v>45120</v>
      </c>
      <c r="BV925" s="37">
        <v>9.9</v>
      </c>
      <c r="BW925" s="30" t="s">
        <v>192</v>
      </c>
      <c r="BX925" s="37">
        <v>23.92</v>
      </c>
      <c r="BY925" s="30" t="s">
        <v>192</v>
      </c>
      <c r="BZ925" s="30" t="s">
        <v>293</v>
      </c>
      <c r="CA925" s="30" t="s">
        <v>293</v>
      </c>
      <c r="CB925" s="30" t="s">
        <v>151</v>
      </c>
      <c r="CC925" s="30" t="s">
        <v>165</v>
      </c>
      <c r="CD925" s="30" t="s">
        <v>18686</v>
      </c>
      <c r="CE925" s="30" t="s">
        <v>191</v>
      </c>
      <c r="CF925" s="35">
        <v>45490</v>
      </c>
      <c r="CG925" s="37">
        <v>20</v>
      </c>
      <c r="CH925" s="30" t="s">
        <v>192</v>
      </c>
      <c r="CI925" s="37">
        <v>75</v>
      </c>
      <c r="CJ925" s="30" t="s">
        <v>192</v>
      </c>
      <c r="CK925" s="29">
        <v>2.3</v>
      </c>
      <c r="CL925" s="30" t="s">
        <v>231</v>
      </c>
      <c r="CM925" s="30" t="s">
        <v>232</v>
      </c>
      <c r="CN925" s="30" t="s">
        <v>151</v>
      </c>
      <c r="CO925" s="30" t="s">
        <v>165</v>
      </c>
      <c r="CP925" s="35">
        <v>45490</v>
      </c>
      <c r="CQ925" s="37" t="s">
        <v>151</v>
      </c>
      <c r="CR925" s="30" t="s">
        <v>151</v>
      </c>
      <c r="CS925" s="30" t="s">
        <v>191</v>
      </c>
      <c r="CT925" s="29">
        <v>96</v>
      </c>
      <c r="CU925" s="30" t="s">
        <v>196</v>
      </c>
      <c r="CV925" s="32">
        <v>90</v>
      </c>
      <c r="CW925" s="32">
        <v>10</v>
      </c>
      <c r="CX925" s="30" t="s">
        <v>294</v>
      </c>
      <c r="CY925" s="32">
        <v>2</v>
      </c>
      <c r="CZ925" s="32">
        <v>88</v>
      </c>
      <c r="DA925" s="37">
        <v>75</v>
      </c>
      <c r="DB925" s="35">
        <v>45490</v>
      </c>
      <c r="DC925" s="30" t="s">
        <v>231</v>
      </c>
      <c r="DD925" s="29">
        <v>2.3</v>
      </c>
      <c r="DE925" s="32">
        <v>3.07</v>
      </c>
      <c r="DF925" s="34">
        <v>99</v>
      </c>
      <c r="DG925" s="32">
        <v>0</v>
      </c>
      <c r="DH925" s="32">
        <v>0</v>
      </c>
      <c r="DI925" s="32">
        <v>5.26</v>
      </c>
      <c r="DJ925" s="34">
        <v>100</v>
      </c>
      <c r="DK925" s="32" t="s">
        <v>151</v>
      </c>
      <c r="DL925" s="34" t="s">
        <v>151</v>
      </c>
      <c r="DM925" s="32">
        <v>5.26</v>
      </c>
      <c r="DN925" s="34">
        <v>100</v>
      </c>
      <c r="DO925" s="36">
        <v>5.1</v>
      </c>
      <c r="DP925" s="34">
        <v>83</v>
      </c>
      <c r="DQ925" s="36">
        <v>0</v>
      </c>
      <c r="DR925" s="32">
        <v>0</v>
      </c>
      <c r="DS925" s="36">
        <v>7.89</v>
      </c>
      <c r="DT925" s="34">
        <v>88</v>
      </c>
      <c r="DU925" s="36" t="s">
        <v>151</v>
      </c>
      <c r="DV925" s="34" t="s">
        <v>151</v>
      </c>
      <c r="DW925" s="36">
        <v>7.89</v>
      </c>
      <c r="DX925" s="34">
        <v>87</v>
      </c>
      <c r="DY925" s="31" t="s">
        <v>151</v>
      </c>
      <c r="DZ925" s="35" t="s">
        <v>151</v>
      </c>
      <c r="EA925" s="35" t="s">
        <v>151</v>
      </c>
      <c r="EB925" s="34">
        <v>4863</v>
      </c>
      <c r="EC925" s="33">
        <v>74</v>
      </c>
      <c r="ED925" s="32">
        <v>1.55</v>
      </c>
      <c r="EE925" s="34">
        <v>150</v>
      </c>
      <c r="EF925" s="33">
        <v>3</v>
      </c>
      <c r="EG925" s="32">
        <v>2.04</v>
      </c>
      <c r="EH925" s="29" t="s">
        <v>198</v>
      </c>
      <c r="EI925" s="30" t="s">
        <v>151</v>
      </c>
      <c r="EJ925" s="30" t="s">
        <v>151</v>
      </c>
      <c r="EK925" s="31" t="s">
        <v>151</v>
      </c>
      <c r="EL925" s="31" t="s">
        <v>151</v>
      </c>
      <c r="EM925" s="31" t="s">
        <v>151</v>
      </c>
      <c r="EN925" s="31" t="s">
        <v>151</v>
      </c>
      <c r="EO925" s="31" t="s">
        <v>151</v>
      </c>
      <c r="EP925" s="30" t="s">
        <v>151</v>
      </c>
      <c r="EQ925" s="29" t="s">
        <v>151</v>
      </c>
      <c r="ER925" s="29" t="s">
        <v>151</v>
      </c>
      <c r="ES925" s="4">
        <f>HYPERLINK("https://my.pitchbook.com?c=528225-04","View Company Online")</f>
      </c>
    </row>
    <row r="926">
      <c r="A926" s="17" t="s">
        <v>18687</v>
      </c>
      <c r="B926" s="17" t="s">
        <v>18688</v>
      </c>
      <c r="C926" s="18" t="s">
        <v>151</v>
      </c>
      <c r="D926" s="17" t="s">
        <v>151</v>
      </c>
      <c r="E926" s="17" t="s">
        <v>18689</v>
      </c>
      <c r="F926" s="17" t="s">
        <v>18690</v>
      </c>
      <c r="G926" s="17" t="s">
        <v>151</v>
      </c>
      <c r="H926" s="17" t="s">
        <v>151</v>
      </c>
      <c r="I926" s="17" t="s">
        <v>151</v>
      </c>
      <c r="J926" s="17" t="s">
        <v>18687</v>
      </c>
      <c r="K926" s="17" t="s">
        <v>18691</v>
      </c>
      <c r="L926" s="17" t="s">
        <v>616</v>
      </c>
      <c r="M926" s="17" t="s">
        <v>834</v>
      </c>
      <c r="N926" s="17" t="s">
        <v>835</v>
      </c>
      <c r="O926" s="17" t="s">
        <v>1992</v>
      </c>
      <c r="P926" s="17" t="s">
        <v>18692</v>
      </c>
      <c r="Q926" s="17" t="s">
        <v>18693</v>
      </c>
      <c r="R926" s="17" t="s">
        <v>151</v>
      </c>
      <c r="S926" s="17" t="s">
        <v>162</v>
      </c>
      <c r="T926" s="24">
        <v>13.8</v>
      </c>
      <c r="U926" s="17" t="s">
        <v>163</v>
      </c>
      <c r="V926" s="17" t="s">
        <v>164</v>
      </c>
      <c r="W926" s="17" t="s">
        <v>165</v>
      </c>
      <c r="X926" s="15" t="s">
        <v>18694</v>
      </c>
      <c r="Y926" s="15" t="s">
        <v>18695</v>
      </c>
      <c r="Z926" s="27">
        <v>27</v>
      </c>
      <c r="AA926" s="17" t="s">
        <v>18696</v>
      </c>
      <c r="AB926" s="17" t="s">
        <v>151</v>
      </c>
      <c r="AC926" s="17" t="s">
        <v>151</v>
      </c>
      <c r="AD926" s="26">
        <v>2021</v>
      </c>
      <c r="AE926" s="17" t="s">
        <v>151</v>
      </c>
      <c r="AF926" s="22">
        <v>45595</v>
      </c>
      <c r="AG926" s="17" t="s">
        <v>151</v>
      </c>
      <c r="AH926" s="17" t="s">
        <v>151</v>
      </c>
      <c r="AI926" s="25" t="s">
        <v>151</v>
      </c>
      <c r="AJ926" s="19" t="s">
        <v>151</v>
      </c>
      <c r="AK926" s="25" t="s">
        <v>151</v>
      </c>
      <c r="AL926" s="25" t="s">
        <v>151</v>
      </c>
      <c r="AM926" s="25" t="s">
        <v>151</v>
      </c>
      <c r="AN926" s="25" t="s">
        <v>151</v>
      </c>
      <c r="AO926" s="25" t="s">
        <v>151</v>
      </c>
      <c r="AP926" s="25" t="s">
        <v>151</v>
      </c>
      <c r="AQ926" s="25" t="s">
        <v>151</v>
      </c>
      <c r="AR926" s="16" t="s">
        <v>151</v>
      </c>
      <c r="AS926" s="17" t="s">
        <v>18697</v>
      </c>
      <c r="AT926" s="17" t="s">
        <v>18698</v>
      </c>
      <c r="AU926" s="18">
        <v>11</v>
      </c>
      <c r="AV926" s="17" t="s">
        <v>151</v>
      </c>
      <c r="AW926" s="17" t="s">
        <v>151</v>
      </c>
      <c r="AX926" s="17" t="s">
        <v>151</v>
      </c>
      <c r="AY926" s="17" t="s">
        <v>18699</v>
      </c>
      <c r="AZ926" s="17" t="s">
        <v>151</v>
      </c>
      <c r="BA926" s="17" t="s">
        <v>151</v>
      </c>
      <c r="BB926" s="17" t="s">
        <v>151</v>
      </c>
      <c r="BC926" s="17" t="s">
        <v>462</v>
      </c>
      <c r="BD926" s="17" t="s">
        <v>18700</v>
      </c>
      <c r="BE926" s="17" t="s">
        <v>18701</v>
      </c>
      <c r="BF926" s="17" t="s">
        <v>221</v>
      </c>
      <c r="BG926" s="17" t="s">
        <v>151</v>
      </c>
      <c r="BH926" s="17" t="s">
        <v>18702</v>
      </c>
      <c r="BI926" s="17" t="s">
        <v>6916</v>
      </c>
      <c r="BJ926" s="17" t="s">
        <v>18703</v>
      </c>
      <c r="BK926" s="17" t="s">
        <v>18704</v>
      </c>
      <c r="BL926" s="17" t="s">
        <v>6919</v>
      </c>
      <c r="BM926" s="17" t="s">
        <v>2190</v>
      </c>
      <c r="BN926" s="16" t="s">
        <v>6920</v>
      </c>
      <c r="BO926" s="17" t="s">
        <v>186</v>
      </c>
      <c r="BP926" s="16" t="s">
        <v>18702</v>
      </c>
      <c r="BQ926" s="16" t="s">
        <v>151</v>
      </c>
      <c r="BR926" s="17" t="s">
        <v>18705</v>
      </c>
      <c r="BS926" s="17" t="s">
        <v>187</v>
      </c>
      <c r="BT926" s="17" t="s">
        <v>188</v>
      </c>
      <c r="BU926" s="22">
        <v>44715</v>
      </c>
      <c r="BV926" s="24">
        <v>9.8</v>
      </c>
      <c r="BW926" s="17" t="s">
        <v>192</v>
      </c>
      <c r="BX926" s="24" t="s">
        <v>151</v>
      </c>
      <c r="BY926" s="17" t="s">
        <v>151</v>
      </c>
      <c r="BZ926" s="17" t="s">
        <v>231</v>
      </c>
      <c r="CA926" s="17" t="s">
        <v>232</v>
      </c>
      <c r="CB926" s="17" t="s">
        <v>151</v>
      </c>
      <c r="CC926" s="17" t="s">
        <v>165</v>
      </c>
      <c r="CD926" s="17" t="s">
        <v>151</v>
      </c>
      <c r="CE926" s="17" t="s">
        <v>191</v>
      </c>
      <c r="CF926" s="22">
        <v>45163</v>
      </c>
      <c r="CG926" s="24">
        <v>4</v>
      </c>
      <c r="CH926" s="17" t="s">
        <v>192</v>
      </c>
      <c r="CI926" s="24" t="s">
        <v>151</v>
      </c>
      <c r="CJ926" s="17" t="s">
        <v>151</v>
      </c>
      <c r="CK926" s="16" t="s">
        <v>151</v>
      </c>
      <c r="CL926" s="17" t="s">
        <v>231</v>
      </c>
      <c r="CM926" s="17" t="s">
        <v>151</v>
      </c>
      <c r="CN926" s="17" t="s">
        <v>151</v>
      </c>
      <c r="CO926" s="17" t="s">
        <v>165</v>
      </c>
      <c r="CP926" s="22">
        <v>45163</v>
      </c>
      <c r="CQ926" s="24" t="s">
        <v>151</v>
      </c>
      <c r="CR926" s="17" t="s">
        <v>151</v>
      </c>
      <c r="CS926" s="17" t="s">
        <v>191</v>
      </c>
      <c r="CT926" s="16">
        <v>76</v>
      </c>
      <c r="CU926" s="17" t="s">
        <v>196</v>
      </c>
      <c r="CV926" s="19">
        <v>70</v>
      </c>
      <c r="CW926" s="19">
        <v>30</v>
      </c>
      <c r="CX926" s="17" t="s">
        <v>294</v>
      </c>
      <c r="CY926" s="19">
        <v>1</v>
      </c>
      <c r="CZ926" s="19">
        <v>69</v>
      </c>
      <c r="DA926" s="24" t="s">
        <v>151</v>
      </c>
      <c r="DB926" s="22" t="s">
        <v>151</v>
      </c>
      <c r="DC926" s="17" t="s">
        <v>151</v>
      </c>
      <c r="DD926" s="16" t="s">
        <v>151</v>
      </c>
      <c r="DE926" s="19">
        <v>2.07</v>
      </c>
      <c r="DF926" s="21">
        <v>98</v>
      </c>
      <c r="DG926" s="19">
        <v>0</v>
      </c>
      <c r="DH926" s="19">
        <v>0</v>
      </c>
      <c r="DI926" s="19">
        <v>0.94</v>
      </c>
      <c r="DJ926" s="21">
        <v>96</v>
      </c>
      <c r="DK926" s="19" t="s">
        <v>151</v>
      </c>
      <c r="DL926" s="21" t="s">
        <v>151</v>
      </c>
      <c r="DM926" s="19">
        <v>0.94</v>
      </c>
      <c r="DN926" s="21">
        <v>96</v>
      </c>
      <c r="DO926" s="23">
        <v>8.01</v>
      </c>
      <c r="DP926" s="21">
        <v>88</v>
      </c>
      <c r="DQ926" s="23">
        <v>0</v>
      </c>
      <c r="DR926" s="19">
        <v>0</v>
      </c>
      <c r="DS926" s="23">
        <v>13.95</v>
      </c>
      <c r="DT926" s="21">
        <v>93</v>
      </c>
      <c r="DU926" s="23" t="s">
        <v>151</v>
      </c>
      <c r="DV926" s="21" t="s">
        <v>151</v>
      </c>
      <c r="DW926" s="23">
        <v>13.95</v>
      </c>
      <c r="DX926" s="21">
        <v>93</v>
      </c>
      <c r="DY926" s="18" t="s">
        <v>151</v>
      </c>
      <c r="DZ926" s="22" t="s">
        <v>151</v>
      </c>
      <c r="EA926" s="22" t="s">
        <v>151</v>
      </c>
      <c r="EB926" s="21">
        <v>4992</v>
      </c>
      <c r="EC926" s="20">
        <v>411</v>
      </c>
      <c r="ED926" s="19">
        <v>8.97</v>
      </c>
      <c r="EE926" s="21">
        <v>265</v>
      </c>
      <c r="EF926" s="20">
        <v>1</v>
      </c>
      <c r="EG926" s="19">
        <v>0.38</v>
      </c>
      <c r="EH926" s="16" t="s">
        <v>198</v>
      </c>
      <c r="EI926" s="17" t="s">
        <v>151</v>
      </c>
      <c r="EJ926" s="17" t="s">
        <v>151</v>
      </c>
      <c r="EK926" s="18" t="s">
        <v>151</v>
      </c>
      <c r="EL926" s="18" t="s">
        <v>151</v>
      </c>
      <c r="EM926" s="18" t="s">
        <v>151</v>
      </c>
      <c r="EN926" s="18" t="s">
        <v>151</v>
      </c>
      <c r="EO926" s="18" t="s">
        <v>151</v>
      </c>
      <c r="EP926" s="17" t="s">
        <v>151</v>
      </c>
      <c r="EQ926" s="16" t="s">
        <v>151</v>
      </c>
      <c r="ER926" s="16" t="s">
        <v>151</v>
      </c>
      <c r="ES926" s="3">
        <f>HYPERLINK("https://my.pitchbook.com?c=493816-15","View Company Online")</f>
      </c>
    </row>
    <row r="927">
      <c r="A927" s="30" t="s">
        <v>18706</v>
      </c>
      <c r="B927" s="30" t="s">
        <v>18707</v>
      </c>
      <c r="C927" s="31" t="s">
        <v>151</v>
      </c>
      <c r="D927" s="30" t="s">
        <v>151</v>
      </c>
      <c r="E927" s="30" t="s">
        <v>151</v>
      </c>
      <c r="F927" s="30" t="s">
        <v>18708</v>
      </c>
      <c r="G927" s="30" t="s">
        <v>151</v>
      </c>
      <c r="H927" s="30" t="s">
        <v>151</v>
      </c>
      <c r="I927" s="30" t="s">
        <v>18709</v>
      </c>
      <c r="J927" s="30" t="s">
        <v>18706</v>
      </c>
      <c r="K927" s="30" t="s">
        <v>18710</v>
      </c>
      <c r="L927" s="30" t="s">
        <v>205</v>
      </c>
      <c r="M927" s="30" t="s">
        <v>206</v>
      </c>
      <c r="N927" s="30" t="s">
        <v>1268</v>
      </c>
      <c r="O927" s="30" t="s">
        <v>2129</v>
      </c>
      <c r="P927" s="30" t="s">
        <v>209</v>
      </c>
      <c r="Q927" s="30" t="s">
        <v>18711</v>
      </c>
      <c r="R927" s="30" t="s">
        <v>11857</v>
      </c>
      <c r="S927" s="30" t="s">
        <v>162</v>
      </c>
      <c r="T927" s="37">
        <v>6.5</v>
      </c>
      <c r="U927" s="30" t="s">
        <v>163</v>
      </c>
      <c r="V927" s="30" t="s">
        <v>164</v>
      </c>
      <c r="W927" s="30" t="s">
        <v>165</v>
      </c>
      <c r="X927" s="28" t="s">
        <v>18712</v>
      </c>
      <c r="Y927" s="28" t="s">
        <v>18713</v>
      </c>
      <c r="Z927" s="40">
        <v>2</v>
      </c>
      <c r="AA927" s="30" t="s">
        <v>18714</v>
      </c>
      <c r="AB927" s="30" t="s">
        <v>151</v>
      </c>
      <c r="AC927" s="30" t="s">
        <v>151</v>
      </c>
      <c r="AD927" s="39">
        <v>2021</v>
      </c>
      <c r="AE927" s="30" t="s">
        <v>151</v>
      </c>
      <c r="AF927" s="35">
        <v>45384</v>
      </c>
      <c r="AG927" s="30" t="s">
        <v>151</v>
      </c>
      <c r="AH927" s="30" t="s">
        <v>151</v>
      </c>
      <c r="AI927" s="38" t="s">
        <v>151</v>
      </c>
      <c r="AJ927" s="32" t="s">
        <v>151</v>
      </c>
      <c r="AK927" s="38" t="s">
        <v>151</v>
      </c>
      <c r="AL927" s="38" t="s">
        <v>151</v>
      </c>
      <c r="AM927" s="38" t="s">
        <v>151</v>
      </c>
      <c r="AN927" s="38" t="s">
        <v>151</v>
      </c>
      <c r="AO927" s="38" t="s">
        <v>151</v>
      </c>
      <c r="AP927" s="38" t="s">
        <v>151</v>
      </c>
      <c r="AQ927" s="38" t="s">
        <v>151</v>
      </c>
      <c r="AR927" s="29" t="s">
        <v>151</v>
      </c>
      <c r="AS927" s="30" t="s">
        <v>18715</v>
      </c>
      <c r="AT927" s="30" t="s">
        <v>18716</v>
      </c>
      <c r="AU927" s="31">
        <v>6</v>
      </c>
      <c r="AV927" s="30" t="s">
        <v>151</v>
      </c>
      <c r="AW927" s="30" t="s">
        <v>151</v>
      </c>
      <c r="AX927" s="30" t="s">
        <v>151</v>
      </c>
      <c r="AY927" s="30" t="s">
        <v>18717</v>
      </c>
      <c r="AZ927" s="30" t="s">
        <v>151</v>
      </c>
      <c r="BA927" s="30" t="s">
        <v>151</v>
      </c>
      <c r="BB927" s="30" t="s">
        <v>151</v>
      </c>
      <c r="BC927" s="30" t="s">
        <v>151</v>
      </c>
      <c r="BD927" s="30" t="s">
        <v>18718</v>
      </c>
      <c r="BE927" s="30" t="s">
        <v>18719</v>
      </c>
      <c r="BF927" s="30" t="s">
        <v>18720</v>
      </c>
      <c r="BG927" s="30" t="s">
        <v>18721</v>
      </c>
      <c r="BH927" s="30" t="s">
        <v>18722</v>
      </c>
      <c r="BI927" s="30" t="s">
        <v>906</v>
      </c>
      <c r="BJ927" s="30" t="s">
        <v>18723</v>
      </c>
      <c r="BK927" s="30" t="s">
        <v>18724</v>
      </c>
      <c r="BL927" s="30" t="s">
        <v>259</v>
      </c>
      <c r="BM927" s="30" t="s">
        <v>259</v>
      </c>
      <c r="BN927" s="29" t="s">
        <v>18099</v>
      </c>
      <c r="BO927" s="30" t="s">
        <v>186</v>
      </c>
      <c r="BP927" s="29" t="s">
        <v>151</v>
      </c>
      <c r="BQ927" s="29" t="s">
        <v>151</v>
      </c>
      <c r="BR927" s="30" t="s">
        <v>151</v>
      </c>
      <c r="BS927" s="30" t="s">
        <v>187</v>
      </c>
      <c r="BT927" s="30" t="s">
        <v>188</v>
      </c>
      <c r="BU927" s="35">
        <v>44735</v>
      </c>
      <c r="BV927" s="37">
        <v>6.5</v>
      </c>
      <c r="BW927" s="30" t="s">
        <v>193</v>
      </c>
      <c r="BX927" s="37">
        <v>26.5</v>
      </c>
      <c r="BY927" s="30" t="s">
        <v>192</v>
      </c>
      <c r="BZ927" s="30" t="s">
        <v>293</v>
      </c>
      <c r="CA927" s="30" t="s">
        <v>293</v>
      </c>
      <c r="CB927" s="30" t="s">
        <v>151</v>
      </c>
      <c r="CC927" s="30" t="s">
        <v>165</v>
      </c>
      <c r="CD927" s="30" t="s">
        <v>151</v>
      </c>
      <c r="CE927" s="30" t="s">
        <v>191</v>
      </c>
      <c r="CF927" s="35">
        <v>44735</v>
      </c>
      <c r="CG927" s="37">
        <v>6.5</v>
      </c>
      <c r="CH927" s="30" t="s">
        <v>193</v>
      </c>
      <c r="CI927" s="37">
        <v>26.5</v>
      </c>
      <c r="CJ927" s="30" t="s">
        <v>192</v>
      </c>
      <c r="CK927" s="29" t="s">
        <v>151</v>
      </c>
      <c r="CL927" s="30" t="s">
        <v>293</v>
      </c>
      <c r="CM927" s="30" t="s">
        <v>293</v>
      </c>
      <c r="CN927" s="30" t="s">
        <v>151</v>
      </c>
      <c r="CO927" s="30" t="s">
        <v>165</v>
      </c>
      <c r="CP927" s="35">
        <v>44735</v>
      </c>
      <c r="CQ927" s="37" t="s">
        <v>151</v>
      </c>
      <c r="CR927" s="30" t="s">
        <v>151</v>
      </c>
      <c r="CS927" s="30" t="s">
        <v>191</v>
      </c>
      <c r="CT927" s="29" t="s">
        <v>151</v>
      </c>
      <c r="CU927" s="30" t="s">
        <v>151</v>
      </c>
      <c r="CV927" s="32" t="s">
        <v>151</v>
      </c>
      <c r="CW927" s="32" t="s">
        <v>151</v>
      </c>
      <c r="CX927" s="30" t="s">
        <v>151</v>
      </c>
      <c r="CY927" s="32" t="s">
        <v>151</v>
      </c>
      <c r="CZ927" s="32" t="s">
        <v>151</v>
      </c>
      <c r="DA927" s="37">
        <v>26.5</v>
      </c>
      <c r="DB927" s="35">
        <v>44735</v>
      </c>
      <c r="DC927" s="30" t="s">
        <v>293</v>
      </c>
      <c r="DD927" s="29" t="s">
        <v>151</v>
      </c>
      <c r="DE927" s="32">
        <v>0</v>
      </c>
      <c r="DF927" s="34">
        <v>11</v>
      </c>
      <c r="DG927" s="32">
        <v>0</v>
      </c>
      <c r="DH927" s="32">
        <v>0</v>
      </c>
      <c r="DI927" s="32" t="s">
        <v>151</v>
      </c>
      <c r="DJ927" s="34" t="s">
        <v>151</v>
      </c>
      <c r="DK927" s="32" t="s">
        <v>151</v>
      </c>
      <c r="DL927" s="34" t="s">
        <v>151</v>
      </c>
      <c r="DM927" s="32" t="s">
        <v>151</v>
      </c>
      <c r="DN927" s="34" t="s">
        <v>151</v>
      </c>
      <c r="DO927" s="36">
        <v>0.15</v>
      </c>
      <c r="DP927" s="34">
        <v>9</v>
      </c>
      <c r="DQ927" s="36">
        <v>0</v>
      </c>
      <c r="DR927" s="32">
        <v>0</v>
      </c>
      <c r="DS927" s="36" t="s">
        <v>151</v>
      </c>
      <c r="DT927" s="34" t="s">
        <v>151</v>
      </c>
      <c r="DU927" s="36" t="s">
        <v>151</v>
      </c>
      <c r="DV927" s="34" t="s">
        <v>151</v>
      </c>
      <c r="DW927" s="36" t="s">
        <v>151</v>
      </c>
      <c r="DX927" s="34" t="s">
        <v>151</v>
      </c>
      <c r="DY927" s="31" t="s">
        <v>151</v>
      </c>
      <c r="DZ927" s="35" t="s">
        <v>151</v>
      </c>
      <c r="EA927" s="35" t="s">
        <v>151</v>
      </c>
      <c r="EB927" s="34">
        <v>124</v>
      </c>
      <c r="EC927" s="33">
        <v>21</v>
      </c>
      <c r="ED927" s="32">
        <v>20.39</v>
      </c>
      <c r="EE927" s="34" t="s">
        <v>151</v>
      </c>
      <c r="EF927" s="33" t="s">
        <v>151</v>
      </c>
      <c r="EG927" s="32" t="s">
        <v>151</v>
      </c>
      <c r="EH927" s="29" t="s">
        <v>198</v>
      </c>
      <c r="EI927" s="30" t="s">
        <v>151</v>
      </c>
      <c r="EJ927" s="30" t="s">
        <v>151</v>
      </c>
      <c r="EK927" s="31" t="s">
        <v>151</v>
      </c>
      <c r="EL927" s="31" t="s">
        <v>151</v>
      </c>
      <c r="EM927" s="31" t="s">
        <v>151</v>
      </c>
      <c r="EN927" s="31" t="s">
        <v>151</v>
      </c>
      <c r="EO927" s="31" t="s">
        <v>151</v>
      </c>
      <c r="EP927" s="30" t="s">
        <v>151</v>
      </c>
      <c r="EQ927" s="29" t="s">
        <v>151</v>
      </c>
      <c r="ER927" s="29" t="s">
        <v>151</v>
      </c>
      <c r="ES927" s="4">
        <f>HYPERLINK("https://my.pitchbook.com?c=494615-80","View Company Online")</f>
      </c>
    </row>
    <row r="928">
      <c r="A928" s="17" t="s">
        <v>18725</v>
      </c>
      <c r="B928" s="17" t="s">
        <v>18726</v>
      </c>
      <c r="C928" s="18" t="s">
        <v>151</v>
      </c>
      <c r="D928" s="17" t="s">
        <v>151</v>
      </c>
      <c r="E928" s="17" t="s">
        <v>18727</v>
      </c>
      <c r="F928" s="17" t="s">
        <v>18728</v>
      </c>
      <c r="G928" s="17" t="s">
        <v>151</v>
      </c>
      <c r="H928" s="17" t="s">
        <v>151</v>
      </c>
      <c r="I928" s="17" t="s">
        <v>5550</v>
      </c>
      <c r="J928" s="17" t="s">
        <v>18725</v>
      </c>
      <c r="K928" s="17" t="s">
        <v>18729</v>
      </c>
      <c r="L928" s="17" t="s">
        <v>205</v>
      </c>
      <c r="M928" s="17" t="s">
        <v>206</v>
      </c>
      <c r="N928" s="17" t="s">
        <v>1268</v>
      </c>
      <c r="O928" s="17" t="s">
        <v>2129</v>
      </c>
      <c r="P928" s="17" t="s">
        <v>2130</v>
      </c>
      <c r="Q928" s="17" t="s">
        <v>18730</v>
      </c>
      <c r="R928" s="17" t="s">
        <v>151</v>
      </c>
      <c r="S928" s="17" t="s">
        <v>162</v>
      </c>
      <c r="T928" s="24">
        <v>4.5</v>
      </c>
      <c r="U928" s="17" t="s">
        <v>163</v>
      </c>
      <c r="V928" s="17" t="s">
        <v>164</v>
      </c>
      <c r="W928" s="17" t="s">
        <v>165</v>
      </c>
      <c r="X928" s="15" t="s">
        <v>18731</v>
      </c>
      <c r="Y928" s="15" t="s">
        <v>18732</v>
      </c>
      <c r="Z928" s="27">
        <v>19</v>
      </c>
      <c r="AA928" s="17" t="s">
        <v>4064</v>
      </c>
      <c r="AB928" s="17" t="s">
        <v>151</v>
      </c>
      <c r="AC928" s="17" t="s">
        <v>151</v>
      </c>
      <c r="AD928" s="26">
        <v>2022</v>
      </c>
      <c r="AE928" s="17" t="s">
        <v>151</v>
      </c>
      <c r="AF928" s="22">
        <v>45595</v>
      </c>
      <c r="AG928" s="17" t="s">
        <v>151</v>
      </c>
      <c r="AH928" s="17" t="s">
        <v>151</v>
      </c>
      <c r="AI928" s="25" t="s">
        <v>151</v>
      </c>
      <c r="AJ928" s="19" t="s">
        <v>151</v>
      </c>
      <c r="AK928" s="25" t="s">
        <v>151</v>
      </c>
      <c r="AL928" s="25" t="s">
        <v>151</v>
      </c>
      <c r="AM928" s="25" t="s">
        <v>151</v>
      </c>
      <c r="AN928" s="25" t="s">
        <v>151</v>
      </c>
      <c r="AO928" s="25" t="s">
        <v>151</v>
      </c>
      <c r="AP928" s="25" t="s">
        <v>151</v>
      </c>
      <c r="AQ928" s="25" t="s">
        <v>151</v>
      </c>
      <c r="AR928" s="16" t="s">
        <v>151</v>
      </c>
      <c r="AS928" s="17" t="s">
        <v>18733</v>
      </c>
      <c r="AT928" s="17" t="s">
        <v>18734</v>
      </c>
      <c r="AU928" s="18">
        <v>9</v>
      </c>
      <c r="AV928" s="17" t="s">
        <v>151</v>
      </c>
      <c r="AW928" s="17" t="s">
        <v>151</v>
      </c>
      <c r="AX928" s="17" t="s">
        <v>151</v>
      </c>
      <c r="AY928" s="17" t="s">
        <v>18735</v>
      </c>
      <c r="AZ928" s="17" t="s">
        <v>151</v>
      </c>
      <c r="BA928" s="17" t="s">
        <v>151</v>
      </c>
      <c r="BB928" s="17" t="s">
        <v>151</v>
      </c>
      <c r="BC928" s="17" t="s">
        <v>151</v>
      </c>
      <c r="BD928" s="17" t="s">
        <v>18736</v>
      </c>
      <c r="BE928" s="17" t="s">
        <v>18737</v>
      </c>
      <c r="BF928" s="17" t="s">
        <v>493</v>
      </c>
      <c r="BG928" s="17" t="s">
        <v>18738</v>
      </c>
      <c r="BH928" s="17" t="s">
        <v>18739</v>
      </c>
      <c r="BI928" s="17" t="s">
        <v>906</v>
      </c>
      <c r="BJ928" s="17" t="s">
        <v>18740</v>
      </c>
      <c r="BK928" s="17" t="s">
        <v>151</v>
      </c>
      <c r="BL928" s="17" t="s">
        <v>259</v>
      </c>
      <c r="BM928" s="17" t="s">
        <v>259</v>
      </c>
      <c r="BN928" s="16" t="s">
        <v>151</v>
      </c>
      <c r="BO928" s="17" t="s">
        <v>186</v>
      </c>
      <c r="BP928" s="16" t="s">
        <v>18741</v>
      </c>
      <c r="BQ928" s="16" t="s">
        <v>151</v>
      </c>
      <c r="BR928" s="17" t="s">
        <v>18742</v>
      </c>
      <c r="BS928" s="17" t="s">
        <v>187</v>
      </c>
      <c r="BT928" s="17" t="s">
        <v>188</v>
      </c>
      <c r="BU928" s="22">
        <v>44994</v>
      </c>
      <c r="BV928" s="24">
        <v>4</v>
      </c>
      <c r="BW928" s="17" t="s">
        <v>192</v>
      </c>
      <c r="BX928" s="24">
        <v>10</v>
      </c>
      <c r="BY928" s="17" t="s">
        <v>192</v>
      </c>
      <c r="BZ928" s="17" t="s">
        <v>293</v>
      </c>
      <c r="CA928" s="17" t="s">
        <v>293</v>
      </c>
      <c r="CB928" s="17" t="s">
        <v>151</v>
      </c>
      <c r="CC928" s="17" t="s">
        <v>165</v>
      </c>
      <c r="CD928" s="17" t="s">
        <v>151</v>
      </c>
      <c r="CE928" s="17" t="s">
        <v>191</v>
      </c>
      <c r="CF928" s="22">
        <v>45383</v>
      </c>
      <c r="CG928" s="24">
        <v>0.5</v>
      </c>
      <c r="CH928" s="17" t="s">
        <v>192</v>
      </c>
      <c r="CI928" s="24" t="s">
        <v>151</v>
      </c>
      <c r="CJ928" s="17" t="s">
        <v>151</v>
      </c>
      <c r="CK928" s="16" t="s">
        <v>151</v>
      </c>
      <c r="CL928" s="17" t="s">
        <v>189</v>
      </c>
      <c r="CM928" s="17" t="s">
        <v>151</v>
      </c>
      <c r="CN928" s="17" t="s">
        <v>151</v>
      </c>
      <c r="CO928" s="17" t="s">
        <v>190</v>
      </c>
      <c r="CP928" s="22">
        <v>45383</v>
      </c>
      <c r="CQ928" s="24" t="s">
        <v>151</v>
      </c>
      <c r="CR928" s="17" t="s">
        <v>151</v>
      </c>
      <c r="CS928" s="17" t="s">
        <v>191</v>
      </c>
      <c r="CT928" s="16">
        <v>69</v>
      </c>
      <c r="CU928" s="17" t="s">
        <v>196</v>
      </c>
      <c r="CV928" s="19">
        <v>65</v>
      </c>
      <c r="CW928" s="19">
        <v>35</v>
      </c>
      <c r="CX928" s="17" t="s">
        <v>294</v>
      </c>
      <c r="CY928" s="19">
        <v>1</v>
      </c>
      <c r="CZ928" s="19">
        <v>64</v>
      </c>
      <c r="DA928" s="24">
        <v>10</v>
      </c>
      <c r="DB928" s="22">
        <v>44994</v>
      </c>
      <c r="DC928" s="17" t="s">
        <v>293</v>
      </c>
      <c r="DD928" s="16" t="s">
        <v>151</v>
      </c>
      <c r="DE928" s="19">
        <v>1.56</v>
      </c>
      <c r="DF928" s="21">
        <v>97</v>
      </c>
      <c r="DG928" s="19">
        <v>0</v>
      </c>
      <c r="DH928" s="19">
        <v>0</v>
      </c>
      <c r="DI928" s="19">
        <v>2.38</v>
      </c>
      <c r="DJ928" s="21">
        <v>99</v>
      </c>
      <c r="DK928" s="19" t="s">
        <v>151</v>
      </c>
      <c r="DL928" s="21" t="s">
        <v>151</v>
      </c>
      <c r="DM928" s="19">
        <v>2.38</v>
      </c>
      <c r="DN928" s="21">
        <v>99</v>
      </c>
      <c r="DO928" s="23">
        <v>3.88</v>
      </c>
      <c r="DP928" s="21">
        <v>79</v>
      </c>
      <c r="DQ928" s="23">
        <v>0</v>
      </c>
      <c r="DR928" s="19">
        <v>0</v>
      </c>
      <c r="DS928" s="23">
        <v>6.37</v>
      </c>
      <c r="DT928" s="21">
        <v>85</v>
      </c>
      <c r="DU928" s="23" t="s">
        <v>151</v>
      </c>
      <c r="DV928" s="21" t="s">
        <v>151</v>
      </c>
      <c r="DW928" s="23">
        <v>6.37</v>
      </c>
      <c r="DX928" s="21">
        <v>85</v>
      </c>
      <c r="DY928" s="18" t="s">
        <v>151</v>
      </c>
      <c r="DZ928" s="22" t="s">
        <v>151</v>
      </c>
      <c r="EA928" s="22" t="s">
        <v>151</v>
      </c>
      <c r="EB928" s="21">
        <v>331</v>
      </c>
      <c r="EC928" s="20">
        <v>-83</v>
      </c>
      <c r="ED928" s="19">
        <v>-20.05</v>
      </c>
      <c r="EE928" s="21">
        <v>121</v>
      </c>
      <c r="EF928" s="20">
        <v>2</v>
      </c>
      <c r="EG928" s="19">
        <v>1.68</v>
      </c>
      <c r="EH928" s="16" t="s">
        <v>198</v>
      </c>
      <c r="EI928" s="17" t="s">
        <v>151</v>
      </c>
      <c r="EJ928" s="17" t="s">
        <v>151</v>
      </c>
      <c r="EK928" s="18" t="s">
        <v>151</v>
      </c>
      <c r="EL928" s="18" t="s">
        <v>151</v>
      </c>
      <c r="EM928" s="18" t="s">
        <v>151</v>
      </c>
      <c r="EN928" s="18" t="s">
        <v>151</v>
      </c>
      <c r="EO928" s="18" t="s">
        <v>151</v>
      </c>
      <c r="EP928" s="17" t="s">
        <v>151</v>
      </c>
      <c r="EQ928" s="16" t="s">
        <v>151</v>
      </c>
      <c r="ER928" s="16" t="s">
        <v>151</v>
      </c>
      <c r="ES928" s="3">
        <f>HYPERLINK("https://my.pitchbook.com?c=509233-42","View Company Online")</f>
      </c>
    </row>
    <row r="929">
      <c r="A929" s="30" t="s">
        <v>18743</v>
      </c>
      <c r="B929" s="30" t="s">
        <v>18744</v>
      </c>
      <c r="C929" s="31" t="s">
        <v>151</v>
      </c>
      <c r="D929" s="30" t="s">
        <v>151</v>
      </c>
      <c r="E929" s="30" t="s">
        <v>151</v>
      </c>
      <c r="F929" s="30" t="s">
        <v>18745</v>
      </c>
      <c r="G929" s="30" t="s">
        <v>151</v>
      </c>
      <c r="H929" s="30" t="s">
        <v>151</v>
      </c>
      <c r="I929" s="30" t="s">
        <v>151</v>
      </c>
      <c r="J929" s="30" t="s">
        <v>18743</v>
      </c>
      <c r="K929" s="30" t="s">
        <v>18746</v>
      </c>
      <c r="L929" s="30" t="s">
        <v>616</v>
      </c>
      <c r="M929" s="30" t="s">
        <v>834</v>
      </c>
      <c r="N929" s="30" t="s">
        <v>835</v>
      </c>
      <c r="O929" s="30" t="s">
        <v>11797</v>
      </c>
      <c r="P929" s="30" t="s">
        <v>18747</v>
      </c>
      <c r="Q929" s="30" t="s">
        <v>18748</v>
      </c>
      <c r="R929" s="30" t="s">
        <v>151</v>
      </c>
      <c r="S929" s="30" t="s">
        <v>162</v>
      </c>
      <c r="T929" s="37">
        <v>5</v>
      </c>
      <c r="U929" s="30" t="s">
        <v>163</v>
      </c>
      <c r="V929" s="30" t="s">
        <v>164</v>
      </c>
      <c r="W929" s="30" t="s">
        <v>165</v>
      </c>
      <c r="X929" s="28" t="s">
        <v>18749</v>
      </c>
      <c r="Y929" s="28" t="s">
        <v>18750</v>
      </c>
      <c r="Z929" s="40">
        <v>44</v>
      </c>
      <c r="AA929" s="30" t="s">
        <v>18751</v>
      </c>
      <c r="AB929" s="30" t="s">
        <v>151</v>
      </c>
      <c r="AC929" s="30" t="s">
        <v>151</v>
      </c>
      <c r="AD929" s="39">
        <v>2021</v>
      </c>
      <c r="AE929" s="30" t="s">
        <v>151</v>
      </c>
      <c r="AF929" s="35">
        <v>45553</v>
      </c>
      <c r="AG929" s="30" t="s">
        <v>151</v>
      </c>
      <c r="AH929" s="30" t="s">
        <v>151</v>
      </c>
      <c r="AI929" s="38" t="s">
        <v>151</v>
      </c>
      <c r="AJ929" s="32" t="s">
        <v>151</v>
      </c>
      <c r="AK929" s="38" t="s">
        <v>151</v>
      </c>
      <c r="AL929" s="38" t="s">
        <v>151</v>
      </c>
      <c r="AM929" s="38" t="s">
        <v>151</v>
      </c>
      <c r="AN929" s="38" t="s">
        <v>151</v>
      </c>
      <c r="AO929" s="38" t="s">
        <v>151</v>
      </c>
      <c r="AP929" s="38" t="s">
        <v>151</v>
      </c>
      <c r="AQ929" s="38" t="s">
        <v>151</v>
      </c>
      <c r="AR929" s="29" t="s">
        <v>841</v>
      </c>
      <c r="AS929" s="30" t="s">
        <v>18752</v>
      </c>
      <c r="AT929" s="30" t="s">
        <v>18753</v>
      </c>
      <c r="AU929" s="31">
        <v>7</v>
      </c>
      <c r="AV929" s="30" t="s">
        <v>151</v>
      </c>
      <c r="AW929" s="30" t="s">
        <v>151</v>
      </c>
      <c r="AX929" s="30" t="s">
        <v>151</v>
      </c>
      <c r="AY929" s="30" t="s">
        <v>18754</v>
      </c>
      <c r="AZ929" s="30" t="s">
        <v>151</v>
      </c>
      <c r="BA929" s="30" t="s">
        <v>151</v>
      </c>
      <c r="BB929" s="30" t="s">
        <v>151</v>
      </c>
      <c r="BC929" s="30" t="s">
        <v>151</v>
      </c>
      <c r="BD929" s="30" t="s">
        <v>18755</v>
      </c>
      <c r="BE929" s="30" t="s">
        <v>18756</v>
      </c>
      <c r="BF929" s="30" t="s">
        <v>3087</v>
      </c>
      <c r="BG929" s="30" t="s">
        <v>18757</v>
      </c>
      <c r="BH929" s="30" t="s">
        <v>18758</v>
      </c>
      <c r="BI929" s="30" t="s">
        <v>12619</v>
      </c>
      <c r="BJ929" s="30" t="s">
        <v>18759</v>
      </c>
      <c r="BK929" s="30" t="s">
        <v>18760</v>
      </c>
      <c r="BL929" s="30" t="s">
        <v>12621</v>
      </c>
      <c r="BM929" s="30" t="s">
        <v>5821</v>
      </c>
      <c r="BN929" s="29" t="s">
        <v>151</v>
      </c>
      <c r="BO929" s="30" t="s">
        <v>186</v>
      </c>
      <c r="BP929" s="29" t="s">
        <v>151</v>
      </c>
      <c r="BQ929" s="29" t="s">
        <v>151</v>
      </c>
      <c r="BR929" s="30" t="s">
        <v>18761</v>
      </c>
      <c r="BS929" s="30" t="s">
        <v>187</v>
      </c>
      <c r="BT929" s="30" t="s">
        <v>188</v>
      </c>
      <c r="BU929" s="35">
        <v>44551</v>
      </c>
      <c r="BV929" s="37">
        <v>5</v>
      </c>
      <c r="BW929" s="30" t="s">
        <v>192</v>
      </c>
      <c r="BX929" s="37" t="s">
        <v>151</v>
      </c>
      <c r="BY929" s="30" t="s">
        <v>151</v>
      </c>
      <c r="BZ929" s="30" t="s">
        <v>293</v>
      </c>
      <c r="CA929" s="30" t="s">
        <v>293</v>
      </c>
      <c r="CB929" s="30" t="s">
        <v>151</v>
      </c>
      <c r="CC929" s="30" t="s">
        <v>165</v>
      </c>
      <c r="CD929" s="30" t="s">
        <v>151</v>
      </c>
      <c r="CE929" s="30" t="s">
        <v>191</v>
      </c>
      <c r="CF929" s="35">
        <v>44792</v>
      </c>
      <c r="CG929" s="37" t="s">
        <v>151</v>
      </c>
      <c r="CH929" s="30" t="s">
        <v>151</v>
      </c>
      <c r="CI929" s="37" t="s">
        <v>151</v>
      </c>
      <c r="CJ929" s="30" t="s">
        <v>151</v>
      </c>
      <c r="CK929" s="29" t="s">
        <v>151</v>
      </c>
      <c r="CL929" s="30" t="s">
        <v>293</v>
      </c>
      <c r="CM929" s="30" t="s">
        <v>293</v>
      </c>
      <c r="CN929" s="30" t="s">
        <v>151</v>
      </c>
      <c r="CO929" s="30" t="s">
        <v>165</v>
      </c>
      <c r="CP929" s="35">
        <v>44792</v>
      </c>
      <c r="CQ929" s="37" t="s">
        <v>151</v>
      </c>
      <c r="CR929" s="30" t="s">
        <v>151</v>
      </c>
      <c r="CS929" s="30" t="s">
        <v>191</v>
      </c>
      <c r="CT929" s="29">
        <v>59</v>
      </c>
      <c r="CU929" s="30" t="s">
        <v>196</v>
      </c>
      <c r="CV929" s="32">
        <v>56</v>
      </c>
      <c r="CW929" s="32">
        <v>44</v>
      </c>
      <c r="CX929" s="30" t="s">
        <v>294</v>
      </c>
      <c r="CY929" s="32">
        <v>1</v>
      </c>
      <c r="CZ929" s="32">
        <v>55</v>
      </c>
      <c r="DA929" s="37" t="s">
        <v>151</v>
      </c>
      <c r="DB929" s="35" t="s">
        <v>151</v>
      </c>
      <c r="DC929" s="30" t="s">
        <v>151</v>
      </c>
      <c r="DD929" s="29" t="s">
        <v>151</v>
      </c>
      <c r="DE929" s="32">
        <v>-0.56</v>
      </c>
      <c r="DF929" s="34">
        <v>7</v>
      </c>
      <c r="DG929" s="32">
        <v>0</v>
      </c>
      <c r="DH929" s="32">
        <v>0</v>
      </c>
      <c r="DI929" s="32">
        <v>-0.56</v>
      </c>
      <c r="DJ929" s="34">
        <v>6</v>
      </c>
      <c r="DK929" s="32" t="s">
        <v>151</v>
      </c>
      <c r="DL929" s="34" t="s">
        <v>151</v>
      </c>
      <c r="DM929" s="32">
        <v>-0.56</v>
      </c>
      <c r="DN929" s="34">
        <v>6</v>
      </c>
      <c r="DO929" s="36">
        <v>35.58</v>
      </c>
      <c r="DP929" s="34">
        <v>97</v>
      </c>
      <c r="DQ929" s="36">
        <v>0</v>
      </c>
      <c r="DR929" s="32">
        <v>0</v>
      </c>
      <c r="DS929" s="36">
        <v>35.58</v>
      </c>
      <c r="DT929" s="34">
        <v>97</v>
      </c>
      <c r="DU929" s="36" t="s">
        <v>151</v>
      </c>
      <c r="DV929" s="34" t="s">
        <v>151</v>
      </c>
      <c r="DW929" s="36">
        <v>35.58</v>
      </c>
      <c r="DX929" s="34">
        <v>97</v>
      </c>
      <c r="DY929" s="31">
        <v>1</v>
      </c>
      <c r="DZ929" s="35">
        <v>44775</v>
      </c>
      <c r="EA929" s="35" t="s">
        <v>151</v>
      </c>
      <c r="EB929" s="34">
        <v>4932</v>
      </c>
      <c r="EC929" s="33">
        <v>-194</v>
      </c>
      <c r="ED929" s="32">
        <v>-3.78</v>
      </c>
      <c r="EE929" s="34">
        <v>676</v>
      </c>
      <c r="EF929" s="33">
        <v>-2</v>
      </c>
      <c r="EG929" s="32">
        <v>-0.29</v>
      </c>
      <c r="EH929" s="29" t="s">
        <v>198</v>
      </c>
      <c r="EI929" s="30" t="s">
        <v>151</v>
      </c>
      <c r="EJ929" s="30" t="s">
        <v>151</v>
      </c>
      <c r="EK929" s="31" t="s">
        <v>151</v>
      </c>
      <c r="EL929" s="31" t="s">
        <v>151</v>
      </c>
      <c r="EM929" s="31" t="s">
        <v>151</v>
      </c>
      <c r="EN929" s="31" t="s">
        <v>151</v>
      </c>
      <c r="EO929" s="31" t="s">
        <v>151</v>
      </c>
      <c r="EP929" s="30" t="s">
        <v>151</v>
      </c>
      <c r="EQ929" s="29" t="s">
        <v>151</v>
      </c>
      <c r="ER929" s="29" t="s">
        <v>151</v>
      </c>
      <c r="ES929" s="4">
        <f>HYPERLINK("https://my.pitchbook.com?c=481295-71","View Company Online")</f>
      </c>
    </row>
    <row r="930">
      <c r="A930" s="17" t="s">
        <v>18762</v>
      </c>
      <c r="B930" s="17" t="s">
        <v>18763</v>
      </c>
      <c r="C930" s="18" t="s">
        <v>151</v>
      </c>
      <c r="D930" s="17" t="s">
        <v>18764</v>
      </c>
      <c r="E930" s="17" t="s">
        <v>151</v>
      </c>
      <c r="F930" s="17" t="s">
        <v>18765</v>
      </c>
      <c r="G930" s="17" t="s">
        <v>151</v>
      </c>
      <c r="H930" s="17" t="s">
        <v>151</v>
      </c>
      <c r="I930" s="17" t="s">
        <v>151</v>
      </c>
      <c r="J930" s="17" t="s">
        <v>18762</v>
      </c>
      <c r="K930" s="17" t="s">
        <v>18766</v>
      </c>
      <c r="L930" s="17" t="s">
        <v>205</v>
      </c>
      <c r="M930" s="17" t="s">
        <v>8566</v>
      </c>
      <c r="N930" s="17" t="s">
        <v>8567</v>
      </c>
      <c r="O930" s="17" t="s">
        <v>18767</v>
      </c>
      <c r="P930" s="17" t="s">
        <v>18768</v>
      </c>
      <c r="Q930" s="17" t="s">
        <v>18769</v>
      </c>
      <c r="R930" s="17" t="s">
        <v>151</v>
      </c>
      <c r="S930" s="17" t="s">
        <v>162</v>
      </c>
      <c r="T930" s="24">
        <v>1.23</v>
      </c>
      <c r="U930" s="17" t="s">
        <v>163</v>
      </c>
      <c r="V930" s="17" t="s">
        <v>164</v>
      </c>
      <c r="W930" s="17" t="s">
        <v>165</v>
      </c>
      <c r="X930" s="15" t="s">
        <v>18770</v>
      </c>
      <c r="Y930" s="15" t="s">
        <v>18771</v>
      </c>
      <c r="Z930" s="27">
        <v>10</v>
      </c>
      <c r="AA930" s="17" t="s">
        <v>18772</v>
      </c>
      <c r="AB930" s="17" t="s">
        <v>151</v>
      </c>
      <c r="AC930" s="17" t="s">
        <v>151</v>
      </c>
      <c r="AD930" s="26">
        <v>2018</v>
      </c>
      <c r="AE930" s="17" t="s">
        <v>151</v>
      </c>
      <c r="AF930" s="22">
        <v>45566</v>
      </c>
      <c r="AG930" s="17" t="s">
        <v>151</v>
      </c>
      <c r="AH930" s="17" t="s">
        <v>151</v>
      </c>
      <c r="AI930" s="25" t="s">
        <v>151</v>
      </c>
      <c r="AJ930" s="19" t="s">
        <v>151</v>
      </c>
      <c r="AK930" s="25" t="s">
        <v>151</v>
      </c>
      <c r="AL930" s="25" t="s">
        <v>151</v>
      </c>
      <c r="AM930" s="25" t="s">
        <v>151</v>
      </c>
      <c r="AN930" s="25" t="s">
        <v>151</v>
      </c>
      <c r="AO930" s="25" t="s">
        <v>151</v>
      </c>
      <c r="AP930" s="25" t="s">
        <v>151</v>
      </c>
      <c r="AQ930" s="25" t="s">
        <v>151</v>
      </c>
      <c r="AR930" s="16" t="s">
        <v>151</v>
      </c>
      <c r="AS930" s="17" t="s">
        <v>18773</v>
      </c>
      <c r="AT930" s="17" t="s">
        <v>18774</v>
      </c>
      <c r="AU930" s="18">
        <v>10</v>
      </c>
      <c r="AV930" s="17" t="s">
        <v>151</v>
      </c>
      <c r="AW930" s="17" t="s">
        <v>151</v>
      </c>
      <c r="AX930" s="17" t="s">
        <v>151</v>
      </c>
      <c r="AY930" s="17" t="s">
        <v>18775</v>
      </c>
      <c r="AZ930" s="17" t="s">
        <v>151</v>
      </c>
      <c r="BA930" s="17" t="s">
        <v>151</v>
      </c>
      <c r="BB930" s="17" t="s">
        <v>2604</v>
      </c>
      <c r="BC930" s="17" t="s">
        <v>151</v>
      </c>
      <c r="BD930" s="17" t="s">
        <v>18776</v>
      </c>
      <c r="BE930" s="17" t="s">
        <v>18777</v>
      </c>
      <c r="BF930" s="17" t="s">
        <v>3400</v>
      </c>
      <c r="BG930" s="17" t="s">
        <v>18778</v>
      </c>
      <c r="BH930" s="17" t="s">
        <v>18779</v>
      </c>
      <c r="BI930" s="17" t="s">
        <v>2474</v>
      </c>
      <c r="BJ930" s="17" t="s">
        <v>18780</v>
      </c>
      <c r="BK930" s="17" t="s">
        <v>151</v>
      </c>
      <c r="BL930" s="17" t="s">
        <v>2477</v>
      </c>
      <c r="BM930" s="17" t="s">
        <v>636</v>
      </c>
      <c r="BN930" s="16" t="s">
        <v>18781</v>
      </c>
      <c r="BO930" s="17" t="s">
        <v>186</v>
      </c>
      <c r="BP930" s="16" t="s">
        <v>18779</v>
      </c>
      <c r="BQ930" s="16" t="s">
        <v>151</v>
      </c>
      <c r="BR930" s="17" t="s">
        <v>18782</v>
      </c>
      <c r="BS930" s="17" t="s">
        <v>187</v>
      </c>
      <c r="BT930" s="17" t="s">
        <v>188</v>
      </c>
      <c r="BU930" s="22">
        <v>43101</v>
      </c>
      <c r="BV930" s="24" t="s">
        <v>151</v>
      </c>
      <c r="BW930" s="17" t="s">
        <v>151</v>
      </c>
      <c r="BX930" s="24" t="s">
        <v>151</v>
      </c>
      <c r="BY930" s="17" t="s">
        <v>151</v>
      </c>
      <c r="BZ930" s="17" t="s">
        <v>660</v>
      </c>
      <c r="CA930" s="17" t="s">
        <v>151</v>
      </c>
      <c r="CB930" s="17" t="s">
        <v>151</v>
      </c>
      <c r="CC930" s="17" t="s">
        <v>385</v>
      </c>
      <c r="CD930" s="17" t="s">
        <v>151</v>
      </c>
      <c r="CE930" s="17" t="s">
        <v>191</v>
      </c>
      <c r="CF930" s="22">
        <v>45021</v>
      </c>
      <c r="CG930" s="24">
        <v>1</v>
      </c>
      <c r="CH930" s="17" t="s">
        <v>192</v>
      </c>
      <c r="CI930" s="24" t="s">
        <v>151</v>
      </c>
      <c r="CJ930" s="17" t="s">
        <v>151</v>
      </c>
      <c r="CK930" s="16" t="s">
        <v>151</v>
      </c>
      <c r="CL930" s="17" t="s">
        <v>501</v>
      </c>
      <c r="CM930" s="17" t="s">
        <v>151</v>
      </c>
      <c r="CN930" s="17" t="s">
        <v>151</v>
      </c>
      <c r="CO930" s="17" t="s">
        <v>190</v>
      </c>
      <c r="CP930" s="22">
        <v>45021</v>
      </c>
      <c r="CQ930" s="24" t="s">
        <v>151</v>
      </c>
      <c r="CR930" s="17" t="s">
        <v>151</v>
      </c>
      <c r="CS930" s="17" t="s">
        <v>191</v>
      </c>
      <c r="CT930" s="16">
        <v>49</v>
      </c>
      <c r="CU930" s="17" t="s">
        <v>263</v>
      </c>
      <c r="CV930" s="19">
        <v>47</v>
      </c>
      <c r="CW930" s="19">
        <v>53</v>
      </c>
      <c r="CX930" s="17" t="s">
        <v>263</v>
      </c>
      <c r="CY930" s="19">
        <v>1</v>
      </c>
      <c r="CZ930" s="19">
        <v>46</v>
      </c>
      <c r="DA930" s="24" t="s">
        <v>151</v>
      </c>
      <c r="DB930" s="22" t="s">
        <v>151</v>
      </c>
      <c r="DC930" s="17" t="s">
        <v>151</v>
      </c>
      <c r="DD930" s="16" t="s">
        <v>151</v>
      </c>
      <c r="DE930" s="19">
        <v>0</v>
      </c>
      <c r="DF930" s="21">
        <v>11</v>
      </c>
      <c r="DG930" s="19">
        <v>0</v>
      </c>
      <c r="DH930" s="19">
        <v>0</v>
      </c>
      <c r="DI930" s="19">
        <v>0</v>
      </c>
      <c r="DJ930" s="21">
        <v>10</v>
      </c>
      <c r="DK930" s="19" t="s">
        <v>151</v>
      </c>
      <c r="DL930" s="21" t="s">
        <v>151</v>
      </c>
      <c r="DM930" s="19">
        <v>0</v>
      </c>
      <c r="DN930" s="21">
        <v>10</v>
      </c>
      <c r="DO930" s="23">
        <v>1.46</v>
      </c>
      <c r="DP930" s="21">
        <v>59</v>
      </c>
      <c r="DQ930" s="23">
        <v>0</v>
      </c>
      <c r="DR930" s="19">
        <v>0</v>
      </c>
      <c r="DS930" s="23">
        <v>2.16</v>
      </c>
      <c r="DT930" s="21">
        <v>68</v>
      </c>
      <c r="DU930" s="23" t="s">
        <v>151</v>
      </c>
      <c r="DV930" s="21" t="s">
        <v>151</v>
      </c>
      <c r="DW930" s="23">
        <v>2.16</v>
      </c>
      <c r="DX930" s="21">
        <v>67</v>
      </c>
      <c r="DY930" s="18" t="s">
        <v>151</v>
      </c>
      <c r="DZ930" s="22" t="s">
        <v>151</v>
      </c>
      <c r="EA930" s="22" t="s">
        <v>151</v>
      </c>
      <c r="EB930" s="21">
        <v>281</v>
      </c>
      <c r="EC930" s="20">
        <v>6</v>
      </c>
      <c r="ED930" s="19">
        <v>2.18</v>
      </c>
      <c r="EE930" s="21">
        <v>41</v>
      </c>
      <c r="EF930" s="20">
        <v>0</v>
      </c>
      <c r="EG930" s="19">
        <v>0</v>
      </c>
      <c r="EH930" s="16" t="s">
        <v>198</v>
      </c>
      <c r="EI930" s="17" t="s">
        <v>151</v>
      </c>
      <c r="EJ930" s="17" t="s">
        <v>151</v>
      </c>
      <c r="EK930" s="18" t="s">
        <v>151</v>
      </c>
      <c r="EL930" s="18" t="s">
        <v>151</v>
      </c>
      <c r="EM930" s="18" t="s">
        <v>151</v>
      </c>
      <c r="EN930" s="18" t="s">
        <v>151</v>
      </c>
      <c r="EO930" s="18" t="s">
        <v>151</v>
      </c>
      <c r="EP930" s="17" t="s">
        <v>151</v>
      </c>
      <c r="EQ930" s="16" t="s">
        <v>151</v>
      </c>
      <c r="ER930" s="16" t="s">
        <v>151</v>
      </c>
      <c r="ES930" s="3">
        <f>HYPERLINK("https://my.pitchbook.com?c=459704-17","View Company Online")</f>
      </c>
    </row>
    <row r="931">
      <c r="A931" s="30" t="s">
        <v>18783</v>
      </c>
      <c r="B931" s="30" t="s">
        <v>18784</v>
      </c>
      <c r="C931" s="31" t="s">
        <v>151</v>
      </c>
      <c r="D931" s="30" t="s">
        <v>151</v>
      </c>
      <c r="E931" s="30" t="s">
        <v>151</v>
      </c>
      <c r="F931" s="30" t="s">
        <v>18785</v>
      </c>
      <c r="G931" s="30" t="s">
        <v>151</v>
      </c>
      <c r="H931" s="30" t="s">
        <v>151</v>
      </c>
      <c r="I931" s="30" t="s">
        <v>151</v>
      </c>
      <c r="J931" s="30" t="s">
        <v>18783</v>
      </c>
      <c r="K931" s="30" t="s">
        <v>18786</v>
      </c>
      <c r="L931" s="30" t="s">
        <v>155</v>
      </c>
      <c r="M931" s="30" t="s">
        <v>361</v>
      </c>
      <c r="N931" s="30" t="s">
        <v>6493</v>
      </c>
      <c r="O931" s="30" t="s">
        <v>18787</v>
      </c>
      <c r="P931" s="30" t="s">
        <v>18788</v>
      </c>
      <c r="Q931" s="30" t="s">
        <v>18789</v>
      </c>
      <c r="R931" s="30" t="s">
        <v>151</v>
      </c>
      <c r="S931" s="30" t="s">
        <v>162</v>
      </c>
      <c r="T931" s="37">
        <v>2.97</v>
      </c>
      <c r="U931" s="30" t="s">
        <v>163</v>
      </c>
      <c r="V931" s="30" t="s">
        <v>164</v>
      </c>
      <c r="W931" s="30" t="s">
        <v>165</v>
      </c>
      <c r="X931" s="28" t="s">
        <v>18790</v>
      </c>
      <c r="Y931" s="28" t="s">
        <v>18791</v>
      </c>
      <c r="Z931" s="40" t="s">
        <v>151</v>
      </c>
      <c r="AA931" s="30" t="s">
        <v>151</v>
      </c>
      <c r="AB931" s="30" t="s">
        <v>151</v>
      </c>
      <c r="AC931" s="30" t="s">
        <v>151</v>
      </c>
      <c r="AD931" s="39">
        <v>2022</v>
      </c>
      <c r="AE931" s="30" t="s">
        <v>151</v>
      </c>
      <c r="AF931" s="35">
        <v>45610</v>
      </c>
      <c r="AG931" s="30" t="s">
        <v>151</v>
      </c>
      <c r="AH931" s="30" t="s">
        <v>151</v>
      </c>
      <c r="AI931" s="38" t="s">
        <v>151</v>
      </c>
      <c r="AJ931" s="32" t="s">
        <v>151</v>
      </c>
      <c r="AK931" s="38" t="s">
        <v>151</v>
      </c>
      <c r="AL931" s="38" t="s">
        <v>151</v>
      </c>
      <c r="AM931" s="38" t="s">
        <v>151</v>
      </c>
      <c r="AN931" s="38" t="s">
        <v>151</v>
      </c>
      <c r="AO931" s="38" t="s">
        <v>151</v>
      </c>
      <c r="AP931" s="38" t="s">
        <v>151</v>
      </c>
      <c r="AQ931" s="38" t="s">
        <v>151</v>
      </c>
      <c r="AR931" s="29" t="s">
        <v>151</v>
      </c>
      <c r="AS931" s="30" t="s">
        <v>18792</v>
      </c>
      <c r="AT931" s="30" t="s">
        <v>18793</v>
      </c>
      <c r="AU931" s="31">
        <v>3</v>
      </c>
      <c r="AV931" s="30" t="s">
        <v>151</v>
      </c>
      <c r="AW931" s="30" t="s">
        <v>151</v>
      </c>
      <c r="AX931" s="30" t="s">
        <v>151</v>
      </c>
      <c r="AY931" s="30" t="s">
        <v>18794</v>
      </c>
      <c r="AZ931" s="30" t="s">
        <v>151</v>
      </c>
      <c r="BA931" s="30" t="s">
        <v>151</v>
      </c>
      <c r="BB931" s="30" t="s">
        <v>151</v>
      </c>
      <c r="BC931" s="30" t="s">
        <v>151</v>
      </c>
      <c r="BD931" s="30" t="s">
        <v>18795</v>
      </c>
      <c r="BE931" s="30" t="s">
        <v>18796</v>
      </c>
      <c r="BF931" s="30" t="s">
        <v>282</v>
      </c>
      <c r="BG931" s="30" t="s">
        <v>151</v>
      </c>
      <c r="BH931" s="30" t="s">
        <v>18797</v>
      </c>
      <c r="BI931" s="30" t="s">
        <v>2860</v>
      </c>
      <c r="BJ931" s="30" t="s">
        <v>18798</v>
      </c>
      <c r="BK931" s="30" t="s">
        <v>18799</v>
      </c>
      <c r="BL931" s="30" t="s">
        <v>2862</v>
      </c>
      <c r="BM931" s="30" t="s">
        <v>1337</v>
      </c>
      <c r="BN931" s="29" t="s">
        <v>2863</v>
      </c>
      <c r="BO931" s="30" t="s">
        <v>186</v>
      </c>
      <c r="BP931" s="29" t="s">
        <v>18797</v>
      </c>
      <c r="BQ931" s="29" t="s">
        <v>151</v>
      </c>
      <c r="BR931" s="30" t="s">
        <v>18800</v>
      </c>
      <c r="BS931" s="30" t="s">
        <v>187</v>
      </c>
      <c r="BT931" s="30" t="s">
        <v>188</v>
      </c>
      <c r="BU931" s="35">
        <v>45600</v>
      </c>
      <c r="BV931" s="37">
        <v>2.97</v>
      </c>
      <c r="BW931" s="30" t="s">
        <v>192</v>
      </c>
      <c r="BX931" s="37" t="s">
        <v>151</v>
      </c>
      <c r="BY931" s="30" t="s">
        <v>151</v>
      </c>
      <c r="BZ931" s="30" t="s">
        <v>231</v>
      </c>
      <c r="CA931" s="30" t="s">
        <v>151</v>
      </c>
      <c r="CB931" s="30" t="s">
        <v>151</v>
      </c>
      <c r="CC931" s="30" t="s">
        <v>165</v>
      </c>
      <c r="CD931" s="30" t="s">
        <v>151</v>
      </c>
      <c r="CE931" s="30" t="s">
        <v>191</v>
      </c>
      <c r="CF931" s="35">
        <v>45600</v>
      </c>
      <c r="CG931" s="37">
        <v>2.97</v>
      </c>
      <c r="CH931" s="30" t="s">
        <v>192</v>
      </c>
      <c r="CI931" s="37" t="s">
        <v>151</v>
      </c>
      <c r="CJ931" s="30" t="s">
        <v>151</v>
      </c>
      <c r="CK931" s="29" t="s">
        <v>151</v>
      </c>
      <c r="CL931" s="30" t="s">
        <v>231</v>
      </c>
      <c r="CM931" s="30" t="s">
        <v>151</v>
      </c>
      <c r="CN931" s="30" t="s">
        <v>151</v>
      </c>
      <c r="CO931" s="30" t="s">
        <v>165</v>
      </c>
      <c r="CP931" s="35">
        <v>45600</v>
      </c>
      <c r="CQ931" s="37" t="s">
        <v>151</v>
      </c>
      <c r="CR931" s="30" t="s">
        <v>151</v>
      </c>
      <c r="CS931" s="30" t="s">
        <v>191</v>
      </c>
      <c r="CT931" s="29" t="s">
        <v>151</v>
      </c>
      <c r="CU931" s="30" t="s">
        <v>151</v>
      </c>
      <c r="CV931" s="32" t="s">
        <v>151</v>
      </c>
      <c r="CW931" s="32" t="s">
        <v>151</v>
      </c>
      <c r="CX931" s="30" t="s">
        <v>151</v>
      </c>
      <c r="CY931" s="32" t="s">
        <v>151</v>
      </c>
      <c r="CZ931" s="32" t="s">
        <v>151</v>
      </c>
      <c r="DA931" s="37" t="s">
        <v>151</v>
      </c>
      <c r="DB931" s="35" t="s">
        <v>151</v>
      </c>
      <c r="DC931" s="30" t="s">
        <v>151</v>
      </c>
      <c r="DD931" s="29" t="s">
        <v>151</v>
      </c>
      <c r="DE931" s="32" t="s">
        <v>151</v>
      </c>
      <c r="DF931" s="34" t="s">
        <v>151</v>
      </c>
      <c r="DG931" s="32" t="s">
        <v>151</v>
      </c>
      <c r="DH931" s="32" t="s">
        <v>151</v>
      </c>
      <c r="DI931" s="32" t="s">
        <v>151</v>
      </c>
      <c r="DJ931" s="34" t="s">
        <v>151</v>
      </c>
      <c r="DK931" s="32" t="s">
        <v>151</v>
      </c>
      <c r="DL931" s="34" t="s">
        <v>151</v>
      </c>
      <c r="DM931" s="32" t="s">
        <v>151</v>
      </c>
      <c r="DN931" s="34" t="s">
        <v>151</v>
      </c>
      <c r="DO931" s="36" t="s">
        <v>151</v>
      </c>
      <c r="DP931" s="34" t="s">
        <v>151</v>
      </c>
      <c r="DQ931" s="36" t="s">
        <v>151</v>
      </c>
      <c r="DR931" s="32" t="s">
        <v>151</v>
      </c>
      <c r="DS931" s="36" t="s">
        <v>151</v>
      </c>
      <c r="DT931" s="34" t="s">
        <v>151</v>
      </c>
      <c r="DU931" s="36" t="s">
        <v>151</v>
      </c>
      <c r="DV931" s="34" t="s">
        <v>151</v>
      </c>
      <c r="DW931" s="36" t="s">
        <v>151</v>
      </c>
      <c r="DX931" s="34" t="s">
        <v>151</v>
      </c>
      <c r="DY931" s="31" t="s">
        <v>151</v>
      </c>
      <c r="DZ931" s="35" t="s">
        <v>151</v>
      </c>
      <c r="EA931" s="35" t="s">
        <v>151</v>
      </c>
      <c r="EB931" s="34" t="s">
        <v>151</v>
      </c>
      <c r="EC931" s="33" t="s">
        <v>151</v>
      </c>
      <c r="ED931" s="32" t="s">
        <v>151</v>
      </c>
      <c r="EE931" s="34" t="s">
        <v>151</v>
      </c>
      <c r="EF931" s="33" t="s">
        <v>151</v>
      </c>
      <c r="EG931" s="32" t="s">
        <v>151</v>
      </c>
      <c r="EH931" s="29" t="s">
        <v>198</v>
      </c>
      <c r="EI931" s="30" t="s">
        <v>151</v>
      </c>
      <c r="EJ931" s="30" t="s">
        <v>151</v>
      </c>
      <c r="EK931" s="31" t="s">
        <v>151</v>
      </c>
      <c r="EL931" s="31" t="s">
        <v>151</v>
      </c>
      <c r="EM931" s="31" t="s">
        <v>151</v>
      </c>
      <c r="EN931" s="31" t="s">
        <v>151</v>
      </c>
      <c r="EO931" s="31" t="s">
        <v>151</v>
      </c>
      <c r="EP931" s="30" t="s">
        <v>151</v>
      </c>
      <c r="EQ931" s="29" t="s">
        <v>151</v>
      </c>
      <c r="ER931" s="29" t="s">
        <v>151</v>
      </c>
      <c r="ES931" s="4">
        <f>HYPERLINK("https://my.pitchbook.com?c=539581-51","View Company Online")</f>
      </c>
    </row>
    <row r="932">
      <c r="A932" s="17" t="s">
        <v>18801</v>
      </c>
      <c r="B932" s="17" t="s">
        <v>18802</v>
      </c>
      <c r="C932" s="18" t="s">
        <v>151</v>
      </c>
      <c r="D932" s="17" t="s">
        <v>151</v>
      </c>
      <c r="E932" s="17" t="s">
        <v>18803</v>
      </c>
      <c r="F932" s="17" t="s">
        <v>18804</v>
      </c>
      <c r="G932" s="17" t="s">
        <v>151</v>
      </c>
      <c r="H932" s="17" t="s">
        <v>151</v>
      </c>
      <c r="I932" s="17" t="s">
        <v>151</v>
      </c>
      <c r="J932" s="17" t="s">
        <v>18801</v>
      </c>
      <c r="K932" s="17" t="s">
        <v>18805</v>
      </c>
      <c r="L932" s="17" t="s">
        <v>616</v>
      </c>
      <c r="M932" s="17" t="s">
        <v>834</v>
      </c>
      <c r="N932" s="17" t="s">
        <v>835</v>
      </c>
      <c r="O932" s="17" t="s">
        <v>4322</v>
      </c>
      <c r="P932" s="17" t="s">
        <v>151</v>
      </c>
      <c r="Q932" s="17" t="s">
        <v>18806</v>
      </c>
      <c r="R932" s="17" t="s">
        <v>151</v>
      </c>
      <c r="S932" s="17" t="s">
        <v>162</v>
      </c>
      <c r="T932" s="24">
        <v>0.55</v>
      </c>
      <c r="U932" s="17" t="s">
        <v>163</v>
      </c>
      <c r="V932" s="17" t="s">
        <v>164</v>
      </c>
      <c r="W932" s="17" t="s">
        <v>165</v>
      </c>
      <c r="X932" s="15" t="s">
        <v>18807</v>
      </c>
      <c r="Y932" s="15" t="s">
        <v>18808</v>
      </c>
      <c r="Z932" s="27">
        <v>10</v>
      </c>
      <c r="AA932" s="17" t="s">
        <v>18809</v>
      </c>
      <c r="AB932" s="17" t="s">
        <v>151</v>
      </c>
      <c r="AC932" s="17" t="s">
        <v>151</v>
      </c>
      <c r="AD932" s="26">
        <v>2019</v>
      </c>
      <c r="AE932" s="17" t="s">
        <v>151</v>
      </c>
      <c r="AF932" s="22">
        <v>45533</v>
      </c>
      <c r="AG932" s="17" t="s">
        <v>151</v>
      </c>
      <c r="AH932" s="17" t="s">
        <v>151</v>
      </c>
      <c r="AI932" s="25" t="s">
        <v>151</v>
      </c>
      <c r="AJ932" s="19" t="s">
        <v>151</v>
      </c>
      <c r="AK932" s="25" t="s">
        <v>151</v>
      </c>
      <c r="AL932" s="25" t="s">
        <v>151</v>
      </c>
      <c r="AM932" s="25" t="s">
        <v>151</v>
      </c>
      <c r="AN932" s="25" t="s">
        <v>151</v>
      </c>
      <c r="AO932" s="25" t="s">
        <v>151</v>
      </c>
      <c r="AP932" s="25" t="s">
        <v>151</v>
      </c>
      <c r="AQ932" s="25" t="s">
        <v>151</v>
      </c>
      <c r="AR932" s="16" t="s">
        <v>151</v>
      </c>
      <c r="AS932" s="17" t="s">
        <v>18810</v>
      </c>
      <c r="AT932" s="17" t="s">
        <v>18811</v>
      </c>
      <c r="AU932" s="18">
        <v>2</v>
      </c>
      <c r="AV932" s="17" t="s">
        <v>151</v>
      </c>
      <c r="AW932" s="17" t="s">
        <v>151</v>
      </c>
      <c r="AX932" s="17" t="s">
        <v>151</v>
      </c>
      <c r="AY932" s="17" t="s">
        <v>18812</v>
      </c>
      <c r="AZ932" s="17" t="s">
        <v>151</v>
      </c>
      <c r="BA932" s="17" t="s">
        <v>151</v>
      </c>
      <c r="BB932" s="17" t="s">
        <v>151</v>
      </c>
      <c r="BC932" s="17" t="s">
        <v>151</v>
      </c>
      <c r="BD932" s="17" t="s">
        <v>18813</v>
      </c>
      <c r="BE932" s="17" t="s">
        <v>18814</v>
      </c>
      <c r="BF932" s="17" t="s">
        <v>493</v>
      </c>
      <c r="BG932" s="17" t="s">
        <v>18815</v>
      </c>
      <c r="BH932" s="17" t="s">
        <v>18816</v>
      </c>
      <c r="BI932" s="17" t="s">
        <v>906</v>
      </c>
      <c r="BJ932" s="17" t="s">
        <v>18817</v>
      </c>
      <c r="BK932" s="17" t="s">
        <v>18818</v>
      </c>
      <c r="BL932" s="17" t="s">
        <v>259</v>
      </c>
      <c r="BM932" s="17" t="s">
        <v>259</v>
      </c>
      <c r="BN932" s="16" t="s">
        <v>1476</v>
      </c>
      <c r="BO932" s="17" t="s">
        <v>186</v>
      </c>
      <c r="BP932" s="16" t="s">
        <v>18816</v>
      </c>
      <c r="BQ932" s="16" t="s">
        <v>151</v>
      </c>
      <c r="BR932" s="17" t="s">
        <v>18819</v>
      </c>
      <c r="BS932" s="17" t="s">
        <v>187</v>
      </c>
      <c r="BT932" s="17" t="s">
        <v>188</v>
      </c>
      <c r="BU932" s="22">
        <v>44336</v>
      </c>
      <c r="BV932" s="24">
        <v>0.05</v>
      </c>
      <c r="BW932" s="17" t="s">
        <v>192</v>
      </c>
      <c r="BX932" s="24" t="s">
        <v>151</v>
      </c>
      <c r="BY932" s="17" t="s">
        <v>151</v>
      </c>
      <c r="BZ932" s="17" t="s">
        <v>1075</v>
      </c>
      <c r="CA932" s="17" t="s">
        <v>1075</v>
      </c>
      <c r="CB932" s="17" t="s">
        <v>151</v>
      </c>
      <c r="CC932" s="17" t="s">
        <v>585</v>
      </c>
      <c r="CD932" s="17" t="s">
        <v>151</v>
      </c>
      <c r="CE932" s="17" t="s">
        <v>191</v>
      </c>
      <c r="CF932" s="22">
        <v>45464</v>
      </c>
      <c r="CG932" s="24">
        <v>0.23</v>
      </c>
      <c r="CH932" s="17" t="s">
        <v>192</v>
      </c>
      <c r="CI932" s="24" t="s">
        <v>151</v>
      </c>
      <c r="CJ932" s="17" t="s">
        <v>151</v>
      </c>
      <c r="CK932" s="16" t="s">
        <v>151</v>
      </c>
      <c r="CL932" s="17" t="s">
        <v>194</v>
      </c>
      <c r="CM932" s="17" t="s">
        <v>151</v>
      </c>
      <c r="CN932" s="17" t="s">
        <v>151</v>
      </c>
      <c r="CO932" s="17" t="s">
        <v>165</v>
      </c>
      <c r="CP932" s="22">
        <v>45464</v>
      </c>
      <c r="CQ932" s="24" t="s">
        <v>151</v>
      </c>
      <c r="CR932" s="17" t="s">
        <v>151</v>
      </c>
      <c r="CS932" s="17" t="s">
        <v>191</v>
      </c>
      <c r="CT932" s="16">
        <v>35</v>
      </c>
      <c r="CU932" s="17" t="s">
        <v>263</v>
      </c>
      <c r="CV932" s="19">
        <v>35</v>
      </c>
      <c r="CW932" s="19">
        <v>65</v>
      </c>
      <c r="CX932" s="17" t="s">
        <v>263</v>
      </c>
      <c r="CY932" s="19">
        <v>1</v>
      </c>
      <c r="CZ932" s="19">
        <v>34</v>
      </c>
      <c r="DA932" s="24">
        <v>0.33</v>
      </c>
      <c r="DB932" s="22">
        <v>44518</v>
      </c>
      <c r="DC932" s="17" t="s">
        <v>189</v>
      </c>
      <c r="DD932" s="16" t="s">
        <v>151</v>
      </c>
      <c r="DE932" s="19">
        <v>0</v>
      </c>
      <c r="DF932" s="21">
        <v>11</v>
      </c>
      <c r="DG932" s="19">
        <v>0</v>
      </c>
      <c r="DH932" s="19">
        <v>0</v>
      </c>
      <c r="DI932" s="19">
        <v>0</v>
      </c>
      <c r="DJ932" s="21">
        <v>10</v>
      </c>
      <c r="DK932" s="19" t="s">
        <v>151</v>
      </c>
      <c r="DL932" s="21" t="s">
        <v>151</v>
      </c>
      <c r="DM932" s="19">
        <v>0</v>
      </c>
      <c r="DN932" s="21">
        <v>10</v>
      </c>
      <c r="DO932" s="23">
        <v>1.16</v>
      </c>
      <c r="DP932" s="21">
        <v>53</v>
      </c>
      <c r="DQ932" s="23">
        <v>0</v>
      </c>
      <c r="DR932" s="19">
        <v>0</v>
      </c>
      <c r="DS932" s="23">
        <v>1.16</v>
      </c>
      <c r="DT932" s="21">
        <v>53</v>
      </c>
      <c r="DU932" s="23" t="s">
        <v>151</v>
      </c>
      <c r="DV932" s="21" t="s">
        <v>151</v>
      </c>
      <c r="DW932" s="23">
        <v>1.16</v>
      </c>
      <c r="DX932" s="21">
        <v>53</v>
      </c>
      <c r="DY932" s="18" t="s">
        <v>151</v>
      </c>
      <c r="DZ932" s="22" t="s">
        <v>151</v>
      </c>
      <c r="EA932" s="22" t="s">
        <v>151</v>
      </c>
      <c r="EB932" s="21">
        <v>260</v>
      </c>
      <c r="EC932" s="20">
        <v>-36</v>
      </c>
      <c r="ED932" s="19">
        <v>-12.16</v>
      </c>
      <c r="EE932" s="21">
        <v>22</v>
      </c>
      <c r="EF932" s="20">
        <v>1</v>
      </c>
      <c r="EG932" s="19">
        <v>4.76</v>
      </c>
      <c r="EH932" s="16" t="s">
        <v>198</v>
      </c>
      <c r="EI932" s="17" t="s">
        <v>151</v>
      </c>
      <c r="EJ932" s="17" t="s">
        <v>151</v>
      </c>
      <c r="EK932" s="18" t="s">
        <v>151</v>
      </c>
      <c r="EL932" s="18" t="s">
        <v>151</v>
      </c>
      <c r="EM932" s="18" t="s">
        <v>151</v>
      </c>
      <c r="EN932" s="18" t="s">
        <v>151</v>
      </c>
      <c r="EO932" s="18" t="s">
        <v>151</v>
      </c>
      <c r="EP932" s="17" t="s">
        <v>151</v>
      </c>
      <c r="EQ932" s="16" t="s">
        <v>151</v>
      </c>
      <c r="ER932" s="16" t="s">
        <v>151</v>
      </c>
      <c r="ES932" s="3">
        <f>HYPERLINK("https://my.pitchbook.com?c=466653-79","View Company Online")</f>
      </c>
    </row>
    <row r="933">
      <c r="A933" s="30" t="s">
        <v>18820</v>
      </c>
      <c r="B933" s="30" t="s">
        <v>18821</v>
      </c>
      <c r="C933" s="31" t="s">
        <v>151</v>
      </c>
      <c r="D933" s="30" t="s">
        <v>18822</v>
      </c>
      <c r="E933" s="30" t="s">
        <v>151</v>
      </c>
      <c r="F933" s="30" t="s">
        <v>18823</v>
      </c>
      <c r="G933" s="30" t="s">
        <v>151</v>
      </c>
      <c r="H933" s="30" t="s">
        <v>151</v>
      </c>
      <c r="I933" s="30" t="s">
        <v>18824</v>
      </c>
      <c r="J933" s="30" t="s">
        <v>18820</v>
      </c>
      <c r="K933" s="30" t="s">
        <v>18825</v>
      </c>
      <c r="L933" s="30" t="s">
        <v>205</v>
      </c>
      <c r="M933" s="30" t="s">
        <v>206</v>
      </c>
      <c r="N933" s="30" t="s">
        <v>1940</v>
      </c>
      <c r="O933" s="30" t="s">
        <v>5396</v>
      </c>
      <c r="P933" s="30" t="s">
        <v>12092</v>
      </c>
      <c r="Q933" s="30" t="s">
        <v>18826</v>
      </c>
      <c r="R933" s="30" t="s">
        <v>151</v>
      </c>
      <c r="S933" s="30" t="s">
        <v>162</v>
      </c>
      <c r="T933" s="37">
        <v>19.5</v>
      </c>
      <c r="U933" s="30" t="s">
        <v>163</v>
      </c>
      <c r="V933" s="30" t="s">
        <v>164</v>
      </c>
      <c r="W933" s="30" t="s">
        <v>165</v>
      </c>
      <c r="X933" s="28" t="s">
        <v>18827</v>
      </c>
      <c r="Y933" s="28" t="s">
        <v>18828</v>
      </c>
      <c r="Z933" s="40">
        <v>17</v>
      </c>
      <c r="AA933" s="30" t="s">
        <v>18829</v>
      </c>
      <c r="AB933" s="30" t="s">
        <v>151</v>
      </c>
      <c r="AC933" s="30" t="s">
        <v>151</v>
      </c>
      <c r="AD933" s="39">
        <v>2021</v>
      </c>
      <c r="AE933" s="30" t="s">
        <v>151</v>
      </c>
      <c r="AF933" s="35">
        <v>45588</v>
      </c>
      <c r="AG933" s="30" t="s">
        <v>151</v>
      </c>
      <c r="AH933" s="30" t="s">
        <v>151</v>
      </c>
      <c r="AI933" s="38" t="s">
        <v>151</v>
      </c>
      <c r="AJ933" s="32" t="s">
        <v>151</v>
      </c>
      <c r="AK933" s="38" t="s">
        <v>151</v>
      </c>
      <c r="AL933" s="38" t="s">
        <v>151</v>
      </c>
      <c r="AM933" s="38" t="s">
        <v>151</v>
      </c>
      <c r="AN933" s="38" t="s">
        <v>151</v>
      </c>
      <c r="AO933" s="38" t="s">
        <v>151</v>
      </c>
      <c r="AP933" s="38" t="s">
        <v>151</v>
      </c>
      <c r="AQ933" s="38" t="s">
        <v>151</v>
      </c>
      <c r="AR933" s="29" t="s">
        <v>151</v>
      </c>
      <c r="AS933" s="30" t="s">
        <v>18830</v>
      </c>
      <c r="AT933" s="30" t="s">
        <v>18831</v>
      </c>
      <c r="AU933" s="31">
        <v>13</v>
      </c>
      <c r="AV933" s="30" t="s">
        <v>151</v>
      </c>
      <c r="AW933" s="30" t="s">
        <v>151</v>
      </c>
      <c r="AX933" s="30" t="s">
        <v>151</v>
      </c>
      <c r="AY933" s="30" t="s">
        <v>18832</v>
      </c>
      <c r="AZ933" s="30" t="s">
        <v>151</v>
      </c>
      <c r="BA933" s="30" t="s">
        <v>151</v>
      </c>
      <c r="BB933" s="30" t="s">
        <v>151</v>
      </c>
      <c r="BC933" s="30" t="s">
        <v>490</v>
      </c>
      <c r="BD933" s="30" t="s">
        <v>18833</v>
      </c>
      <c r="BE933" s="30" t="s">
        <v>18834</v>
      </c>
      <c r="BF933" s="30" t="s">
        <v>4297</v>
      </c>
      <c r="BG933" s="30" t="s">
        <v>18835</v>
      </c>
      <c r="BH933" s="30" t="s">
        <v>151</v>
      </c>
      <c r="BI933" s="30" t="s">
        <v>764</v>
      </c>
      <c r="BJ933" s="30" t="s">
        <v>3969</v>
      </c>
      <c r="BK933" s="30" t="s">
        <v>18836</v>
      </c>
      <c r="BL933" s="30" t="s">
        <v>767</v>
      </c>
      <c r="BM933" s="30" t="s">
        <v>184</v>
      </c>
      <c r="BN933" s="29" t="s">
        <v>794</v>
      </c>
      <c r="BO933" s="30" t="s">
        <v>186</v>
      </c>
      <c r="BP933" s="29" t="s">
        <v>151</v>
      </c>
      <c r="BQ933" s="29" t="s">
        <v>151</v>
      </c>
      <c r="BR933" s="30" t="s">
        <v>18837</v>
      </c>
      <c r="BS933" s="30" t="s">
        <v>187</v>
      </c>
      <c r="BT933" s="30" t="s">
        <v>188</v>
      </c>
      <c r="BU933" s="35">
        <v>44832</v>
      </c>
      <c r="BV933" s="37">
        <v>8.5</v>
      </c>
      <c r="BW933" s="30" t="s">
        <v>192</v>
      </c>
      <c r="BX933" s="37">
        <v>24</v>
      </c>
      <c r="BY933" s="30" t="s">
        <v>192</v>
      </c>
      <c r="BZ933" s="30" t="s">
        <v>293</v>
      </c>
      <c r="CA933" s="30" t="s">
        <v>293</v>
      </c>
      <c r="CB933" s="30" t="s">
        <v>151</v>
      </c>
      <c r="CC933" s="30" t="s">
        <v>165</v>
      </c>
      <c r="CD933" s="30" t="s">
        <v>10409</v>
      </c>
      <c r="CE933" s="30" t="s">
        <v>191</v>
      </c>
      <c r="CF933" s="35">
        <v>45497</v>
      </c>
      <c r="CG933" s="37">
        <v>11</v>
      </c>
      <c r="CH933" s="30" t="s">
        <v>192</v>
      </c>
      <c r="CI933" s="37">
        <v>56</v>
      </c>
      <c r="CJ933" s="30" t="s">
        <v>192</v>
      </c>
      <c r="CK933" s="29">
        <v>1.87</v>
      </c>
      <c r="CL933" s="30" t="s">
        <v>231</v>
      </c>
      <c r="CM933" s="30" t="s">
        <v>232</v>
      </c>
      <c r="CN933" s="30" t="s">
        <v>151</v>
      </c>
      <c r="CO933" s="30" t="s">
        <v>165</v>
      </c>
      <c r="CP933" s="35">
        <v>45497</v>
      </c>
      <c r="CQ933" s="37" t="s">
        <v>151</v>
      </c>
      <c r="CR933" s="30" t="s">
        <v>151</v>
      </c>
      <c r="CS933" s="30" t="s">
        <v>191</v>
      </c>
      <c r="CT933" s="29">
        <v>97</v>
      </c>
      <c r="CU933" s="30" t="s">
        <v>196</v>
      </c>
      <c r="CV933" s="32">
        <v>93</v>
      </c>
      <c r="CW933" s="32">
        <v>7</v>
      </c>
      <c r="CX933" s="30" t="s">
        <v>294</v>
      </c>
      <c r="CY933" s="32">
        <v>1</v>
      </c>
      <c r="CZ933" s="32">
        <v>92</v>
      </c>
      <c r="DA933" s="37">
        <v>56</v>
      </c>
      <c r="DB933" s="35">
        <v>45497</v>
      </c>
      <c r="DC933" s="30" t="s">
        <v>231</v>
      </c>
      <c r="DD933" s="29">
        <v>1.87</v>
      </c>
      <c r="DE933" s="32">
        <v>-3.43</v>
      </c>
      <c r="DF933" s="34">
        <v>1</v>
      </c>
      <c r="DG933" s="32">
        <v>0</v>
      </c>
      <c r="DH933" s="32">
        <v>0</v>
      </c>
      <c r="DI933" s="32">
        <v>-3.43</v>
      </c>
      <c r="DJ933" s="34">
        <v>1</v>
      </c>
      <c r="DK933" s="32" t="s">
        <v>151</v>
      </c>
      <c r="DL933" s="34" t="s">
        <v>151</v>
      </c>
      <c r="DM933" s="32">
        <v>-3.43</v>
      </c>
      <c r="DN933" s="34">
        <v>1</v>
      </c>
      <c r="DO933" s="36">
        <v>10.05</v>
      </c>
      <c r="DP933" s="34">
        <v>90</v>
      </c>
      <c r="DQ933" s="36">
        <v>0</v>
      </c>
      <c r="DR933" s="32">
        <v>0</v>
      </c>
      <c r="DS933" s="36">
        <v>10.05</v>
      </c>
      <c r="DT933" s="34">
        <v>90</v>
      </c>
      <c r="DU933" s="36" t="s">
        <v>151</v>
      </c>
      <c r="DV933" s="34" t="s">
        <v>151</v>
      </c>
      <c r="DW933" s="36">
        <v>10.05</v>
      </c>
      <c r="DX933" s="34">
        <v>90</v>
      </c>
      <c r="DY933" s="31" t="s">
        <v>151</v>
      </c>
      <c r="DZ933" s="35" t="s">
        <v>151</v>
      </c>
      <c r="EA933" s="35" t="s">
        <v>151</v>
      </c>
      <c r="EB933" s="34">
        <v>16740</v>
      </c>
      <c r="EC933" s="33">
        <v>-1116</v>
      </c>
      <c r="ED933" s="32">
        <v>-6.25</v>
      </c>
      <c r="EE933" s="34">
        <v>191</v>
      </c>
      <c r="EF933" s="33">
        <v>-15</v>
      </c>
      <c r="EG933" s="32">
        <v>-7.28</v>
      </c>
      <c r="EH933" s="29" t="s">
        <v>198</v>
      </c>
      <c r="EI933" s="30" t="s">
        <v>151</v>
      </c>
      <c r="EJ933" s="30" t="s">
        <v>151</v>
      </c>
      <c r="EK933" s="31" t="s">
        <v>151</v>
      </c>
      <c r="EL933" s="31" t="s">
        <v>151</v>
      </c>
      <c r="EM933" s="31" t="s">
        <v>151</v>
      </c>
      <c r="EN933" s="31" t="s">
        <v>151</v>
      </c>
      <c r="EO933" s="31" t="s">
        <v>151</v>
      </c>
      <c r="EP933" s="30" t="s">
        <v>151</v>
      </c>
      <c r="EQ933" s="29" t="s">
        <v>151</v>
      </c>
      <c r="ER933" s="29" t="s">
        <v>151</v>
      </c>
      <c r="ES933" s="4">
        <f>HYPERLINK("https://my.pitchbook.com?c=482681-71","View Company Online")</f>
      </c>
    </row>
    <row r="934">
      <c r="A934" s="17" t="s">
        <v>18838</v>
      </c>
      <c r="B934" s="17" t="s">
        <v>18839</v>
      </c>
      <c r="C934" s="18" t="s">
        <v>151</v>
      </c>
      <c r="D934" s="17" t="s">
        <v>18840</v>
      </c>
      <c r="E934" s="17" t="s">
        <v>18841</v>
      </c>
      <c r="F934" s="17" t="s">
        <v>18842</v>
      </c>
      <c r="G934" s="17" t="s">
        <v>151</v>
      </c>
      <c r="H934" s="17" t="s">
        <v>151</v>
      </c>
      <c r="I934" s="17" t="s">
        <v>151</v>
      </c>
      <c r="J934" s="17" t="s">
        <v>18838</v>
      </c>
      <c r="K934" s="17" t="s">
        <v>18843</v>
      </c>
      <c r="L934" s="17" t="s">
        <v>1178</v>
      </c>
      <c r="M934" s="17" t="s">
        <v>1179</v>
      </c>
      <c r="N934" s="17" t="s">
        <v>1179</v>
      </c>
      <c r="O934" s="17" t="s">
        <v>1180</v>
      </c>
      <c r="P934" s="17" t="s">
        <v>4186</v>
      </c>
      <c r="Q934" s="17" t="s">
        <v>18844</v>
      </c>
      <c r="R934" s="17" t="s">
        <v>151</v>
      </c>
      <c r="S934" s="17" t="s">
        <v>162</v>
      </c>
      <c r="T934" s="24">
        <v>4.8</v>
      </c>
      <c r="U934" s="17" t="s">
        <v>163</v>
      </c>
      <c r="V934" s="17" t="s">
        <v>164</v>
      </c>
      <c r="W934" s="17" t="s">
        <v>165</v>
      </c>
      <c r="X934" s="15" t="s">
        <v>18845</v>
      </c>
      <c r="Y934" s="15" t="s">
        <v>18846</v>
      </c>
      <c r="Z934" s="27">
        <v>8</v>
      </c>
      <c r="AA934" s="17" t="s">
        <v>18847</v>
      </c>
      <c r="AB934" s="17" t="s">
        <v>151</v>
      </c>
      <c r="AC934" s="17" t="s">
        <v>151</v>
      </c>
      <c r="AD934" s="26">
        <v>2020</v>
      </c>
      <c r="AE934" s="17" t="s">
        <v>151</v>
      </c>
      <c r="AF934" s="22">
        <v>45589</v>
      </c>
      <c r="AG934" s="17" t="s">
        <v>151</v>
      </c>
      <c r="AH934" s="17" t="s">
        <v>151</v>
      </c>
      <c r="AI934" s="25" t="s">
        <v>151</v>
      </c>
      <c r="AJ934" s="19" t="s">
        <v>151</v>
      </c>
      <c r="AK934" s="25" t="s">
        <v>151</v>
      </c>
      <c r="AL934" s="25" t="s">
        <v>151</v>
      </c>
      <c r="AM934" s="25" t="s">
        <v>151</v>
      </c>
      <c r="AN934" s="25" t="s">
        <v>151</v>
      </c>
      <c r="AO934" s="25" t="s">
        <v>151</v>
      </c>
      <c r="AP934" s="25" t="s">
        <v>151</v>
      </c>
      <c r="AQ934" s="25" t="s">
        <v>151</v>
      </c>
      <c r="AR934" s="16" t="s">
        <v>151</v>
      </c>
      <c r="AS934" s="17" t="s">
        <v>18848</v>
      </c>
      <c r="AT934" s="17" t="s">
        <v>18849</v>
      </c>
      <c r="AU934" s="18">
        <v>19</v>
      </c>
      <c r="AV934" s="17" t="s">
        <v>151</v>
      </c>
      <c r="AW934" s="17" t="s">
        <v>151</v>
      </c>
      <c r="AX934" s="17" t="s">
        <v>151</v>
      </c>
      <c r="AY934" s="17" t="s">
        <v>18850</v>
      </c>
      <c r="AZ934" s="17" t="s">
        <v>151</v>
      </c>
      <c r="BA934" s="17" t="s">
        <v>151</v>
      </c>
      <c r="BB934" s="17" t="s">
        <v>151</v>
      </c>
      <c r="BC934" s="17" t="s">
        <v>601</v>
      </c>
      <c r="BD934" s="17" t="s">
        <v>18851</v>
      </c>
      <c r="BE934" s="17" t="s">
        <v>18852</v>
      </c>
      <c r="BF934" s="17" t="s">
        <v>789</v>
      </c>
      <c r="BG934" s="17" t="s">
        <v>18853</v>
      </c>
      <c r="BH934" s="17" t="s">
        <v>151</v>
      </c>
      <c r="BI934" s="17" t="s">
        <v>764</v>
      </c>
      <c r="BJ934" s="17" t="s">
        <v>18854</v>
      </c>
      <c r="BK934" s="17" t="s">
        <v>1434</v>
      </c>
      <c r="BL934" s="17" t="s">
        <v>767</v>
      </c>
      <c r="BM934" s="17" t="s">
        <v>184</v>
      </c>
      <c r="BN934" s="16" t="s">
        <v>4531</v>
      </c>
      <c r="BO934" s="17" t="s">
        <v>186</v>
      </c>
      <c r="BP934" s="16" t="s">
        <v>151</v>
      </c>
      <c r="BQ934" s="16" t="s">
        <v>151</v>
      </c>
      <c r="BR934" s="17" t="s">
        <v>18855</v>
      </c>
      <c r="BS934" s="17" t="s">
        <v>187</v>
      </c>
      <c r="BT934" s="17" t="s">
        <v>188</v>
      </c>
      <c r="BU934" s="22">
        <v>44753</v>
      </c>
      <c r="BV934" s="24">
        <v>1.4</v>
      </c>
      <c r="BW934" s="17" t="s">
        <v>192</v>
      </c>
      <c r="BX934" s="24">
        <v>10</v>
      </c>
      <c r="BY934" s="17" t="s">
        <v>192</v>
      </c>
      <c r="BZ934" s="17" t="s">
        <v>293</v>
      </c>
      <c r="CA934" s="17" t="s">
        <v>293</v>
      </c>
      <c r="CB934" s="17" t="s">
        <v>151</v>
      </c>
      <c r="CC934" s="17" t="s">
        <v>165</v>
      </c>
      <c r="CD934" s="17" t="s">
        <v>151</v>
      </c>
      <c r="CE934" s="17" t="s">
        <v>191</v>
      </c>
      <c r="CF934" s="22">
        <v>45586</v>
      </c>
      <c r="CG934" s="24">
        <v>3.3</v>
      </c>
      <c r="CH934" s="17" t="s">
        <v>192</v>
      </c>
      <c r="CI934" s="24">
        <v>17</v>
      </c>
      <c r="CJ934" s="17" t="s">
        <v>192</v>
      </c>
      <c r="CK934" s="16" t="s">
        <v>151</v>
      </c>
      <c r="CL934" s="17" t="s">
        <v>293</v>
      </c>
      <c r="CM934" s="17" t="s">
        <v>293</v>
      </c>
      <c r="CN934" s="17" t="s">
        <v>151</v>
      </c>
      <c r="CO934" s="17" t="s">
        <v>165</v>
      </c>
      <c r="CP934" s="22">
        <v>45586</v>
      </c>
      <c r="CQ934" s="24" t="s">
        <v>151</v>
      </c>
      <c r="CR934" s="17" t="s">
        <v>151</v>
      </c>
      <c r="CS934" s="17" t="s">
        <v>191</v>
      </c>
      <c r="CT934" s="16">
        <v>89</v>
      </c>
      <c r="CU934" s="17" t="s">
        <v>196</v>
      </c>
      <c r="CV934" s="19">
        <v>81</v>
      </c>
      <c r="CW934" s="19">
        <v>19</v>
      </c>
      <c r="CX934" s="17" t="s">
        <v>294</v>
      </c>
      <c r="CY934" s="19">
        <v>1</v>
      </c>
      <c r="CZ934" s="19">
        <v>80</v>
      </c>
      <c r="DA934" s="24">
        <v>17</v>
      </c>
      <c r="DB934" s="22">
        <v>45586</v>
      </c>
      <c r="DC934" s="17" t="s">
        <v>293</v>
      </c>
      <c r="DD934" s="16" t="s">
        <v>151</v>
      </c>
      <c r="DE934" s="19">
        <v>0</v>
      </c>
      <c r="DF934" s="21">
        <v>11</v>
      </c>
      <c r="DG934" s="19">
        <v>0</v>
      </c>
      <c r="DH934" s="19">
        <v>0</v>
      </c>
      <c r="DI934" s="19">
        <v>0</v>
      </c>
      <c r="DJ934" s="21">
        <v>10</v>
      </c>
      <c r="DK934" s="19" t="s">
        <v>151</v>
      </c>
      <c r="DL934" s="21" t="s">
        <v>151</v>
      </c>
      <c r="DM934" s="19">
        <v>0</v>
      </c>
      <c r="DN934" s="21">
        <v>10</v>
      </c>
      <c r="DO934" s="23">
        <v>5.37</v>
      </c>
      <c r="DP934" s="21">
        <v>83</v>
      </c>
      <c r="DQ934" s="23">
        <v>0</v>
      </c>
      <c r="DR934" s="19">
        <v>0</v>
      </c>
      <c r="DS934" s="23">
        <v>5.37</v>
      </c>
      <c r="DT934" s="21">
        <v>83</v>
      </c>
      <c r="DU934" s="23" t="s">
        <v>151</v>
      </c>
      <c r="DV934" s="21" t="s">
        <v>151</v>
      </c>
      <c r="DW934" s="23">
        <v>5.37</v>
      </c>
      <c r="DX934" s="21">
        <v>83</v>
      </c>
      <c r="DY934" s="18" t="s">
        <v>151</v>
      </c>
      <c r="DZ934" s="22" t="s">
        <v>151</v>
      </c>
      <c r="EA934" s="22" t="s">
        <v>151</v>
      </c>
      <c r="EB934" s="21">
        <v>1129</v>
      </c>
      <c r="EC934" s="20">
        <v>-328</v>
      </c>
      <c r="ED934" s="19">
        <v>-22.51</v>
      </c>
      <c r="EE934" s="21">
        <v>102</v>
      </c>
      <c r="EF934" s="20">
        <v>0</v>
      </c>
      <c r="EG934" s="19">
        <v>0</v>
      </c>
      <c r="EH934" s="16" t="s">
        <v>198</v>
      </c>
      <c r="EI934" s="17" t="s">
        <v>151</v>
      </c>
      <c r="EJ934" s="17" t="s">
        <v>151</v>
      </c>
      <c r="EK934" s="18" t="s">
        <v>151</v>
      </c>
      <c r="EL934" s="18" t="s">
        <v>151</v>
      </c>
      <c r="EM934" s="18" t="s">
        <v>151</v>
      </c>
      <c r="EN934" s="18" t="s">
        <v>151</v>
      </c>
      <c r="EO934" s="18" t="s">
        <v>151</v>
      </c>
      <c r="EP934" s="17" t="s">
        <v>151</v>
      </c>
      <c r="EQ934" s="16" t="s">
        <v>151</v>
      </c>
      <c r="ER934" s="16" t="s">
        <v>151</v>
      </c>
      <c r="ES934" s="3">
        <f>HYPERLINK("https://my.pitchbook.com?c=463167-28","View Company Online")</f>
      </c>
    </row>
    <row r="935">
      <c r="A935" s="30" t="s">
        <v>18856</v>
      </c>
      <c r="B935" s="30" t="s">
        <v>18857</v>
      </c>
      <c r="C935" s="31" t="s">
        <v>151</v>
      </c>
      <c r="D935" s="30" t="s">
        <v>151</v>
      </c>
      <c r="E935" s="30" t="s">
        <v>151</v>
      </c>
      <c r="F935" s="30" t="s">
        <v>18858</v>
      </c>
      <c r="G935" s="30" t="s">
        <v>151</v>
      </c>
      <c r="H935" s="30" t="s">
        <v>151</v>
      </c>
      <c r="I935" s="30" t="s">
        <v>151</v>
      </c>
      <c r="J935" s="30" t="s">
        <v>18856</v>
      </c>
      <c r="K935" s="30" t="s">
        <v>18859</v>
      </c>
      <c r="L935" s="30" t="s">
        <v>155</v>
      </c>
      <c r="M935" s="30" t="s">
        <v>2320</v>
      </c>
      <c r="N935" s="30" t="s">
        <v>2321</v>
      </c>
      <c r="O935" s="30" t="s">
        <v>18860</v>
      </c>
      <c r="P935" s="30" t="s">
        <v>151</v>
      </c>
      <c r="Q935" s="30" t="s">
        <v>18861</v>
      </c>
      <c r="R935" s="30" t="s">
        <v>151</v>
      </c>
      <c r="S935" s="30" t="s">
        <v>162</v>
      </c>
      <c r="T935" s="37">
        <v>9.24</v>
      </c>
      <c r="U935" s="30" t="s">
        <v>4045</v>
      </c>
      <c r="V935" s="30" t="s">
        <v>164</v>
      </c>
      <c r="W935" s="30" t="s">
        <v>165</v>
      </c>
      <c r="X935" s="28" t="s">
        <v>18862</v>
      </c>
      <c r="Y935" s="28" t="s">
        <v>18863</v>
      </c>
      <c r="Z935" s="40">
        <v>10</v>
      </c>
      <c r="AA935" s="30" t="s">
        <v>18864</v>
      </c>
      <c r="AB935" s="30" t="s">
        <v>151</v>
      </c>
      <c r="AC935" s="30" t="s">
        <v>151</v>
      </c>
      <c r="AD935" s="39">
        <v>2022</v>
      </c>
      <c r="AE935" s="30" t="s">
        <v>151</v>
      </c>
      <c r="AF935" s="35">
        <v>45574</v>
      </c>
      <c r="AG935" s="30" t="s">
        <v>151</v>
      </c>
      <c r="AH935" s="30" t="s">
        <v>151</v>
      </c>
      <c r="AI935" s="38" t="s">
        <v>151</v>
      </c>
      <c r="AJ935" s="32" t="s">
        <v>151</v>
      </c>
      <c r="AK935" s="38" t="s">
        <v>151</v>
      </c>
      <c r="AL935" s="38" t="s">
        <v>151</v>
      </c>
      <c r="AM935" s="38" t="s">
        <v>151</v>
      </c>
      <c r="AN935" s="38" t="s">
        <v>151</v>
      </c>
      <c r="AO935" s="38" t="s">
        <v>151</v>
      </c>
      <c r="AP935" s="38" t="s">
        <v>151</v>
      </c>
      <c r="AQ935" s="38" t="s">
        <v>151</v>
      </c>
      <c r="AR935" s="29" t="s">
        <v>151</v>
      </c>
      <c r="AS935" s="30" t="s">
        <v>18865</v>
      </c>
      <c r="AT935" s="30" t="s">
        <v>18866</v>
      </c>
      <c r="AU935" s="31">
        <v>10</v>
      </c>
      <c r="AV935" s="30" t="s">
        <v>151</v>
      </c>
      <c r="AW935" s="30" t="s">
        <v>151</v>
      </c>
      <c r="AX935" s="30" t="s">
        <v>151</v>
      </c>
      <c r="AY935" s="30" t="s">
        <v>18867</v>
      </c>
      <c r="AZ935" s="30" t="s">
        <v>151</v>
      </c>
      <c r="BA935" s="30" t="s">
        <v>151</v>
      </c>
      <c r="BB935" s="30" t="s">
        <v>151</v>
      </c>
      <c r="BC935" s="30" t="s">
        <v>1115</v>
      </c>
      <c r="BD935" s="30" t="s">
        <v>18868</v>
      </c>
      <c r="BE935" s="30" t="s">
        <v>18869</v>
      </c>
      <c r="BF935" s="30" t="s">
        <v>8661</v>
      </c>
      <c r="BG935" s="30" t="s">
        <v>18870</v>
      </c>
      <c r="BH935" s="30" t="s">
        <v>18871</v>
      </c>
      <c r="BI935" s="30" t="s">
        <v>18872</v>
      </c>
      <c r="BJ935" s="30" t="s">
        <v>18873</v>
      </c>
      <c r="BK935" s="30" t="s">
        <v>151</v>
      </c>
      <c r="BL935" s="30" t="s">
        <v>18874</v>
      </c>
      <c r="BM935" s="30" t="s">
        <v>1337</v>
      </c>
      <c r="BN935" s="29" t="s">
        <v>18875</v>
      </c>
      <c r="BO935" s="30" t="s">
        <v>186</v>
      </c>
      <c r="BP935" s="29" t="s">
        <v>18871</v>
      </c>
      <c r="BQ935" s="29" t="s">
        <v>151</v>
      </c>
      <c r="BR935" s="30" t="s">
        <v>151</v>
      </c>
      <c r="BS935" s="30" t="s">
        <v>187</v>
      </c>
      <c r="BT935" s="30" t="s">
        <v>188</v>
      </c>
      <c r="BU935" s="35">
        <v>45152</v>
      </c>
      <c r="BV935" s="37">
        <v>9.24</v>
      </c>
      <c r="BW935" s="30" t="s">
        <v>192</v>
      </c>
      <c r="BX935" s="37">
        <v>27.24</v>
      </c>
      <c r="BY935" s="30" t="s">
        <v>192</v>
      </c>
      <c r="BZ935" s="30" t="s">
        <v>293</v>
      </c>
      <c r="CA935" s="30" t="s">
        <v>293</v>
      </c>
      <c r="CB935" s="30" t="s">
        <v>151</v>
      </c>
      <c r="CC935" s="30" t="s">
        <v>165</v>
      </c>
      <c r="CD935" s="30" t="s">
        <v>151</v>
      </c>
      <c r="CE935" s="30" t="s">
        <v>191</v>
      </c>
      <c r="CF935" s="35">
        <v>45152</v>
      </c>
      <c r="CG935" s="37">
        <v>9.24</v>
      </c>
      <c r="CH935" s="30" t="s">
        <v>192</v>
      </c>
      <c r="CI935" s="37">
        <v>27.24</v>
      </c>
      <c r="CJ935" s="30" t="s">
        <v>192</v>
      </c>
      <c r="CK935" s="29" t="s">
        <v>151</v>
      </c>
      <c r="CL935" s="30" t="s">
        <v>293</v>
      </c>
      <c r="CM935" s="30" t="s">
        <v>293</v>
      </c>
      <c r="CN935" s="30" t="s">
        <v>151</v>
      </c>
      <c r="CO935" s="30" t="s">
        <v>165</v>
      </c>
      <c r="CP935" s="35">
        <v>45152</v>
      </c>
      <c r="CQ935" s="37" t="s">
        <v>151</v>
      </c>
      <c r="CR935" s="30" t="s">
        <v>151</v>
      </c>
      <c r="CS935" s="30" t="s">
        <v>191</v>
      </c>
      <c r="CT935" s="29" t="s">
        <v>151</v>
      </c>
      <c r="CU935" s="30" t="s">
        <v>151</v>
      </c>
      <c r="CV935" s="32" t="s">
        <v>151</v>
      </c>
      <c r="CW935" s="32" t="s">
        <v>151</v>
      </c>
      <c r="CX935" s="30" t="s">
        <v>151</v>
      </c>
      <c r="CY935" s="32" t="s">
        <v>151</v>
      </c>
      <c r="CZ935" s="32" t="s">
        <v>151</v>
      </c>
      <c r="DA935" s="37">
        <v>27.24</v>
      </c>
      <c r="DB935" s="35">
        <v>45152</v>
      </c>
      <c r="DC935" s="30" t="s">
        <v>293</v>
      </c>
      <c r="DD935" s="29" t="s">
        <v>151</v>
      </c>
      <c r="DE935" s="32">
        <v>0</v>
      </c>
      <c r="DF935" s="34">
        <v>11</v>
      </c>
      <c r="DG935" s="32">
        <v>0</v>
      </c>
      <c r="DH935" s="32">
        <v>0</v>
      </c>
      <c r="DI935" s="32">
        <v>0</v>
      </c>
      <c r="DJ935" s="34">
        <v>10</v>
      </c>
      <c r="DK935" s="32" t="s">
        <v>151</v>
      </c>
      <c r="DL935" s="34" t="s">
        <v>151</v>
      </c>
      <c r="DM935" s="32">
        <v>0</v>
      </c>
      <c r="DN935" s="34">
        <v>10</v>
      </c>
      <c r="DO935" s="36">
        <v>1.58</v>
      </c>
      <c r="DP935" s="34">
        <v>61</v>
      </c>
      <c r="DQ935" s="36">
        <v>0</v>
      </c>
      <c r="DR935" s="32">
        <v>0</v>
      </c>
      <c r="DS935" s="36">
        <v>1.58</v>
      </c>
      <c r="DT935" s="34">
        <v>60</v>
      </c>
      <c r="DU935" s="36" t="s">
        <v>151</v>
      </c>
      <c r="DV935" s="34" t="s">
        <v>151</v>
      </c>
      <c r="DW935" s="36">
        <v>1.58</v>
      </c>
      <c r="DX935" s="34">
        <v>60</v>
      </c>
      <c r="DY935" s="31" t="s">
        <v>151</v>
      </c>
      <c r="DZ935" s="35" t="s">
        <v>151</v>
      </c>
      <c r="EA935" s="35" t="s">
        <v>151</v>
      </c>
      <c r="EB935" s="34">
        <v>1413</v>
      </c>
      <c r="EC935" s="33">
        <v>-77</v>
      </c>
      <c r="ED935" s="32">
        <v>-5.17</v>
      </c>
      <c r="EE935" s="34">
        <v>30</v>
      </c>
      <c r="EF935" s="33">
        <v>0</v>
      </c>
      <c r="EG935" s="32">
        <v>0</v>
      </c>
      <c r="EH935" s="29" t="s">
        <v>198</v>
      </c>
      <c r="EI935" s="30" t="s">
        <v>151</v>
      </c>
      <c r="EJ935" s="30" t="s">
        <v>151</v>
      </c>
      <c r="EK935" s="31" t="s">
        <v>151</v>
      </c>
      <c r="EL935" s="31" t="s">
        <v>151</v>
      </c>
      <c r="EM935" s="31" t="s">
        <v>151</v>
      </c>
      <c r="EN935" s="31" t="s">
        <v>151</v>
      </c>
      <c r="EO935" s="31" t="s">
        <v>151</v>
      </c>
      <c r="EP935" s="30" t="s">
        <v>151</v>
      </c>
      <c r="EQ935" s="29" t="s">
        <v>151</v>
      </c>
      <c r="ER935" s="29" t="s">
        <v>151</v>
      </c>
      <c r="ES935" s="4">
        <f>HYPERLINK("https://my.pitchbook.com?c=497210-59","View Company Online")</f>
      </c>
    </row>
    <row r="936">
      <c r="A936" s="17" t="s">
        <v>18876</v>
      </c>
      <c r="B936" s="17" t="s">
        <v>18877</v>
      </c>
      <c r="C936" s="18" t="s">
        <v>151</v>
      </c>
      <c r="D936" s="17" t="s">
        <v>18878</v>
      </c>
      <c r="E936" s="17" t="s">
        <v>151</v>
      </c>
      <c r="F936" s="17" t="s">
        <v>18879</v>
      </c>
      <c r="G936" s="17" t="s">
        <v>151</v>
      </c>
      <c r="H936" s="17" t="s">
        <v>151</v>
      </c>
      <c r="I936" s="17" t="s">
        <v>18450</v>
      </c>
      <c r="J936" s="17" t="s">
        <v>18876</v>
      </c>
      <c r="K936" s="17" t="s">
        <v>18880</v>
      </c>
      <c r="L936" s="17" t="s">
        <v>15704</v>
      </c>
      <c r="M936" s="17" t="s">
        <v>15705</v>
      </c>
      <c r="N936" s="17" t="s">
        <v>18881</v>
      </c>
      <c r="O936" s="17" t="s">
        <v>18882</v>
      </c>
      <c r="P936" s="17" t="s">
        <v>18883</v>
      </c>
      <c r="Q936" s="17" t="s">
        <v>18884</v>
      </c>
      <c r="R936" s="17" t="s">
        <v>151</v>
      </c>
      <c r="S936" s="17" t="s">
        <v>162</v>
      </c>
      <c r="T936" s="24">
        <v>5.75</v>
      </c>
      <c r="U936" s="17" t="s">
        <v>163</v>
      </c>
      <c r="V936" s="17" t="s">
        <v>164</v>
      </c>
      <c r="W936" s="17" t="s">
        <v>165</v>
      </c>
      <c r="X936" s="15" t="s">
        <v>18885</v>
      </c>
      <c r="Y936" s="15" t="s">
        <v>18886</v>
      </c>
      <c r="Z936" s="27">
        <v>5</v>
      </c>
      <c r="AA936" s="17" t="s">
        <v>18887</v>
      </c>
      <c r="AB936" s="17" t="s">
        <v>151</v>
      </c>
      <c r="AC936" s="17" t="s">
        <v>151</v>
      </c>
      <c r="AD936" s="26">
        <v>2021</v>
      </c>
      <c r="AE936" s="17" t="s">
        <v>151</v>
      </c>
      <c r="AF936" s="22">
        <v>45447</v>
      </c>
      <c r="AG936" s="17" t="s">
        <v>151</v>
      </c>
      <c r="AH936" s="17" t="s">
        <v>151</v>
      </c>
      <c r="AI936" s="25" t="s">
        <v>151</v>
      </c>
      <c r="AJ936" s="19" t="s">
        <v>151</v>
      </c>
      <c r="AK936" s="25" t="s">
        <v>151</v>
      </c>
      <c r="AL936" s="25" t="s">
        <v>151</v>
      </c>
      <c r="AM936" s="25" t="s">
        <v>151</v>
      </c>
      <c r="AN936" s="25" t="s">
        <v>151</v>
      </c>
      <c r="AO936" s="25" t="s">
        <v>151</v>
      </c>
      <c r="AP936" s="25" t="s">
        <v>151</v>
      </c>
      <c r="AQ936" s="25" t="s">
        <v>151</v>
      </c>
      <c r="AR936" s="16" t="s">
        <v>151</v>
      </c>
      <c r="AS936" s="17" t="s">
        <v>18888</v>
      </c>
      <c r="AT936" s="17" t="s">
        <v>18889</v>
      </c>
      <c r="AU936" s="18">
        <v>3</v>
      </c>
      <c r="AV936" s="17" t="s">
        <v>151</v>
      </c>
      <c r="AW936" s="17" t="s">
        <v>151</v>
      </c>
      <c r="AX936" s="17" t="s">
        <v>151</v>
      </c>
      <c r="AY936" s="17" t="s">
        <v>18890</v>
      </c>
      <c r="AZ936" s="17" t="s">
        <v>151</v>
      </c>
      <c r="BA936" s="17" t="s">
        <v>151</v>
      </c>
      <c r="BB936" s="17" t="s">
        <v>151</v>
      </c>
      <c r="BC936" s="17" t="s">
        <v>151</v>
      </c>
      <c r="BD936" s="17" t="s">
        <v>18891</v>
      </c>
      <c r="BE936" s="17" t="s">
        <v>18892</v>
      </c>
      <c r="BF936" s="17" t="s">
        <v>282</v>
      </c>
      <c r="BG936" s="17" t="s">
        <v>18893</v>
      </c>
      <c r="BH936" s="17" t="s">
        <v>18894</v>
      </c>
      <c r="BI936" s="17" t="s">
        <v>1572</v>
      </c>
      <c r="BJ936" s="17" t="s">
        <v>18895</v>
      </c>
      <c r="BK936" s="17" t="s">
        <v>16691</v>
      </c>
      <c r="BL936" s="17" t="s">
        <v>1575</v>
      </c>
      <c r="BM936" s="17" t="s">
        <v>1576</v>
      </c>
      <c r="BN936" s="16" t="s">
        <v>4436</v>
      </c>
      <c r="BO936" s="17" t="s">
        <v>186</v>
      </c>
      <c r="BP936" s="16" t="s">
        <v>18894</v>
      </c>
      <c r="BQ936" s="16" t="s">
        <v>151</v>
      </c>
      <c r="BR936" s="17" t="s">
        <v>18896</v>
      </c>
      <c r="BS936" s="17" t="s">
        <v>187</v>
      </c>
      <c r="BT936" s="17" t="s">
        <v>188</v>
      </c>
      <c r="BU936" s="22">
        <v>44544</v>
      </c>
      <c r="BV936" s="24">
        <v>0.1</v>
      </c>
      <c r="BW936" s="17" t="s">
        <v>192</v>
      </c>
      <c r="BX936" s="24" t="s">
        <v>151</v>
      </c>
      <c r="BY936" s="17" t="s">
        <v>151</v>
      </c>
      <c r="BZ936" s="17" t="s">
        <v>501</v>
      </c>
      <c r="CA936" s="17" t="s">
        <v>151</v>
      </c>
      <c r="CB936" s="17" t="s">
        <v>151</v>
      </c>
      <c r="CC936" s="17" t="s">
        <v>190</v>
      </c>
      <c r="CD936" s="17" t="s">
        <v>151</v>
      </c>
      <c r="CE936" s="17" t="s">
        <v>191</v>
      </c>
      <c r="CF936" s="22">
        <v>45442</v>
      </c>
      <c r="CG936" s="24">
        <v>5.72</v>
      </c>
      <c r="CH936" s="17" t="s">
        <v>192</v>
      </c>
      <c r="CI936" s="24">
        <v>20</v>
      </c>
      <c r="CJ936" s="17" t="s">
        <v>192</v>
      </c>
      <c r="CK936" s="16" t="s">
        <v>151</v>
      </c>
      <c r="CL936" s="17" t="s">
        <v>231</v>
      </c>
      <c r="CM936" s="17" t="s">
        <v>232</v>
      </c>
      <c r="CN936" s="17" t="s">
        <v>151</v>
      </c>
      <c r="CO936" s="17" t="s">
        <v>165</v>
      </c>
      <c r="CP936" s="22">
        <v>45442</v>
      </c>
      <c r="CQ936" s="24" t="s">
        <v>151</v>
      </c>
      <c r="CR936" s="17" t="s">
        <v>151</v>
      </c>
      <c r="CS936" s="17" t="s">
        <v>191</v>
      </c>
      <c r="CT936" s="16" t="s">
        <v>151</v>
      </c>
      <c r="CU936" s="17" t="s">
        <v>151</v>
      </c>
      <c r="CV936" s="19" t="s">
        <v>151</v>
      </c>
      <c r="CW936" s="19" t="s">
        <v>151</v>
      </c>
      <c r="CX936" s="17" t="s">
        <v>151</v>
      </c>
      <c r="CY936" s="19" t="s">
        <v>151</v>
      </c>
      <c r="CZ936" s="19" t="s">
        <v>151</v>
      </c>
      <c r="DA936" s="24">
        <v>20</v>
      </c>
      <c r="DB936" s="22">
        <v>45442</v>
      </c>
      <c r="DC936" s="17" t="s">
        <v>231</v>
      </c>
      <c r="DD936" s="16" t="s">
        <v>151</v>
      </c>
      <c r="DE936" s="19">
        <v>0</v>
      </c>
      <c r="DF936" s="21">
        <v>11</v>
      </c>
      <c r="DG936" s="19">
        <v>0</v>
      </c>
      <c r="DH936" s="19">
        <v>0</v>
      </c>
      <c r="DI936" s="19">
        <v>0</v>
      </c>
      <c r="DJ936" s="21">
        <v>10</v>
      </c>
      <c r="DK936" s="19">
        <v>0</v>
      </c>
      <c r="DL936" s="21">
        <v>11</v>
      </c>
      <c r="DM936" s="19">
        <v>0</v>
      </c>
      <c r="DN936" s="21">
        <v>10</v>
      </c>
      <c r="DO936" s="23">
        <v>2.39</v>
      </c>
      <c r="DP936" s="21">
        <v>70</v>
      </c>
      <c r="DQ936" s="23">
        <v>0</v>
      </c>
      <c r="DR936" s="19">
        <v>0</v>
      </c>
      <c r="DS936" s="23">
        <v>2.39</v>
      </c>
      <c r="DT936" s="21">
        <v>70</v>
      </c>
      <c r="DU936" s="23">
        <v>1.1</v>
      </c>
      <c r="DV936" s="21">
        <v>56</v>
      </c>
      <c r="DW936" s="23">
        <v>3.68</v>
      </c>
      <c r="DX936" s="21">
        <v>77</v>
      </c>
      <c r="DY936" s="18" t="s">
        <v>151</v>
      </c>
      <c r="DZ936" s="22" t="s">
        <v>151</v>
      </c>
      <c r="EA936" s="22" t="s">
        <v>151</v>
      </c>
      <c r="EB936" s="21">
        <v>223</v>
      </c>
      <c r="EC936" s="20">
        <v>34</v>
      </c>
      <c r="ED936" s="19">
        <v>17.99</v>
      </c>
      <c r="EE936" s="21">
        <v>70</v>
      </c>
      <c r="EF936" s="20">
        <v>-4</v>
      </c>
      <c r="EG936" s="19">
        <v>-5.41</v>
      </c>
      <c r="EH936" s="16" t="s">
        <v>198</v>
      </c>
      <c r="EI936" s="17" t="s">
        <v>151</v>
      </c>
      <c r="EJ936" s="17" t="s">
        <v>151</v>
      </c>
      <c r="EK936" s="18" t="s">
        <v>151</v>
      </c>
      <c r="EL936" s="18" t="s">
        <v>151</v>
      </c>
      <c r="EM936" s="18" t="s">
        <v>151</v>
      </c>
      <c r="EN936" s="18" t="s">
        <v>151</v>
      </c>
      <c r="EO936" s="18" t="s">
        <v>151</v>
      </c>
      <c r="EP936" s="17" t="s">
        <v>151</v>
      </c>
      <c r="EQ936" s="16" t="s">
        <v>151</v>
      </c>
      <c r="ER936" s="16" t="s">
        <v>151</v>
      </c>
      <c r="ES936" s="3">
        <f>HYPERLINK("https://my.pitchbook.com?c=493528-06","View Company Online")</f>
      </c>
    </row>
    <row r="937">
      <c r="A937" s="30" t="s">
        <v>18897</v>
      </c>
      <c r="B937" s="30" t="s">
        <v>18898</v>
      </c>
      <c r="C937" s="31" t="s">
        <v>151</v>
      </c>
      <c r="D937" s="30" t="s">
        <v>151</v>
      </c>
      <c r="E937" s="30" t="s">
        <v>151</v>
      </c>
      <c r="F937" s="30" t="s">
        <v>18899</v>
      </c>
      <c r="G937" s="30" t="s">
        <v>151</v>
      </c>
      <c r="H937" s="30" t="s">
        <v>151</v>
      </c>
      <c r="I937" s="30" t="s">
        <v>151</v>
      </c>
      <c r="J937" s="30" t="s">
        <v>18897</v>
      </c>
      <c r="K937" s="30" t="s">
        <v>18900</v>
      </c>
      <c r="L937" s="30" t="s">
        <v>205</v>
      </c>
      <c r="M937" s="30" t="s">
        <v>206</v>
      </c>
      <c r="N937" s="30" t="s">
        <v>269</v>
      </c>
      <c r="O937" s="30" t="s">
        <v>1819</v>
      </c>
      <c r="P937" s="30" t="s">
        <v>18901</v>
      </c>
      <c r="Q937" s="30" t="s">
        <v>18902</v>
      </c>
      <c r="R937" s="30" t="s">
        <v>151</v>
      </c>
      <c r="S937" s="30" t="s">
        <v>162</v>
      </c>
      <c r="T937" s="37">
        <v>0.04</v>
      </c>
      <c r="U937" s="30" t="s">
        <v>163</v>
      </c>
      <c r="V937" s="30" t="s">
        <v>164</v>
      </c>
      <c r="W937" s="30" t="s">
        <v>165</v>
      </c>
      <c r="X937" s="28" t="s">
        <v>18903</v>
      </c>
      <c r="Y937" s="28" t="s">
        <v>18904</v>
      </c>
      <c r="Z937" s="40" t="s">
        <v>151</v>
      </c>
      <c r="AA937" s="30" t="s">
        <v>151</v>
      </c>
      <c r="AB937" s="30" t="s">
        <v>151</v>
      </c>
      <c r="AC937" s="30" t="s">
        <v>151</v>
      </c>
      <c r="AD937" s="39">
        <v>2016</v>
      </c>
      <c r="AE937" s="30" t="s">
        <v>151</v>
      </c>
      <c r="AF937" s="35">
        <v>45383</v>
      </c>
      <c r="AG937" s="30" t="s">
        <v>151</v>
      </c>
      <c r="AH937" s="30" t="s">
        <v>151</v>
      </c>
      <c r="AI937" s="38" t="s">
        <v>151</v>
      </c>
      <c r="AJ937" s="32" t="s">
        <v>151</v>
      </c>
      <c r="AK937" s="38" t="s">
        <v>151</v>
      </c>
      <c r="AL937" s="38" t="s">
        <v>151</v>
      </c>
      <c r="AM937" s="38" t="s">
        <v>151</v>
      </c>
      <c r="AN937" s="38" t="s">
        <v>151</v>
      </c>
      <c r="AO937" s="38" t="s">
        <v>151</v>
      </c>
      <c r="AP937" s="38" t="s">
        <v>151</v>
      </c>
      <c r="AQ937" s="38" t="s">
        <v>151</v>
      </c>
      <c r="AR937" s="29" t="s">
        <v>151</v>
      </c>
      <c r="AS937" s="30" t="s">
        <v>18905</v>
      </c>
      <c r="AT937" s="30" t="s">
        <v>3620</v>
      </c>
      <c r="AU937" s="31">
        <v>1</v>
      </c>
      <c r="AV937" s="30" t="s">
        <v>151</v>
      </c>
      <c r="AW937" s="30" t="s">
        <v>151</v>
      </c>
      <c r="AX937" s="30" t="s">
        <v>151</v>
      </c>
      <c r="AY937" s="30" t="s">
        <v>3621</v>
      </c>
      <c r="AZ937" s="30" t="s">
        <v>151</v>
      </c>
      <c r="BA937" s="30" t="s">
        <v>151</v>
      </c>
      <c r="BB937" s="30" t="s">
        <v>151</v>
      </c>
      <c r="BC937" s="30" t="s">
        <v>151</v>
      </c>
      <c r="BD937" s="30" t="s">
        <v>151</v>
      </c>
      <c r="BE937" s="30" t="s">
        <v>151</v>
      </c>
      <c r="BF937" s="30" t="s">
        <v>151</v>
      </c>
      <c r="BG937" s="30" t="s">
        <v>151</v>
      </c>
      <c r="BH937" s="30" t="s">
        <v>151</v>
      </c>
      <c r="BI937" s="30" t="s">
        <v>2289</v>
      </c>
      <c r="BJ937" s="30" t="s">
        <v>18906</v>
      </c>
      <c r="BK937" s="30" t="s">
        <v>9604</v>
      </c>
      <c r="BL937" s="30" t="s">
        <v>2291</v>
      </c>
      <c r="BM937" s="30" t="s">
        <v>1043</v>
      </c>
      <c r="BN937" s="29" t="s">
        <v>18907</v>
      </c>
      <c r="BO937" s="30" t="s">
        <v>186</v>
      </c>
      <c r="BP937" s="29" t="s">
        <v>18908</v>
      </c>
      <c r="BQ937" s="29" t="s">
        <v>151</v>
      </c>
      <c r="BR937" s="30" t="s">
        <v>18909</v>
      </c>
      <c r="BS937" s="30" t="s">
        <v>187</v>
      </c>
      <c r="BT937" s="30" t="s">
        <v>188</v>
      </c>
      <c r="BU937" s="35">
        <v>44553</v>
      </c>
      <c r="BV937" s="37">
        <v>0.02</v>
      </c>
      <c r="BW937" s="30" t="s">
        <v>192</v>
      </c>
      <c r="BX937" s="37" t="s">
        <v>151</v>
      </c>
      <c r="BY937" s="30" t="s">
        <v>151</v>
      </c>
      <c r="BZ937" s="30" t="s">
        <v>293</v>
      </c>
      <c r="CA937" s="30" t="s">
        <v>293</v>
      </c>
      <c r="CB937" s="30" t="s">
        <v>151</v>
      </c>
      <c r="CC937" s="30" t="s">
        <v>165</v>
      </c>
      <c r="CD937" s="30" t="s">
        <v>151</v>
      </c>
      <c r="CE937" s="30" t="s">
        <v>191</v>
      </c>
      <c r="CF937" s="35">
        <v>44777</v>
      </c>
      <c r="CG937" s="37">
        <v>0.02</v>
      </c>
      <c r="CH937" s="30" t="s">
        <v>192</v>
      </c>
      <c r="CI937" s="37" t="s">
        <v>151</v>
      </c>
      <c r="CJ937" s="30" t="s">
        <v>151</v>
      </c>
      <c r="CK937" s="29" t="s">
        <v>151</v>
      </c>
      <c r="CL937" s="30" t="s">
        <v>194</v>
      </c>
      <c r="CM937" s="30" t="s">
        <v>151</v>
      </c>
      <c r="CN937" s="30" t="s">
        <v>151</v>
      </c>
      <c r="CO937" s="30" t="s">
        <v>165</v>
      </c>
      <c r="CP937" s="35">
        <v>44777</v>
      </c>
      <c r="CQ937" s="37" t="s">
        <v>151</v>
      </c>
      <c r="CR937" s="30" t="s">
        <v>151</v>
      </c>
      <c r="CS937" s="30" t="s">
        <v>191</v>
      </c>
      <c r="CT937" s="29">
        <v>20</v>
      </c>
      <c r="CU937" s="30" t="s">
        <v>263</v>
      </c>
      <c r="CV937" s="32">
        <v>22</v>
      </c>
      <c r="CW937" s="32">
        <v>78</v>
      </c>
      <c r="CX937" s="30" t="s">
        <v>263</v>
      </c>
      <c r="CY937" s="32">
        <v>1</v>
      </c>
      <c r="CZ937" s="32">
        <v>21</v>
      </c>
      <c r="DA937" s="37" t="s">
        <v>151</v>
      </c>
      <c r="DB937" s="35" t="s">
        <v>151</v>
      </c>
      <c r="DC937" s="30" t="s">
        <v>151</v>
      </c>
      <c r="DD937" s="29" t="s">
        <v>151</v>
      </c>
      <c r="DE937" s="32">
        <v>0</v>
      </c>
      <c r="DF937" s="34">
        <v>11</v>
      </c>
      <c r="DG937" s="32">
        <v>0</v>
      </c>
      <c r="DH937" s="32">
        <v>0</v>
      </c>
      <c r="DI937" s="32">
        <v>0</v>
      </c>
      <c r="DJ937" s="34">
        <v>10</v>
      </c>
      <c r="DK937" s="32" t="s">
        <v>151</v>
      </c>
      <c r="DL937" s="34" t="s">
        <v>151</v>
      </c>
      <c r="DM937" s="32">
        <v>0</v>
      </c>
      <c r="DN937" s="34">
        <v>10</v>
      </c>
      <c r="DO937" s="36">
        <v>0.68</v>
      </c>
      <c r="DP937" s="34">
        <v>40</v>
      </c>
      <c r="DQ937" s="36">
        <v>0</v>
      </c>
      <c r="DR937" s="32">
        <v>0</v>
      </c>
      <c r="DS937" s="36">
        <v>0.68</v>
      </c>
      <c r="DT937" s="34">
        <v>41</v>
      </c>
      <c r="DU937" s="36" t="s">
        <v>151</v>
      </c>
      <c r="DV937" s="34" t="s">
        <v>151</v>
      </c>
      <c r="DW937" s="36">
        <v>0.68</v>
      </c>
      <c r="DX937" s="34">
        <v>40</v>
      </c>
      <c r="DY937" s="31" t="s">
        <v>151</v>
      </c>
      <c r="DZ937" s="35" t="s">
        <v>151</v>
      </c>
      <c r="EA937" s="35" t="s">
        <v>151</v>
      </c>
      <c r="EB937" s="34">
        <v>0</v>
      </c>
      <c r="EC937" s="33">
        <v>0</v>
      </c>
      <c r="ED937" s="32">
        <v>0</v>
      </c>
      <c r="EE937" s="34">
        <v>13</v>
      </c>
      <c r="EF937" s="33">
        <v>0</v>
      </c>
      <c r="EG937" s="32">
        <v>0</v>
      </c>
      <c r="EH937" s="29" t="s">
        <v>198</v>
      </c>
      <c r="EI937" s="30" t="s">
        <v>151</v>
      </c>
      <c r="EJ937" s="30" t="s">
        <v>151</v>
      </c>
      <c r="EK937" s="31" t="s">
        <v>151</v>
      </c>
      <c r="EL937" s="31" t="s">
        <v>151</v>
      </c>
      <c r="EM937" s="31" t="s">
        <v>151</v>
      </c>
      <c r="EN937" s="31" t="s">
        <v>151</v>
      </c>
      <c r="EO937" s="31" t="s">
        <v>151</v>
      </c>
      <c r="EP937" s="30" t="s">
        <v>151</v>
      </c>
      <c r="EQ937" s="29" t="s">
        <v>151</v>
      </c>
      <c r="ER937" s="29" t="s">
        <v>151</v>
      </c>
      <c r="ES937" s="4">
        <f>HYPERLINK("https://my.pitchbook.com?c=492592-87","View Company Online")</f>
      </c>
    </row>
    <row r="938">
      <c r="A938" s="17" t="s">
        <v>18910</v>
      </c>
      <c r="B938" s="17" t="s">
        <v>18911</v>
      </c>
      <c r="C938" s="18" t="s">
        <v>151</v>
      </c>
      <c r="D938" s="17" t="s">
        <v>151</v>
      </c>
      <c r="E938" s="17" t="s">
        <v>151</v>
      </c>
      <c r="F938" s="17" t="s">
        <v>18912</v>
      </c>
      <c r="G938" s="17" t="s">
        <v>151</v>
      </c>
      <c r="H938" s="17" t="s">
        <v>151</v>
      </c>
      <c r="I938" s="17" t="s">
        <v>151</v>
      </c>
      <c r="J938" s="17" t="s">
        <v>18910</v>
      </c>
      <c r="K938" s="17" t="s">
        <v>18913</v>
      </c>
      <c r="L938" s="17" t="s">
        <v>205</v>
      </c>
      <c r="M938" s="17" t="s">
        <v>206</v>
      </c>
      <c r="N938" s="17" t="s">
        <v>269</v>
      </c>
      <c r="O938" s="17" t="s">
        <v>15521</v>
      </c>
      <c r="P938" s="17" t="s">
        <v>18914</v>
      </c>
      <c r="Q938" s="17" t="s">
        <v>18915</v>
      </c>
      <c r="R938" s="17" t="s">
        <v>151</v>
      </c>
      <c r="S938" s="17" t="s">
        <v>162</v>
      </c>
      <c r="T938" s="24">
        <v>3.31</v>
      </c>
      <c r="U938" s="17" t="s">
        <v>1727</v>
      </c>
      <c r="V938" s="17" t="s">
        <v>164</v>
      </c>
      <c r="W938" s="17" t="s">
        <v>165</v>
      </c>
      <c r="X938" s="15" t="s">
        <v>18916</v>
      </c>
      <c r="Y938" s="15" t="s">
        <v>18917</v>
      </c>
      <c r="Z938" s="27">
        <v>10</v>
      </c>
      <c r="AA938" s="17" t="s">
        <v>18918</v>
      </c>
      <c r="AB938" s="17" t="s">
        <v>151</v>
      </c>
      <c r="AC938" s="17" t="s">
        <v>151</v>
      </c>
      <c r="AD938" s="26">
        <v>2021</v>
      </c>
      <c r="AE938" s="17" t="s">
        <v>151</v>
      </c>
      <c r="AF938" s="22">
        <v>45583</v>
      </c>
      <c r="AG938" s="17" t="s">
        <v>151</v>
      </c>
      <c r="AH938" s="17" t="s">
        <v>151</v>
      </c>
      <c r="AI938" s="25" t="s">
        <v>151</v>
      </c>
      <c r="AJ938" s="19" t="s">
        <v>151</v>
      </c>
      <c r="AK938" s="25" t="s">
        <v>151</v>
      </c>
      <c r="AL938" s="25" t="s">
        <v>151</v>
      </c>
      <c r="AM938" s="25" t="s">
        <v>151</v>
      </c>
      <c r="AN938" s="25" t="s">
        <v>151</v>
      </c>
      <c r="AO938" s="25" t="s">
        <v>151</v>
      </c>
      <c r="AP938" s="25" t="s">
        <v>151</v>
      </c>
      <c r="AQ938" s="25" t="s">
        <v>151</v>
      </c>
      <c r="AR938" s="16" t="s">
        <v>151</v>
      </c>
      <c r="AS938" s="17" t="s">
        <v>18919</v>
      </c>
      <c r="AT938" s="17" t="s">
        <v>18920</v>
      </c>
      <c r="AU938" s="18">
        <v>6</v>
      </c>
      <c r="AV938" s="17" t="s">
        <v>151</v>
      </c>
      <c r="AW938" s="17" t="s">
        <v>151</v>
      </c>
      <c r="AX938" s="17" t="s">
        <v>151</v>
      </c>
      <c r="AY938" s="17" t="s">
        <v>18921</v>
      </c>
      <c r="AZ938" s="17" t="s">
        <v>151</v>
      </c>
      <c r="BA938" s="17" t="s">
        <v>151</v>
      </c>
      <c r="BB938" s="17" t="s">
        <v>2288</v>
      </c>
      <c r="BC938" s="17" t="s">
        <v>151</v>
      </c>
      <c r="BD938" s="17" t="s">
        <v>18922</v>
      </c>
      <c r="BE938" s="17" t="s">
        <v>18923</v>
      </c>
      <c r="BF938" s="17" t="s">
        <v>493</v>
      </c>
      <c r="BG938" s="17" t="s">
        <v>18924</v>
      </c>
      <c r="BH938" s="17" t="s">
        <v>18925</v>
      </c>
      <c r="BI938" s="17" t="s">
        <v>906</v>
      </c>
      <c r="BJ938" s="17" t="s">
        <v>18926</v>
      </c>
      <c r="BK938" s="17" t="s">
        <v>151</v>
      </c>
      <c r="BL938" s="17" t="s">
        <v>259</v>
      </c>
      <c r="BM938" s="17" t="s">
        <v>259</v>
      </c>
      <c r="BN938" s="16" t="s">
        <v>4419</v>
      </c>
      <c r="BO938" s="17" t="s">
        <v>186</v>
      </c>
      <c r="BP938" s="16" t="s">
        <v>18927</v>
      </c>
      <c r="BQ938" s="16" t="s">
        <v>151</v>
      </c>
      <c r="BR938" s="17" t="s">
        <v>18928</v>
      </c>
      <c r="BS938" s="17" t="s">
        <v>187</v>
      </c>
      <c r="BT938" s="17" t="s">
        <v>188</v>
      </c>
      <c r="BU938" s="22">
        <v>44287</v>
      </c>
      <c r="BV938" s="24">
        <v>0.03</v>
      </c>
      <c r="BW938" s="17" t="s">
        <v>192</v>
      </c>
      <c r="BX938" s="24" t="s">
        <v>151</v>
      </c>
      <c r="BY938" s="17" t="s">
        <v>151</v>
      </c>
      <c r="BZ938" s="17" t="s">
        <v>501</v>
      </c>
      <c r="CA938" s="17" t="s">
        <v>151</v>
      </c>
      <c r="CB938" s="17" t="s">
        <v>151</v>
      </c>
      <c r="CC938" s="17" t="s">
        <v>190</v>
      </c>
      <c r="CD938" s="17" t="s">
        <v>151</v>
      </c>
      <c r="CE938" s="17" t="s">
        <v>191</v>
      </c>
      <c r="CF938" s="22" t="s">
        <v>151</v>
      </c>
      <c r="CG938" s="24">
        <v>2</v>
      </c>
      <c r="CH938" s="17" t="s">
        <v>192</v>
      </c>
      <c r="CI938" s="24" t="s">
        <v>151</v>
      </c>
      <c r="CJ938" s="17" t="s">
        <v>151</v>
      </c>
      <c r="CK938" s="16" t="s">
        <v>151</v>
      </c>
      <c r="CL938" s="17" t="s">
        <v>293</v>
      </c>
      <c r="CM938" s="17" t="s">
        <v>293</v>
      </c>
      <c r="CN938" s="17" t="s">
        <v>151</v>
      </c>
      <c r="CO938" s="17" t="s">
        <v>165</v>
      </c>
      <c r="CP938" s="22" t="s">
        <v>151</v>
      </c>
      <c r="CQ938" s="24" t="s">
        <v>151</v>
      </c>
      <c r="CR938" s="17" t="s">
        <v>151</v>
      </c>
      <c r="CS938" s="17" t="s">
        <v>191</v>
      </c>
      <c r="CT938" s="16">
        <v>65</v>
      </c>
      <c r="CU938" s="17" t="s">
        <v>196</v>
      </c>
      <c r="CV938" s="19">
        <v>61</v>
      </c>
      <c r="CW938" s="19">
        <v>39</v>
      </c>
      <c r="CX938" s="17" t="s">
        <v>294</v>
      </c>
      <c r="CY938" s="19">
        <v>1</v>
      </c>
      <c r="CZ938" s="19">
        <v>60</v>
      </c>
      <c r="DA938" s="24">
        <v>12</v>
      </c>
      <c r="DB938" s="22">
        <v>44957</v>
      </c>
      <c r="DC938" s="17" t="s">
        <v>293</v>
      </c>
      <c r="DD938" s="16" t="s">
        <v>151</v>
      </c>
      <c r="DE938" s="19" t="s">
        <v>151</v>
      </c>
      <c r="DF938" s="21" t="s">
        <v>151</v>
      </c>
      <c r="DG938" s="19" t="s">
        <v>151</v>
      </c>
      <c r="DH938" s="19" t="s">
        <v>151</v>
      </c>
      <c r="DI938" s="19" t="s">
        <v>151</v>
      </c>
      <c r="DJ938" s="21" t="s">
        <v>151</v>
      </c>
      <c r="DK938" s="19" t="s">
        <v>151</v>
      </c>
      <c r="DL938" s="21" t="s">
        <v>151</v>
      </c>
      <c r="DM938" s="19" t="s">
        <v>151</v>
      </c>
      <c r="DN938" s="21" t="s">
        <v>151</v>
      </c>
      <c r="DO938" s="23" t="s">
        <v>151</v>
      </c>
      <c r="DP938" s="21" t="s">
        <v>151</v>
      </c>
      <c r="DQ938" s="23" t="s">
        <v>151</v>
      </c>
      <c r="DR938" s="19" t="s">
        <v>151</v>
      </c>
      <c r="DS938" s="23" t="s">
        <v>151</v>
      </c>
      <c r="DT938" s="21" t="s">
        <v>151</v>
      </c>
      <c r="DU938" s="23" t="s">
        <v>151</v>
      </c>
      <c r="DV938" s="21" t="s">
        <v>151</v>
      </c>
      <c r="DW938" s="23" t="s">
        <v>151</v>
      </c>
      <c r="DX938" s="21" t="s">
        <v>151</v>
      </c>
      <c r="DY938" s="18" t="s">
        <v>151</v>
      </c>
      <c r="DZ938" s="22" t="s">
        <v>151</v>
      </c>
      <c r="EA938" s="22" t="s">
        <v>151</v>
      </c>
      <c r="EB938" s="21" t="s">
        <v>151</v>
      </c>
      <c r="EC938" s="20" t="s">
        <v>151</v>
      </c>
      <c r="ED938" s="19" t="s">
        <v>151</v>
      </c>
      <c r="EE938" s="21" t="s">
        <v>151</v>
      </c>
      <c r="EF938" s="20" t="s">
        <v>151</v>
      </c>
      <c r="EG938" s="19" t="s">
        <v>151</v>
      </c>
      <c r="EH938" s="16" t="s">
        <v>198</v>
      </c>
      <c r="EI938" s="17" t="s">
        <v>151</v>
      </c>
      <c r="EJ938" s="17" t="s">
        <v>151</v>
      </c>
      <c r="EK938" s="18" t="s">
        <v>151</v>
      </c>
      <c r="EL938" s="18" t="s">
        <v>151</v>
      </c>
      <c r="EM938" s="18" t="s">
        <v>151</v>
      </c>
      <c r="EN938" s="18" t="s">
        <v>151</v>
      </c>
      <c r="EO938" s="18" t="s">
        <v>151</v>
      </c>
      <c r="EP938" s="17" t="s">
        <v>151</v>
      </c>
      <c r="EQ938" s="16" t="s">
        <v>151</v>
      </c>
      <c r="ER938" s="16" t="s">
        <v>151</v>
      </c>
      <c r="ES938" s="3">
        <f>HYPERLINK("https://my.pitchbook.com?c=466148-08","View Company Online")</f>
      </c>
    </row>
    <row r="939">
      <c r="A939" s="30" t="s">
        <v>18929</v>
      </c>
      <c r="B939" s="30" t="s">
        <v>18930</v>
      </c>
      <c r="C939" s="31" t="s">
        <v>151</v>
      </c>
      <c r="D939" s="30" t="s">
        <v>151</v>
      </c>
      <c r="E939" s="30" t="s">
        <v>151</v>
      </c>
      <c r="F939" s="30" t="s">
        <v>18931</v>
      </c>
      <c r="G939" s="30" t="s">
        <v>151</v>
      </c>
      <c r="H939" s="30" t="s">
        <v>151</v>
      </c>
      <c r="I939" s="30" t="s">
        <v>151</v>
      </c>
      <c r="J939" s="30" t="s">
        <v>18929</v>
      </c>
      <c r="K939" s="30" t="s">
        <v>18932</v>
      </c>
      <c r="L939" s="30" t="s">
        <v>205</v>
      </c>
      <c r="M939" s="30" t="s">
        <v>206</v>
      </c>
      <c r="N939" s="30" t="s">
        <v>269</v>
      </c>
      <c r="O939" s="30" t="s">
        <v>563</v>
      </c>
      <c r="P939" s="30" t="s">
        <v>1153</v>
      </c>
      <c r="Q939" s="30" t="s">
        <v>18933</v>
      </c>
      <c r="R939" s="30" t="s">
        <v>151</v>
      </c>
      <c r="S939" s="30" t="s">
        <v>162</v>
      </c>
      <c r="T939" s="37">
        <v>20.5</v>
      </c>
      <c r="U939" s="30" t="s">
        <v>163</v>
      </c>
      <c r="V939" s="30" t="s">
        <v>164</v>
      </c>
      <c r="W939" s="30" t="s">
        <v>165</v>
      </c>
      <c r="X939" s="28" t="s">
        <v>18934</v>
      </c>
      <c r="Y939" s="28" t="s">
        <v>18935</v>
      </c>
      <c r="Z939" s="40">
        <v>29</v>
      </c>
      <c r="AA939" s="30" t="s">
        <v>18936</v>
      </c>
      <c r="AB939" s="30" t="s">
        <v>151</v>
      </c>
      <c r="AC939" s="30" t="s">
        <v>151</v>
      </c>
      <c r="AD939" s="39">
        <v>2020</v>
      </c>
      <c r="AE939" s="30" t="s">
        <v>151</v>
      </c>
      <c r="AF939" s="35">
        <v>45588</v>
      </c>
      <c r="AG939" s="30" t="s">
        <v>151</v>
      </c>
      <c r="AH939" s="30" t="s">
        <v>151</v>
      </c>
      <c r="AI939" s="38" t="s">
        <v>151</v>
      </c>
      <c r="AJ939" s="32" t="s">
        <v>151</v>
      </c>
      <c r="AK939" s="38" t="s">
        <v>151</v>
      </c>
      <c r="AL939" s="38" t="s">
        <v>151</v>
      </c>
      <c r="AM939" s="38" t="s">
        <v>151</v>
      </c>
      <c r="AN939" s="38" t="s">
        <v>151</v>
      </c>
      <c r="AO939" s="38" t="s">
        <v>151</v>
      </c>
      <c r="AP939" s="38" t="s">
        <v>151</v>
      </c>
      <c r="AQ939" s="38" t="s">
        <v>151</v>
      </c>
      <c r="AR939" s="29" t="s">
        <v>151</v>
      </c>
      <c r="AS939" s="30" t="s">
        <v>18937</v>
      </c>
      <c r="AT939" s="30" t="s">
        <v>18938</v>
      </c>
      <c r="AU939" s="31">
        <v>4</v>
      </c>
      <c r="AV939" s="30" t="s">
        <v>151</v>
      </c>
      <c r="AW939" s="30" t="s">
        <v>151</v>
      </c>
      <c r="AX939" s="30" t="s">
        <v>151</v>
      </c>
      <c r="AY939" s="30" t="s">
        <v>18939</v>
      </c>
      <c r="AZ939" s="30" t="s">
        <v>151</v>
      </c>
      <c r="BA939" s="30" t="s">
        <v>151</v>
      </c>
      <c r="BB939" s="30" t="s">
        <v>151</v>
      </c>
      <c r="BC939" s="30" t="s">
        <v>374</v>
      </c>
      <c r="BD939" s="30" t="s">
        <v>18940</v>
      </c>
      <c r="BE939" s="30" t="s">
        <v>18941</v>
      </c>
      <c r="BF939" s="30" t="s">
        <v>6269</v>
      </c>
      <c r="BG939" s="30" t="s">
        <v>18942</v>
      </c>
      <c r="BH939" s="30" t="s">
        <v>18943</v>
      </c>
      <c r="BI939" s="30" t="s">
        <v>764</v>
      </c>
      <c r="BJ939" s="30" t="s">
        <v>1434</v>
      </c>
      <c r="BK939" s="30" t="s">
        <v>18944</v>
      </c>
      <c r="BL939" s="30" t="s">
        <v>767</v>
      </c>
      <c r="BM939" s="30" t="s">
        <v>184</v>
      </c>
      <c r="BN939" s="29" t="s">
        <v>4531</v>
      </c>
      <c r="BO939" s="30" t="s">
        <v>186</v>
      </c>
      <c r="BP939" s="29" t="s">
        <v>18943</v>
      </c>
      <c r="BQ939" s="29" t="s">
        <v>151</v>
      </c>
      <c r="BR939" s="30" t="s">
        <v>18945</v>
      </c>
      <c r="BS939" s="30" t="s">
        <v>187</v>
      </c>
      <c r="BT939" s="30" t="s">
        <v>188</v>
      </c>
      <c r="BU939" s="35">
        <v>44467</v>
      </c>
      <c r="BV939" s="37">
        <v>5.5</v>
      </c>
      <c r="BW939" s="30" t="s">
        <v>193</v>
      </c>
      <c r="BX939" s="37">
        <v>17.5</v>
      </c>
      <c r="BY939" s="30" t="s">
        <v>193</v>
      </c>
      <c r="BZ939" s="30" t="s">
        <v>293</v>
      </c>
      <c r="CA939" s="30" t="s">
        <v>293</v>
      </c>
      <c r="CB939" s="30" t="s">
        <v>151</v>
      </c>
      <c r="CC939" s="30" t="s">
        <v>165</v>
      </c>
      <c r="CD939" s="30" t="s">
        <v>151</v>
      </c>
      <c r="CE939" s="30" t="s">
        <v>191</v>
      </c>
      <c r="CF939" s="35">
        <v>45568</v>
      </c>
      <c r="CG939" s="37">
        <v>15</v>
      </c>
      <c r="CH939" s="30" t="s">
        <v>192</v>
      </c>
      <c r="CI939" s="37">
        <v>71</v>
      </c>
      <c r="CJ939" s="30" t="s">
        <v>192</v>
      </c>
      <c r="CK939" s="29">
        <v>3.2</v>
      </c>
      <c r="CL939" s="30" t="s">
        <v>231</v>
      </c>
      <c r="CM939" s="30" t="s">
        <v>232</v>
      </c>
      <c r="CN939" s="30" t="s">
        <v>151</v>
      </c>
      <c r="CO939" s="30" t="s">
        <v>165</v>
      </c>
      <c r="CP939" s="35">
        <v>45568</v>
      </c>
      <c r="CQ939" s="37" t="s">
        <v>151</v>
      </c>
      <c r="CR939" s="30" t="s">
        <v>151</v>
      </c>
      <c r="CS939" s="30" t="s">
        <v>191</v>
      </c>
      <c r="CT939" s="29">
        <v>97</v>
      </c>
      <c r="CU939" s="30" t="s">
        <v>196</v>
      </c>
      <c r="CV939" s="32">
        <v>91</v>
      </c>
      <c r="CW939" s="32">
        <v>9</v>
      </c>
      <c r="CX939" s="30" t="s">
        <v>294</v>
      </c>
      <c r="CY939" s="32">
        <v>3</v>
      </c>
      <c r="CZ939" s="32">
        <v>88</v>
      </c>
      <c r="DA939" s="37">
        <v>71</v>
      </c>
      <c r="DB939" s="35">
        <v>45568</v>
      </c>
      <c r="DC939" s="30" t="s">
        <v>231</v>
      </c>
      <c r="DD939" s="29">
        <v>3.2</v>
      </c>
      <c r="DE939" s="32">
        <v>0.45</v>
      </c>
      <c r="DF939" s="34">
        <v>94</v>
      </c>
      <c r="DG939" s="32">
        <v>0</v>
      </c>
      <c r="DH939" s="32">
        <v>0</v>
      </c>
      <c r="DI939" s="32">
        <v>0</v>
      </c>
      <c r="DJ939" s="34">
        <v>10</v>
      </c>
      <c r="DK939" s="32" t="s">
        <v>151</v>
      </c>
      <c r="DL939" s="34" t="s">
        <v>151</v>
      </c>
      <c r="DM939" s="32">
        <v>0</v>
      </c>
      <c r="DN939" s="34">
        <v>10</v>
      </c>
      <c r="DO939" s="36">
        <v>1.77</v>
      </c>
      <c r="DP939" s="34">
        <v>63</v>
      </c>
      <c r="DQ939" s="36">
        <v>0</v>
      </c>
      <c r="DR939" s="32">
        <v>0</v>
      </c>
      <c r="DS939" s="36">
        <v>1.32</v>
      </c>
      <c r="DT939" s="34">
        <v>56</v>
      </c>
      <c r="DU939" s="36" t="s">
        <v>151</v>
      </c>
      <c r="DV939" s="34" t="s">
        <v>151</v>
      </c>
      <c r="DW939" s="36">
        <v>1.32</v>
      </c>
      <c r="DX939" s="34">
        <v>56</v>
      </c>
      <c r="DY939" s="31" t="s">
        <v>151</v>
      </c>
      <c r="DZ939" s="35" t="s">
        <v>151</v>
      </c>
      <c r="EA939" s="35" t="s">
        <v>151</v>
      </c>
      <c r="EB939" s="34">
        <v>449</v>
      </c>
      <c r="EC939" s="33">
        <v>-207</v>
      </c>
      <c r="ED939" s="32">
        <v>-31.55</v>
      </c>
      <c r="EE939" s="34">
        <v>25</v>
      </c>
      <c r="EF939" s="33">
        <v>0</v>
      </c>
      <c r="EG939" s="32">
        <v>0</v>
      </c>
      <c r="EH939" s="29" t="s">
        <v>198</v>
      </c>
      <c r="EI939" s="30" t="s">
        <v>151</v>
      </c>
      <c r="EJ939" s="30" t="s">
        <v>151</v>
      </c>
      <c r="EK939" s="31" t="s">
        <v>151</v>
      </c>
      <c r="EL939" s="31" t="s">
        <v>151</v>
      </c>
      <c r="EM939" s="31" t="s">
        <v>151</v>
      </c>
      <c r="EN939" s="31" t="s">
        <v>151</v>
      </c>
      <c r="EO939" s="31" t="s">
        <v>151</v>
      </c>
      <c r="EP939" s="30" t="s">
        <v>151</v>
      </c>
      <c r="EQ939" s="29" t="s">
        <v>151</v>
      </c>
      <c r="ER939" s="29" t="s">
        <v>151</v>
      </c>
      <c r="ES939" s="4">
        <f>HYPERLINK("https://my.pitchbook.com?c=471307-87","View Company Online")</f>
      </c>
    </row>
    <row r="940">
      <c r="A940" s="17" t="s">
        <v>18946</v>
      </c>
      <c r="B940" s="17" t="s">
        <v>18947</v>
      </c>
      <c r="C940" s="18" t="s">
        <v>151</v>
      </c>
      <c r="D940" s="17" t="s">
        <v>151</v>
      </c>
      <c r="E940" s="17" t="s">
        <v>18948</v>
      </c>
      <c r="F940" s="17" t="s">
        <v>18949</v>
      </c>
      <c r="G940" s="17" t="s">
        <v>151</v>
      </c>
      <c r="H940" s="17" t="s">
        <v>151</v>
      </c>
      <c r="I940" s="17" t="s">
        <v>151</v>
      </c>
      <c r="J940" s="17" t="s">
        <v>18946</v>
      </c>
      <c r="K940" s="17" t="s">
        <v>18950</v>
      </c>
      <c r="L940" s="17" t="s">
        <v>205</v>
      </c>
      <c r="M940" s="17" t="s">
        <v>206</v>
      </c>
      <c r="N940" s="17" t="s">
        <v>269</v>
      </c>
      <c r="O940" s="17" t="s">
        <v>563</v>
      </c>
      <c r="P940" s="17" t="s">
        <v>18951</v>
      </c>
      <c r="Q940" s="17" t="s">
        <v>18952</v>
      </c>
      <c r="R940" s="17" t="s">
        <v>151</v>
      </c>
      <c r="S940" s="17" t="s">
        <v>162</v>
      </c>
      <c r="T940" s="24">
        <v>1.1</v>
      </c>
      <c r="U940" s="17" t="s">
        <v>163</v>
      </c>
      <c r="V940" s="17" t="s">
        <v>164</v>
      </c>
      <c r="W940" s="17" t="s">
        <v>165</v>
      </c>
      <c r="X940" s="15" t="s">
        <v>18953</v>
      </c>
      <c r="Y940" s="15" t="s">
        <v>18954</v>
      </c>
      <c r="Z940" s="27">
        <v>14</v>
      </c>
      <c r="AA940" s="17" t="s">
        <v>18955</v>
      </c>
      <c r="AB940" s="17" t="s">
        <v>151</v>
      </c>
      <c r="AC940" s="17" t="s">
        <v>151</v>
      </c>
      <c r="AD940" s="26">
        <v>2022</v>
      </c>
      <c r="AE940" s="17" t="s">
        <v>151</v>
      </c>
      <c r="AF940" s="22">
        <v>45611</v>
      </c>
      <c r="AG940" s="17" t="s">
        <v>151</v>
      </c>
      <c r="AH940" s="17" t="s">
        <v>151</v>
      </c>
      <c r="AI940" s="25" t="s">
        <v>151</v>
      </c>
      <c r="AJ940" s="19" t="s">
        <v>151</v>
      </c>
      <c r="AK940" s="25" t="s">
        <v>151</v>
      </c>
      <c r="AL940" s="25" t="s">
        <v>151</v>
      </c>
      <c r="AM940" s="25" t="s">
        <v>151</v>
      </c>
      <c r="AN940" s="25" t="s">
        <v>151</v>
      </c>
      <c r="AO940" s="25" t="s">
        <v>151</v>
      </c>
      <c r="AP940" s="25" t="s">
        <v>151</v>
      </c>
      <c r="AQ940" s="25" t="s">
        <v>151</v>
      </c>
      <c r="AR940" s="16" t="s">
        <v>151</v>
      </c>
      <c r="AS940" s="17" t="s">
        <v>18956</v>
      </c>
      <c r="AT940" s="17" t="s">
        <v>18957</v>
      </c>
      <c r="AU940" s="18">
        <v>5</v>
      </c>
      <c r="AV940" s="17" t="s">
        <v>151</v>
      </c>
      <c r="AW940" s="17" t="s">
        <v>151</v>
      </c>
      <c r="AX940" s="17" t="s">
        <v>151</v>
      </c>
      <c r="AY940" s="17" t="s">
        <v>18958</v>
      </c>
      <c r="AZ940" s="17" t="s">
        <v>151</v>
      </c>
      <c r="BA940" s="17" t="s">
        <v>151</v>
      </c>
      <c r="BB940" s="17" t="s">
        <v>151</v>
      </c>
      <c r="BC940" s="17" t="s">
        <v>13955</v>
      </c>
      <c r="BD940" s="17" t="s">
        <v>18959</v>
      </c>
      <c r="BE940" s="17" t="s">
        <v>18960</v>
      </c>
      <c r="BF940" s="17" t="s">
        <v>493</v>
      </c>
      <c r="BG940" s="17" t="s">
        <v>18961</v>
      </c>
      <c r="BH940" s="17" t="s">
        <v>18962</v>
      </c>
      <c r="BI940" s="17" t="s">
        <v>18963</v>
      </c>
      <c r="BJ940" s="17" t="s">
        <v>18964</v>
      </c>
      <c r="BK940" s="17" t="s">
        <v>151</v>
      </c>
      <c r="BL940" s="17" t="s">
        <v>18965</v>
      </c>
      <c r="BM940" s="17" t="s">
        <v>1576</v>
      </c>
      <c r="BN940" s="16" t="s">
        <v>18966</v>
      </c>
      <c r="BO940" s="17" t="s">
        <v>186</v>
      </c>
      <c r="BP940" s="16" t="s">
        <v>18962</v>
      </c>
      <c r="BQ940" s="16" t="s">
        <v>151</v>
      </c>
      <c r="BR940" s="17" t="s">
        <v>18967</v>
      </c>
      <c r="BS940" s="17" t="s">
        <v>187</v>
      </c>
      <c r="BT940" s="17" t="s">
        <v>188</v>
      </c>
      <c r="BU940" s="22">
        <v>45170</v>
      </c>
      <c r="BV940" s="24">
        <v>1.1</v>
      </c>
      <c r="BW940" s="17" t="s">
        <v>192</v>
      </c>
      <c r="BX940" s="24">
        <v>4</v>
      </c>
      <c r="BY940" s="17" t="s">
        <v>192</v>
      </c>
      <c r="BZ940" s="17" t="s">
        <v>293</v>
      </c>
      <c r="CA940" s="17" t="s">
        <v>293</v>
      </c>
      <c r="CB940" s="17" t="s">
        <v>151</v>
      </c>
      <c r="CC940" s="17" t="s">
        <v>165</v>
      </c>
      <c r="CD940" s="17" t="s">
        <v>151</v>
      </c>
      <c r="CE940" s="17" t="s">
        <v>191</v>
      </c>
      <c r="CF940" s="22">
        <v>45170</v>
      </c>
      <c r="CG940" s="24">
        <v>1.1</v>
      </c>
      <c r="CH940" s="17" t="s">
        <v>192</v>
      </c>
      <c r="CI940" s="24">
        <v>4</v>
      </c>
      <c r="CJ940" s="17" t="s">
        <v>192</v>
      </c>
      <c r="CK940" s="16" t="s">
        <v>151</v>
      </c>
      <c r="CL940" s="17" t="s">
        <v>293</v>
      </c>
      <c r="CM940" s="17" t="s">
        <v>293</v>
      </c>
      <c r="CN940" s="17" t="s">
        <v>151</v>
      </c>
      <c r="CO940" s="17" t="s">
        <v>165</v>
      </c>
      <c r="CP940" s="22">
        <v>45170</v>
      </c>
      <c r="CQ940" s="24" t="s">
        <v>151</v>
      </c>
      <c r="CR940" s="17" t="s">
        <v>151</v>
      </c>
      <c r="CS940" s="17" t="s">
        <v>191</v>
      </c>
      <c r="CT940" s="16" t="s">
        <v>151</v>
      </c>
      <c r="CU940" s="17" t="s">
        <v>151</v>
      </c>
      <c r="CV940" s="19" t="s">
        <v>151</v>
      </c>
      <c r="CW940" s="19" t="s">
        <v>151</v>
      </c>
      <c r="CX940" s="17" t="s">
        <v>151</v>
      </c>
      <c r="CY940" s="19" t="s">
        <v>151</v>
      </c>
      <c r="CZ940" s="19" t="s">
        <v>151</v>
      </c>
      <c r="DA940" s="24">
        <v>4</v>
      </c>
      <c r="DB940" s="22">
        <v>45170</v>
      </c>
      <c r="DC940" s="17" t="s">
        <v>293</v>
      </c>
      <c r="DD940" s="16" t="s">
        <v>151</v>
      </c>
      <c r="DE940" s="19">
        <v>0.57</v>
      </c>
      <c r="DF940" s="21">
        <v>94</v>
      </c>
      <c r="DG940" s="19">
        <v>0</v>
      </c>
      <c r="DH940" s="19">
        <v>0</v>
      </c>
      <c r="DI940" s="19">
        <v>0</v>
      </c>
      <c r="DJ940" s="21">
        <v>10</v>
      </c>
      <c r="DK940" s="19" t="s">
        <v>151</v>
      </c>
      <c r="DL940" s="21" t="s">
        <v>151</v>
      </c>
      <c r="DM940" s="19">
        <v>0</v>
      </c>
      <c r="DN940" s="21">
        <v>10</v>
      </c>
      <c r="DO940" s="23">
        <v>1.94</v>
      </c>
      <c r="DP940" s="21">
        <v>65</v>
      </c>
      <c r="DQ940" s="23">
        <v>0</v>
      </c>
      <c r="DR940" s="19">
        <v>0</v>
      </c>
      <c r="DS940" s="23">
        <v>2.95</v>
      </c>
      <c r="DT940" s="21">
        <v>74</v>
      </c>
      <c r="DU940" s="23" t="s">
        <v>151</v>
      </c>
      <c r="DV940" s="21" t="s">
        <v>151</v>
      </c>
      <c r="DW940" s="23">
        <v>2.95</v>
      </c>
      <c r="DX940" s="21">
        <v>73</v>
      </c>
      <c r="DY940" s="18" t="s">
        <v>151</v>
      </c>
      <c r="DZ940" s="22" t="s">
        <v>151</v>
      </c>
      <c r="EA940" s="22" t="s">
        <v>151</v>
      </c>
      <c r="EB940" s="21">
        <v>377</v>
      </c>
      <c r="EC940" s="20">
        <v>-26</v>
      </c>
      <c r="ED940" s="19">
        <v>-6.45</v>
      </c>
      <c r="EE940" s="21">
        <v>56</v>
      </c>
      <c r="EF940" s="20">
        <v>2</v>
      </c>
      <c r="EG940" s="19">
        <v>3.7</v>
      </c>
      <c r="EH940" s="16" t="s">
        <v>198</v>
      </c>
      <c r="EI940" s="17" t="s">
        <v>151</v>
      </c>
      <c r="EJ940" s="17" t="s">
        <v>151</v>
      </c>
      <c r="EK940" s="18" t="s">
        <v>151</v>
      </c>
      <c r="EL940" s="18" t="s">
        <v>151</v>
      </c>
      <c r="EM940" s="18" t="s">
        <v>151</v>
      </c>
      <c r="EN940" s="18" t="s">
        <v>151</v>
      </c>
      <c r="EO940" s="18" t="s">
        <v>151</v>
      </c>
      <c r="EP940" s="17" t="s">
        <v>151</v>
      </c>
      <c r="EQ940" s="16" t="s">
        <v>151</v>
      </c>
      <c r="ER940" s="16" t="s">
        <v>151</v>
      </c>
      <c r="ES940" s="3">
        <f>HYPERLINK("https://my.pitchbook.com?c=535499-11","View Company Online")</f>
      </c>
    </row>
    <row r="941">
      <c r="A941" s="30" t="s">
        <v>18968</v>
      </c>
      <c r="B941" s="30" t="s">
        <v>18969</v>
      </c>
      <c r="C941" s="31" t="s">
        <v>151</v>
      </c>
      <c r="D941" s="30" t="s">
        <v>151</v>
      </c>
      <c r="E941" s="30" t="s">
        <v>151</v>
      </c>
      <c r="F941" s="30" t="s">
        <v>18970</v>
      </c>
      <c r="G941" s="30" t="s">
        <v>151</v>
      </c>
      <c r="H941" s="30" t="s">
        <v>151</v>
      </c>
      <c r="I941" s="30" t="s">
        <v>18971</v>
      </c>
      <c r="J941" s="30" t="s">
        <v>18968</v>
      </c>
      <c r="K941" s="30" t="s">
        <v>18972</v>
      </c>
      <c r="L941" s="30" t="s">
        <v>205</v>
      </c>
      <c r="M941" s="30" t="s">
        <v>206</v>
      </c>
      <c r="N941" s="30" t="s">
        <v>269</v>
      </c>
      <c r="O941" s="30" t="s">
        <v>8880</v>
      </c>
      <c r="P941" s="30" t="s">
        <v>2130</v>
      </c>
      <c r="Q941" s="30" t="s">
        <v>18973</v>
      </c>
      <c r="R941" s="30" t="s">
        <v>3431</v>
      </c>
      <c r="S941" s="30" t="s">
        <v>162</v>
      </c>
      <c r="T941" s="37">
        <v>2.3</v>
      </c>
      <c r="U941" s="30" t="s">
        <v>163</v>
      </c>
      <c r="V941" s="30" t="s">
        <v>164</v>
      </c>
      <c r="W941" s="30" t="s">
        <v>165</v>
      </c>
      <c r="X941" s="28" t="s">
        <v>18974</v>
      </c>
      <c r="Y941" s="28" t="s">
        <v>18975</v>
      </c>
      <c r="Z941" s="40">
        <v>10</v>
      </c>
      <c r="AA941" s="30" t="s">
        <v>18976</v>
      </c>
      <c r="AB941" s="30" t="s">
        <v>151</v>
      </c>
      <c r="AC941" s="30" t="s">
        <v>151</v>
      </c>
      <c r="AD941" s="39">
        <v>2023</v>
      </c>
      <c r="AE941" s="30" t="s">
        <v>151</v>
      </c>
      <c r="AF941" s="35">
        <v>45602</v>
      </c>
      <c r="AG941" s="30" t="s">
        <v>151</v>
      </c>
      <c r="AH941" s="30" t="s">
        <v>151</v>
      </c>
      <c r="AI941" s="38" t="s">
        <v>151</v>
      </c>
      <c r="AJ941" s="32" t="s">
        <v>151</v>
      </c>
      <c r="AK941" s="38" t="s">
        <v>151</v>
      </c>
      <c r="AL941" s="38" t="s">
        <v>151</v>
      </c>
      <c r="AM941" s="38" t="s">
        <v>151</v>
      </c>
      <c r="AN941" s="38" t="s">
        <v>151</v>
      </c>
      <c r="AO941" s="38" t="s">
        <v>151</v>
      </c>
      <c r="AP941" s="38" t="s">
        <v>151</v>
      </c>
      <c r="AQ941" s="38" t="s">
        <v>151</v>
      </c>
      <c r="AR941" s="29" t="s">
        <v>151</v>
      </c>
      <c r="AS941" s="30" t="s">
        <v>18977</v>
      </c>
      <c r="AT941" s="30" t="s">
        <v>18978</v>
      </c>
      <c r="AU941" s="31">
        <v>1</v>
      </c>
      <c r="AV941" s="30" t="s">
        <v>151</v>
      </c>
      <c r="AW941" s="30" t="s">
        <v>151</v>
      </c>
      <c r="AX941" s="30" t="s">
        <v>151</v>
      </c>
      <c r="AY941" s="30" t="s">
        <v>18979</v>
      </c>
      <c r="AZ941" s="30" t="s">
        <v>151</v>
      </c>
      <c r="BA941" s="30" t="s">
        <v>151</v>
      </c>
      <c r="BB941" s="30" t="s">
        <v>151</v>
      </c>
      <c r="BC941" s="30" t="s">
        <v>18980</v>
      </c>
      <c r="BD941" s="30" t="s">
        <v>18981</v>
      </c>
      <c r="BE941" s="30" t="s">
        <v>18982</v>
      </c>
      <c r="BF941" s="30" t="s">
        <v>4135</v>
      </c>
      <c r="BG941" s="30" t="s">
        <v>18983</v>
      </c>
      <c r="BH941" s="30" t="s">
        <v>18984</v>
      </c>
      <c r="BI941" s="30" t="s">
        <v>12816</v>
      </c>
      <c r="BJ941" s="30" t="s">
        <v>18985</v>
      </c>
      <c r="BK941" s="30" t="s">
        <v>18986</v>
      </c>
      <c r="BL941" s="30" t="s">
        <v>12819</v>
      </c>
      <c r="BM941" s="30" t="s">
        <v>2591</v>
      </c>
      <c r="BN941" s="29" t="s">
        <v>18987</v>
      </c>
      <c r="BO941" s="30" t="s">
        <v>186</v>
      </c>
      <c r="BP941" s="29" t="s">
        <v>18988</v>
      </c>
      <c r="BQ941" s="29" t="s">
        <v>151</v>
      </c>
      <c r="BR941" s="30" t="s">
        <v>18989</v>
      </c>
      <c r="BS941" s="30" t="s">
        <v>187</v>
      </c>
      <c r="BT941" s="30" t="s">
        <v>188</v>
      </c>
      <c r="BU941" s="35">
        <v>45184</v>
      </c>
      <c r="BV941" s="37">
        <v>1.7</v>
      </c>
      <c r="BW941" s="30" t="s">
        <v>192</v>
      </c>
      <c r="BX941" s="37" t="s">
        <v>151</v>
      </c>
      <c r="BY941" s="30" t="s">
        <v>151</v>
      </c>
      <c r="BZ941" s="30" t="s">
        <v>1075</v>
      </c>
      <c r="CA941" s="30" t="s">
        <v>1075</v>
      </c>
      <c r="CB941" s="30" t="s">
        <v>151</v>
      </c>
      <c r="CC941" s="30" t="s">
        <v>585</v>
      </c>
      <c r="CD941" s="30" t="s">
        <v>151</v>
      </c>
      <c r="CE941" s="30" t="s">
        <v>191</v>
      </c>
      <c r="CF941" s="35">
        <v>45509</v>
      </c>
      <c r="CG941" s="37">
        <v>0.6</v>
      </c>
      <c r="CH941" s="30" t="s">
        <v>192</v>
      </c>
      <c r="CI941" s="37" t="s">
        <v>151</v>
      </c>
      <c r="CJ941" s="30" t="s">
        <v>151</v>
      </c>
      <c r="CK941" s="29" t="s">
        <v>151</v>
      </c>
      <c r="CL941" s="30" t="s">
        <v>231</v>
      </c>
      <c r="CM941" s="30" t="s">
        <v>151</v>
      </c>
      <c r="CN941" s="30" t="s">
        <v>151</v>
      </c>
      <c r="CO941" s="30" t="s">
        <v>165</v>
      </c>
      <c r="CP941" s="35">
        <v>45509</v>
      </c>
      <c r="CQ941" s="37" t="s">
        <v>151</v>
      </c>
      <c r="CR941" s="30" t="s">
        <v>151</v>
      </c>
      <c r="CS941" s="30" t="s">
        <v>191</v>
      </c>
      <c r="CT941" s="29">
        <v>41</v>
      </c>
      <c r="CU941" s="30" t="s">
        <v>263</v>
      </c>
      <c r="CV941" s="32">
        <v>40</v>
      </c>
      <c r="CW941" s="32">
        <v>60</v>
      </c>
      <c r="CX941" s="30" t="s">
        <v>263</v>
      </c>
      <c r="CY941" s="32">
        <v>1</v>
      </c>
      <c r="CZ941" s="32">
        <v>39</v>
      </c>
      <c r="DA941" s="37" t="s">
        <v>151</v>
      </c>
      <c r="DB941" s="35" t="s">
        <v>151</v>
      </c>
      <c r="DC941" s="30" t="s">
        <v>151</v>
      </c>
      <c r="DD941" s="29" t="s">
        <v>151</v>
      </c>
      <c r="DE941" s="32">
        <v>1.48</v>
      </c>
      <c r="DF941" s="34">
        <v>97</v>
      </c>
      <c r="DG941" s="32">
        <v>0</v>
      </c>
      <c r="DH941" s="32">
        <v>0</v>
      </c>
      <c r="DI941" s="32">
        <v>0</v>
      </c>
      <c r="DJ941" s="34">
        <v>10</v>
      </c>
      <c r="DK941" s="32" t="s">
        <v>151</v>
      </c>
      <c r="DL941" s="34" t="s">
        <v>151</v>
      </c>
      <c r="DM941" s="32">
        <v>0</v>
      </c>
      <c r="DN941" s="34">
        <v>10</v>
      </c>
      <c r="DO941" s="36">
        <v>0.7</v>
      </c>
      <c r="DP941" s="34">
        <v>42</v>
      </c>
      <c r="DQ941" s="36">
        <v>0</v>
      </c>
      <c r="DR941" s="32">
        <v>0</v>
      </c>
      <c r="DS941" s="36">
        <v>0.63</v>
      </c>
      <c r="DT941" s="34">
        <v>39</v>
      </c>
      <c r="DU941" s="36" t="s">
        <v>151</v>
      </c>
      <c r="DV941" s="34" t="s">
        <v>151</v>
      </c>
      <c r="DW941" s="36">
        <v>0.63</v>
      </c>
      <c r="DX941" s="34">
        <v>38</v>
      </c>
      <c r="DY941" s="31" t="s">
        <v>151</v>
      </c>
      <c r="DZ941" s="35" t="s">
        <v>151</v>
      </c>
      <c r="EA941" s="35" t="s">
        <v>151</v>
      </c>
      <c r="EB941" s="34">
        <v>557</v>
      </c>
      <c r="EC941" s="33">
        <v>42</v>
      </c>
      <c r="ED941" s="32">
        <v>8.16</v>
      </c>
      <c r="EE941" s="34">
        <v>12</v>
      </c>
      <c r="EF941" s="33">
        <v>1</v>
      </c>
      <c r="EG941" s="32">
        <v>9.09</v>
      </c>
      <c r="EH941" s="29" t="s">
        <v>198</v>
      </c>
      <c r="EI941" s="30" t="s">
        <v>151</v>
      </c>
      <c r="EJ941" s="30" t="s">
        <v>151</v>
      </c>
      <c r="EK941" s="31" t="s">
        <v>151</v>
      </c>
      <c r="EL941" s="31" t="s">
        <v>151</v>
      </c>
      <c r="EM941" s="31" t="s">
        <v>151</v>
      </c>
      <c r="EN941" s="31" t="s">
        <v>151</v>
      </c>
      <c r="EO941" s="31" t="s">
        <v>151</v>
      </c>
      <c r="EP941" s="30" t="s">
        <v>151</v>
      </c>
      <c r="EQ941" s="29" t="s">
        <v>151</v>
      </c>
      <c r="ER941" s="29" t="s">
        <v>151</v>
      </c>
      <c r="ES941" s="4">
        <f>HYPERLINK("https://my.pitchbook.com?c=537390-19","View Company Online")</f>
      </c>
    </row>
    <row r="942">
      <c r="A942" s="17" t="s">
        <v>18990</v>
      </c>
      <c r="B942" s="17" t="s">
        <v>18991</v>
      </c>
      <c r="C942" s="18" t="s">
        <v>151</v>
      </c>
      <c r="D942" s="17" t="s">
        <v>151</v>
      </c>
      <c r="E942" s="17" t="s">
        <v>18992</v>
      </c>
      <c r="F942" s="17" t="s">
        <v>151</v>
      </c>
      <c r="G942" s="17" t="s">
        <v>151</v>
      </c>
      <c r="H942" s="17" t="s">
        <v>151</v>
      </c>
      <c r="I942" s="17" t="s">
        <v>18993</v>
      </c>
      <c r="J942" s="17" t="s">
        <v>18990</v>
      </c>
      <c r="K942" s="17" t="s">
        <v>18994</v>
      </c>
      <c r="L942" s="17" t="s">
        <v>205</v>
      </c>
      <c r="M942" s="17" t="s">
        <v>206</v>
      </c>
      <c r="N942" s="17" t="s">
        <v>269</v>
      </c>
      <c r="O942" s="17" t="s">
        <v>18995</v>
      </c>
      <c r="P942" s="17" t="s">
        <v>4828</v>
      </c>
      <c r="Q942" s="17" t="s">
        <v>18996</v>
      </c>
      <c r="R942" s="17" t="s">
        <v>151</v>
      </c>
      <c r="S942" s="17" t="s">
        <v>162</v>
      </c>
      <c r="T942" s="24">
        <v>7</v>
      </c>
      <c r="U942" s="17" t="s">
        <v>163</v>
      </c>
      <c r="V942" s="17" t="s">
        <v>164</v>
      </c>
      <c r="W942" s="17" t="s">
        <v>165</v>
      </c>
      <c r="X942" s="15" t="s">
        <v>18997</v>
      </c>
      <c r="Y942" s="15" t="s">
        <v>18998</v>
      </c>
      <c r="Z942" s="27">
        <v>10</v>
      </c>
      <c r="AA942" s="17" t="s">
        <v>10058</v>
      </c>
      <c r="AB942" s="17" t="s">
        <v>151</v>
      </c>
      <c r="AC942" s="17" t="s">
        <v>151</v>
      </c>
      <c r="AD942" s="26">
        <v>2022</v>
      </c>
      <c r="AE942" s="17" t="s">
        <v>151</v>
      </c>
      <c r="AF942" s="22">
        <v>45412</v>
      </c>
      <c r="AG942" s="17" t="s">
        <v>151</v>
      </c>
      <c r="AH942" s="17" t="s">
        <v>151</v>
      </c>
      <c r="AI942" s="25" t="s">
        <v>151</v>
      </c>
      <c r="AJ942" s="19" t="s">
        <v>151</v>
      </c>
      <c r="AK942" s="25" t="s">
        <v>151</v>
      </c>
      <c r="AL942" s="25" t="s">
        <v>151</v>
      </c>
      <c r="AM942" s="25" t="s">
        <v>151</v>
      </c>
      <c r="AN942" s="25" t="s">
        <v>151</v>
      </c>
      <c r="AO942" s="25" t="s">
        <v>151</v>
      </c>
      <c r="AP942" s="25" t="s">
        <v>151</v>
      </c>
      <c r="AQ942" s="25" t="s">
        <v>151</v>
      </c>
      <c r="AR942" s="16" t="s">
        <v>151</v>
      </c>
      <c r="AS942" s="17" t="s">
        <v>18999</v>
      </c>
      <c r="AT942" s="17" t="s">
        <v>19000</v>
      </c>
      <c r="AU942" s="18">
        <v>8</v>
      </c>
      <c r="AV942" s="17" t="s">
        <v>151</v>
      </c>
      <c r="AW942" s="17" t="s">
        <v>151</v>
      </c>
      <c r="AX942" s="17" t="s">
        <v>151</v>
      </c>
      <c r="AY942" s="17" t="s">
        <v>19001</v>
      </c>
      <c r="AZ942" s="17" t="s">
        <v>151</v>
      </c>
      <c r="BA942" s="17" t="s">
        <v>151</v>
      </c>
      <c r="BB942" s="17" t="s">
        <v>151</v>
      </c>
      <c r="BC942" s="17" t="s">
        <v>151</v>
      </c>
      <c r="BD942" s="17" t="s">
        <v>19002</v>
      </c>
      <c r="BE942" s="17" t="s">
        <v>19003</v>
      </c>
      <c r="BF942" s="17" t="s">
        <v>2427</v>
      </c>
      <c r="BG942" s="17" t="s">
        <v>19004</v>
      </c>
      <c r="BH942" s="17" t="s">
        <v>151</v>
      </c>
      <c r="BI942" s="17" t="s">
        <v>19005</v>
      </c>
      <c r="BJ942" s="17" t="s">
        <v>151</v>
      </c>
      <c r="BK942" s="17" t="s">
        <v>151</v>
      </c>
      <c r="BL942" s="17" t="s">
        <v>19006</v>
      </c>
      <c r="BM942" s="17" t="s">
        <v>259</v>
      </c>
      <c r="BN942" s="16" t="s">
        <v>151</v>
      </c>
      <c r="BO942" s="17" t="s">
        <v>186</v>
      </c>
      <c r="BP942" s="16" t="s">
        <v>151</v>
      </c>
      <c r="BQ942" s="16" t="s">
        <v>151</v>
      </c>
      <c r="BR942" s="17" t="s">
        <v>151</v>
      </c>
      <c r="BS942" s="17" t="s">
        <v>187</v>
      </c>
      <c r="BT942" s="17" t="s">
        <v>188</v>
      </c>
      <c r="BU942" s="22">
        <v>44986</v>
      </c>
      <c r="BV942" s="24">
        <v>7</v>
      </c>
      <c r="BW942" s="17" t="s">
        <v>192</v>
      </c>
      <c r="BX942" s="24" t="s">
        <v>151</v>
      </c>
      <c r="BY942" s="17" t="s">
        <v>151</v>
      </c>
      <c r="BZ942" s="17" t="s">
        <v>293</v>
      </c>
      <c r="CA942" s="17" t="s">
        <v>293</v>
      </c>
      <c r="CB942" s="17" t="s">
        <v>151</v>
      </c>
      <c r="CC942" s="17" t="s">
        <v>165</v>
      </c>
      <c r="CD942" s="17" t="s">
        <v>151</v>
      </c>
      <c r="CE942" s="17" t="s">
        <v>191</v>
      </c>
      <c r="CF942" s="22">
        <v>45386</v>
      </c>
      <c r="CG942" s="24" t="s">
        <v>151</v>
      </c>
      <c r="CH942" s="17" t="s">
        <v>151</v>
      </c>
      <c r="CI942" s="24" t="s">
        <v>151</v>
      </c>
      <c r="CJ942" s="17" t="s">
        <v>151</v>
      </c>
      <c r="CK942" s="16" t="s">
        <v>151</v>
      </c>
      <c r="CL942" s="17" t="s">
        <v>189</v>
      </c>
      <c r="CM942" s="17" t="s">
        <v>151</v>
      </c>
      <c r="CN942" s="17" t="s">
        <v>151</v>
      </c>
      <c r="CO942" s="17" t="s">
        <v>190</v>
      </c>
      <c r="CP942" s="22">
        <v>45386</v>
      </c>
      <c r="CQ942" s="24" t="s">
        <v>151</v>
      </c>
      <c r="CR942" s="17" t="s">
        <v>151</v>
      </c>
      <c r="CS942" s="17" t="s">
        <v>191</v>
      </c>
      <c r="CT942" s="16" t="s">
        <v>151</v>
      </c>
      <c r="CU942" s="17" t="s">
        <v>151</v>
      </c>
      <c r="CV942" s="19" t="s">
        <v>151</v>
      </c>
      <c r="CW942" s="19" t="s">
        <v>151</v>
      </c>
      <c r="CX942" s="17" t="s">
        <v>151</v>
      </c>
      <c r="CY942" s="19" t="s">
        <v>151</v>
      </c>
      <c r="CZ942" s="19" t="s">
        <v>151</v>
      </c>
      <c r="DA942" s="24" t="s">
        <v>151</v>
      </c>
      <c r="DB942" s="22" t="s">
        <v>151</v>
      </c>
      <c r="DC942" s="17" t="s">
        <v>151</v>
      </c>
      <c r="DD942" s="16" t="s">
        <v>151</v>
      </c>
      <c r="DE942" s="19">
        <v>1.39</v>
      </c>
      <c r="DF942" s="21">
        <v>97</v>
      </c>
      <c r="DG942" s="19">
        <v>0</v>
      </c>
      <c r="DH942" s="19">
        <v>0</v>
      </c>
      <c r="DI942" s="19" t="s">
        <v>151</v>
      </c>
      <c r="DJ942" s="21" t="s">
        <v>151</v>
      </c>
      <c r="DK942" s="19" t="s">
        <v>151</v>
      </c>
      <c r="DL942" s="21" t="s">
        <v>151</v>
      </c>
      <c r="DM942" s="19" t="s">
        <v>151</v>
      </c>
      <c r="DN942" s="21" t="s">
        <v>151</v>
      </c>
      <c r="DO942" s="23">
        <v>0.77</v>
      </c>
      <c r="DP942" s="21">
        <v>44</v>
      </c>
      <c r="DQ942" s="23">
        <v>0</v>
      </c>
      <c r="DR942" s="19">
        <v>0</v>
      </c>
      <c r="DS942" s="23" t="s">
        <v>151</v>
      </c>
      <c r="DT942" s="21" t="s">
        <v>151</v>
      </c>
      <c r="DU942" s="23" t="s">
        <v>151</v>
      </c>
      <c r="DV942" s="21" t="s">
        <v>151</v>
      </c>
      <c r="DW942" s="23" t="s">
        <v>151</v>
      </c>
      <c r="DX942" s="21" t="s">
        <v>151</v>
      </c>
      <c r="DY942" s="18" t="s">
        <v>151</v>
      </c>
      <c r="DZ942" s="22" t="s">
        <v>151</v>
      </c>
      <c r="EA942" s="22" t="s">
        <v>151</v>
      </c>
      <c r="EB942" s="21">
        <v>506</v>
      </c>
      <c r="EC942" s="20">
        <v>46</v>
      </c>
      <c r="ED942" s="19">
        <v>10</v>
      </c>
      <c r="EE942" s="21" t="s">
        <v>151</v>
      </c>
      <c r="EF942" s="20" t="s">
        <v>151</v>
      </c>
      <c r="EG942" s="19" t="s">
        <v>151</v>
      </c>
      <c r="EH942" s="16" t="s">
        <v>198</v>
      </c>
      <c r="EI942" s="17" t="s">
        <v>151</v>
      </c>
      <c r="EJ942" s="17" t="s">
        <v>151</v>
      </c>
      <c r="EK942" s="18" t="s">
        <v>151</v>
      </c>
      <c r="EL942" s="18" t="s">
        <v>151</v>
      </c>
      <c r="EM942" s="18" t="s">
        <v>151</v>
      </c>
      <c r="EN942" s="18" t="s">
        <v>151</v>
      </c>
      <c r="EO942" s="18" t="s">
        <v>151</v>
      </c>
      <c r="EP942" s="17" t="s">
        <v>151</v>
      </c>
      <c r="EQ942" s="16" t="s">
        <v>151</v>
      </c>
      <c r="ER942" s="16" t="s">
        <v>151</v>
      </c>
      <c r="ES942" s="3">
        <f>HYPERLINK("https://my.pitchbook.com?c=522484-75","View Company Online")</f>
      </c>
    </row>
    <row r="943">
      <c r="A943" s="30" t="s">
        <v>19007</v>
      </c>
      <c r="B943" s="30" t="s">
        <v>19008</v>
      </c>
      <c r="C943" s="31" t="s">
        <v>151</v>
      </c>
      <c r="D943" s="30" t="s">
        <v>151</v>
      </c>
      <c r="E943" s="30" t="s">
        <v>19009</v>
      </c>
      <c r="F943" s="30" t="s">
        <v>19010</v>
      </c>
      <c r="G943" s="30" t="s">
        <v>151</v>
      </c>
      <c r="H943" s="30" t="s">
        <v>151</v>
      </c>
      <c r="I943" s="30" t="s">
        <v>151</v>
      </c>
      <c r="J943" s="30" t="s">
        <v>19007</v>
      </c>
      <c r="K943" s="30" t="s">
        <v>19011</v>
      </c>
      <c r="L943" s="30" t="s">
        <v>205</v>
      </c>
      <c r="M943" s="30" t="s">
        <v>206</v>
      </c>
      <c r="N943" s="30" t="s">
        <v>269</v>
      </c>
      <c r="O943" s="30" t="s">
        <v>1106</v>
      </c>
      <c r="P943" s="30" t="s">
        <v>304</v>
      </c>
      <c r="Q943" s="30" t="s">
        <v>19012</v>
      </c>
      <c r="R943" s="30" t="s">
        <v>151</v>
      </c>
      <c r="S943" s="30" t="s">
        <v>162</v>
      </c>
      <c r="T943" s="37">
        <v>1.1</v>
      </c>
      <c r="U943" s="30" t="s">
        <v>163</v>
      </c>
      <c r="V943" s="30" t="s">
        <v>164</v>
      </c>
      <c r="W943" s="30" t="s">
        <v>165</v>
      </c>
      <c r="X943" s="28" t="s">
        <v>19013</v>
      </c>
      <c r="Y943" s="28" t="s">
        <v>19014</v>
      </c>
      <c r="Z943" s="40">
        <v>14</v>
      </c>
      <c r="AA943" s="30" t="s">
        <v>19015</v>
      </c>
      <c r="AB943" s="30" t="s">
        <v>151</v>
      </c>
      <c r="AC943" s="30" t="s">
        <v>151</v>
      </c>
      <c r="AD943" s="39">
        <v>2020</v>
      </c>
      <c r="AE943" s="30" t="s">
        <v>151</v>
      </c>
      <c r="AF943" s="35">
        <v>45484</v>
      </c>
      <c r="AG943" s="30" t="s">
        <v>151</v>
      </c>
      <c r="AH943" s="30" t="s">
        <v>151</v>
      </c>
      <c r="AI943" s="38" t="s">
        <v>151</v>
      </c>
      <c r="AJ943" s="32" t="s">
        <v>151</v>
      </c>
      <c r="AK943" s="38" t="s">
        <v>151</v>
      </c>
      <c r="AL943" s="38" t="s">
        <v>151</v>
      </c>
      <c r="AM943" s="38" t="s">
        <v>151</v>
      </c>
      <c r="AN943" s="38" t="s">
        <v>151</v>
      </c>
      <c r="AO943" s="38" t="s">
        <v>151</v>
      </c>
      <c r="AP943" s="38" t="s">
        <v>151</v>
      </c>
      <c r="AQ943" s="38" t="s">
        <v>151</v>
      </c>
      <c r="AR943" s="29" t="s">
        <v>151</v>
      </c>
      <c r="AS943" s="30" t="s">
        <v>19016</v>
      </c>
      <c r="AT943" s="30" t="s">
        <v>19017</v>
      </c>
      <c r="AU943" s="31">
        <v>9</v>
      </c>
      <c r="AV943" s="30" t="s">
        <v>151</v>
      </c>
      <c r="AW943" s="30" t="s">
        <v>151</v>
      </c>
      <c r="AX943" s="30" t="s">
        <v>151</v>
      </c>
      <c r="AY943" s="30" t="s">
        <v>19018</v>
      </c>
      <c r="AZ943" s="30" t="s">
        <v>151</v>
      </c>
      <c r="BA943" s="30" t="s">
        <v>151</v>
      </c>
      <c r="BB943" s="30" t="s">
        <v>151</v>
      </c>
      <c r="BC943" s="30" t="s">
        <v>151</v>
      </c>
      <c r="BD943" s="30" t="s">
        <v>19019</v>
      </c>
      <c r="BE943" s="30" t="s">
        <v>19020</v>
      </c>
      <c r="BF943" s="30" t="s">
        <v>8968</v>
      </c>
      <c r="BG943" s="30" t="s">
        <v>19021</v>
      </c>
      <c r="BH943" s="30" t="s">
        <v>19022</v>
      </c>
      <c r="BI943" s="30" t="s">
        <v>906</v>
      </c>
      <c r="BJ943" s="30" t="s">
        <v>2957</v>
      </c>
      <c r="BK943" s="30" t="s">
        <v>151</v>
      </c>
      <c r="BL943" s="30" t="s">
        <v>259</v>
      </c>
      <c r="BM943" s="30" t="s">
        <v>259</v>
      </c>
      <c r="BN943" s="29" t="s">
        <v>151</v>
      </c>
      <c r="BO943" s="30" t="s">
        <v>186</v>
      </c>
      <c r="BP943" s="29" t="s">
        <v>19022</v>
      </c>
      <c r="BQ943" s="29" t="s">
        <v>151</v>
      </c>
      <c r="BR943" s="30" t="s">
        <v>19023</v>
      </c>
      <c r="BS943" s="30" t="s">
        <v>187</v>
      </c>
      <c r="BT943" s="30" t="s">
        <v>188</v>
      </c>
      <c r="BU943" s="35">
        <v>44044</v>
      </c>
      <c r="BV943" s="37" t="s">
        <v>151</v>
      </c>
      <c r="BW943" s="30" t="s">
        <v>151</v>
      </c>
      <c r="BX943" s="37" t="s">
        <v>151</v>
      </c>
      <c r="BY943" s="30" t="s">
        <v>151</v>
      </c>
      <c r="BZ943" s="30" t="s">
        <v>189</v>
      </c>
      <c r="CA943" s="30" t="s">
        <v>151</v>
      </c>
      <c r="CB943" s="30" t="s">
        <v>151</v>
      </c>
      <c r="CC943" s="30" t="s">
        <v>190</v>
      </c>
      <c r="CD943" s="30" t="s">
        <v>151</v>
      </c>
      <c r="CE943" s="30" t="s">
        <v>191</v>
      </c>
      <c r="CF943" s="35">
        <v>45245</v>
      </c>
      <c r="CG943" s="37" t="s">
        <v>151</v>
      </c>
      <c r="CH943" s="30" t="s">
        <v>151</v>
      </c>
      <c r="CI943" s="37" t="s">
        <v>151</v>
      </c>
      <c r="CJ943" s="30" t="s">
        <v>151</v>
      </c>
      <c r="CK943" s="29" t="s">
        <v>151</v>
      </c>
      <c r="CL943" s="30" t="s">
        <v>293</v>
      </c>
      <c r="CM943" s="30" t="s">
        <v>293</v>
      </c>
      <c r="CN943" s="30" t="s">
        <v>151</v>
      </c>
      <c r="CO943" s="30" t="s">
        <v>165</v>
      </c>
      <c r="CP943" s="35">
        <v>45245</v>
      </c>
      <c r="CQ943" s="37" t="s">
        <v>151</v>
      </c>
      <c r="CR943" s="30" t="s">
        <v>151</v>
      </c>
      <c r="CS943" s="30" t="s">
        <v>191</v>
      </c>
      <c r="CT943" s="29">
        <v>48</v>
      </c>
      <c r="CU943" s="30" t="s">
        <v>263</v>
      </c>
      <c r="CV943" s="32">
        <v>46</v>
      </c>
      <c r="CW943" s="32">
        <v>54</v>
      </c>
      <c r="CX943" s="30" t="s">
        <v>263</v>
      </c>
      <c r="CY943" s="32">
        <v>1</v>
      </c>
      <c r="CZ943" s="32">
        <v>45</v>
      </c>
      <c r="DA943" s="37" t="s">
        <v>151</v>
      </c>
      <c r="DB943" s="35" t="s">
        <v>151</v>
      </c>
      <c r="DC943" s="30" t="s">
        <v>151</v>
      </c>
      <c r="DD943" s="29" t="s">
        <v>151</v>
      </c>
      <c r="DE943" s="32" t="s">
        <v>151</v>
      </c>
      <c r="DF943" s="34" t="s">
        <v>151</v>
      </c>
      <c r="DG943" s="32" t="s">
        <v>151</v>
      </c>
      <c r="DH943" s="32" t="s">
        <v>151</v>
      </c>
      <c r="DI943" s="32" t="s">
        <v>151</v>
      </c>
      <c r="DJ943" s="34" t="s">
        <v>151</v>
      </c>
      <c r="DK943" s="32" t="s">
        <v>151</v>
      </c>
      <c r="DL943" s="34" t="s">
        <v>151</v>
      </c>
      <c r="DM943" s="32" t="s">
        <v>151</v>
      </c>
      <c r="DN943" s="34" t="s">
        <v>151</v>
      </c>
      <c r="DO943" s="36" t="s">
        <v>151</v>
      </c>
      <c r="DP943" s="34" t="s">
        <v>151</v>
      </c>
      <c r="DQ943" s="36" t="s">
        <v>151</v>
      </c>
      <c r="DR943" s="32" t="s">
        <v>151</v>
      </c>
      <c r="DS943" s="36" t="s">
        <v>151</v>
      </c>
      <c r="DT943" s="34" t="s">
        <v>151</v>
      </c>
      <c r="DU943" s="36" t="s">
        <v>151</v>
      </c>
      <c r="DV943" s="34" t="s">
        <v>151</v>
      </c>
      <c r="DW943" s="36" t="s">
        <v>151</v>
      </c>
      <c r="DX943" s="34" t="s">
        <v>151</v>
      </c>
      <c r="DY943" s="31" t="s">
        <v>151</v>
      </c>
      <c r="DZ943" s="35" t="s">
        <v>151</v>
      </c>
      <c r="EA943" s="35" t="s">
        <v>151</v>
      </c>
      <c r="EB943" s="34" t="s">
        <v>151</v>
      </c>
      <c r="EC943" s="33" t="s">
        <v>151</v>
      </c>
      <c r="ED943" s="32" t="s">
        <v>151</v>
      </c>
      <c r="EE943" s="34" t="s">
        <v>151</v>
      </c>
      <c r="EF943" s="33" t="s">
        <v>151</v>
      </c>
      <c r="EG943" s="32" t="s">
        <v>151</v>
      </c>
      <c r="EH943" s="29" t="s">
        <v>198</v>
      </c>
      <c r="EI943" s="30" t="s">
        <v>151</v>
      </c>
      <c r="EJ943" s="30" t="s">
        <v>151</v>
      </c>
      <c r="EK943" s="31" t="s">
        <v>151</v>
      </c>
      <c r="EL943" s="31" t="s">
        <v>151</v>
      </c>
      <c r="EM943" s="31" t="s">
        <v>151</v>
      </c>
      <c r="EN943" s="31" t="s">
        <v>151</v>
      </c>
      <c r="EO943" s="31" t="s">
        <v>151</v>
      </c>
      <c r="EP943" s="30" t="s">
        <v>151</v>
      </c>
      <c r="EQ943" s="29" t="s">
        <v>151</v>
      </c>
      <c r="ER943" s="29" t="s">
        <v>151</v>
      </c>
      <c r="ES943" s="4">
        <f>HYPERLINK("https://my.pitchbook.com?c=438280-39","View Company Online")</f>
      </c>
    </row>
    <row r="944">
      <c r="A944" s="17" t="s">
        <v>19024</v>
      </c>
      <c r="B944" s="17" t="s">
        <v>19025</v>
      </c>
      <c r="C944" s="18" t="s">
        <v>151</v>
      </c>
      <c r="D944" s="17" t="s">
        <v>151</v>
      </c>
      <c r="E944" s="17" t="s">
        <v>151</v>
      </c>
      <c r="F944" s="17" t="s">
        <v>19026</v>
      </c>
      <c r="G944" s="17" t="s">
        <v>151</v>
      </c>
      <c r="H944" s="17" t="s">
        <v>151</v>
      </c>
      <c r="I944" s="17" t="s">
        <v>19027</v>
      </c>
      <c r="J944" s="17" t="s">
        <v>19024</v>
      </c>
      <c r="K944" s="17" t="s">
        <v>19028</v>
      </c>
      <c r="L944" s="17" t="s">
        <v>205</v>
      </c>
      <c r="M944" s="17" t="s">
        <v>206</v>
      </c>
      <c r="N944" s="17" t="s">
        <v>269</v>
      </c>
      <c r="O944" s="17" t="s">
        <v>1651</v>
      </c>
      <c r="P944" s="17" t="s">
        <v>19029</v>
      </c>
      <c r="Q944" s="17" t="s">
        <v>19030</v>
      </c>
      <c r="R944" s="17" t="s">
        <v>151</v>
      </c>
      <c r="S944" s="17" t="s">
        <v>162</v>
      </c>
      <c r="T944" s="24">
        <v>500</v>
      </c>
      <c r="U944" s="17" t="s">
        <v>163</v>
      </c>
      <c r="V944" s="17" t="s">
        <v>164</v>
      </c>
      <c r="W944" s="17" t="s">
        <v>165</v>
      </c>
      <c r="X944" s="15" t="s">
        <v>19031</v>
      </c>
      <c r="Y944" s="15" t="s">
        <v>19032</v>
      </c>
      <c r="Z944" s="27">
        <v>990</v>
      </c>
      <c r="AA944" s="17" t="s">
        <v>19033</v>
      </c>
      <c r="AB944" s="17" t="s">
        <v>151</v>
      </c>
      <c r="AC944" s="17" t="s">
        <v>151</v>
      </c>
      <c r="AD944" s="26">
        <v>2014</v>
      </c>
      <c r="AE944" s="17" t="s">
        <v>151</v>
      </c>
      <c r="AF944" s="22">
        <v>45573</v>
      </c>
      <c r="AG944" s="17" t="s">
        <v>151</v>
      </c>
      <c r="AH944" s="17" t="s">
        <v>19034</v>
      </c>
      <c r="AI944" s="25">
        <v>200</v>
      </c>
      <c r="AJ944" s="19">
        <v>60</v>
      </c>
      <c r="AK944" s="25" t="s">
        <v>151</v>
      </c>
      <c r="AL944" s="25" t="s">
        <v>151</v>
      </c>
      <c r="AM944" s="25" t="s">
        <v>151</v>
      </c>
      <c r="AN944" s="25" t="s">
        <v>151</v>
      </c>
      <c r="AO944" s="25" t="s">
        <v>151</v>
      </c>
      <c r="AP944" s="25" t="s">
        <v>151</v>
      </c>
      <c r="AQ944" s="25" t="s">
        <v>151</v>
      </c>
      <c r="AR944" s="16" t="s">
        <v>810</v>
      </c>
      <c r="AS944" s="17" t="s">
        <v>19035</v>
      </c>
      <c r="AT944" s="17" t="s">
        <v>19036</v>
      </c>
      <c r="AU944" s="18">
        <v>3</v>
      </c>
      <c r="AV944" s="17" t="s">
        <v>151</v>
      </c>
      <c r="AW944" s="17" t="s">
        <v>151</v>
      </c>
      <c r="AX944" s="17" t="s">
        <v>151</v>
      </c>
      <c r="AY944" s="17" t="s">
        <v>19037</v>
      </c>
      <c r="AZ944" s="17" t="s">
        <v>151</v>
      </c>
      <c r="BA944" s="17" t="s">
        <v>151</v>
      </c>
      <c r="BB944" s="17" t="s">
        <v>151</v>
      </c>
      <c r="BC944" s="17" t="s">
        <v>19038</v>
      </c>
      <c r="BD944" s="17" t="s">
        <v>19039</v>
      </c>
      <c r="BE944" s="17" t="s">
        <v>19040</v>
      </c>
      <c r="BF944" s="17" t="s">
        <v>19041</v>
      </c>
      <c r="BG944" s="17" t="s">
        <v>19042</v>
      </c>
      <c r="BH944" s="17" t="s">
        <v>19043</v>
      </c>
      <c r="BI944" s="17" t="s">
        <v>2265</v>
      </c>
      <c r="BJ944" s="17" t="s">
        <v>19044</v>
      </c>
      <c r="BK944" s="17" t="s">
        <v>9604</v>
      </c>
      <c r="BL944" s="17" t="s">
        <v>2267</v>
      </c>
      <c r="BM944" s="17" t="s">
        <v>855</v>
      </c>
      <c r="BN944" s="16" t="s">
        <v>2268</v>
      </c>
      <c r="BO944" s="17" t="s">
        <v>186</v>
      </c>
      <c r="BP944" s="16" t="s">
        <v>19043</v>
      </c>
      <c r="BQ944" s="16" t="s">
        <v>151</v>
      </c>
      <c r="BR944" s="17" t="s">
        <v>19045</v>
      </c>
      <c r="BS944" s="17" t="s">
        <v>187</v>
      </c>
      <c r="BT944" s="17" t="s">
        <v>188</v>
      </c>
      <c r="BU944" s="22">
        <v>44256</v>
      </c>
      <c r="BV944" s="24">
        <v>100</v>
      </c>
      <c r="BW944" s="17" t="s">
        <v>192</v>
      </c>
      <c r="BX944" s="24" t="s">
        <v>151</v>
      </c>
      <c r="BY944" s="17" t="s">
        <v>151</v>
      </c>
      <c r="BZ944" s="17" t="s">
        <v>194</v>
      </c>
      <c r="CA944" s="17" t="s">
        <v>232</v>
      </c>
      <c r="CB944" s="17" t="s">
        <v>151</v>
      </c>
      <c r="CC944" s="17" t="s">
        <v>165</v>
      </c>
      <c r="CD944" s="17" t="s">
        <v>151</v>
      </c>
      <c r="CE944" s="17" t="s">
        <v>191</v>
      </c>
      <c r="CF944" s="22">
        <v>44697</v>
      </c>
      <c r="CG944" s="24">
        <v>400</v>
      </c>
      <c r="CH944" s="17" t="s">
        <v>192</v>
      </c>
      <c r="CI944" s="24" t="s">
        <v>151</v>
      </c>
      <c r="CJ944" s="17" t="s">
        <v>151</v>
      </c>
      <c r="CK944" s="16" t="s">
        <v>151</v>
      </c>
      <c r="CL944" s="17" t="s">
        <v>194</v>
      </c>
      <c r="CM944" s="17" t="s">
        <v>326</v>
      </c>
      <c r="CN944" s="17" t="s">
        <v>151</v>
      </c>
      <c r="CO944" s="17" t="s">
        <v>165</v>
      </c>
      <c r="CP944" s="22">
        <v>44697</v>
      </c>
      <c r="CQ944" s="24" t="s">
        <v>151</v>
      </c>
      <c r="CR944" s="17" t="s">
        <v>151</v>
      </c>
      <c r="CS944" s="17" t="s">
        <v>191</v>
      </c>
      <c r="CT944" s="16">
        <v>94</v>
      </c>
      <c r="CU944" s="17" t="s">
        <v>196</v>
      </c>
      <c r="CV944" s="19">
        <v>98</v>
      </c>
      <c r="CW944" s="19">
        <v>2</v>
      </c>
      <c r="CX944" s="17" t="s">
        <v>294</v>
      </c>
      <c r="CY944" s="19">
        <v>46</v>
      </c>
      <c r="CZ944" s="19">
        <v>52</v>
      </c>
      <c r="DA944" s="24" t="s">
        <v>151</v>
      </c>
      <c r="DB944" s="22" t="s">
        <v>151</v>
      </c>
      <c r="DC944" s="17" t="s">
        <v>151</v>
      </c>
      <c r="DD944" s="16" t="s">
        <v>151</v>
      </c>
      <c r="DE944" s="19">
        <v>-0.88</v>
      </c>
      <c r="DF944" s="21">
        <v>5</v>
      </c>
      <c r="DG944" s="19">
        <v>0</v>
      </c>
      <c r="DH944" s="19">
        <v>0</v>
      </c>
      <c r="DI944" s="19">
        <v>-0.88</v>
      </c>
      <c r="DJ944" s="21">
        <v>5</v>
      </c>
      <c r="DK944" s="19" t="s">
        <v>151</v>
      </c>
      <c r="DL944" s="21" t="s">
        <v>151</v>
      </c>
      <c r="DM944" s="19">
        <v>-0.88</v>
      </c>
      <c r="DN944" s="21">
        <v>5</v>
      </c>
      <c r="DO944" s="23">
        <v>135.26</v>
      </c>
      <c r="DP944" s="21">
        <v>100</v>
      </c>
      <c r="DQ944" s="23">
        <v>0</v>
      </c>
      <c r="DR944" s="19">
        <v>0</v>
      </c>
      <c r="DS944" s="23">
        <v>135.26</v>
      </c>
      <c r="DT944" s="21">
        <v>100</v>
      </c>
      <c r="DU944" s="23" t="s">
        <v>151</v>
      </c>
      <c r="DV944" s="21" t="s">
        <v>151</v>
      </c>
      <c r="DW944" s="23">
        <v>135.26</v>
      </c>
      <c r="DX944" s="21">
        <v>100</v>
      </c>
      <c r="DY944" s="18" t="s">
        <v>151</v>
      </c>
      <c r="DZ944" s="22" t="s">
        <v>151</v>
      </c>
      <c r="EA944" s="22" t="s">
        <v>151</v>
      </c>
      <c r="EB944" s="21">
        <v>53910</v>
      </c>
      <c r="EC944" s="20">
        <v>-859</v>
      </c>
      <c r="ED944" s="19">
        <v>-1.57</v>
      </c>
      <c r="EE944" s="21">
        <v>2570</v>
      </c>
      <c r="EF944" s="20">
        <v>-20</v>
      </c>
      <c r="EG944" s="19">
        <v>-0.77</v>
      </c>
      <c r="EH944" s="16" t="s">
        <v>198</v>
      </c>
      <c r="EI944" s="17" t="s">
        <v>151</v>
      </c>
      <c r="EJ944" s="17" t="s">
        <v>151</v>
      </c>
      <c r="EK944" s="18" t="s">
        <v>151</v>
      </c>
      <c r="EL944" s="18" t="s">
        <v>151</v>
      </c>
      <c r="EM944" s="18" t="s">
        <v>151</v>
      </c>
      <c r="EN944" s="18" t="s">
        <v>151</v>
      </c>
      <c r="EO944" s="18" t="s">
        <v>151</v>
      </c>
      <c r="EP944" s="17" t="s">
        <v>151</v>
      </c>
      <c r="EQ944" s="16" t="s">
        <v>151</v>
      </c>
      <c r="ER944" s="16" t="s">
        <v>151</v>
      </c>
      <c r="ES944" s="3">
        <f>HYPERLINK("https://my.pitchbook.com?c=178830-37","View Company Online")</f>
      </c>
    </row>
    <row r="945">
      <c r="A945" s="30" t="s">
        <v>19046</v>
      </c>
      <c r="B945" s="30" t="s">
        <v>19047</v>
      </c>
      <c r="C945" s="31" t="s">
        <v>151</v>
      </c>
      <c r="D945" s="30" t="s">
        <v>151</v>
      </c>
      <c r="E945" s="30" t="s">
        <v>151</v>
      </c>
      <c r="F945" s="30" t="s">
        <v>19048</v>
      </c>
      <c r="G945" s="30" t="s">
        <v>151</v>
      </c>
      <c r="H945" s="30" t="s">
        <v>151</v>
      </c>
      <c r="I945" s="30" t="s">
        <v>19049</v>
      </c>
      <c r="J945" s="30" t="s">
        <v>19046</v>
      </c>
      <c r="K945" s="30" t="s">
        <v>19050</v>
      </c>
      <c r="L945" s="30" t="s">
        <v>1178</v>
      </c>
      <c r="M945" s="30" t="s">
        <v>4825</v>
      </c>
      <c r="N945" s="30" t="s">
        <v>14889</v>
      </c>
      <c r="O945" s="30" t="s">
        <v>19051</v>
      </c>
      <c r="P945" s="30" t="s">
        <v>19052</v>
      </c>
      <c r="Q945" s="30" t="s">
        <v>19053</v>
      </c>
      <c r="R945" s="30" t="s">
        <v>151</v>
      </c>
      <c r="S945" s="30" t="s">
        <v>162</v>
      </c>
      <c r="T945" s="37">
        <v>13.77</v>
      </c>
      <c r="U945" s="30" t="s">
        <v>163</v>
      </c>
      <c r="V945" s="30" t="s">
        <v>164</v>
      </c>
      <c r="W945" s="30" t="s">
        <v>165</v>
      </c>
      <c r="X945" s="28" t="s">
        <v>19054</v>
      </c>
      <c r="Y945" s="28" t="s">
        <v>19055</v>
      </c>
      <c r="Z945" s="40">
        <v>48</v>
      </c>
      <c r="AA945" s="30" t="s">
        <v>19056</v>
      </c>
      <c r="AB945" s="30" t="s">
        <v>151</v>
      </c>
      <c r="AC945" s="30" t="s">
        <v>151</v>
      </c>
      <c r="AD945" s="39">
        <v>2021</v>
      </c>
      <c r="AE945" s="30" t="s">
        <v>151</v>
      </c>
      <c r="AF945" s="35">
        <v>45603</v>
      </c>
      <c r="AG945" s="30" t="s">
        <v>151</v>
      </c>
      <c r="AH945" s="30" t="s">
        <v>151</v>
      </c>
      <c r="AI945" s="38" t="s">
        <v>151</v>
      </c>
      <c r="AJ945" s="32" t="s">
        <v>151</v>
      </c>
      <c r="AK945" s="38" t="s">
        <v>151</v>
      </c>
      <c r="AL945" s="38" t="s">
        <v>151</v>
      </c>
      <c r="AM945" s="38" t="s">
        <v>151</v>
      </c>
      <c r="AN945" s="38" t="s">
        <v>151</v>
      </c>
      <c r="AO945" s="38" t="s">
        <v>151</v>
      </c>
      <c r="AP945" s="38" t="s">
        <v>151</v>
      </c>
      <c r="AQ945" s="38" t="s">
        <v>151</v>
      </c>
      <c r="AR945" s="29" t="s">
        <v>151</v>
      </c>
      <c r="AS945" s="30" t="s">
        <v>19057</v>
      </c>
      <c r="AT945" s="30" t="s">
        <v>19058</v>
      </c>
      <c r="AU945" s="31">
        <v>10</v>
      </c>
      <c r="AV945" s="30" t="s">
        <v>151</v>
      </c>
      <c r="AW945" s="30" t="s">
        <v>151</v>
      </c>
      <c r="AX945" s="30" t="s">
        <v>151</v>
      </c>
      <c r="AY945" s="30" t="s">
        <v>19059</v>
      </c>
      <c r="AZ945" s="30" t="s">
        <v>151</v>
      </c>
      <c r="BA945" s="30" t="s">
        <v>151</v>
      </c>
      <c r="BB945" s="30" t="s">
        <v>2781</v>
      </c>
      <c r="BC945" s="30" t="s">
        <v>374</v>
      </c>
      <c r="BD945" s="30" t="s">
        <v>19060</v>
      </c>
      <c r="BE945" s="30" t="s">
        <v>19061</v>
      </c>
      <c r="BF945" s="30" t="s">
        <v>493</v>
      </c>
      <c r="BG945" s="30" t="s">
        <v>19062</v>
      </c>
      <c r="BH945" s="30" t="s">
        <v>19063</v>
      </c>
      <c r="BI945" s="30" t="s">
        <v>224</v>
      </c>
      <c r="BJ945" s="30" t="s">
        <v>19064</v>
      </c>
      <c r="BK945" s="30" t="s">
        <v>9939</v>
      </c>
      <c r="BL945" s="30" t="s">
        <v>227</v>
      </c>
      <c r="BM945" s="30" t="s">
        <v>184</v>
      </c>
      <c r="BN945" s="29" t="s">
        <v>14621</v>
      </c>
      <c r="BO945" s="30" t="s">
        <v>186</v>
      </c>
      <c r="BP945" s="29" t="s">
        <v>19063</v>
      </c>
      <c r="BQ945" s="29" t="s">
        <v>151</v>
      </c>
      <c r="BR945" s="30" t="s">
        <v>19065</v>
      </c>
      <c r="BS945" s="30" t="s">
        <v>187</v>
      </c>
      <c r="BT945" s="30" t="s">
        <v>188</v>
      </c>
      <c r="BU945" s="35" t="s">
        <v>151</v>
      </c>
      <c r="BV945" s="37" t="s">
        <v>151</v>
      </c>
      <c r="BW945" s="30" t="s">
        <v>151</v>
      </c>
      <c r="BX945" s="37" t="s">
        <v>151</v>
      </c>
      <c r="BY945" s="30" t="s">
        <v>151</v>
      </c>
      <c r="BZ945" s="30" t="s">
        <v>189</v>
      </c>
      <c r="CA945" s="30" t="s">
        <v>151</v>
      </c>
      <c r="CB945" s="30" t="s">
        <v>151</v>
      </c>
      <c r="CC945" s="30" t="s">
        <v>190</v>
      </c>
      <c r="CD945" s="30" t="s">
        <v>151</v>
      </c>
      <c r="CE945" s="30" t="s">
        <v>191</v>
      </c>
      <c r="CF945" s="35" t="s">
        <v>151</v>
      </c>
      <c r="CG945" s="37">
        <v>0.05</v>
      </c>
      <c r="CH945" s="30" t="s">
        <v>192</v>
      </c>
      <c r="CI945" s="37" t="s">
        <v>151</v>
      </c>
      <c r="CJ945" s="30" t="s">
        <v>151</v>
      </c>
      <c r="CK945" s="29" t="s">
        <v>151</v>
      </c>
      <c r="CL945" s="30" t="s">
        <v>189</v>
      </c>
      <c r="CM945" s="30" t="s">
        <v>151</v>
      </c>
      <c r="CN945" s="30" t="s">
        <v>151</v>
      </c>
      <c r="CO945" s="30" t="s">
        <v>190</v>
      </c>
      <c r="CP945" s="35" t="s">
        <v>151</v>
      </c>
      <c r="CQ945" s="37" t="s">
        <v>151</v>
      </c>
      <c r="CR945" s="30" t="s">
        <v>151</v>
      </c>
      <c r="CS945" s="30" t="s">
        <v>191</v>
      </c>
      <c r="CT945" s="29">
        <v>83</v>
      </c>
      <c r="CU945" s="30" t="s">
        <v>196</v>
      </c>
      <c r="CV945" s="32">
        <v>76</v>
      </c>
      <c r="CW945" s="32">
        <v>24</v>
      </c>
      <c r="CX945" s="30" t="s">
        <v>294</v>
      </c>
      <c r="CY945" s="32">
        <v>1</v>
      </c>
      <c r="CZ945" s="32">
        <v>75</v>
      </c>
      <c r="DA945" s="37">
        <v>24</v>
      </c>
      <c r="DB945" s="35">
        <v>44500</v>
      </c>
      <c r="DC945" s="30" t="s">
        <v>293</v>
      </c>
      <c r="DD945" s="29" t="s">
        <v>151</v>
      </c>
      <c r="DE945" s="32">
        <v>0.2</v>
      </c>
      <c r="DF945" s="34">
        <v>91</v>
      </c>
      <c r="DG945" s="32">
        <v>0</v>
      </c>
      <c r="DH945" s="32">
        <v>0</v>
      </c>
      <c r="DI945" s="32">
        <v>-0.99</v>
      </c>
      <c r="DJ945" s="34">
        <v>4</v>
      </c>
      <c r="DK945" s="32">
        <v>-3.16</v>
      </c>
      <c r="DL945" s="34">
        <v>5</v>
      </c>
      <c r="DM945" s="32">
        <v>1.18</v>
      </c>
      <c r="DN945" s="34">
        <v>97</v>
      </c>
      <c r="DO945" s="36">
        <v>5.3</v>
      </c>
      <c r="DP945" s="34">
        <v>83</v>
      </c>
      <c r="DQ945" s="36">
        <v>0</v>
      </c>
      <c r="DR945" s="32">
        <v>0</v>
      </c>
      <c r="DS945" s="36">
        <v>6.9</v>
      </c>
      <c r="DT945" s="34">
        <v>86</v>
      </c>
      <c r="DU945" s="36">
        <v>7.85</v>
      </c>
      <c r="DV945" s="34">
        <v>85</v>
      </c>
      <c r="DW945" s="36">
        <v>5.95</v>
      </c>
      <c r="DX945" s="34">
        <v>84</v>
      </c>
      <c r="DY945" s="31" t="s">
        <v>151</v>
      </c>
      <c r="DZ945" s="35" t="s">
        <v>151</v>
      </c>
      <c r="EA945" s="35" t="s">
        <v>151</v>
      </c>
      <c r="EB945" s="34">
        <v>1609</v>
      </c>
      <c r="EC945" s="33">
        <v>69</v>
      </c>
      <c r="ED945" s="32">
        <v>4.48</v>
      </c>
      <c r="EE945" s="34">
        <v>113</v>
      </c>
      <c r="EF945" s="33">
        <v>0</v>
      </c>
      <c r="EG945" s="32">
        <v>0</v>
      </c>
      <c r="EH945" s="29" t="s">
        <v>198</v>
      </c>
      <c r="EI945" s="30" t="s">
        <v>151</v>
      </c>
      <c r="EJ945" s="30" t="s">
        <v>151</v>
      </c>
      <c r="EK945" s="31" t="s">
        <v>151</v>
      </c>
      <c r="EL945" s="31" t="s">
        <v>151</v>
      </c>
      <c r="EM945" s="31" t="s">
        <v>151</v>
      </c>
      <c r="EN945" s="31" t="s">
        <v>151</v>
      </c>
      <c r="EO945" s="31" t="s">
        <v>151</v>
      </c>
      <c r="EP945" s="30" t="s">
        <v>151</v>
      </c>
      <c r="EQ945" s="29" t="s">
        <v>151</v>
      </c>
      <c r="ER945" s="29" t="s">
        <v>151</v>
      </c>
      <c r="ES945" s="4">
        <f>HYPERLINK("https://my.pitchbook.com?c=459673-75","View Company Online")</f>
      </c>
    </row>
    <row r="946">
      <c r="A946" s="17" t="s">
        <v>19066</v>
      </c>
      <c r="B946" s="17" t="s">
        <v>19067</v>
      </c>
      <c r="C946" s="18" t="s">
        <v>151</v>
      </c>
      <c r="D946" s="17" t="s">
        <v>151</v>
      </c>
      <c r="E946" s="17" t="s">
        <v>19068</v>
      </c>
      <c r="F946" s="17" t="s">
        <v>19069</v>
      </c>
      <c r="G946" s="17" t="s">
        <v>151</v>
      </c>
      <c r="H946" s="17" t="s">
        <v>151</v>
      </c>
      <c r="I946" s="17" t="s">
        <v>19070</v>
      </c>
      <c r="J946" s="17" t="s">
        <v>19066</v>
      </c>
      <c r="K946" s="17" t="s">
        <v>19071</v>
      </c>
      <c r="L946" s="17" t="s">
        <v>205</v>
      </c>
      <c r="M946" s="17" t="s">
        <v>206</v>
      </c>
      <c r="N946" s="17" t="s">
        <v>269</v>
      </c>
      <c r="O946" s="17" t="s">
        <v>1106</v>
      </c>
      <c r="P946" s="17" t="s">
        <v>11225</v>
      </c>
      <c r="Q946" s="17" t="s">
        <v>19072</v>
      </c>
      <c r="R946" s="17" t="s">
        <v>780</v>
      </c>
      <c r="S946" s="17" t="s">
        <v>162</v>
      </c>
      <c r="T946" s="24">
        <v>3.3</v>
      </c>
      <c r="U946" s="17" t="s">
        <v>163</v>
      </c>
      <c r="V946" s="17" t="s">
        <v>164</v>
      </c>
      <c r="W946" s="17" t="s">
        <v>165</v>
      </c>
      <c r="X946" s="15" t="s">
        <v>19073</v>
      </c>
      <c r="Y946" s="15" t="s">
        <v>19074</v>
      </c>
      <c r="Z946" s="27">
        <v>5</v>
      </c>
      <c r="AA946" s="17" t="s">
        <v>19075</v>
      </c>
      <c r="AB946" s="17" t="s">
        <v>151</v>
      </c>
      <c r="AC946" s="17" t="s">
        <v>151</v>
      </c>
      <c r="AD946" s="26">
        <v>2021</v>
      </c>
      <c r="AE946" s="17" t="s">
        <v>151</v>
      </c>
      <c r="AF946" s="22">
        <v>45524</v>
      </c>
      <c r="AG946" s="17" t="s">
        <v>151</v>
      </c>
      <c r="AH946" s="17" t="s">
        <v>151</v>
      </c>
      <c r="AI946" s="25" t="s">
        <v>151</v>
      </c>
      <c r="AJ946" s="19" t="s">
        <v>151</v>
      </c>
      <c r="AK946" s="25" t="s">
        <v>151</v>
      </c>
      <c r="AL946" s="25" t="s">
        <v>151</v>
      </c>
      <c r="AM946" s="25" t="s">
        <v>151</v>
      </c>
      <c r="AN946" s="25" t="s">
        <v>151</v>
      </c>
      <c r="AO946" s="25" t="s">
        <v>151</v>
      </c>
      <c r="AP946" s="25" t="s">
        <v>151</v>
      </c>
      <c r="AQ946" s="25" t="s">
        <v>151</v>
      </c>
      <c r="AR946" s="16" t="s">
        <v>151</v>
      </c>
      <c r="AS946" s="17" t="s">
        <v>19076</v>
      </c>
      <c r="AT946" s="17" t="s">
        <v>19077</v>
      </c>
      <c r="AU946" s="18">
        <v>15</v>
      </c>
      <c r="AV946" s="17" t="s">
        <v>151</v>
      </c>
      <c r="AW946" s="17" t="s">
        <v>151</v>
      </c>
      <c r="AX946" s="17" t="s">
        <v>151</v>
      </c>
      <c r="AY946" s="17" t="s">
        <v>19078</v>
      </c>
      <c r="AZ946" s="17" t="s">
        <v>151</v>
      </c>
      <c r="BA946" s="17" t="s">
        <v>151</v>
      </c>
      <c r="BB946" s="17" t="s">
        <v>19079</v>
      </c>
      <c r="BC946" s="17" t="s">
        <v>490</v>
      </c>
      <c r="BD946" s="17" t="s">
        <v>19080</v>
      </c>
      <c r="BE946" s="17" t="s">
        <v>19081</v>
      </c>
      <c r="BF946" s="17" t="s">
        <v>493</v>
      </c>
      <c r="BG946" s="17" t="s">
        <v>19082</v>
      </c>
      <c r="BH946" s="17" t="s">
        <v>151</v>
      </c>
      <c r="BI946" s="17" t="s">
        <v>906</v>
      </c>
      <c r="BJ946" s="17" t="s">
        <v>17075</v>
      </c>
      <c r="BK946" s="17" t="s">
        <v>151</v>
      </c>
      <c r="BL946" s="17" t="s">
        <v>259</v>
      </c>
      <c r="BM946" s="17" t="s">
        <v>259</v>
      </c>
      <c r="BN946" s="16" t="s">
        <v>12050</v>
      </c>
      <c r="BO946" s="17" t="s">
        <v>186</v>
      </c>
      <c r="BP946" s="16" t="s">
        <v>151</v>
      </c>
      <c r="BQ946" s="16" t="s">
        <v>151</v>
      </c>
      <c r="BR946" s="17" t="s">
        <v>19083</v>
      </c>
      <c r="BS946" s="17" t="s">
        <v>187</v>
      </c>
      <c r="BT946" s="17" t="s">
        <v>188</v>
      </c>
      <c r="BU946" s="22">
        <v>45133</v>
      </c>
      <c r="BV946" s="24">
        <v>3.3</v>
      </c>
      <c r="BW946" s="17" t="s">
        <v>192</v>
      </c>
      <c r="BX946" s="24">
        <v>11.32</v>
      </c>
      <c r="BY946" s="17" t="s">
        <v>192</v>
      </c>
      <c r="BZ946" s="17" t="s">
        <v>293</v>
      </c>
      <c r="CA946" s="17" t="s">
        <v>293</v>
      </c>
      <c r="CB946" s="17" t="s">
        <v>151</v>
      </c>
      <c r="CC946" s="17" t="s">
        <v>165</v>
      </c>
      <c r="CD946" s="17" t="s">
        <v>151</v>
      </c>
      <c r="CE946" s="17" t="s">
        <v>191</v>
      </c>
      <c r="CF946" s="22">
        <v>45133</v>
      </c>
      <c r="CG946" s="24">
        <v>3.3</v>
      </c>
      <c r="CH946" s="17" t="s">
        <v>192</v>
      </c>
      <c r="CI946" s="24">
        <v>11.32</v>
      </c>
      <c r="CJ946" s="17" t="s">
        <v>192</v>
      </c>
      <c r="CK946" s="16" t="s">
        <v>151</v>
      </c>
      <c r="CL946" s="17" t="s">
        <v>293</v>
      </c>
      <c r="CM946" s="17" t="s">
        <v>293</v>
      </c>
      <c r="CN946" s="17" t="s">
        <v>151</v>
      </c>
      <c r="CO946" s="17" t="s">
        <v>165</v>
      </c>
      <c r="CP946" s="22">
        <v>45133</v>
      </c>
      <c r="CQ946" s="24" t="s">
        <v>151</v>
      </c>
      <c r="CR946" s="17" t="s">
        <v>151</v>
      </c>
      <c r="CS946" s="17" t="s">
        <v>191</v>
      </c>
      <c r="CT946" s="16" t="s">
        <v>151</v>
      </c>
      <c r="CU946" s="17" t="s">
        <v>151</v>
      </c>
      <c r="CV946" s="19" t="s">
        <v>151</v>
      </c>
      <c r="CW946" s="19" t="s">
        <v>151</v>
      </c>
      <c r="CX946" s="17" t="s">
        <v>151</v>
      </c>
      <c r="CY946" s="19" t="s">
        <v>151</v>
      </c>
      <c r="CZ946" s="19" t="s">
        <v>151</v>
      </c>
      <c r="DA946" s="24">
        <v>11.32</v>
      </c>
      <c r="DB946" s="22">
        <v>45133</v>
      </c>
      <c r="DC946" s="17" t="s">
        <v>293</v>
      </c>
      <c r="DD946" s="16" t="s">
        <v>151</v>
      </c>
      <c r="DE946" s="19">
        <v>0</v>
      </c>
      <c r="DF946" s="21">
        <v>11</v>
      </c>
      <c r="DG946" s="19">
        <v>0</v>
      </c>
      <c r="DH946" s="19">
        <v>0</v>
      </c>
      <c r="DI946" s="19">
        <v>0</v>
      </c>
      <c r="DJ946" s="21">
        <v>10</v>
      </c>
      <c r="DK946" s="19" t="s">
        <v>151</v>
      </c>
      <c r="DL946" s="21" t="s">
        <v>151</v>
      </c>
      <c r="DM946" s="19">
        <v>0</v>
      </c>
      <c r="DN946" s="21">
        <v>10</v>
      </c>
      <c r="DO946" s="23">
        <v>2.74</v>
      </c>
      <c r="DP946" s="21">
        <v>73</v>
      </c>
      <c r="DQ946" s="23">
        <v>0</v>
      </c>
      <c r="DR946" s="19">
        <v>0</v>
      </c>
      <c r="DS946" s="23">
        <v>2.74</v>
      </c>
      <c r="DT946" s="21">
        <v>72</v>
      </c>
      <c r="DU946" s="23" t="s">
        <v>151</v>
      </c>
      <c r="DV946" s="21" t="s">
        <v>151</v>
      </c>
      <c r="DW946" s="23">
        <v>2.74</v>
      </c>
      <c r="DX946" s="21">
        <v>72</v>
      </c>
      <c r="DY946" s="18" t="s">
        <v>151</v>
      </c>
      <c r="DZ946" s="22" t="s">
        <v>151</v>
      </c>
      <c r="EA946" s="22" t="s">
        <v>151</v>
      </c>
      <c r="EB946" s="21">
        <v>748</v>
      </c>
      <c r="EC946" s="20">
        <v>21</v>
      </c>
      <c r="ED946" s="19">
        <v>2.89</v>
      </c>
      <c r="EE946" s="21">
        <v>52</v>
      </c>
      <c r="EF946" s="20">
        <v>0</v>
      </c>
      <c r="EG946" s="19">
        <v>0</v>
      </c>
      <c r="EH946" s="16" t="s">
        <v>198</v>
      </c>
      <c r="EI946" s="17" t="s">
        <v>151</v>
      </c>
      <c r="EJ946" s="17" t="s">
        <v>151</v>
      </c>
      <c r="EK946" s="18" t="s">
        <v>151</v>
      </c>
      <c r="EL946" s="18" t="s">
        <v>151</v>
      </c>
      <c r="EM946" s="18" t="s">
        <v>151</v>
      </c>
      <c r="EN946" s="18" t="s">
        <v>151</v>
      </c>
      <c r="EO946" s="18" t="s">
        <v>151</v>
      </c>
      <c r="EP946" s="17" t="s">
        <v>151</v>
      </c>
      <c r="EQ946" s="16" t="s">
        <v>151</v>
      </c>
      <c r="ER946" s="16" t="s">
        <v>151</v>
      </c>
      <c r="ES946" s="3">
        <f>HYPERLINK("https://my.pitchbook.com?c=458388-19","View Company Online")</f>
      </c>
    </row>
    <row r="947">
      <c r="A947" s="30" t="s">
        <v>19084</v>
      </c>
      <c r="B947" s="30" t="s">
        <v>19085</v>
      </c>
      <c r="C947" s="31" t="s">
        <v>151</v>
      </c>
      <c r="D947" s="30" t="s">
        <v>151</v>
      </c>
      <c r="E947" s="30" t="s">
        <v>151</v>
      </c>
      <c r="F947" s="30" t="s">
        <v>19086</v>
      </c>
      <c r="G947" s="30" t="s">
        <v>151</v>
      </c>
      <c r="H947" s="30" t="s">
        <v>151</v>
      </c>
      <c r="I947" s="30" t="s">
        <v>151</v>
      </c>
      <c r="J947" s="30" t="s">
        <v>19084</v>
      </c>
      <c r="K947" s="30" t="s">
        <v>19087</v>
      </c>
      <c r="L947" s="30" t="s">
        <v>205</v>
      </c>
      <c r="M947" s="30" t="s">
        <v>206</v>
      </c>
      <c r="N947" s="30" t="s">
        <v>269</v>
      </c>
      <c r="O947" s="30" t="s">
        <v>1819</v>
      </c>
      <c r="P947" s="30" t="s">
        <v>19088</v>
      </c>
      <c r="Q947" s="30" t="s">
        <v>19089</v>
      </c>
      <c r="R947" s="30" t="s">
        <v>151</v>
      </c>
      <c r="S947" s="30" t="s">
        <v>162</v>
      </c>
      <c r="T947" s="37">
        <v>3.5</v>
      </c>
      <c r="U947" s="30" t="s">
        <v>163</v>
      </c>
      <c r="V947" s="30" t="s">
        <v>164</v>
      </c>
      <c r="W947" s="30" t="s">
        <v>165</v>
      </c>
      <c r="X947" s="28" t="s">
        <v>19090</v>
      </c>
      <c r="Y947" s="28" t="s">
        <v>19091</v>
      </c>
      <c r="Z947" s="40">
        <v>4</v>
      </c>
      <c r="AA947" s="30" t="s">
        <v>19092</v>
      </c>
      <c r="AB947" s="30" t="s">
        <v>151</v>
      </c>
      <c r="AC947" s="30" t="s">
        <v>151</v>
      </c>
      <c r="AD947" s="39">
        <v>2018</v>
      </c>
      <c r="AE947" s="30" t="s">
        <v>151</v>
      </c>
      <c r="AF947" s="35">
        <v>45603</v>
      </c>
      <c r="AG947" s="30" t="s">
        <v>151</v>
      </c>
      <c r="AH947" s="30" t="s">
        <v>151</v>
      </c>
      <c r="AI947" s="38" t="s">
        <v>151</v>
      </c>
      <c r="AJ947" s="32" t="s">
        <v>151</v>
      </c>
      <c r="AK947" s="38" t="s">
        <v>151</v>
      </c>
      <c r="AL947" s="38" t="s">
        <v>151</v>
      </c>
      <c r="AM947" s="38" t="s">
        <v>151</v>
      </c>
      <c r="AN947" s="38" t="s">
        <v>151</v>
      </c>
      <c r="AO947" s="38" t="s">
        <v>151</v>
      </c>
      <c r="AP947" s="38" t="s">
        <v>151</v>
      </c>
      <c r="AQ947" s="38" t="s">
        <v>151</v>
      </c>
      <c r="AR947" s="29" t="s">
        <v>151</v>
      </c>
      <c r="AS947" s="30" t="s">
        <v>19093</v>
      </c>
      <c r="AT947" s="30" t="s">
        <v>19094</v>
      </c>
      <c r="AU947" s="31">
        <v>3</v>
      </c>
      <c r="AV947" s="30" t="s">
        <v>151</v>
      </c>
      <c r="AW947" s="30" t="s">
        <v>151</v>
      </c>
      <c r="AX947" s="30" t="s">
        <v>151</v>
      </c>
      <c r="AY947" s="30" t="s">
        <v>19095</v>
      </c>
      <c r="AZ947" s="30" t="s">
        <v>151</v>
      </c>
      <c r="BA947" s="30" t="s">
        <v>151</v>
      </c>
      <c r="BB947" s="30" t="s">
        <v>151</v>
      </c>
      <c r="BC947" s="30" t="s">
        <v>151</v>
      </c>
      <c r="BD947" s="30" t="s">
        <v>19096</v>
      </c>
      <c r="BE947" s="30" t="s">
        <v>19097</v>
      </c>
      <c r="BF947" s="30" t="s">
        <v>19098</v>
      </c>
      <c r="BG947" s="30" t="s">
        <v>19099</v>
      </c>
      <c r="BH947" s="30" t="s">
        <v>19100</v>
      </c>
      <c r="BI947" s="30" t="s">
        <v>19101</v>
      </c>
      <c r="BJ947" s="30" t="s">
        <v>19102</v>
      </c>
      <c r="BK947" s="30" t="s">
        <v>151</v>
      </c>
      <c r="BL947" s="30" t="s">
        <v>19103</v>
      </c>
      <c r="BM947" s="30" t="s">
        <v>3217</v>
      </c>
      <c r="BN947" s="29" t="s">
        <v>19104</v>
      </c>
      <c r="BO947" s="30" t="s">
        <v>186</v>
      </c>
      <c r="BP947" s="29" t="s">
        <v>19105</v>
      </c>
      <c r="BQ947" s="29" t="s">
        <v>151</v>
      </c>
      <c r="BR947" s="30" t="s">
        <v>151</v>
      </c>
      <c r="BS947" s="30" t="s">
        <v>187</v>
      </c>
      <c r="BT947" s="30" t="s">
        <v>188</v>
      </c>
      <c r="BU947" s="35">
        <v>44483</v>
      </c>
      <c r="BV947" s="37" t="s">
        <v>151</v>
      </c>
      <c r="BW947" s="30" t="s">
        <v>151</v>
      </c>
      <c r="BX947" s="37" t="s">
        <v>151</v>
      </c>
      <c r="BY947" s="30" t="s">
        <v>151</v>
      </c>
      <c r="BZ947" s="30" t="s">
        <v>189</v>
      </c>
      <c r="CA947" s="30" t="s">
        <v>151</v>
      </c>
      <c r="CB947" s="30" t="s">
        <v>151</v>
      </c>
      <c r="CC947" s="30" t="s">
        <v>190</v>
      </c>
      <c r="CD947" s="30" t="s">
        <v>151</v>
      </c>
      <c r="CE947" s="30" t="s">
        <v>191</v>
      </c>
      <c r="CF947" s="35">
        <v>44769</v>
      </c>
      <c r="CG947" s="37">
        <v>3.5</v>
      </c>
      <c r="CH947" s="30" t="s">
        <v>192</v>
      </c>
      <c r="CI947" s="37">
        <v>7.5</v>
      </c>
      <c r="CJ947" s="30" t="s">
        <v>192</v>
      </c>
      <c r="CK947" s="29" t="s">
        <v>151</v>
      </c>
      <c r="CL947" s="30" t="s">
        <v>231</v>
      </c>
      <c r="CM947" s="30" t="s">
        <v>232</v>
      </c>
      <c r="CN947" s="30" t="s">
        <v>151</v>
      </c>
      <c r="CO947" s="30" t="s">
        <v>165</v>
      </c>
      <c r="CP947" s="35">
        <v>44769</v>
      </c>
      <c r="CQ947" s="37" t="s">
        <v>151</v>
      </c>
      <c r="CR947" s="30" t="s">
        <v>151</v>
      </c>
      <c r="CS947" s="30" t="s">
        <v>191</v>
      </c>
      <c r="CT947" s="29" t="s">
        <v>151</v>
      </c>
      <c r="CU947" s="30" t="s">
        <v>151</v>
      </c>
      <c r="CV947" s="32" t="s">
        <v>151</v>
      </c>
      <c r="CW947" s="32" t="s">
        <v>151</v>
      </c>
      <c r="CX947" s="30" t="s">
        <v>151</v>
      </c>
      <c r="CY947" s="32" t="s">
        <v>151</v>
      </c>
      <c r="CZ947" s="32" t="s">
        <v>151</v>
      </c>
      <c r="DA947" s="37">
        <v>7.5</v>
      </c>
      <c r="DB947" s="35">
        <v>44769</v>
      </c>
      <c r="DC947" s="30" t="s">
        <v>231</v>
      </c>
      <c r="DD947" s="29" t="s">
        <v>151</v>
      </c>
      <c r="DE947" s="32">
        <v>0</v>
      </c>
      <c r="DF947" s="34">
        <v>11</v>
      </c>
      <c r="DG947" s="32">
        <v>0</v>
      </c>
      <c r="DH947" s="32">
        <v>0</v>
      </c>
      <c r="DI947" s="32">
        <v>0</v>
      </c>
      <c r="DJ947" s="34">
        <v>10</v>
      </c>
      <c r="DK947" s="32" t="s">
        <v>151</v>
      </c>
      <c r="DL947" s="34" t="s">
        <v>151</v>
      </c>
      <c r="DM947" s="32">
        <v>0</v>
      </c>
      <c r="DN947" s="34">
        <v>10</v>
      </c>
      <c r="DO947" s="36">
        <v>0.73</v>
      </c>
      <c r="DP947" s="34">
        <v>42</v>
      </c>
      <c r="DQ947" s="36">
        <v>0</v>
      </c>
      <c r="DR947" s="32">
        <v>0</v>
      </c>
      <c r="DS947" s="36">
        <v>1.16</v>
      </c>
      <c r="DT947" s="34">
        <v>53</v>
      </c>
      <c r="DU947" s="36" t="s">
        <v>151</v>
      </c>
      <c r="DV947" s="34" t="s">
        <v>151</v>
      </c>
      <c r="DW947" s="36">
        <v>1.16</v>
      </c>
      <c r="DX947" s="34">
        <v>53</v>
      </c>
      <c r="DY947" s="31" t="s">
        <v>151</v>
      </c>
      <c r="DZ947" s="35" t="s">
        <v>151</v>
      </c>
      <c r="EA947" s="35" t="s">
        <v>151</v>
      </c>
      <c r="EB947" s="34">
        <v>0</v>
      </c>
      <c r="EC947" s="33">
        <v>0</v>
      </c>
      <c r="ED947" s="32">
        <v>0</v>
      </c>
      <c r="EE947" s="34">
        <v>22</v>
      </c>
      <c r="EF947" s="33">
        <v>0</v>
      </c>
      <c r="EG947" s="32">
        <v>0</v>
      </c>
      <c r="EH947" s="29" t="s">
        <v>198</v>
      </c>
      <c r="EI947" s="30" t="s">
        <v>151</v>
      </c>
      <c r="EJ947" s="30" t="s">
        <v>151</v>
      </c>
      <c r="EK947" s="31" t="s">
        <v>151</v>
      </c>
      <c r="EL947" s="31" t="s">
        <v>151</v>
      </c>
      <c r="EM947" s="31" t="s">
        <v>151</v>
      </c>
      <c r="EN947" s="31" t="s">
        <v>151</v>
      </c>
      <c r="EO947" s="31" t="s">
        <v>151</v>
      </c>
      <c r="EP947" s="30" t="s">
        <v>151</v>
      </c>
      <c r="EQ947" s="29" t="s">
        <v>151</v>
      </c>
      <c r="ER947" s="29" t="s">
        <v>151</v>
      </c>
      <c r="ES947" s="4">
        <f>HYPERLINK("https://my.pitchbook.com?c=502850-08","View Company Online")</f>
      </c>
    </row>
    <row r="948">
      <c r="A948" s="17" t="s">
        <v>19106</v>
      </c>
      <c r="B948" s="17" t="s">
        <v>19107</v>
      </c>
      <c r="C948" s="18" t="s">
        <v>151</v>
      </c>
      <c r="D948" s="17" t="s">
        <v>151</v>
      </c>
      <c r="E948" s="17" t="s">
        <v>151</v>
      </c>
      <c r="F948" s="17" t="s">
        <v>19108</v>
      </c>
      <c r="G948" s="17" t="s">
        <v>151</v>
      </c>
      <c r="H948" s="17" t="s">
        <v>151</v>
      </c>
      <c r="I948" s="17" t="s">
        <v>19109</v>
      </c>
      <c r="J948" s="17" t="s">
        <v>19106</v>
      </c>
      <c r="K948" s="17" t="s">
        <v>19110</v>
      </c>
      <c r="L948" s="17" t="s">
        <v>155</v>
      </c>
      <c r="M948" s="17" t="s">
        <v>2320</v>
      </c>
      <c r="N948" s="17" t="s">
        <v>2321</v>
      </c>
      <c r="O948" s="17" t="s">
        <v>19111</v>
      </c>
      <c r="P948" s="17" t="s">
        <v>19112</v>
      </c>
      <c r="Q948" s="17" t="s">
        <v>19113</v>
      </c>
      <c r="R948" s="17" t="s">
        <v>151</v>
      </c>
      <c r="S948" s="17" t="s">
        <v>162</v>
      </c>
      <c r="T948" s="24">
        <v>66</v>
      </c>
      <c r="U948" s="17" t="s">
        <v>163</v>
      </c>
      <c r="V948" s="17" t="s">
        <v>164</v>
      </c>
      <c r="W948" s="17" t="s">
        <v>165</v>
      </c>
      <c r="X948" s="15" t="s">
        <v>19114</v>
      </c>
      <c r="Y948" s="15" t="s">
        <v>19115</v>
      </c>
      <c r="Z948" s="27">
        <v>72</v>
      </c>
      <c r="AA948" s="17" t="s">
        <v>19116</v>
      </c>
      <c r="AB948" s="17" t="s">
        <v>151</v>
      </c>
      <c r="AC948" s="17" t="s">
        <v>151</v>
      </c>
      <c r="AD948" s="26">
        <v>2021</v>
      </c>
      <c r="AE948" s="17" t="s">
        <v>151</v>
      </c>
      <c r="AF948" s="22">
        <v>45587</v>
      </c>
      <c r="AG948" s="17" t="s">
        <v>151</v>
      </c>
      <c r="AH948" s="17" t="s">
        <v>151</v>
      </c>
      <c r="AI948" s="25" t="s">
        <v>151</v>
      </c>
      <c r="AJ948" s="19" t="s">
        <v>151</v>
      </c>
      <c r="AK948" s="25" t="s">
        <v>151</v>
      </c>
      <c r="AL948" s="25" t="s">
        <v>151</v>
      </c>
      <c r="AM948" s="25" t="s">
        <v>151</v>
      </c>
      <c r="AN948" s="25" t="s">
        <v>151</v>
      </c>
      <c r="AO948" s="25" t="s">
        <v>151</v>
      </c>
      <c r="AP948" s="25" t="s">
        <v>151</v>
      </c>
      <c r="AQ948" s="25" t="s">
        <v>151</v>
      </c>
      <c r="AR948" s="16" t="s">
        <v>151</v>
      </c>
      <c r="AS948" s="17" t="s">
        <v>19117</v>
      </c>
      <c r="AT948" s="17" t="s">
        <v>19118</v>
      </c>
      <c r="AU948" s="18">
        <v>8</v>
      </c>
      <c r="AV948" s="17" t="s">
        <v>151</v>
      </c>
      <c r="AW948" s="17" t="s">
        <v>151</v>
      </c>
      <c r="AX948" s="17" t="s">
        <v>151</v>
      </c>
      <c r="AY948" s="17" t="s">
        <v>19119</v>
      </c>
      <c r="AZ948" s="17" t="s">
        <v>151</v>
      </c>
      <c r="BA948" s="17" t="s">
        <v>151</v>
      </c>
      <c r="BB948" s="17" t="s">
        <v>151</v>
      </c>
      <c r="BC948" s="17" t="s">
        <v>1277</v>
      </c>
      <c r="BD948" s="17" t="s">
        <v>19120</v>
      </c>
      <c r="BE948" s="17" t="s">
        <v>19121</v>
      </c>
      <c r="BF948" s="17" t="s">
        <v>19122</v>
      </c>
      <c r="BG948" s="17" t="s">
        <v>19123</v>
      </c>
      <c r="BH948" s="17" t="s">
        <v>19124</v>
      </c>
      <c r="BI948" s="17" t="s">
        <v>906</v>
      </c>
      <c r="BJ948" s="17" t="s">
        <v>19125</v>
      </c>
      <c r="BK948" s="17" t="s">
        <v>19126</v>
      </c>
      <c r="BL948" s="17" t="s">
        <v>259</v>
      </c>
      <c r="BM948" s="17" t="s">
        <v>259</v>
      </c>
      <c r="BN948" s="16" t="s">
        <v>4398</v>
      </c>
      <c r="BO948" s="17" t="s">
        <v>186</v>
      </c>
      <c r="BP948" s="16" t="s">
        <v>19124</v>
      </c>
      <c r="BQ948" s="16" t="s">
        <v>151</v>
      </c>
      <c r="BR948" s="17" t="s">
        <v>19127</v>
      </c>
      <c r="BS948" s="17" t="s">
        <v>187</v>
      </c>
      <c r="BT948" s="17" t="s">
        <v>188</v>
      </c>
      <c r="BU948" s="22" t="s">
        <v>151</v>
      </c>
      <c r="BV948" s="24" t="s">
        <v>151</v>
      </c>
      <c r="BW948" s="17" t="s">
        <v>151</v>
      </c>
      <c r="BX948" s="24" t="s">
        <v>151</v>
      </c>
      <c r="BY948" s="17" t="s">
        <v>151</v>
      </c>
      <c r="BZ948" s="17" t="s">
        <v>385</v>
      </c>
      <c r="CA948" s="17" t="s">
        <v>385</v>
      </c>
      <c r="CB948" s="17" t="s">
        <v>151</v>
      </c>
      <c r="CC948" s="17" t="s">
        <v>385</v>
      </c>
      <c r="CD948" s="17" t="s">
        <v>151</v>
      </c>
      <c r="CE948" s="17" t="s">
        <v>191</v>
      </c>
      <c r="CF948" s="22">
        <v>45545</v>
      </c>
      <c r="CG948" s="24">
        <v>26</v>
      </c>
      <c r="CH948" s="17" t="s">
        <v>192</v>
      </c>
      <c r="CI948" s="24" t="s">
        <v>151</v>
      </c>
      <c r="CJ948" s="17" t="s">
        <v>151</v>
      </c>
      <c r="CK948" s="16" t="s">
        <v>151</v>
      </c>
      <c r="CL948" s="17" t="s">
        <v>194</v>
      </c>
      <c r="CM948" s="17" t="s">
        <v>151</v>
      </c>
      <c r="CN948" s="17" t="s">
        <v>151</v>
      </c>
      <c r="CO948" s="17" t="s">
        <v>165</v>
      </c>
      <c r="CP948" s="22">
        <v>45545</v>
      </c>
      <c r="CQ948" s="24" t="s">
        <v>151</v>
      </c>
      <c r="CR948" s="17" t="s">
        <v>151</v>
      </c>
      <c r="CS948" s="17" t="s">
        <v>191</v>
      </c>
      <c r="CT948" s="16">
        <v>53</v>
      </c>
      <c r="CU948" s="17" t="s">
        <v>196</v>
      </c>
      <c r="CV948" s="19">
        <v>73</v>
      </c>
      <c r="CW948" s="19">
        <v>27</v>
      </c>
      <c r="CX948" s="17" t="s">
        <v>294</v>
      </c>
      <c r="CY948" s="19">
        <v>15</v>
      </c>
      <c r="CZ948" s="19">
        <v>58</v>
      </c>
      <c r="DA948" s="24" t="s">
        <v>151</v>
      </c>
      <c r="DB948" s="22" t="s">
        <v>151</v>
      </c>
      <c r="DC948" s="17" t="s">
        <v>151</v>
      </c>
      <c r="DD948" s="16" t="s">
        <v>151</v>
      </c>
      <c r="DE948" s="19">
        <v>0.55</v>
      </c>
      <c r="DF948" s="21">
        <v>94</v>
      </c>
      <c r="DG948" s="19">
        <v>0</v>
      </c>
      <c r="DH948" s="19">
        <v>0</v>
      </c>
      <c r="DI948" s="19">
        <v>0</v>
      </c>
      <c r="DJ948" s="21">
        <v>10</v>
      </c>
      <c r="DK948" s="19" t="s">
        <v>151</v>
      </c>
      <c r="DL948" s="21" t="s">
        <v>151</v>
      </c>
      <c r="DM948" s="19">
        <v>0</v>
      </c>
      <c r="DN948" s="21">
        <v>10</v>
      </c>
      <c r="DO948" s="23">
        <v>4.16</v>
      </c>
      <c r="DP948" s="21">
        <v>80</v>
      </c>
      <c r="DQ948" s="23">
        <v>0</v>
      </c>
      <c r="DR948" s="19">
        <v>0</v>
      </c>
      <c r="DS948" s="23">
        <v>2.79</v>
      </c>
      <c r="DT948" s="21">
        <v>73</v>
      </c>
      <c r="DU948" s="23" t="s">
        <v>151</v>
      </c>
      <c r="DV948" s="21" t="s">
        <v>151</v>
      </c>
      <c r="DW948" s="23">
        <v>2.79</v>
      </c>
      <c r="DX948" s="21">
        <v>72</v>
      </c>
      <c r="DY948" s="18" t="s">
        <v>151</v>
      </c>
      <c r="DZ948" s="22" t="s">
        <v>151</v>
      </c>
      <c r="EA948" s="22" t="s">
        <v>151</v>
      </c>
      <c r="EB948" s="21">
        <v>835</v>
      </c>
      <c r="EC948" s="20">
        <v>-29</v>
      </c>
      <c r="ED948" s="19">
        <v>-3.36</v>
      </c>
      <c r="EE948" s="21">
        <v>53</v>
      </c>
      <c r="EF948" s="20">
        <v>1</v>
      </c>
      <c r="EG948" s="19">
        <v>1.92</v>
      </c>
      <c r="EH948" s="16" t="s">
        <v>198</v>
      </c>
      <c r="EI948" s="17" t="s">
        <v>151</v>
      </c>
      <c r="EJ948" s="17" t="s">
        <v>151</v>
      </c>
      <c r="EK948" s="18" t="s">
        <v>151</v>
      </c>
      <c r="EL948" s="18" t="s">
        <v>151</v>
      </c>
      <c r="EM948" s="18" t="s">
        <v>151</v>
      </c>
      <c r="EN948" s="18" t="s">
        <v>151</v>
      </c>
      <c r="EO948" s="18" t="s">
        <v>151</v>
      </c>
      <c r="EP948" s="17" t="s">
        <v>151</v>
      </c>
      <c r="EQ948" s="16" t="s">
        <v>151</v>
      </c>
      <c r="ER948" s="16" t="s">
        <v>151</v>
      </c>
      <c r="ES948" s="3">
        <f>HYPERLINK("https://my.pitchbook.com?c=501935-23","View Company Online")</f>
      </c>
    </row>
    <row r="949">
      <c r="A949" s="30" t="s">
        <v>19128</v>
      </c>
      <c r="B949" s="30" t="s">
        <v>19129</v>
      </c>
      <c r="C949" s="31" t="s">
        <v>151</v>
      </c>
      <c r="D949" s="30" t="s">
        <v>151</v>
      </c>
      <c r="E949" s="30" t="s">
        <v>151</v>
      </c>
      <c r="F949" s="30" t="s">
        <v>19130</v>
      </c>
      <c r="G949" s="30" t="s">
        <v>151</v>
      </c>
      <c r="H949" s="30" t="s">
        <v>151</v>
      </c>
      <c r="I949" s="30" t="s">
        <v>151</v>
      </c>
      <c r="J949" s="30" t="s">
        <v>19128</v>
      </c>
      <c r="K949" s="30" t="s">
        <v>19131</v>
      </c>
      <c r="L949" s="30" t="s">
        <v>205</v>
      </c>
      <c r="M949" s="30" t="s">
        <v>206</v>
      </c>
      <c r="N949" s="30" t="s">
        <v>269</v>
      </c>
      <c r="O949" s="30" t="s">
        <v>19132</v>
      </c>
      <c r="P949" s="30" t="s">
        <v>2922</v>
      </c>
      <c r="Q949" s="30" t="s">
        <v>19133</v>
      </c>
      <c r="R949" s="30" t="s">
        <v>151</v>
      </c>
      <c r="S949" s="30" t="s">
        <v>162</v>
      </c>
      <c r="T949" s="37">
        <v>4</v>
      </c>
      <c r="U949" s="30" t="s">
        <v>1727</v>
      </c>
      <c r="V949" s="30" t="s">
        <v>164</v>
      </c>
      <c r="W949" s="30" t="s">
        <v>165</v>
      </c>
      <c r="X949" s="28" t="s">
        <v>19134</v>
      </c>
      <c r="Y949" s="28" t="s">
        <v>19135</v>
      </c>
      <c r="Z949" s="40">
        <v>11</v>
      </c>
      <c r="AA949" s="30" t="s">
        <v>19136</v>
      </c>
      <c r="AB949" s="30" t="s">
        <v>151</v>
      </c>
      <c r="AC949" s="30" t="s">
        <v>151</v>
      </c>
      <c r="AD949" s="39">
        <v>2021</v>
      </c>
      <c r="AE949" s="30" t="s">
        <v>151</v>
      </c>
      <c r="AF949" s="35">
        <v>45617</v>
      </c>
      <c r="AG949" s="30" t="s">
        <v>151</v>
      </c>
      <c r="AH949" s="30" t="s">
        <v>151</v>
      </c>
      <c r="AI949" s="38" t="s">
        <v>151</v>
      </c>
      <c r="AJ949" s="32" t="s">
        <v>151</v>
      </c>
      <c r="AK949" s="38" t="s">
        <v>151</v>
      </c>
      <c r="AL949" s="38" t="s">
        <v>151</v>
      </c>
      <c r="AM949" s="38" t="s">
        <v>151</v>
      </c>
      <c r="AN949" s="38" t="s">
        <v>151</v>
      </c>
      <c r="AO949" s="38" t="s">
        <v>151</v>
      </c>
      <c r="AP949" s="38" t="s">
        <v>151</v>
      </c>
      <c r="AQ949" s="38" t="s">
        <v>151</v>
      </c>
      <c r="AR949" s="29" t="s">
        <v>151</v>
      </c>
      <c r="AS949" s="30" t="s">
        <v>19137</v>
      </c>
      <c r="AT949" s="30" t="s">
        <v>19138</v>
      </c>
      <c r="AU949" s="31">
        <v>6</v>
      </c>
      <c r="AV949" s="30" t="s">
        <v>151</v>
      </c>
      <c r="AW949" s="30" t="s">
        <v>151</v>
      </c>
      <c r="AX949" s="30" t="s">
        <v>151</v>
      </c>
      <c r="AY949" s="30" t="s">
        <v>19139</v>
      </c>
      <c r="AZ949" s="30" t="s">
        <v>151</v>
      </c>
      <c r="BA949" s="30" t="s">
        <v>151</v>
      </c>
      <c r="BB949" s="30" t="s">
        <v>151</v>
      </c>
      <c r="BC949" s="30" t="s">
        <v>2424</v>
      </c>
      <c r="BD949" s="30" t="s">
        <v>19140</v>
      </c>
      <c r="BE949" s="30" t="s">
        <v>19141</v>
      </c>
      <c r="BF949" s="30" t="s">
        <v>221</v>
      </c>
      <c r="BG949" s="30" t="s">
        <v>151</v>
      </c>
      <c r="BH949" s="30" t="s">
        <v>19142</v>
      </c>
      <c r="BI949" s="30" t="s">
        <v>764</v>
      </c>
      <c r="BJ949" s="30" t="s">
        <v>3969</v>
      </c>
      <c r="BK949" s="30" t="s">
        <v>19143</v>
      </c>
      <c r="BL949" s="30" t="s">
        <v>767</v>
      </c>
      <c r="BM949" s="30" t="s">
        <v>184</v>
      </c>
      <c r="BN949" s="29" t="s">
        <v>794</v>
      </c>
      <c r="BO949" s="30" t="s">
        <v>186</v>
      </c>
      <c r="BP949" s="29" t="s">
        <v>151</v>
      </c>
      <c r="BQ949" s="29" t="s">
        <v>151</v>
      </c>
      <c r="BR949" s="30" t="s">
        <v>19144</v>
      </c>
      <c r="BS949" s="30" t="s">
        <v>187</v>
      </c>
      <c r="BT949" s="30" t="s">
        <v>188</v>
      </c>
      <c r="BU949" s="35">
        <v>44743</v>
      </c>
      <c r="BV949" s="37">
        <v>4</v>
      </c>
      <c r="BW949" s="30" t="s">
        <v>192</v>
      </c>
      <c r="BX949" s="37">
        <v>9</v>
      </c>
      <c r="BY949" s="30" t="s">
        <v>192</v>
      </c>
      <c r="BZ949" s="30" t="s">
        <v>293</v>
      </c>
      <c r="CA949" s="30" t="s">
        <v>293</v>
      </c>
      <c r="CB949" s="30" t="s">
        <v>151</v>
      </c>
      <c r="CC949" s="30" t="s">
        <v>165</v>
      </c>
      <c r="CD949" s="30" t="s">
        <v>19145</v>
      </c>
      <c r="CE949" s="30" t="s">
        <v>191</v>
      </c>
      <c r="CF949" s="35">
        <v>45034</v>
      </c>
      <c r="CG949" s="37" t="s">
        <v>151</v>
      </c>
      <c r="CH949" s="30" t="s">
        <v>151</v>
      </c>
      <c r="CI949" s="37" t="s">
        <v>151</v>
      </c>
      <c r="CJ949" s="30" t="s">
        <v>151</v>
      </c>
      <c r="CK949" s="29" t="s">
        <v>151</v>
      </c>
      <c r="CL949" s="30" t="s">
        <v>189</v>
      </c>
      <c r="CM949" s="30" t="s">
        <v>151</v>
      </c>
      <c r="CN949" s="30" t="s">
        <v>151</v>
      </c>
      <c r="CO949" s="30" t="s">
        <v>190</v>
      </c>
      <c r="CP949" s="35">
        <v>45034</v>
      </c>
      <c r="CQ949" s="37" t="s">
        <v>151</v>
      </c>
      <c r="CR949" s="30" t="s">
        <v>151</v>
      </c>
      <c r="CS949" s="30" t="s">
        <v>191</v>
      </c>
      <c r="CT949" s="29" t="s">
        <v>151</v>
      </c>
      <c r="CU949" s="30" t="s">
        <v>151</v>
      </c>
      <c r="CV949" s="32" t="s">
        <v>151</v>
      </c>
      <c r="CW949" s="32" t="s">
        <v>151</v>
      </c>
      <c r="CX949" s="30" t="s">
        <v>151</v>
      </c>
      <c r="CY949" s="32" t="s">
        <v>151</v>
      </c>
      <c r="CZ949" s="32" t="s">
        <v>151</v>
      </c>
      <c r="DA949" s="37">
        <v>9</v>
      </c>
      <c r="DB949" s="35">
        <v>44743</v>
      </c>
      <c r="DC949" s="30" t="s">
        <v>293</v>
      </c>
      <c r="DD949" s="29" t="s">
        <v>151</v>
      </c>
      <c r="DE949" s="32">
        <v>0.63</v>
      </c>
      <c r="DF949" s="34">
        <v>95</v>
      </c>
      <c r="DG949" s="32">
        <v>0</v>
      </c>
      <c r="DH949" s="32">
        <v>0</v>
      </c>
      <c r="DI949" s="32">
        <v>0</v>
      </c>
      <c r="DJ949" s="34">
        <v>10</v>
      </c>
      <c r="DK949" s="32" t="s">
        <v>151</v>
      </c>
      <c r="DL949" s="34" t="s">
        <v>151</v>
      </c>
      <c r="DM949" s="32">
        <v>0</v>
      </c>
      <c r="DN949" s="34">
        <v>10</v>
      </c>
      <c r="DO949" s="36">
        <v>1.4</v>
      </c>
      <c r="DP949" s="34">
        <v>58</v>
      </c>
      <c r="DQ949" s="36">
        <v>0</v>
      </c>
      <c r="DR949" s="32">
        <v>0</v>
      </c>
      <c r="DS949" s="36">
        <v>1.95</v>
      </c>
      <c r="DT949" s="34">
        <v>65</v>
      </c>
      <c r="DU949" s="36" t="s">
        <v>151</v>
      </c>
      <c r="DV949" s="34" t="s">
        <v>151</v>
      </c>
      <c r="DW949" s="36">
        <v>1.95</v>
      </c>
      <c r="DX949" s="34">
        <v>65</v>
      </c>
      <c r="DY949" s="31" t="s">
        <v>151</v>
      </c>
      <c r="DZ949" s="35" t="s">
        <v>151</v>
      </c>
      <c r="EA949" s="35" t="s">
        <v>151</v>
      </c>
      <c r="EB949" s="34">
        <v>811</v>
      </c>
      <c r="EC949" s="33">
        <v>-11</v>
      </c>
      <c r="ED949" s="32">
        <v>-1.34</v>
      </c>
      <c r="EE949" s="34">
        <v>37</v>
      </c>
      <c r="EF949" s="33">
        <v>0</v>
      </c>
      <c r="EG949" s="32">
        <v>0</v>
      </c>
      <c r="EH949" s="29" t="s">
        <v>198</v>
      </c>
      <c r="EI949" s="30" t="s">
        <v>151</v>
      </c>
      <c r="EJ949" s="30" t="s">
        <v>151</v>
      </c>
      <c r="EK949" s="31" t="s">
        <v>151</v>
      </c>
      <c r="EL949" s="31" t="s">
        <v>151</v>
      </c>
      <c r="EM949" s="31" t="s">
        <v>151</v>
      </c>
      <c r="EN949" s="31" t="s">
        <v>151</v>
      </c>
      <c r="EO949" s="31" t="s">
        <v>151</v>
      </c>
      <c r="EP949" s="30" t="s">
        <v>151</v>
      </c>
      <c r="EQ949" s="29" t="s">
        <v>151</v>
      </c>
      <c r="ER949" s="29" t="s">
        <v>151</v>
      </c>
      <c r="ES949" s="4">
        <f>HYPERLINK("https://my.pitchbook.com?c=501277-69","View Company Online")</f>
      </c>
    </row>
    <row r="950">
      <c r="A950" s="17" t="s">
        <v>19146</v>
      </c>
      <c r="B950" s="17" t="s">
        <v>19147</v>
      </c>
      <c r="C950" s="18" t="s">
        <v>151</v>
      </c>
      <c r="D950" s="17" t="s">
        <v>151</v>
      </c>
      <c r="E950" s="17" t="s">
        <v>19148</v>
      </c>
      <c r="F950" s="17" t="s">
        <v>19149</v>
      </c>
      <c r="G950" s="17" t="s">
        <v>151</v>
      </c>
      <c r="H950" s="17" t="s">
        <v>151</v>
      </c>
      <c r="I950" s="17" t="s">
        <v>151</v>
      </c>
      <c r="J950" s="17" t="s">
        <v>19146</v>
      </c>
      <c r="K950" s="17" t="s">
        <v>19150</v>
      </c>
      <c r="L950" s="17" t="s">
        <v>1792</v>
      </c>
      <c r="M950" s="17" t="s">
        <v>5329</v>
      </c>
      <c r="N950" s="17" t="s">
        <v>10106</v>
      </c>
      <c r="O950" s="17" t="s">
        <v>19151</v>
      </c>
      <c r="P950" s="17" t="s">
        <v>7696</v>
      </c>
      <c r="Q950" s="17" t="s">
        <v>19152</v>
      </c>
      <c r="R950" s="17" t="s">
        <v>151</v>
      </c>
      <c r="S950" s="17" t="s">
        <v>162</v>
      </c>
      <c r="T950" s="24">
        <v>0.08</v>
      </c>
      <c r="U950" s="17" t="s">
        <v>163</v>
      </c>
      <c r="V950" s="17" t="s">
        <v>164</v>
      </c>
      <c r="W950" s="17" t="s">
        <v>165</v>
      </c>
      <c r="X950" s="15" t="s">
        <v>19153</v>
      </c>
      <c r="Y950" s="15" t="s">
        <v>19154</v>
      </c>
      <c r="Z950" s="27">
        <v>3</v>
      </c>
      <c r="AA950" s="17" t="s">
        <v>19155</v>
      </c>
      <c r="AB950" s="17" t="s">
        <v>151</v>
      </c>
      <c r="AC950" s="17" t="s">
        <v>151</v>
      </c>
      <c r="AD950" s="26">
        <v>2018</v>
      </c>
      <c r="AE950" s="17" t="s">
        <v>151</v>
      </c>
      <c r="AF950" s="22">
        <v>45595</v>
      </c>
      <c r="AG950" s="17" t="s">
        <v>151</v>
      </c>
      <c r="AH950" s="17" t="s">
        <v>151</v>
      </c>
      <c r="AI950" s="25" t="s">
        <v>151</v>
      </c>
      <c r="AJ950" s="19" t="s">
        <v>151</v>
      </c>
      <c r="AK950" s="25" t="s">
        <v>151</v>
      </c>
      <c r="AL950" s="25" t="s">
        <v>151</v>
      </c>
      <c r="AM950" s="25" t="s">
        <v>151</v>
      </c>
      <c r="AN950" s="25" t="s">
        <v>151</v>
      </c>
      <c r="AO950" s="25" t="s">
        <v>151</v>
      </c>
      <c r="AP950" s="25" t="s">
        <v>151</v>
      </c>
      <c r="AQ950" s="25" t="s">
        <v>151</v>
      </c>
      <c r="AR950" s="16" t="s">
        <v>151</v>
      </c>
      <c r="AS950" s="17" t="s">
        <v>19156</v>
      </c>
      <c r="AT950" s="17" t="s">
        <v>19157</v>
      </c>
      <c r="AU950" s="18">
        <v>7</v>
      </c>
      <c r="AV950" s="17" t="s">
        <v>151</v>
      </c>
      <c r="AW950" s="17" t="s">
        <v>151</v>
      </c>
      <c r="AX950" s="17" t="s">
        <v>151</v>
      </c>
      <c r="AY950" s="17" t="s">
        <v>19158</v>
      </c>
      <c r="AZ950" s="17" t="s">
        <v>151</v>
      </c>
      <c r="BA950" s="17" t="s">
        <v>151</v>
      </c>
      <c r="BB950" s="17" t="s">
        <v>151</v>
      </c>
      <c r="BC950" s="17" t="s">
        <v>151</v>
      </c>
      <c r="BD950" s="17" t="s">
        <v>19159</v>
      </c>
      <c r="BE950" s="17" t="s">
        <v>19160</v>
      </c>
      <c r="BF950" s="17" t="s">
        <v>1951</v>
      </c>
      <c r="BG950" s="17" t="s">
        <v>19161</v>
      </c>
      <c r="BH950" s="17" t="s">
        <v>19162</v>
      </c>
      <c r="BI950" s="17" t="s">
        <v>2430</v>
      </c>
      <c r="BJ950" s="17" t="s">
        <v>151</v>
      </c>
      <c r="BK950" s="17" t="s">
        <v>151</v>
      </c>
      <c r="BL950" s="17" t="s">
        <v>2432</v>
      </c>
      <c r="BM950" s="17" t="s">
        <v>322</v>
      </c>
      <c r="BN950" s="16" t="s">
        <v>151</v>
      </c>
      <c r="BO950" s="17" t="s">
        <v>186</v>
      </c>
      <c r="BP950" s="16" t="s">
        <v>151</v>
      </c>
      <c r="BQ950" s="16" t="s">
        <v>151</v>
      </c>
      <c r="BR950" s="17" t="s">
        <v>19163</v>
      </c>
      <c r="BS950" s="17" t="s">
        <v>187</v>
      </c>
      <c r="BT950" s="17" t="s">
        <v>188</v>
      </c>
      <c r="BU950" s="22">
        <v>43101</v>
      </c>
      <c r="BV950" s="24" t="s">
        <v>151</v>
      </c>
      <c r="BW950" s="17" t="s">
        <v>151</v>
      </c>
      <c r="BX950" s="24" t="s">
        <v>151</v>
      </c>
      <c r="BY950" s="17" t="s">
        <v>151</v>
      </c>
      <c r="BZ950" s="17" t="s">
        <v>189</v>
      </c>
      <c r="CA950" s="17" t="s">
        <v>151</v>
      </c>
      <c r="CB950" s="17" t="s">
        <v>151</v>
      </c>
      <c r="CC950" s="17" t="s">
        <v>190</v>
      </c>
      <c r="CD950" s="17" t="s">
        <v>151</v>
      </c>
      <c r="CE950" s="17" t="s">
        <v>191</v>
      </c>
      <c r="CF950" s="22">
        <v>45117</v>
      </c>
      <c r="CG950" s="24">
        <v>0.01</v>
      </c>
      <c r="CH950" s="17" t="s">
        <v>192</v>
      </c>
      <c r="CI950" s="24" t="s">
        <v>151</v>
      </c>
      <c r="CJ950" s="17" t="s">
        <v>151</v>
      </c>
      <c r="CK950" s="16" t="s">
        <v>151</v>
      </c>
      <c r="CL950" s="17" t="s">
        <v>189</v>
      </c>
      <c r="CM950" s="17" t="s">
        <v>151</v>
      </c>
      <c r="CN950" s="17" t="s">
        <v>151</v>
      </c>
      <c r="CO950" s="17" t="s">
        <v>190</v>
      </c>
      <c r="CP950" s="22">
        <v>45117</v>
      </c>
      <c r="CQ950" s="24" t="s">
        <v>151</v>
      </c>
      <c r="CR950" s="17" t="s">
        <v>151</v>
      </c>
      <c r="CS950" s="17" t="s">
        <v>191</v>
      </c>
      <c r="CT950" s="16" t="s">
        <v>151</v>
      </c>
      <c r="CU950" s="17" t="s">
        <v>151</v>
      </c>
      <c r="CV950" s="19" t="s">
        <v>151</v>
      </c>
      <c r="CW950" s="19" t="s">
        <v>151</v>
      </c>
      <c r="CX950" s="17" t="s">
        <v>151</v>
      </c>
      <c r="CY950" s="19" t="s">
        <v>151</v>
      </c>
      <c r="CZ950" s="19" t="s">
        <v>151</v>
      </c>
      <c r="DA950" s="24" t="s">
        <v>151</v>
      </c>
      <c r="DB950" s="22" t="s">
        <v>151</v>
      </c>
      <c r="DC950" s="17" t="s">
        <v>151</v>
      </c>
      <c r="DD950" s="16" t="s">
        <v>151</v>
      </c>
      <c r="DE950" s="19">
        <v>0</v>
      </c>
      <c r="DF950" s="21">
        <v>11</v>
      </c>
      <c r="DG950" s="19">
        <v>0</v>
      </c>
      <c r="DH950" s="19">
        <v>0</v>
      </c>
      <c r="DI950" s="19" t="s">
        <v>151</v>
      </c>
      <c r="DJ950" s="21" t="s">
        <v>151</v>
      </c>
      <c r="DK950" s="19" t="s">
        <v>151</v>
      </c>
      <c r="DL950" s="21" t="s">
        <v>151</v>
      </c>
      <c r="DM950" s="19" t="s">
        <v>151</v>
      </c>
      <c r="DN950" s="21" t="s">
        <v>151</v>
      </c>
      <c r="DO950" s="23">
        <v>0.23</v>
      </c>
      <c r="DP950" s="21">
        <v>17</v>
      </c>
      <c r="DQ950" s="23">
        <v>0</v>
      </c>
      <c r="DR950" s="19">
        <v>0</v>
      </c>
      <c r="DS950" s="23" t="s">
        <v>151</v>
      </c>
      <c r="DT950" s="21" t="s">
        <v>151</v>
      </c>
      <c r="DU950" s="23" t="s">
        <v>151</v>
      </c>
      <c r="DV950" s="21" t="s">
        <v>151</v>
      </c>
      <c r="DW950" s="23" t="s">
        <v>151</v>
      </c>
      <c r="DX950" s="21" t="s">
        <v>151</v>
      </c>
      <c r="DY950" s="18" t="s">
        <v>151</v>
      </c>
      <c r="DZ950" s="22" t="s">
        <v>151</v>
      </c>
      <c r="EA950" s="22" t="s">
        <v>151</v>
      </c>
      <c r="EB950" s="21" t="s">
        <v>151</v>
      </c>
      <c r="EC950" s="20" t="s">
        <v>151</v>
      </c>
      <c r="ED950" s="19" t="s">
        <v>151</v>
      </c>
      <c r="EE950" s="21" t="s">
        <v>151</v>
      </c>
      <c r="EF950" s="20" t="s">
        <v>151</v>
      </c>
      <c r="EG950" s="19" t="s">
        <v>151</v>
      </c>
      <c r="EH950" s="16" t="s">
        <v>198</v>
      </c>
      <c r="EI950" s="17" t="s">
        <v>151</v>
      </c>
      <c r="EJ950" s="17" t="s">
        <v>151</v>
      </c>
      <c r="EK950" s="18" t="s">
        <v>151</v>
      </c>
      <c r="EL950" s="18" t="s">
        <v>151</v>
      </c>
      <c r="EM950" s="18" t="s">
        <v>151</v>
      </c>
      <c r="EN950" s="18" t="s">
        <v>151</v>
      </c>
      <c r="EO950" s="18" t="s">
        <v>151</v>
      </c>
      <c r="EP950" s="17" t="s">
        <v>151</v>
      </c>
      <c r="EQ950" s="16" t="s">
        <v>151</v>
      </c>
      <c r="ER950" s="16" t="s">
        <v>151</v>
      </c>
      <c r="ES950" s="3">
        <f>HYPERLINK("https://my.pitchbook.com?c=265688-83","View Company Online")</f>
      </c>
    </row>
    <row r="951">
      <c r="A951" s="30" t="s">
        <v>19164</v>
      </c>
      <c r="B951" s="30" t="s">
        <v>19165</v>
      </c>
      <c r="C951" s="31" t="s">
        <v>151</v>
      </c>
      <c r="D951" s="30" t="s">
        <v>151</v>
      </c>
      <c r="E951" s="30" t="s">
        <v>151</v>
      </c>
      <c r="F951" s="30" t="s">
        <v>19166</v>
      </c>
      <c r="G951" s="30" t="s">
        <v>151</v>
      </c>
      <c r="H951" s="30" t="s">
        <v>151</v>
      </c>
      <c r="I951" s="30" t="s">
        <v>19167</v>
      </c>
      <c r="J951" s="30" t="s">
        <v>19164</v>
      </c>
      <c r="K951" s="30" t="s">
        <v>19168</v>
      </c>
      <c r="L951" s="30" t="s">
        <v>205</v>
      </c>
      <c r="M951" s="30" t="s">
        <v>206</v>
      </c>
      <c r="N951" s="30" t="s">
        <v>269</v>
      </c>
      <c r="O951" s="30" t="s">
        <v>19169</v>
      </c>
      <c r="P951" s="30" t="s">
        <v>4806</v>
      </c>
      <c r="Q951" s="30" t="s">
        <v>19170</v>
      </c>
      <c r="R951" s="30" t="s">
        <v>151</v>
      </c>
      <c r="S951" s="30" t="s">
        <v>162</v>
      </c>
      <c r="T951" s="37">
        <v>4.52</v>
      </c>
      <c r="U951" s="30" t="s">
        <v>163</v>
      </c>
      <c r="V951" s="30" t="s">
        <v>164</v>
      </c>
      <c r="W951" s="30" t="s">
        <v>165</v>
      </c>
      <c r="X951" s="28" t="s">
        <v>19171</v>
      </c>
      <c r="Y951" s="28" t="s">
        <v>19172</v>
      </c>
      <c r="Z951" s="40">
        <v>10</v>
      </c>
      <c r="AA951" s="30" t="s">
        <v>19173</v>
      </c>
      <c r="AB951" s="30" t="s">
        <v>151</v>
      </c>
      <c r="AC951" s="30" t="s">
        <v>151</v>
      </c>
      <c r="AD951" s="39">
        <v>2021</v>
      </c>
      <c r="AE951" s="30" t="s">
        <v>151</v>
      </c>
      <c r="AF951" s="35">
        <v>45440</v>
      </c>
      <c r="AG951" s="30" t="s">
        <v>151</v>
      </c>
      <c r="AH951" s="30" t="s">
        <v>151</v>
      </c>
      <c r="AI951" s="38" t="s">
        <v>151</v>
      </c>
      <c r="AJ951" s="32" t="s">
        <v>151</v>
      </c>
      <c r="AK951" s="38" t="s">
        <v>151</v>
      </c>
      <c r="AL951" s="38" t="s">
        <v>151</v>
      </c>
      <c r="AM951" s="38" t="s">
        <v>151</v>
      </c>
      <c r="AN951" s="38" t="s">
        <v>151</v>
      </c>
      <c r="AO951" s="38" t="s">
        <v>151</v>
      </c>
      <c r="AP951" s="38" t="s">
        <v>151</v>
      </c>
      <c r="AQ951" s="38" t="s">
        <v>151</v>
      </c>
      <c r="AR951" s="29" t="s">
        <v>151</v>
      </c>
      <c r="AS951" s="30" t="s">
        <v>19174</v>
      </c>
      <c r="AT951" s="30" t="s">
        <v>19175</v>
      </c>
      <c r="AU951" s="31">
        <v>6</v>
      </c>
      <c r="AV951" s="30" t="s">
        <v>151</v>
      </c>
      <c r="AW951" s="30" t="s">
        <v>151</v>
      </c>
      <c r="AX951" s="30" t="s">
        <v>151</v>
      </c>
      <c r="AY951" s="30" t="s">
        <v>19176</v>
      </c>
      <c r="AZ951" s="30" t="s">
        <v>151</v>
      </c>
      <c r="BA951" s="30" t="s">
        <v>151</v>
      </c>
      <c r="BB951" s="30" t="s">
        <v>151</v>
      </c>
      <c r="BC951" s="30" t="s">
        <v>151</v>
      </c>
      <c r="BD951" s="30" t="s">
        <v>19177</v>
      </c>
      <c r="BE951" s="30" t="s">
        <v>19178</v>
      </c>
      <c r="BF951" s="30" t="s">
        <v>221</v>
      </c>
      <c r="BG951" s="30" t="s">
        <v>19179</v>
      </c>
      <c r="BH951" s="30" t="s">
        <v>19180</v>
      </c>
      <c r="BI951" s="30" t="s">
        <v>19181</v>
      </c>
      <c r="BJ951" s="30" t="s">
        <v>19182</v>
      </c>
      <c r="BK951" s="30" t="s">
        <v>151</v>
      </c>
      <c r="BL951" s="30" t="s">
        <v>19183</v>
      </c>
      <c r="BM951" s="30" t="s">
        <v>2814</v>
      </c>
      <c r="BN951" s="29" t="s">
        <v>19184</v>
      </c>
      <c r="BO951" s="30" t="s">
        <v>186</v>
      </c>
      <c r="BP951" s="29" t="s">
        <v>19185</v>
      </c>
      <c r="BQ951" s="29" t="s">
        <v>151</v>
      </c>
      <c r="BR951" s="30" t="s">
        <v>19186</v>
      </c>
      <c r="BS951" s="30" t="s">
        <v>187</v>
      </c>
      <c r="BT951" s="30" t="s">
        <v>188</v>
      </c>
      <c r="BU951" s="35">
        <v>44197</v>
      </c>
      <c r="BV951" s="37" t="s">
        <v>151</v>
      </c>
      <c r="BW951" s="30" t="s">
        <v>151</v>
      </c>
      <c r="BX951" s="37" t="s">
        <v>151</v>
      </c>
      <c r="BY951" s="30" t="s">
        <v>151</v>
      </c>
      <c r="BZ951" s="30" t="s">
        <v>1075</v>
      </c>
      <c r="CA951" s="30" t="s">
        <v>1075</v>
      </c>
      <c r="CB951" s="30" t="s">
        <v>151</v>
      </c>
      <c r="CC951" s="30" t="s">
        <v>585</v>
      </c>
      <c r="CD951" s="30" t="s">
        <v>151</v>
      </c>
      <c r="CE951" s="30" t="s">
        <v>191</v>
      </c>
      <c r="CF951" s="35">
        <v>45218</v>
      </c>
      <c r="CG951" s="37">
        <v>3</v>
      </c>
      <c r="CH951" s="30" t="s">
        <v>192</v>
      </c>
      <c r="CI951" s="37" t="s">
        <v>151</v>
      </c>
      <c r="CJ951" s="30" t="s">
        <v>151</v>
      </c>
      <c r="CK951" s="29" t="s">
        <v>151</v>
      </c>
      <c r="CL951" s="30" t="s">
        <v>293</v>
      </c>
      <c r="CM951" s="30" t="s">
        <v>293</v>
      </c>
      <c r="CN951" s="30" t="s">
        <v>151</v>
      </c>
      <c r="CO951" s="30" t="s">
        <v>165</v>
      </c>
      <c r="CP951" s="35">
        <v>45218</v>
      </c>
      <c r="CQ951" s="37" t="s">
        <v>151</v>
      </c>
      <c r="CR951" s="30" t="s">
        <v>151</v>
      </c>
      <c r="CS951" s="30" t="s">
        <v>191</v>
      </c>
      <c r="CT951" s="29">
        <v>52</v>
      </c>
      <c r="CU951" s="30" t="s">
        <v>196</v>
      </c>
      <c r="CV951" s="32">
        <v>50</v>
      </c>
      <c r="CW951" s="32">
        <v>50</v>
      </c>
      <c r="CX951" s="30" t="s">
        <v>294</v>
      </c>
      <c r="CY951" s="32">
        <v>1</v>
      </c>
      <c r="CZ951" s="32">
        <v>49</v>
      </c>
      <c r="DA951" s="37">
        <v>9.5</v>
      </c>
      <c r="DB951" s="35">
        <v>44959</v>
      </c>
      <c r="DC951" s="30" t="s">
        <v>293</v>
      </c>
      <c r="DD951" s="29" t="s">
        <v>151</v>
      </c>
      <c r="DE951" s="32">
        <v>0</v>
      </c>
      <c r="DF951" s="34">
        <v>11</v>
      </c>
      <c r="DG951" s="32">
        <v>0</v>
      </c>
      <c r="DH951" s="32">
        <v>0</v>
      </c>
      <c r="DI951" s="32">
        <v>0</v>
      </c>
      <c r="DJ951" s="34">
        <v>10</v>
      </c>
      <c r="DK951" s="32">
        <v>0</v>
      </c>
      <c r="DL951" s="34">
        <v>11</v>
      </c>
      <c r="DM951" s="32" t="s">
        <v>151</v>
      </c>
      <c r="DN951" s="34" t="s">
        <v>151</v>
      </c>
      <c r="DO951" s="36">
        <v>1.64</v>
      </c>
      <c r="DP951" s="34">
        <v>62</v>
      </c>
      <c r="DQ951" s="36">
        <v>0</v>
      </c>
      <c r="DR951" s="32">
        <v>0</v>
      </c>
      <c r="DS951" s="36">
        <v>1.64</v>
      </c>
      <c r="DT951" s="34">
        <v>62</v>
      </c>
      <c r="DU951" s="36">
        <v>1.64</v>
      </c>
      <c r="DV951" s="34">
        <v>67</v>
      </c>
      <c r="DW951" s="36" t="s">
        <v>151</v>
      </c>
      <c r="DX951" s="34" t="s">
        <v>151</v>
      </c>
      <c r="DY951" s="31" t="s">
        <v>151</v>
      </c>
      <c r="DZ951" s="35" t="s">
        <v>151</v>
      </c>
      <c r="EA951" s="35" t="s">
        <v>151</v>
      </c>
      <c r="EB951" s="34">
        <v>338</v>
      </c>
      <c r="EC951" s="33">
        <v>17</v>
      </c>
      <c r="ED951" s="32">
        <v>5.3</v>
      </c>
      <c r="EE951" s="34" t="s">
        <v>151</v>
      </c>
      <c r="EF951" s="33" t="s">
        <v>151</v>
      </c>
      <c r="EG951" s="32" t="s">
        <v>151</v>
      </c>
      <c r="EH951" s="29" t="s">
        <v>198</v>
      </c>
      <c r="EI951" s="30" t="s">
        <v>151</v>
      </c>
      <c r="EJ951" s="30" t="s">
        <v>151</v>
      </c>
      <c r="EK951" s="31" t="s">
        <v>151</v>
      </c>
      <c r="EL951" s="31" t="s">
        <v>151</v>
      </c>
      <c r="EM951" s="31" t="s">
        <v>151</v>
      </c>
      <c r="EN951" s="31" t="s">
        <v>151</v>
      </c>
      <c r="EO951" s="31" t="s">
        <v>151</v>
      </c>
      <c r="EP951" s="30" t="s">
        <v>151</v>
      </c>
      <c r="EQ951" s="29" t="s">
        <v>151</v>
      </c>
      <c r="ER951" s="29" t="s">
        <v>151</v>
      </c>
      <c r="ES951" s="4">
        <f>HYPERLINK("https://my.pitchbook.com?c=483633-37","View Company Online")</f>
      </c>
    </row>
    <row r="952">
      <c r="A952" s="17" t="s">
        <v>19187</v>
      </c>
      <c r="B952" s="17" t="s">
        <v>19188</v>
      </c>
      <c r="C952" s="18" t="s">
        <v>151</v>
      </c>
      <c r="D952" s="17" t="s">
        <v>151</v>
      </c>
      <c r="E952" s="17" t="s">
        <v>151</v>
      </c>
      <c r="F952" s="17" t="s">
        <v>19189</v>
      </c>
      <c r="G952" s="17" t="s">
        <v>151</v>
      </c>
      <c r="H952" s="17" t="s">
        <v>151</v>
      </c>
      <c r="I952" s="17" t="s">
        <v>19190</v>
      </c>
      <c r="J952" s="17" t="s">
        <v>19187</v>
      </c>
      <c r="K952" s="17" t="s">
        <v>19191</v>
      </c>
      <c r="L952" s="17" t="s">
        <v>616</v>
      </c>
      <c r="M952" s="17" t="s">
        <v>834</v>
      </c>
      <c r="N952" s="17" t="s">
        <v>2059</v>
      </c>
      <c r="O952" s="17" t="s">
        <v>19192</v>
      </c>
      <c r="P952" s="17" t="s">
        <v>19193</v>
      </c>
      <c r="Q952" s="17" t="s">
        <v>19194</v>
      </c>
      <c r="R952" s="17" t="s">
        <v>151</v>
      </c>
      <c r="S952" s="17" t="s">
        <v>162</v>
      </c>
      <c r="T952" s="24">
        <v>1.4</v>
      </c>
      <c r="U952" s="17" t="s">
        <v>163</v>
      </c>
      <c r="V952" s="17" t="s">
        <v>164</v>
      </c>
      <c r="W952" s="17" t="s">
        <v>165</v>
      </c>
      <c r="X952" s="15" t="s">
        <v>19195</v>
      </c>
      <c r="Y952" s="15" t="s">
        <v>19196</v>
      </c>
      <c r="Z952" s="27">
        <v>13</v>
      </c>
      <c r="AA952" s="17" t="s">
        <v>19197</v>
      </c>
      <c r="AB952" s="17" t="s">
        <v>151</v>
      </c>
      <c r="AC952" s="17" t="s">
        <v>151</v>
      </c>
      <c r="AD952" s="26">
        <v>2015</v>
      </c>
      <c r="AE952" s="17" t="s">
        <v>151</v>
      </c>
      <c r="AF952" s="22">
        <v>45492</v>
      </c>
      <c r="AG952" s="17" t="s">
        <v>151</v>
      </c>
      <c r="AH952" s="17" t="s">
        <v>151</v>
      </c>
      <c r="AI952" s="25">
        <v>0.6</v>
      </c>
      <c r="AJ952" s="19">
        <v>650</v>
      </c>
      <c r="AK952" s="25" t="s">
        <v>151</v>
      </c>
      <c r="AL952" s="25" t="s">
        <v>151</v>
      </c>
      <c r="AM952" s="25" t="s">
        <v>151</v>
      </c>
      <c r="AN952" s="25" t="s">
        <v>151</v>
      </c>
      <c r="AO952" s="25" t="s">
        <v>151</v>
      </c>
      <c r="AP952" s="25" t="s">
        <v>151</v>
      </c>
      <c r="AQ952" s="25" t="s">
        <v>151</v>
      </c>
      <c r="AR952" s="16" t="s">
        <v>3435</v>
      </c>
      <c r="AS952" s="17" t="s">
        <v>19198</v>
      </c>
      <c r="AT952" s="17" t="s">
        <v>19199</v>
      </c>
      <c r="AU952" s="18">
        <v>10</v>
      </c>
      <c r="AV952" s="17" t="s">
        <v>151</v>
      </c>
      <c r="AW952" s="17" t="s">
        <v>151</v>
      </c>
      <c r="AX952" s="17" t="s">
        <v>151</v>
      </c>
      <c r="AY952" s="17" t="s">
        <v>19200</v>
      </c>
      <c r="AZ952" s="17" t="s">
        <v>151</v>
      </c>
      <c r="BA952" s="17" t="s">
        <v>151</v>
      </c>
      <c r="BB952" s="17" t="s">
        <v>19201</v>
      </c>
      <c r="BC952" s="17" t="s">
        <v>19202</v>
      </c>
      <c r="BD952" s="17" t="s">
        <v>19203</v>
      </c>
      <c r="BE952" s="17" t="s">
        <v>19204</v>
      </c>
      <c r="BF952" s="17" t="s">
        <v>403</v>
      </c>
      <c r="BG952" s="17" t="s">
        <v>19205</v>
      </c>
      <c r="BH952" s="17" t="s">
        <v>19206</v>
      </c>
      <c r="BI952" s="17" t="s">
        <v>19207</v>
      </c>
      <c r="BJ952" s="17" t="s">
        <v>19208</v>
      </c>
      <c r="BK952" s="17" t="s">
        <v>151</v>
      </c>
      <c r="BL952" s="17" t="s">
        <v>19209</v>
      </c>
      <c r="BM952" s="17" t="s">
        <v>184</v>
      </c>
      <c r="BN952" s="16" t="s">
        <v>19210</v>
      </c>
      <c r="BO952" s="17" t="s">
        <v>186</v>
      </c>
      <c r="BP952" s="16" t="s">
        <v>19211</v>
      </c>
      <c r="BQ952" s="16" t="s">
        <v>151</v>
      </c>
      <c r="BR952" s="17" t="s">
        <v>19212</v>
      </c>
      <c r="BS952" s="17" t="s">
        <v>187</v>
      </c>
      <c r="BT952" s="17" t="s">
        <v>188</v>
      </c>
      <c r="BU952" s="22">
        <v>42906</v>
      </c>
      <c r="BV952" s="24" t="s">
        <v>151</v>
      </c>
      <c r="BW952" s="17" t="s">
        <v>151</v>
      </c>
      <c r="BX952" s="24" t="s">
        <v>151</v>
      </c>
      <c r="BY952" s="17" t="s">
        <v>151</v>
      </c>
      <c r="BZ952" s="17" t="s">
        <v>189</v>
      </c>
      <c r="CA952" s="17" t="s">
        <v>151</v>
      </c>
      <c r="CB952" s="17" t="s">
        <v>151</v>
      </c>
      <c r="CC952" s="17" t="s">
        <v>190</v>
      </c>
      <c r="CD952" s="17" t="s">
        <v>151</v>
      </c>
      <c r="CE952" s="17" t="s">
        <v>191</v>
      </c>
      <c r="CF952" s="22">
        <v>44508</v>
      </c>
      <c r="CG952" s="24">
        <v>1.4</v>
      </c>
      <c r="CH952" s="17" t="s">
        <v>192</v>
      </c>
      <c r="CI952" s="24">
        <v>5.4</v>
      </c>
      <c r="CJ952" s="17" t="s">
        <v>192</v>
      </c>
      <c r="CK952" s="16" t="s">
        <v>151</v>
      </c>
      <c r="CL952" s="17" t="s">
        <v>293</v>
      </c>
      <c r="CM952" s="17" t="s">
        <v>293</v>
      </c>
      <c r="CN952" s="17" t="s">
        <v>151</v>
      </c>
      <c r="CO952" s="17" t="s">
        <v>165</v>
      </c>
      <c r="CP952" s="22">
        <v>44508</v>
      </c>
      <c r="CQ952" s="24" t="s">
        <v>151</v>
      </c>
      <c r="CR952" s="17" t="s">
        <v>151</v>
      </c>
      <c r="CS952" s="17" t="s">
        <v>191</v>
      </c>
      <c r="CT952" s="16" t="s">
        <v>151</v>
      </c>
      <c r="CU952" s="17" t="s">
        <v>151</v>
      </c>
      <c r="CV952" s="19" t="s">
        <v>151</v>
      </c>
      <c r="CW952" s="19" t="s">
        <v>151</v>
      </c>
      <c r="CX952" s="17" t="s">
        <v>151</v>
      </c>
      <c r="CY952" s="19" t="s">
        <v>151</v>
      </c>
      <c r="CZ952" s="19" t="s">
        <v>151</v>
      </c>
      <c r="DA952" s="24">
        <v>5.4</v>
      </c>
      <c r="DB952" s="22">
        <v>44508</v>
      </c>
      <c r="DC952" s="17" t="s">
        <v>293</v>
      </c>
      <c r="DD952" s="16" t="s">
        <v>151</v>
      </c>
      <c r="DE952" s="19" t="s">
        <v>151</v>
      </c>
      <c r="DF952" s="21" t="s">
        <v>151</v>
      </c>
      <c r="DG952" s="19" t="s">
        <v>151</v>
      </c>
      <c r="DH952" s="19" t="s">
        <v>151</v>
      </c>
      <c r="DI952" s="19" t="s">
        <v>151</v>
      </c>
      <c r="DJ952" s="21" t="s">
        <v>151</v>
      </c>
      <c r="DK952" s="19" t="s">
        <v>151</v>
      </c>
      <c r="DL952" s="21" t="s">
        <v>151</v>
      </c>
      <c r="DM952" s="19" t="s">
        <v>151</v>
      </c>
      <c r="DN952" s="21" t="s">
        <v>151</v>
      </c>
      <c r="DO952" s="23" t="s">
        <v>151</v>
      </c>
      <c r="DP952" s="21" t="s">
        <v>151</v>
      </c>
      <c r="DQ952" s="23" t="s">
        <v>151</v>
      </c>
      <c r="DR952" s="19" t="s">
        <v>151</v>
      </c>
      <c r="DS952" s="23" t="s">
        <v>151</v>
      </c>
      <c r="DT952" s="21" t="s">
        <v>151</v>
      </c>
      <c r="DU952" s="23" t="s">
        <v>151</v>
      </c>
      <c r="DV952" s="21" t="s">
        <v>151</v>
      </c>
      <c r="DW952" s="23" t="s">
        <v>151</v>
      </c>
      <c r="DX952" s="21" t="s">
        <v>151</v>
      </c>
      <c r="DY952" s="18">
        <v>2</v>
      </c>
      <c r="DZ952" s="22">
        <v>44716</v>
      </c>
      <c r="EA952" s="22" t="s">
        <v>19213</v>
      </c>
      <c r="EB952" s="21" t="s">
        <v>151</v>
      </c>
      <c r="EC952" s="20" t="s">
        <v>151</v>
      </c>
      <c r="ED952" s="19" t="s">
        <v>151</v>
      </c>
      <c r="EE952" s="21" t="s">
        <v>151</v>
      </c>
      <c r="EF952" s="20" t="s">
        <v>151</v>
      </c>
      <c r="EG952" s="19" t="s">
        <v>151</v>
      </c>
      <c r="EH952" s="16" t="s">
        <v>198</v>
      </c>
      <c r="EI952" s="17" t="s">
        <v>151</v>
      </c>
      <c r="EJ952" s="17" t="s">
        <v>151</v>
      </c>
      <c r="EK952" s="18" t="s">
        <v>151</v>
      </c>
      <c r="EL952" s="18" t="s">
        <v>151</v>
      </c>
      <c r="EM952" s="18" t="s">
        <v>151</v>
      </c>
      <c r="EN952" s="18" t="s">
        <v>151</v>
      </c>
      <c r="EO952" s="18" t="s">
        <v>151</v>
      </c>
      <c r="EP952" s="17" t="s">
        <v>151</v>
      </c>
      <c r="EQ952" s="16" t="s">
        <v>151</v>
      </c>
      <c r="ER952" s="16" t="s">
        <v>151</v>
      </c>
      <c r="ES952" s="3">
        <f>HYPERLINK("https://my.pitchbook.com?c=223540-57","View Company Online")</f>
      </c>
    </row>
    <row r="953">
      <c r="A953" s="30" t="s">
        <v>19214</v>
      </c>
      <c r="B953" s="30" t="s">
        <v>19215</v>
      </c>
      <c r="C953" s="31" t="s">
        <v>151</v>
      </c>
      <c r="D953" s="30" t="s">
        <v>19216</v>
      </c>
      <c r="E953" s="30" t="s">
        <v>151</v>
      </c>
      <c r="F953" s="30" t="s">
        <v>19217</v>
      </c>
      <c r="G953" s="30" t="s">
        <v>151</v>
      </c>
      <c r="H953" s="30" t="s">
        <v>151</v>
      </c>
      <c r="I953" s="30" t="s">
        <v>151</v>
      </c>
      <c r="J953" s="30" t="s">
        <v>19214</v>
      </c>
      <c r="K953" s="30" t="s">
        <v>19218</v>
      </c>
      <c r="L953" s="30" t="s">
        <v>205</v>
      </c>
      <c r="M953" s="30" t="s">
        <v>206</v>
      </c>
      <c r="N953" s="30" t="s">
        <v>269</v>
      </c>
      <c r="O953" s="30" t="s">
        <v>563</v>
      </c>
      <c r="P953" s="30" t="s">
        <v>19219</v>
      </c>
      <c r="Q953" s="30" t="s">
        <v>19220</v>
      </c>
      <c r="R953" s="30" t="s">
        <v>151</v>
      </c>
      <c r="S953" s="30" t="s">
        <v>162</v>
      </c>
      <c r="T953" s="37">
        <v>1.75</v>
      </c>
      <c r="U953" s="30" t="s">
        <v>163</v>
      </c>
      <c r="V953" s="30" t="s">
        <v>164</v>
      </c>
      <c r="W953" s="30" t="s">
        <v>420</v>
      </c>
      <c r="X953" s="28" t="s">
        <v>19221</v>
      </c>
      <c r="Y953" s="28" t="s">
        <v>19222</v>
      </c>
      <c r="Z953" s="40">
        <v>444</v>
      </c>
      <c r="AA953" s="30" t="s">
        <v>19223</v>
      </c>
      <c r="AB953" s="30" t="s">
        <v>151</v>
      </c>
      <c r="AC953" s="30" t="s">
        <v>151</v>
      </c>
      <c r="AD953" s="39">
        <v>2016</v>
      </c>
      <c r="AE953" s="30" t="s">
        <v>151</v>
      </c>
      <c r="AF953" s="35">
        <v>45469</v>
      </c>
      <c r="AG953" s="30" t="s">
        <v>151</v>
      </c>
      <c r="AH953" s="30" t="s">
        <v>151</v>
      </c>
      <c r="AI953" s="38" t="s">
        <v>151</v>
      </c>
      <c r="AJ953" s="32" t="s">
        <v>151</v>
      </c>
      <c r="AK953" s="38" t="s">
        <v>151</v>
      </c>
      <c r="AL953" s="38" t="s">
        <v>151</v>
      </c>
      <c r="AM953" s="38" t="s">
        <v>151</v>
      </c>
      <c r="AN953" s="38" t="s">
        <v>151</v>
      </c>
      <c r="AO953" s="38" t="s">
        <v>151</v>
      </c>
      <c r="AP953" s="38" t="s">
        <v>151</v>
      </c>
      <c r="AQ953" s="38" t="s">
        <v>151</v>
      </c>
      <c r="AR953" s="29" t="s">
        <v>151</v>
      </c>
      <c r="AS953" s="30" t="s">
        <v>19224</v>
      </c>
      <c r="AT953" s="30" t="s">
        <v>19225</v>
      </c>
      <c r="AU953" s="31">
        <v>4</v>
      </c>
      <c r="AV953" s="30" t="s">
        <v>151</v>
      </c>
      <c r="AW953" s="30" t="s">
        <v>151</v>
      </c>
      <c r="AX953" s="30" t="s">
        <v>151</v>
      </c>
      <c r="AY953" s="30" t="s">
        <v>19226</v>
      </c>
      <c r="AZ953" s="30" t="s">
        <v>151</v>
      </c>
      <c r="BA953" s="30" t="s">
        <v>151</v>
      </c>
      <c r="BB953" s="30" t="s">
        <v>151</v>
      </c>
      <c r="BC953" s="30" t="s">
        <v>19227</v>
      </c>
      <c r="BD953" s="30" t="s">
        <v>19228</v>
      </c>
      <c r="BE953" s="30" t="s">
        <v>19229</v>
      </c>
      <c r="BF953" s="30" t="s">
        <v>430</v>
      </c>
      <c r="BG953" s="30" t="s">
        <v>19230</v>
      </c>
      <c r="BH953" s="30" t="s">
        <v>19231</v>
      </c>
      <c r="BI953" s="30" t="s">
        <v>19232</v>
      </c>
      <c r="BJ953" s="30" t="s">
        <v>19233</v>
      </c>
      <c r="BK953" s="30" t="s">
        <v>2407</v>
      </c>
      <c r="BL953" s="30" t="s">
        <v>19234</v>
      </c>
      <c r="BM953" s="30" t="s">
        <v>1072</v>
      </c>
      <c r="BN953" s="29" t="s">
        <v>19235</v>
      </c>
      <c r="BO953" s="30" t="s">
        <v>186</v>
      </c>
      <c r="BP953" s="29" t="s">
        <v>19236</v>
      </c>
      <c r="BQ953" s="29" t="s">
        <v>151</v>
      </c>
      <c r="BR953" s="30" t="s">
        <v>19237</v>
      </c>
      <c r="BS953" s="30" t="s">
        <v>187</v>
      </c>
      <c r="BT953" s="30" t="s">
        <v>188</v>
      </c>
      <c r="BU953" s="35">
        <v>43412</v>
      </c>
      <c r="BV953" s="37">
        <v>0.01</v>
      </c>
      <c r="BW953" s="30" t="s">
        <v>192</v>
      </c>
      <c r="BX953" s="37" t="s">
        <v>151</v>
      </c>
      <c r="BY953" s="30" t="s">
        <v>151</v>
      </c>
      <c r="BZ953" s="30" t="s">
        <v>501</v>
      </c>
      <c r="CA953" s="30" t="s">
        <v>151</v>
      </c>
      <c r="CB953" s="30" t="s">
        <v>151</v>
      </c>
      <c r="CC953" s="30" t="s">
        <v>190</v>
      </c>
      <c r="CD953" s="30" t="s">
        <v>151</v>
      </c>
      <c r="CE953" s="30" t="s">
        <v>191</v>
      </c>
      <c r="CF953" s="35">
        <v>44629</v>
      </c>
      <c r="CG953" s="37" t="s">
        <v>151</v>
      </c>
      <c r="CH953" s="30" t="s">
        <v>151</v>
      </c>
      <c r="CI953" s="37" t="s">
        <v>151</v>
      </c>
      <c r="CJ953" s="30" t="s">
        <v>151</v>
      </c>
      <c r="CK953" s="29" t="s">
        <v>151</v>
      </c>
      <c r="CL953" s="30" t="s">
        <v>194</v>
      </c>
      <c r="CM953" s="30" t="s">
        <v>151</v>
      </c>
      <c r="CN953" s="30" t="s">
        <v>151</v>
      </c>
      <c r="CO953" s="30" t="s">
        <v>165</v>
      </c>
      <c r="CP953" s="35">
        <v>44629</v>
      </c>
      <c r="CQ953" s="37" t="s">
        <v>151</v>
      </c>
      <c r="CR953" s="30" t="s">
        <v>151</v>
      </c>
      <c r="CS953" s="30" t="s">
        <v>191</v>
      </c>
      <c r="CT953" s="29">
        <v>84</v>
      </c>
      <c r="CU953" s="30" t="s">
        <v>196</v>
      </c>
      <c r="CV953" s="32">
        <v>77</v>
      </c>
      <c r="CW953" s="32">
        <v>23</v>
      </c>
      <c r="CX953" s="30" t="s">
        <v>294</v>
      </c>
      <c r="CY953" s="32">
        <v>1</v>
      </c>
      <c r="CZ953" s="32">
        <v>76</v>
      </c>
      <c r="DA953" s="37" t="s">
        <v>151</v>
      </c>
      <c r="DB953" s="35" t="s">
        <v>151</v>
      </c>
      <c r="DC953" s="30" t="s">
        <v>151</v>
      </c>
      <c r="DD953" s="29" t="s">
        <v>151</v>
      </c>
      <c r="DE953" s="32">
        <v>4.42</v>
      </c>
      <c r="DF953" s="34">
        <v>100</v>
      </c>
      <c r="DG953" s="32">
        <v>0</v>
      </c>
      <c r="DH953" s="32">
        <v>0</v>
      </c>
      <c r="DI953" s="32">
        <v>4.42</v>
      </c>
      <c r="DJ953" s="34">
        <v>100</v>
      </c>
      <c r="DK953" s="32" t="s">
        <v>151</v>
      </c>
      <c r="DL953" s="34" t="s">
        <v>151</v>
      </c>
      <c r="DM953" s="32">
        <v>4.42</v>
      </c>
      <c r="DN953" s="34">
        <v>100</v>
      </c>
      <c r="DO953" s="36">
        <v>7.95</v>
      </c>
      <c r="DP953" s="34">
        <v>88</v>
      </c>
      <c r="DQ953" s="36">
        <v>0</v>
      </c>
      <c r="DR953" s="32">
        <v>0</v>
      </c>
      <c r="DS953" s="36">
        <v>7.95</v>
      </c>
      <c r="DT953" s="34">
        <v>88</v>
      </c>
      <c r="DU953" s="36" t="s">
        <v>151</v>
      </c>
      <c r="DV953" s="34" t="s">
        <v>151</v>
      </c>
      <c r="DW953" s="36">
        <v>7.95</v>
      </c>
      <c r="DX953" s="34">
        <v>87</v>
      </c>
      <c r="DY953" s="31">
        <v>7</v>
      </c>
      <c r="DZ953" s="35">
        <v>45478</v>
      </c>
      <c r="EA953" s="35" t="s">
        <v>151</v>
      </c>
      <c r="EB953" s="34" t="s">
        <v>151</v>
      </c>
      <c r="EC953" s="33" t="s">
        <v>151</v>
      </c>
      <c r="ED953" s="32" t="s">
        <v>151</v>
      </c>
      <c r="EE953" s="34">
        <v>151</v>
      </c>
      <c r="EF953" s="33">
        <v>5</v>
      </c>
      <c r="EG953" s="32">
        <v>3.42</v>
      </c>
      <c r="EH953" s="29" t="s">
        <v>198</v>
      </c>
      <c r="EI953" s="30" t="s">
        <v>151</v>
      </c>
      <c r="EJ953" s="30" t="s">
        <v>151</v>
      </c>
      <c r="EK953" s="31" t="s">
        <v>151</v>
      </c>
      <c r="EL953" s="31" t="s">
        <v>151</v>
      </c>
      <c r="EM953" s="31" t="s">
        <v>151</v>
      </c>
      <c r="EN953" s="31" t="s">
        <v>151</v>
      </c>
      <c r="EO953" s="31" t="s">
        <v>151</v>
      </c>
      <c r="EP953" s="30" t="s">
        <v>151</v>
      </c>
      <c r="EQ953" s="29" t="s">
        <v>151</v>
      </c>
      <c r="ER953" s="29" t="s">
        <v>151</v>
      </c>
      <c r="ES953" s="4">
        <f>HYPERLINK("https://my.pitchbook.com?c=234450-73","View Company Online")</f>
      </c>
    </row>
    <row r="954">
      <c r="A954" s="17" t="s">
        <v>19238</v>
      </c>
      <c r="B954" s="17" t="s">
        <v>19239</v>
      </c>
      <c r="C954" s="18" t="s">
        <v>151</v>
      </c>
      <c r="D954" s="17" t="s">
        <v>151</v>
      </c>
      <c r="E954" s="17" t="s">
        <v>151</v>
      </c>
      <c r="F954" s="17" t="s">
        <v>19240</v>
      </c>
      <c r="G954" s="17" t="s">
        <v>151</v>
      </c>
      <c r="H954" s="17" t="s">
        <v>151</v>
      </c>
      <c r="I954" s="17" t="s">
        <v>19241</v>
      </c>
      <c r="J954" s="17" t="s">
        <v>19238</v>
      </c>
      <c r="K954" s="17" t="s">
        <v>19242</v>
      </c>
      <c r="L954" s="17" t="s">
        <v>155</v>
      </c>
      <c r="M954" s="17" t="s">
        <v>3384</v>
      </c>
      <c r="N954" s="17" t="s">
        <v>19243</v>
      </c>
      <c r="O954" s="17" t="s">
        <v>19244</v>
      </c>
      <c r="P954" s="17" t="s">
        <v>2301</v>
      </c>
      <c r="Q954" s="17" t="s">
        <v>19245</v>
      </c>
      <c r="R954" s="17" t="s">
        <v>151</v>
      </c>
      <c r="S954" s="17" t="s">
        <v>162</v>
      </c>
      <c r="T954" s="24">
        <v>49.95</v>
      </c>
      <c r="U954" s="17" t="s">
        <v>163</v>
      </c>
      <c r="V954" s="17" t="s">
        <v>164</v>
      </c>
      <c r="W954" s="17" t="s">
        <v>165</v>
      </c>
      <c r="X954" s="15" t="s">
        <v>19246</v>
      </c>
      <c r="Y954" s="15" t="s">
        <v>19247</v>
      </c>
      <c r="Z954" s="27">
        <v>48</v>
      </c>
      <c r="AA954" s="17" t="s">
        <v>19248</v>
      </c>
      <c r="AB954" s="17" t="s">
        <v>151</v>
      </c>
      <c r="AC954" s="17" t="s">
        <v>151</v>
      </c>
      <c r="AD954" s="26">
        <v>2018</v>
      </c>
      <c r="AE954" s="17" t="s">
        <v>151</v>
      </c>
      <c r="AF954" s="22">
        <v>45534</v>
      </c>
      <c r="AG954" s="17" t="s">
        <v>151</v>
      </c>
      <c r="AH954" s="17" t="s">
        <v>151</v>
      </c>
      <c r="AI954" s="25" t="s">
        <v>151</v>
      </c>
      <c r="AJ954" s="19" t="s">
        <v>151</v>
      </c>
      <c r="AK954" s="25" t="s">
        <v>151</v>
      </c>
      <c r="AL954" s="25" t="s">
        <v>151</v>
      </c>
      <c r="AM954" s="25" t="s">
        <v>151</v>
      </c>
      <c r="AN954" s="25" t="s">
        <v>151</v>
      </c>
      <c r="AO954" s="25" t="s">
        <v>151</v>
      </c>
      <c r="AP954" s="25" t="s">
        <v>151</v>
      </c>
      <c r="AQ954" s="25" t="s">
        <v>151</v>
      </c>
      <c r="AR954" s="16" t="s">
        <v>151</v>
      </c>
      <c r="AS954" s="17" t="s">
        <v>19249</v>
      </c>
      <c r="AT954" s="17" t="s">
        <v>19250</v>
      </c>
      <c r="AU954" s="18">
        <v>8</v>
      </c>
      <c r="AV954" s="17" t="s">
        <v>151</v>
      </c>
      <c r="AW954" s="17" t="s">
        <v>151</v>
      </c>
      <c r="AX954" s="17" t="s">
        <v>151</v>
      </c>
      <c r="AY954" s="17" t="s">
        <v>19251</v>
      </c>
      <c r="AZ954" s="17" t="s">
        <v>151</v>
      </c>
      <c r="BA954" s="17" t="s">
        <v>151</v>
      </c>
      <c r="BB954" s="17" t="s">
        <v>151</v>
      </c>
      <c r="BC954" s="17" t="s">
        <v>151</v>
      </c>
      <c r="BD954" s="17" t="s">
        <v>19252</v>
      </c>
      <c r="BE954" s="17" t="s">
        <v>19253</v>
      </c>
      <c r="BF954" s="17" t="s">
        <v>493</v>
      </c>
      <c r="BG954" s="17" t="s">
        <v>19254</v>
      </c>
      <c r="BH954" s="17" t="s">
        <v>19255</v>
      </c>
      <c r="BI954" s="17" t="s">
        <v>906</v>
      </c>
      <c r="BJ954" s="17" t="s">
        <v>19256</v>
      </c>
      <c r="BK954" s="17" t="s">
        <v>15153</v>
      </c>
      <c r="BL954" s="17" t="s">
        <v>259</v>
      </c>
      <c r="BM954" s="17" t="s">
        <v>259</v>
      </c>
      <c r="BN954" s="16" t="s">
        <v>4180</v>
      </c>
      <c r="BO954" s="17" t="s">
        <v>186</v>
      </c>
      <c r="BP954" s="16" t="s">
        <v>19255</v>
      </c>
      <c r="BQ954" s="16" t="s">
        <v>151</v>
      </c>
      <c r="BR954" s="17" t="s">
        <v>19257</v>
      </c>
      <c r="BS954" s="17" t="s">
        <v>187</v>
      </c>
      <c r="BT954" s="17" t="s">
        <v>188</v>
      </c>
      <c r="BU954" s="22">
        <v>44305</v>
      </c>
      <c r="BV954" s="24">
        <v>6.95</v>
      </c>
      <c r="BW954" s="17" t="s">
        <v>192</v>
      </c>
      <c r="BX954" s="24">
        <v>36.95</v>
      </c>
      <c r="BY954" s="17" t="s">
        <v>192</v>
      </c>
      <c r="BZ954" s="17" t="s">
        <v>231</v>
      </c>
      <c r="CA954" s="17" t="s">
        <v>232</v>
      </c>
      <c r="CB954" s="17" t="s">
        <v>151</v>
      </c>
      <c r="CC954" s="17" t="s">
        <v>165</v>
      </c>
      <c r="CD954" s="17" t="s">
        <v>151</v>
      </c>
      <c r="CE954" s="17" t="s">
        <v>191</v>
      </c>
      <c r="CF954" s="22">
        <v>44753</v>
      </c>
      <c r="CG954" s="24">
        <v>43</v>
      </c>
      <c r="CH954" s="17" t="s">
        <v>192</v>
      </c>
      <c r="CI954" s="24" t="s">
        <v>151</v>
      </c>
      <c r="CJ954" s="17" t="s">
        <v>151</v>
      </c>
      <c r="CK954" s="16" t="s">
        <v>151</v>
      </c>
      <c r="CL954" s="17" t="s">
        <v>231</v>
      </c>
      <c r="CM954" s="17" t="s">
        <v>326</v>
      </c>
      <c r="CN954" s="17" t="s">
        <v>151</v>
      </c>
      <c r="CO954" s="17" t="s">
        <v>165</v>
      </c>
      <c r="CP954" s="22">
        <v>44753</v>
      </c>
      <c r="CQ954" s="24" t="s">
        <v>151</v>
      </c>
      <c r="CR954" s="17" t="s">
        <v>151</v>
      </c>
      <c r="CS954" s="17" t="s">
        <v>191</v>
      </c>
      <c r="CT954" s="16">
        <v>57</v>
      </c>
      <c r="CU954" s="17" t="s">
        <v>196</v>
      </c>
      <c r="CV954" s="19">
        <v>68</v>
      </c>
      <c r="CW954" s="19">
        <v>32</v>
      </c>
      <c r="CX954" s="17" t="s">
        <v>294</v>
      </c>
      <c r="CY954" s="19">
        <v>10</v>
      </c>
      <c r="CZ954" s="19">
        <v>58</v>
      </c>
      <c r="DA954" s="24">
        <v>36.95</v>
      </c>
      <c r="DB954" s="22">
        <v>44305</v>
      </c>
      <c r="DC954" s="17" t="s">
        <v>231</v>
      </c>
      <c r="DD954" s="16" t="s">
        <v>151</v>
      </c>
      <c r="DE954" s="19">
        <v>-0.88</v>
      </c>
      <c r="DF954" s="21">
        <v>5</v>
      </c>
      <c r="DG954" s="19">
        <v>0</v>
      </c>
      <c r="DH954" s="19">
        <v>0</v>
      </c>
      <c r="DI954" s="19">
        <v>-0.88</v>
      </c>
      <c r="DJ954" s="21">
        <v>5</v>
      </c>
      <c r="DK954" s="19" t="s">
        <v>151</v>
      </c>
      <c r="DL954" s="21" t="s">
        <v>151</v>
      </c>
      <c r="DM954" s="19">
        <v>-0.88</v>
      </c>
      <c r="DN954" s="21">
        <v>5</v>
      </c>
      <c r="DO954" s="23">
        <v>16.58</v>
      </c>
      <c r="DP954" s="21">
        <v>94</v>
      </c>
      <c r="DQ954" s="23">
        <v>0</v>
      </c>
      <c r="DR954" s="19">
        <v>0</v>
      </c>
      <c r="DS954" s="23">
        <v>16.58</v>
      </c>
      <c r="DT954" s="21">
        <v>94</v>
      </c>
      <c r="DU954" s="23" t="s">
        <v>151</v>
      </c>
      <c r="DV954" s="21" t="s">
        <v>151</v>
      </c>
      <c r="DW954" s="23">
        <v>16.58</v>
      </c>
      <c r="DX954" s="21">
        <v>94</v>
      </c>
      <c r="DY954" s="18">
        <v>1</v>
      </c>
      <c r="DZ954" s="22">
        <v>44369</v>
      </c>
      <c r="EA954" s="22" t="s">
        <v>151</v>
      </c>
      <c r="EB954" s="21">
        <v>10213</v>
      </c>
      <c r="EC954" s="20">
        <v>470</v>
      </c>
      <c r="ED954" s="19">
        <v>4.82</v>
      </c>
      <c r="EE954" s="21">
        <v>315</v>
      </c>
      <c r="EF954" s="20">
        <v>-1</v>
      </c>
      <c r="EG954" s="19">
        <v>-0.32</v>
      </c>
      <c r="EH954" s="16" t="s">
        <v>198</v>
      </c>
      <c r="EI954" s="17" t="s">
        <v>151</v>
      </c>
      <c r="EJ954" s="17" t="s">
        <v>151</v>
      </c>
      <c r="EK954" s="18" t="s">
        <v>151</v>
      </c>
      <c r="EL954" s="18" t="s">
        <v>151</v>
      </c>
      <c r="EM954" s="18" t="s">
        <v>151</v>
      </c>
      <c r="EN954" s="18" t="s">
        <v>151</v>
      </c>
      <c r="EO954" s="18" t="s">
        <v>151</v>
      </c>
      <c r="EP954" s="17" t="s">
        <v>151</v>
      </c>
      <c r="EQ954" s="16" t="s">
        <v>151</v>
      </c>
      <c r="ER954" s="16" t="s">
        <v>151</v>
      </c>
      <c r="ES954" s="3">
        <f>HYPERLINK("https://my.pitchbook.com?c=465423-13","View Company Online")</f>
      </c>
    </row>
    <row r="955">
      <c r="A955" s="30" t="s">
        <v>19258</v>
      </c>
      <c r="B955" s="30" t="s">
        <v>19259</v>
      </c>
      <c r="C955" s="31" t="s">
        <v>151</v>
      </c>
      <c r="D955" s="30" t="s">
        <v>151</v>
      </c>
      <c r="E955" s="30" t="s">
        <v>151</v>
      </c>
      <c r="F955" s="30" t="s">
        <v>19260</v>
      </c>
      <c r="G955" s="30" t="s">
        <v>151</v>
      </c>
      <c r="H955" s="30" t="s">
        <v>151</v>
      </c>
      <c r="I955" s="30" t="s">
        <v>151</v>
      </c>
      <c r="J955" s="30" t="s">
        <v>19258</v>
      </c>
      <c r="K955" s="30" t="s">
        <v>19261</v>
      </c>
      <c r="L955" s="30" t="s">
        <v>205</v>
      </c>
      <c r="M955" s="30" t="s">
        <v>206</v>
      </c>
      <c r="N955" s="30" t="s">
        <v>269</v>
      </c>
      <c r="O955" s="30" t="s">
        <v>11636</v>
      </c>
      <c r="P955" s="30" t="s">
        <v>11225</v>
      </c>
      <c r="Q955" s="30" t="s">
        <v>19262</v>
      </c>
      <c r="R955" s="30" t="s">
        <v>780</v>
      </c>
      <c r="S955" s="30" t="s">
        <v>162</v>
      </c>
      <c r="T955" s="37">
        <v>10</v>
      </c>
      <c r="U955" s="30" t="s">
        <v>163</v>
      </c>
      <c r="V955" s="30" t="s">
        <v>164</v>
      </c>
      <c r="W955" s="30" t="s">
        <v>165</v>
      </c>
      <c r="X955" s="28" t="s">
        <v>19263</v>
      </c>
      <c r="Y955" s="28" t="s">
        <v>19264</v>
      </c>
      <c r="Z955" s="40">
        <v>15</v>
      </c>
      <c r="AA955" s="30" t="s">
        <v>19265</v>
      </c>
      <c r="AB955" s="30" t="s">
        <v>151</v>
      </c>
      <c r="AC955" s="30" t="s">
        <v>151</v>
      </c>
      <c r="AD955" s="39">
        <v>2019</v>
      </c>
      <c r="AE955" s="30" t="s">
        <v>151</v>
      </c>
      <c r="AF955" s="35">
        <v>45595</v>
      </c>
      <c r="AG955" s="30" t="s">
        <v>151</v>
      </c>
      <c r="AH955" s="30" t="s">
        <v>151</v>
      </c>
      <c r="AI955" s="38" t="s">
        <v>151</v>
      </c>
      <c r="AJ955" s="32" t="s">
        <v>151</v>
      </c>
      <c r="AK955" s="38" t="s">
        <v>151</v>
      </c>
      <c r="AL955" s="38" t="s">
        <v>151</v>
      </c>
      <c r="AM955" s="38" t="s">
        <v>151</v>
      </c>
      <c r="AN955" s="38" t="s">
        <v>151</v>
      </c>
      <c r="AO955" s="38" t="s">
        <v>151</v>
      </c>
      <c r="AP955" s="38" t="s">
        <v>151</v>
      </c>
      <c r="AQ955" s="38" t="s">
        <v>151</v>
      </c>
      <c r="AR955" s="29" t="s">
        <v>151</v>
      </c>
      <c r="AS955" s="30" t="s">
        <v>19266</v>
      </c>
      <c r="AT955" s="30" t="s">
        <v>19267</v>
      </c>
      <c r="AU955" s="31">
        <v>4</v>
      </c>
      <c r="AV955" s="30" t="s">
        <v>151</v>
      </c>
      <c r="AW955" s="30" t="s">
        <v>19268</v>
      </c>
      <c r="AX955" s="30" t="s">
        <v>151</v>
      </c>
      <c r="AY955" s="30" t="s">
        <v>19269</v>
      </c>
      <c r="AZ955" s="30" t="s">
        <v>151</v>
      </c>
      <c r="BA955" s="30" t="s">
        <v>151</v>
      </c>
      <c r="BB955" s="30" t="s">
        <v>151</v>
      </c>
      <c r="BC955" s="30" t="s">
        <v>17842</v>
      </c>
      <c r="BD955" s="30" t="s">
        <v>19270</v>
      </c>
      <c r="BE955" s="30" t="s">
        <v>19271</v>
      </c>
      <c r="BF955" s="30" t="s">
        <v>221</v>
      </c>
      <c r="BG955" s="30" t="s">
        <v>19272</v>
      </c>
      <c r="BH955" s="30" t="s">
        <v>19273</v>
      </c>
      <c r="BI955" s="30" t="s">
        <v>934</v>
      </c>
      <c r="BJ955" s="30" t="s">
        <v>19274</v>
      </c>
      <c r="BK955" s="30" t="s">
        <v>151</v>
      </c>
      <c r="BL955" s="30" t="s">
        <v>937</v>
      </c>
      <c r="BM955" s="30" t="s">
        <v>184</v>
      </c>
      <c r="BN955" s="29" t="s">
        <v>16215</v>
      </c>
      <c r="BO955" s="30" t="s">
        <v>186</v>
      </c>
      <c r="BP955" s="29" t="s">
        <v>19275</v>
      </c>
      <c r="BQ955" s="29" t="s">
        <v>151</v>
      </c>
      <c r="BR955" s="30" t="s">
        <v>19276</v>
      </c>
      <c r="BS955" s="30" t="s">
        <v>187</v>
      </c>
      <c r="BT955" s="30" t="s">
        <v>188</v>
      </c>
      <c r="BU955" s="35">
        <v>44105</v>
      </c>
      <c r="BV955" s="37">
        <v>10</v>
      </c>
      <c r="BW955" s="30" t="s">
        <v>192</v>
      </c>
      <c r="BX955" s="37" t="s">
        <v>151</v>
      </c>
      <c r="BY955" s="30" t="s">
        <v>151</v>
      </c>
      <c r="BZ955" s="30" t="s">
        <v>231</v>
      </c>
      <c r="CA955" s="30" t="s">
        <v>232</v>
      </c>
      <c r="CB955" s="30" t="s">
        <v>151</v>
      </c>
      <c r="CC955" s="30" t="s">
        <v>165</v>
      </c>
      <c r="CD955" s="30" t="s">
        <v>151</v>
      </c>
      <c r="CE955" s="30" t="s">
        <v>191</v>
      </c>
      <c r="CF955" s="35" t="s">
        <v>151</v>
      </c>
      <c r="CG955" s="37" t="s">
        <v>151</v>
      </c>
      <c r="CH955" s="30" t="s">
        <v>151</v>
      </c>
      <c r="CI955" s="37" t="s">
        <v>151</v>
      </c>
      <c r="CJ955" s="30" t="s">
        <v>151</v>
      </c>
      <c r="CK955" s="29" t="s">
        <v>151</v>
      </c>
      <c r="CL955" s="30" t="s">
        <v>231</v>
      </c>
      <c r="CM955" s="30" t="s">
        <v>151</v>
      </c>
      <c r="CN955" s="30" t="s">
        <v>151</v>
      </c>
      <c r="CO955" s="30" t="s">
        <v>165</v>
      </c>
      <c r="CP955" s="35" t="s">
        <v>151</v>
      </c>
      <c r="CQ955" s="37" t="s">
        <v>151</v>
      </c>
      <c r="CR955" s="30" t="s">
        <v>151</v>
      </c>
      <c r="CS955" s="30" t="s">
        <v>191</v>
      </c>
      <c r="CT955" s="29">
        <v>75</v>
      </c>
      <c r="CU955" s="30" t="s">
        <v>196</v>
      </c>
      <c r="CV955" s="32">
        <v>69</v>
      </c>
      <c r="CW955" s="32">
        <v>31</v>
      </c>
      <c r="CX955" s="30" t="s">
        <v>294</v>
      </c>
      <c r="CY955" s="32">
        <v>2</v>
      </c>
      <c r="CZ955" s="32">
        <v>67</v>
      </c>
      <c r="DA955" s="37" t="s">
        <v>151</v>
      </c>
      <c r="DB955" s="35" t="s">
        <v>151</v>
      </c>
      <c r="DC955" s="30" t="s">
        <v>151</v>
      </c>
      <c r="DD955" s="29" t="s">
        <v>151</v>
      </c>
      <c r="DE955" s="32">
        <v>0.93</v>
      </c>
      <c r="DF955" s="34">
        <v>96</v>
      </c>
      <c r="DG955" s="32">
        <v>0</v>
      </c>
      <c r="DH955" s="32">
        <v>0</v>
      </c>
      <c r="DI955" s="32">
        <v>0</v>
      </c>
      <c r="DJ955" s="34">
        <v>10</v>
      </c>
      <c r="DK955" s="32" t="s">
        <v>151</v>
      </c>
      <c r="DL955" s="34" t="s">
        <v>151</v>
      </c>
      <c r="DM955" s="32">
        <v>0</v>
      </c>
      <c r="DN955" s="34">
        <v>10</v>
      </c>
      <c r="DO955" s="36">
        <v>1.08</v>
      </c>
      <c r="DP955" s="34">
        <v>52</v>
      </c>
      <c r="DQ955" s="36">
        <v>0</v>
      </c>
      <c r="DR955" s="32">
        <v>0</v>
      </c>
      <c r="DS955" s="36">
        <v>1</v>
      </c>
      <c r="DT955" s="34">
        <v>50</v>
      </c>
      <c r="DU955" s="36" t="s">
        <v>151</v>
      </c>
      <c r="DV955" s="34" t="s">
        <v>151</v>
      </c>
      <c r="DW955" s="36">
        <v>1</v>
      </c>
      <c r="DX955" s="34">
        <v>49</v>
      </c>
      <c r="DY955" s="31" t="s">
        <v>151</v>
      </c>
      <c r="DZ955" s="35" t="s">
        <v>151</v>
      </c>
      <c r="EA955" s="35" t="s">
        <v>151</v>
      </c>
      <c r="EB955" s="34">
        <v>114</v>
      </c>
      <c r="EC955" s="33">
        <v>7</v>
      </c>
      <c r="ED955" s="32">
        <v>6.54</v>
      </c>
      <c r="EE955" s="34">
        <v>19</v>
      </c>
      <c r="EF955" s="33">
        <v>0</v>
      </c>
      <c r="EG955" s="32">
        <v>0</v>
      </c>
      <c r="EH955" s="29" t="s">
        <v>198</v>
      </c>
      <c r="EI955" s="30" t="s">
        <v>151</v>
      </c>
      <c r="EJ955" s="30" t="s">
        <v>151</v>
      </c>
      <c r="EK955" s="31" t="s">
        <v>151</v>
      </c>
      <c r="EL955" s="31" t="s">
        <v>151</v>
      </c>
      <c r="EM955" s="31" t="s">
        <v>151</v>
      </c>
      <c r="EN955" s="31" t="s">
        <v>151</v>
      </c>
      <c r="EO955" s="31" t="s">
        <v>151</v>
      </c>
      <c r="EP955" s="30" t="s">
        <v>151</v>
      </c>
      <c r="EQ955" s="29" t="s">
        <v>151</v>
      </c>
      <c r="ER955" s="29" t="s">
        <v>151</v>
      </c>
      <c r="ES955" s="4">
        <f>HYPERLINK("https://my.pitchbook.com?c=442894-69","View Company Online")</f>
      </c>
    </row>
    <row r="956">
      <c r="A956" s="17" t="s">
        <v>19277</v>
      </c>
      <c r="B956" s="17" t="s">
        <v>19278</v>
      </c>
      <c r="C956" s="18" t="s">
        <v>151</v>
      </c>
      <c r="D956" s="17" t="s">
        <v>151</v>
      </c>
      <c r="E956" s="17" t="s">
        <v>151</v>
      </c>
      <c r="F956" s="17" t="s">
        <v>19279</v>
      </c>
      <c r="G956" s="17" t="s">
        <v>151</v>
      </c>
      <c r="H956" s="17" t="s">
        <v>151</v>
      </c>
      <c r="I956" s="17" t="s">
        <v>151</v>
      </c>
      <c r="J956" s="17" t="s">
        <v>19277</v>
      </c>
      <c r="K956" s="17" t="s">
        <v>19280</v>
      </c>
      <c r="L956" s="17" t="s">
        <v>205</v>
      </c>
      <c r="M956" s="17" t="s">
        <v>206</v>
      </c>
      <c r="N956" s="17" t="s">
        <v>207</v>
      </c>
      <c r="O956" s="17" t="s">
        <v>19281</v>
      </c>
      <c r="P956" s="17" t="s">
        <v>919</v>
      </c>
      <c r="Q956" s="17" t="s">
        <v>19282</v>
      </c>
      <c r="R956" s="17" t="s">
        <v>151</v>
      </c>
      <c r="S956" s="17" t="s">
        <v>162</v>
      </c>
      <c r="T956" s="24">
        <v>7.3</v>
      </c>
      <c r="U956" s="17" t="s">
        <v>163</v>
      </c>
      <c r="V956" s="17" t="s">
        <v>164</v>
      </c>
      <c r="W956" s="17" t="s">
        <v>165</v>
      </c>
      <c r="X956" s="15" t="s">
        <v>19283</v>
      </c>
      <c r="Y956" s="15" t="s">
        <v>19284</v>
      </c>
      <c r="Z956" s="27">
        <v>11</v>
      </c>
      <c r="AA956" s="17" t="s">
        <v>19285</v>
      </c>
      <c r="AB956" s="17" t="s">
        <v>151</v>
      </c>
      <c r="AC956" s="17" t="s">
        <v>151</v>
      </c>
      <c r="AD956" s="26">
        <v>2020</v>
      </c>
      <c r="AE956" s="17" t="s">
        <v>151</v>
      </c>
      <c r="AF956" s="22">
        <v>45558</v>
      </c>
      <c r="AG956" s="17" t="s">
        <v>151</v>
      </c>
      <c r="AH956" s="17" t="s">
        <v>151</v>
      </c>
      <c r="AI956" s="25" t="s">
        <v>151</v>
      </c>
      <c r="AJ956" s="19" t="s">
        <v>151</v>
      </c>
      <c r="AK956" s="25" t="s">
        <v>151</v>
      </c>
      <c r="AL956" s="25" t="s">
        <v>151</v>
      </c>
      <c r="AM956" s="25" t="s">
        <v>151</v>
      </c>
      <c r="AN956" s="25" t="s">
        <v>151</v>
      </c>
      <c r="AO956" s="25" t="s">
        <v>151</v>
      </c>
      <c r="AP956" s="25" t="s">
        <v>151</v>
      </c>
      <c r="AQ956" s="25" t="s">
        <v>151</v>
      </c>
      <c r="AR956" s="16" t="s">
        <v>151</v>
      </c>
      <c r="AS956" s="17" t="s">
        <v>19286</v>
      </c>
      <c r="AT956" s="17" t="s">
        <v>19287</v>
      </c>
      <c r="AU956" s="18">
        <v>24</v>
      </c>
      <c r="AV956" s="17" t="s">
        <v>151</v>
      </c>
      <c r="AW956" s="17" t="s">
        <v>151</v>
      </c>
      <c r="AX956" s="17" t="s">
        <v>151</v>
      </c>
      <c r="AY956" s="17" t="s">
        <v>19288</v>
      </c>
      <c r="AZ956" s="17" t="s">
        <v>151</v>
      </c>
      <c r="BA956" s="17" t="s">
        <v>151</v>
      </c>
      <c r="BB956" s="17" t="s">
        <v>151</v>
      </c>
      <c r="BC956" s="17" t="s">
        <v>343</v>
      </c>
      <c r="BD956" s="17" t="s">
        <v>151</v>
      </c>
      <c r="BE956" s="17" t="s">
        <v>151</v>
      </c>
      <c r="BF956" s="17" t="s">
        <v>151</v>
      </c>
      <c r="BG956" s="17" t="s">
        <v>151</v>
      </c>
      <c r="BH956" s="17" t="s">
        <v>151</v>
      </c>
      <c r="BI956" s="17" t="s">
        <v>934</v>
      </c>
      <c r="BJ956" s="17" t="s">
        <v>19289</v>
      </c>
      <c r="BK956" s="17" t="s">
        <v>1122</v>
      </c>
      <c r="BL956" s="17" t="s">
        <v>937</v>
      </c>
      <c r="BM956" s="17" t="s">
        <v>184</v>
      </c>
      <c r="BN956" s="16" t="s">
        <v>19290</v>
      </c>
      <c r="BO956" s="17" t="s">
        <v>186</v>
      </c>
      <c r="BP956" s="16" t="s">
        <v>19291</v>
      </c>
      <c r="BQ956" s="16" t="s">
        <v>151</v>
      </c>
      <c r="BR956" s="17" t="s">
        <v>19292</v>
      </c>
      <c r="BS956" s="17" t="s">
        <v>187</v>
      </c>
      <c r="BT956" s="17" t="s">
        <v>188</v>
      </c>
      <c r="BU956" s="22">
        <v>44095</v>
      </c>
      <c r="BV956" s="24">
        <v>1.3</v>
      </c>
      <c r="BW956" s="17" t="s">
        <v>192</v>
      </c>
      <c r="BX956" s="24">
        <v>5.3</v>
      </c>
      <c r="BY956" s="17" t="s">
        <v>192</v>
      </c>
      <c r="BZ956" s="17" t="s">
        <v>293</v>
      </c>
      <c r="CA956" s="17" t="s">
        <v>293</v>
      </c>
      <c r="CB956" s="17" t="s">
        <v>151</v>
      </c>
      <c r="CC956" s="17" t="s">
        <v>165</v>
      </c>
      <c r="CD956" s="17" t="s">
        <v>151</v>
      </c>
      <c r="CE956" s="17" t="s">
        <v>191</v>
      </c>
      <c r="CF956" s="22">
        <v>44593</v>
      </c>
      <c r="CG956" s="24">
        <v>6</v>
      </c>
      <c r="CH956" s="17" t="s">
        <v>193</v>
      </c>
      <c r="CI956" s="24">
        <v>24</v>
      </c>
      <c r="CJ956" s="17" t="s">
        <v>192</v>
      </c>
      <c r="CK956" s="16">
        <v>3.4</v>
      </c>
      <c r="CL956" s="17" t="s">
        <v>293</v>
      </c>
      <c r="CM956" s="17" t="s">
        <v>293</v>
      </c>
      <c r="CN956" s="17" t="s">
        <v>151</v>
      </c>
      <c r="CO956" s="17" t="s">
        <v>165</v>
      </c>
      <c r="CP956" s="22">
        <v>44593</v>
      </c>
      <c r="CQ956" s="24" t="s">
        <v>151</v>
      </c>
      <c r="CR956" s="17" t="s">
        <v>151</v>
      </c>
      <c r="CS956" s="17" t="s">
        <v>191</v>
      </c>
      <c r="CT956" s="16">
        <v>71</v>
      </c>
      <c r="CU956" s="17" t="s">
        <v>196</v>
      </c>
      <c r="CV956" s="19">
        <v>66</v>
      </c>
      <c r="CW956" s="19">
        <v>34</v>
      </c>
      <c r="CX956" s="17" t="s">
        <v>294</v>
      </c>
      <c r="CY956" s="19">
        <v>1</v>
      </c>
      <c r="CZ956" s="19">
        <v>65</v>
      </c>
      <c r="DA956" s="24">
        <v>24</v>
      </c>
      <c r="DB956" s="22">
        <v>44593</v>
      </c>
      <c r="DC956" s="17" t="s">
        <v>293</v>
      </c>
      <c r="DD956" s="16">
        <v>3.4</v>
      </c>
      <c r="DE956" s="19">
        <v>0.5</v>
      </c>
      <c r="DF956" s="21">
        <v>94</v>
      </c>
      <c r="DG956" s="19">
        <v>0</v>
      </c>
      <c r="DH956" s="19">
        <v>0</v>
      </c>
      <c r="DI956" s="19">
        <v>0.5</v>
      </c>
      <c r="DJ956" s="21">
        <v>95</v>
      </c>
      <c r="DK956" s="19" t="s">
        <v>151</v>
      </c>
      <c r="DL956" s="21" t="s">
        <v>151</v>
      </c>
      <c r="DM956" s="19">
        <v>0.5</v>
      </c>
      <c r="DN956" s="21">
        <v>95</v>
      </c>
      <c r="DO956" s="23">
        <v>78.53</v>
      </c>
      <c r="DP956" s="21">
        <v>99</v>
      </c>
      <c r="DQ956" s="23">
        <v>0</v>
      </c>
      <c r="DR956" s="19">
        <v>0</v>
      </c>
      <c r="DS956" s="23">
        <v>78.53</v>
      </c>
      <c r="DT956" s="21">
        <v>99</v>
      </c>
      <c r="DU956" s="23" t="s">
        <v>151</v>
      </c>
      <c r="DV956" s="21" t="s">
        <v>151</v>
      </c>
      <c r="DW956" s="23">
        <v>78.53</v>
      </c>
      <c r="DX956" s="21">
        <v>99</v>
      </c>
      <c r="DY956" s="18" t="s">
        <v>151</v>
      </c>
      <c r="DZ956" s="22" t="s">
        <v>151</v>
      </c>
      <c r="EA956" s="22" t="s">
        <v>151</v>
      </c>
      <c r="EB956" s="21">
        <v>1170</v>
      </c>
      <c r="EC956" s="20">
        <v>-26</v>
      </c>
      <c r="ED956" s="19">
        <v>-2.17</v>
      </c>
      <c r="EE956" s="21">
        <v>1492</v>
      </c>
      <c r="EF956" s="20">
        <v>-4</v>
      </c>
      <c r="EG956" s="19">
        <v>-0.27</v>
      </c>
      <c r="EH956" s="16" t="s">
        <v>198</v>
      </c>
      <c r="EI956" s="17" t="s">
        <v>151</v>
      </c>
      <c r="EJ956" s="17" t="s">
        <v>151</v>
      </c>
      <c r="EK956" s="18" t="s">
        <v>151</v>
      </c>
      <c r="EL956" s="18" t="s">
        <v>151</v>
      </c>
      <c r="EM956" s="18" t="s">
        <v>151</v>
      </c>
      <c r="EN956" s="18" t="s">
        <v>151</v>
      </c>
      <c r="EO956" s="18" t="s">
        <v>151</v>
      </c>
      <c r="EP956" s="17" t="s">
        <v>151</v>
      </c>
      <c r="EQ956" s="16" t="s">
        <v>151</v>
      </c>
      <c r="ER956" s="16" t="s">
        <v>151</v>
      </c>
      <c r="ES956" s="3">
        <f>HYPERLINK("https://my.pitchbook.com?c=437828-50","View Company Online")</f>
      </c>
    </row>
    <row r="957">
      <c r="A957" s="30" t="s">
        <v>19293</v>
      </c>
      <c r="B957" s="30" t="s">
        <v>19294</v>
      </c>
      <c r="C957" s="31" t="s">
        <v>151</v>
      </c>
      <c r="D957" s="30" t="s">
        <v>151</v>
      </c>
      <c r="E957" s="30" t="s">
        <v>19295</v>
      </c>
      <c r="F957" s="30" t="s">
        <v>19296</v>
      </c>
      <c r="G957" s="30" t="s">
        <v>151</v>
      </c>
      <c r="H957" s="30" t="s">
        <v>151</v>
      </c>
      <c r="I957" s="30" t="s">
        <v>151</v>
      </c>
      <c r="J957" s="30" t="s">
        <v>19293</v>
      </c>
      <c r="K957" s="30" t="s">
        <v>19297</v>
      </c>
      <c r="L957" s="30" t="s">
        <v>205</v>
      </c>
      <c r="M957" s="30" t="s">
        <v>206</v>
      </c>
      <c r="N957" s="30" t="s">
        <v>269</v>
      </c>
      <c r="O957" s="30" t="s">
        <v>4123</v>
      </c>
      <c r="P957" s="30" t="s">
        <v>19298</v>
      </c>
      <c r="Q957" s="30" t="s">
        <v>19299</v>
      </c>
      <c r="R957" s="30" t="s">
        <v>151</v>
      </c>
      <c r="S957" s="30" t="s">
        <v>162</v>
      </c>
      <c r="T957" s="37">
        <v>7.6</v>
      </c>
      <c r="U957" s="30" t="s">
        <v>163</v>
      </c>
      <c r="V957" s="30" t="s">
        <v>164</v>
      </c>
      <c r="W957" s="30" t="s">
        <v>165</v>
      </c>
      <c r="X957" s="28" t="s">
        <v>19300</v>
      </c>
      <c r="Y957" s="28" t="s">
        <v>19301</v>
      </c>
      <c r="Z957" s="40">
        <v>5</v>
      </c>
      <c r="AA957" s="30" t="s">
        <v>19302</v>
      </c>
      <c r="AB957" s="30" t="s">
        <v>151</v>
      </c>
      <c r="AC957" s="30" t="s">
        <v>151</v>
      </c>
      <c r="AD957" s="39">
        <v>2022</v>
      </c>
      <c r="AE957" s="30" t="s">
        <v>151</v>
      </c>
      <c r="AF957" s="35">
        <v>45586</v>
      </c>
      <c r="AG957" s="30" t="s">
        <v>151</v>
      </c>
      <c r="AH957" s="30" t="s">
        <v>151</v>
      </c>
      <c r="AI957" s="38">
        <v>0.2</v>
      </c>
      <c r="AJ957" s="32" t="s">
        <v>151</v>
      </c>
      <c r="AK957" s="38" t="s">
        <v>151</v>
      </c>
      <c r="AL957" s="38" t="s">
        <v>151</v>
      </c>
      <c r="AM957" s="38" t="s">
        <v>151</v>
      </c>
      <c r="AN957" s="38" t="s">
        <v>151</v>
      </c>
      <c r="AO957" s="38" t="s">
        <v>151</v>
      </c>
      <c r="AP957" s="38" t="s">
        <v>151</v>
      </c>
      <c r="AQ957" s="38" t="s">
        <v>151</v>
      </c>
      <c r="AR957" s="29" t="s">
        <v>841</v>
      </c>
      <c r="AS957" s="30" t="s">
        <v>19303</v>
      </c>
      <c r="AT957" s="30" t="s">
        <v>19304</v>
      </c>
      <c r="AU957" s="31">
        <v>9</v>
      </c>
      <c r="AV957" s="30" t="s">
        <v>151</v>
      </c>
      <c r="AW957" s="30" t="s">
        <v>151</v>
      </c>
      <c r="AX957" s="30" t="s">
        <v>151</v>
      </c>
      <c r="AY957" s="30" t="s">
        <v>19305</v>
      </c>
      <c r="AZ957" s="30" t="s">
        <v>151</v>
      </c>
      <c r="BA957" s="30" t="s">
        <v>151</v>
      </c>
      <c r="BB957" s="30" t="s">
        <v>151</v>
      </c>
      <c r="BC957" s="30" t="s">
        <v>490</v>
      </c>
      <c r="BD957" s="30" t="s">
        <v>19306</v>
      </c>
      <c r="BE957" s="30" t="s">
        <v>19307</v>
      </c>
      <c r="BF957" s="30" t="s">
        <v>493</v>
      </c>
      <c r="BG957" s="30" t="s">
        <v>19308</v>
      </c>
      <c r="BH957" s="30" t="s">
        <v>19309</v>
      </c>
      <c r="BI957" s="30" t="s">
        <v>906</v>
      </c>
      <c r="BJ957" s="30" t="s">
        <v>19310</v>
      </c>
      <c r="BK957" s="30" t="s">
        <v>19311</v>
      </c>
      <c r="BL957" s="30" t="s">
        <v>259</v>
      </c>
      <c r="BM957" s="30" t="s">
        <v>259</v>
      </c>
      <c r="BN957" s="29" t="s">
        <v>5984</v>
      </c>
      <c r="BO957" s="30" t="s">
        <v>186</v>
      </c>
      <c r="BP957" s="29" t="s">
        <v>19309</v>
      </c>
      <c r="BQ957" s="29" t="s">
        <v>151</v>
      </c>
      <c r="BR957" s="30" t="s">
        <v>19312</v>
      </c>
      <c r="BS957" s="30" t="s">
        <v>187</v>
      </c>
      <c r="BT957" s="30" t="s">
        <v>188</v>
      </c>
      <c r="BU957" s="35">
        <v>44722</v>
      </c>
      <c r="BV957" s="37">
        <v>0.1</v>
      </c>
      <c r="BW957" s="30" t="s">
        <v>192</v>
      </c>
      <c r="BX957" s="37" t="s">
        <v>151</v>
      </c>
      <c r="BY957" s="30" t="s">
        <v>151</v>
      </c>
      <c r="BZ957" s="30" t="s">
        <v>189</v>
      </c>
      <c r="CA957" s="30" t="s">
        <v>151</v>
      </c>
      <c r="CB957" s="30" t="s">
        <v>151</v>
      </c>
      <c r="CC957" s="30" t="s">
        <v>190</v>
      </c>
      <c r="CD957" s="30" t="s">
        <v>151</v>
      </c>
      <c r="CE957" s="30" t="s">
        <v>191</v>
      </c>
      <c r="CF957" s="35" t="s">
        <v>151</v>
      </c>
      <c r="CG957" s="37" t="s">
        <v>151</v>
      </c>
      <c r="CH957" s="30" t="s">
        <v>151</v>
      </c>
      <c r="CI957" s="37" t="s">
        <v>151</v>
      </c>
      <c r="CJ957" s="30" t="s">
        <v>151</v>
      </c>
      <c r="CK957" s="29" t="s">
        <v>151</v>
      </c>
      <c r="CL957" s="30" t="s">
        <v>189</v>
      </c>
      <c r="CM957" s="30" t="s">
        <v>151</v>
      </c>
      <c r="CN957" s="30" t="s">
        <v>151</v>
      </c>
      <c r="CO957" s="30" t="s">
        <v>190</v>
      </c>
      <c r="CP957" s="35" t="s">
        <v>151</v>
      </c>
      <c r="CQ957" s="37" t="s">
        <v>151</v>
      </c>
      <c r="CR957" s="30" t="s">
        <v>151</v>
      </c>
      <c r="CS957" s="30" t="s">
        <v>191</v>
      </c>
      <c r="CT957" s="29">
        <v>73</v>
      </c>
      <c r="CU957" s="30" t="s">
        <v>196</v>
      </c>
      <c r="CV957" s="32">
        <v>68</v>
      </c>
      <c r="CW957" s="32">
        <v>32</v>
      </c>
      <c r="CX957" s="30" t="s">
        <v>294</v>
      </c>
      <c r="CY957" s="32">
        <v>1</v>
      </c>
      <c r="CZ957" s="32">
        <v>67</v>
      </c>
      <c r="DA957" s="37">
        <v>7</v>
      </c>
      <c r="DB957" s="35">
        <v>45047</v>
      </c>
      <c r="DC957" s="30" t="s">
        <v>293</v>
      </c>
      <c r="DD957" s="29" t="s">
        <v>151</v>
      </c>
      <c r="DE957" s="32">
        <v>0</v>
      </c>
      <c r="DF957" s="34">
        <v>11</v>
      </c>
      <c r="DG957" s="32">
        <v>0</v>
      </c>
      <c r="DH957" s="32">
        <v>0</v>
      </c>
      <c r="DI957" s="32">
        <v>0</v>
      </c>
      <c r="DJ957" s="34">
        <v>10</v>
      </c>
      <c r="DK957" s="32" t="s">
        <v>151</v>
      </c>
      <c r="DL957" s="34" t="s">
        <v>151</v>
      </c>
      <c r="DM957" s="32">
        <v>0</v>
      </c>
      <c r="DN957" s="34">
        <v>10</v>
      </c>
      <c r="DO957" s="36">
        <v>1.42</v>
      </c>
      <c r="DP957" s="34">
        <v>58</v>
      </c>
      <c r="DQ957" s="36">
        <v>0</v>
      </c>
      <c r="DR957" s="32">
        <v>0</v>
      </c>
      <c r="DS957" s="36">
        <v>1.42</v>
      </c>
      <c r="DT957" s="34">
        <v>58</v>
      </c>
      <c r="DU957" s="36" t="s">
        <v>151</v>
      </c>
      <c r="DV957" s="34" t="s">
        <v>151</v>
      </c>
      <c r="DW957" s="36">
        <v>1.42</v>
      </c>
      <c r="DX957" s="34">
        <v>57</v>
      </c>
      <c r="DY957" s="31" t="s">
        <v>151</v>
      </c>
      <c r="DZ957" s="35" t="s">
        <v>151</v>
      </c>
      <c r="EA957" s="35" t="s">
        <v>151</v>
      </c>
      <c r="EB957" s="34">
        <v>603</v>
      </c>
      <c r="EC957" s="33">
        <v>-19</v>
      </c>
      <c r="ED957" s="32">
        <v>-3.05</v>
      </c>
      <c r="EE957" s="34">
        <v>27</v>
      </c>
      <c r="EF957" s="33">
        <v>0</v>
      </c>
      <c r="EG957" s="32">
        <v>0</v>
      </c>
      <c r="EH957" s="29" t="s">
        <v>198</v>
      </c>
      <c r="EI957" s="30" t="s">
        <v>151</v>
      </c>
      <c r="EJ957" s="30" t="s">
        <v>151</v>
      </c>
      <c r="EK957" s="31" t="s">
        <v>151</v>
      </c>
      <c r="EL957" s="31" t="s">
        <v>151</v>
      </c>
      <c r="EM957" s="31" t="s">
        <v>151</v>
      </c>
      <c r="EN957" s="31" t="s">
        <v>151</v>
      </c>
      <c r="EO957" s="31" t="s">
        <v>151</v>
      </c>
      <c r="EP957" s="30" t="s">
        <v>151</v>
      </c>
      <c r="EQ957" s="29" t="s">
        <v>151</v>
      </c>
      <c r="ER957" s="29" t="s">
        <v>151</v>
      </c>
      <c r="ES957" s="4">
        <f>HYPERLINK("https://my.pitchbook.com?c=498313-09","View Company Online")</f>
      </c>
    </row>
    <row r="958">
      <c r="A958" s="17" t="s">
        <v>19313</v>
      </c>
      <c r="B958" s="17" t="s">
        <v>19314</v>
      </c>
      <c r="C958" s="18" t="s">
        <v>151</v>
      </c>
      <c r="D958" s="17" t="s">
        <v>151</v>
      </c>
      <c r="E958" s="17" t="s">
        <v>151</v>
      </c>
      <c r="F958" s="17" t="s">
        <v>19315</v>
      </c>
      <c r="G958" s="17" t="s">
        <v>151</v>
      </c>
      <c r="H958" s="17" t="s">
        <v>151</v>
      </c>
      <c r="I958" s="17" t="s">
        <v>151</v>
      </c>
      <c r="J958" s="17" t="s">
        <v>19313</v>
      </c>
      <c r="K958" s="17" t="s">
        <v>19316</v>
      </c>
      <c r="L958" s="17" t="s">
        <v>205</v>
      </c>
      <c r="M958" s="17" t="s">
        <v>206</v>
      </c>
      <c r="N958" s="17" t="s">
        <v>269</v>
      </c>
      <c r="O958" s="17" t="s">
        <v>18538</v>
      </c>
      <c r="P958" s="17" t="s">
        <v>919</v>
      </c>
      <c r="Q958" s="17" t="s">
        <v>19317</v>
      </c>
      <c r="R958" s="17" t="s">
        <v>151</v>
      </c>
      <c r="S958" s="17" t="s">
        <v>162</v>
      </c>
      <c r="T958" s="24">
        <v>3.8</v>
      </c>
      <c r="U958" s="17" t="s">
        <v>163</v>
      </c>
      <c r="V958" s="17" t="s">
        <v>164</v>
      </c>
      <c r="W958" s="17" t="s">
        <v>165</v>
      </c>
      <c r="X958" s="15" t="s">
        <v>19318</v>
      </c>
      <c r="Y958" s="15" t="s">
        <v>19319</v>
      </c>
      <c r="Z958" s="27">
        <v>21</v>
      </c>
      <c r="AA958" s="17" t="s">
        <v>19320</v>
      </c>
      <c r="AB958" s="17" t="s">
        <v>151</v>
      </c>
      <c r="AC958" s="17" t="s">
        <v>151</v>
      </c>
      <c r="AD958" s="26">
        <v>2021</v>
      </c>
      <c r="AE958" s="17" t="s">
        <v>151</v>
      </c>
      <c r="AF958" s="22">
        <v>45610</v>
      </c>
      <c r="AG958" s="17" t="s">
        <v>151</v>
      </c>
      <c r="AH958" s="17" t="s">
        <v>151</v>
      </c>
      <c r="AI958" s="25">
        <v>0.1</v>
      </c>
      <c r="AJ958" s="19">
        <v>100</v>
      </c>
      <c r="AK958" s="25" t="s">
        <v>151</v>
      </c>
      <c r="AL958" s="25" t="s">
        <v>151</v>
      </c>
      <c r="AM958" s="25" t="s">
        <v>151</v>
      </c>
      <c r="AN958" s="25" t="s">
        <v>151</v>
      </c>
      <c r="AO958" s="25" t="s">
        <v>151</v>
      </c>
      <c r="AP958" s="25" t="s">
        <v>151</v>
      </c>
      <c r="AQ958" s="25" t="s">
        <v>151</v>
      </c>
      <c r="AR958" s="16" t="s">
        <v>810</v>
      </c>
      <c r="AS958" s="17" t="s">
        <v>19321</v>
      </c>
      <c r="AT958" s="17" t="s">
        <v>19322</v>
      </c>
      <c r="AU958" s="18">
        <v>13</v>
      </c>
      <c r="AV958" s="17" t="s">
        <v>151</v>
      </c>
      <c r="AW958" s="17" t="s">
        <v>151</v>
      </c>
      <c r="AX958" s="17" t="s">
        <v>151</v>
      </c>
      <c r="AY958" s="17" t="s">
        <v>19323</v>
      </c>
      <c r="AZ958" s="17" t="s">
        <v>151</v>
      </c>
      <c r="BA958" s="17" t="s">
        <v>151</v>
      </c>
      <c r="BB958" s="17" t="s">
        <v>151</v>
      </c>
      <c r="BC958" s="17" t="s">
        <v>151</v>
      </c>
      <c r="BD958" s="17" t="s">
        <v>19324</v>
      </c>
      <c r="BE958" s="17" t="s">
        <v>19325</v>
      </c>
      <c r="BF958" s="17" t="s">
        <v>731</v>
      </c>
      <c r="BG958" s="17" t="s">
        <v>19326</v>
      </c>
      <c r="BH958" s="17" t="s">
        <v>19327</v>
      </c>
      <c r="BI958" s="17" t="s">
        <v>19328</v>
      </c>
      <c r="BJ958" s="17" t="s">
        <v>19329</v>
      </c>
      <c r="BK958" s="17" t="s">
        <v>151</v>
      </c>
      <c r="BL958" s="17" t="s">
        <v>19330</v>
      </c>
      <c r="BM958" s="17" t="s">
        <v>470</v>
      </c>
      <c r="BN958" s="16" t="s">
        <v>19331</v>
      </c>
      <c r="BO958" s="17" t="s">
        <v>186</v>
      </c>
      <c r="BP958" s="16" t="s">
        <v>19327</v>
      </c>
      <c r="BQ958" s="16" t="s">
        <v>151</v>
      </c>
      <c r="BR958" s="17" t="s">
        <v>19332</v>
      </c>
      <c r="BS958" s="17" t="s">
        <v>187</v>
      </c>
      <c r="BT958" s="17" t="s">
        <v>188</v>
      </c>
      <c r="BU958" s="22">
        <v>44208</v>
      </c>
      <c r="BV958" s="24" t="s">
        <v>151</v>
      </c>
      <c r="BW958" s="17" t="s">
        <v>151</v>
      </c>
      <c r="BX958" s="24" t="s">
        <v>151</v>
      </c>
      <c r="BY958" s="17" t="s">
        <v>151</v>
      </c>
      <c r="BZ958" s="17" t="s">
        <v>189</v>
      </c>
      <c r="CA958" s="17" t="s">
        <v>151</v>
      </c>
      <c r="CB958" s="17" t="s">
        <v>151</v>
      </c>
      <c r="CC958" s="17" t="s">
        <v>190</v>
      </c>
      <c r="CD958" s="17" t="s">
        <v>151</v>
      </c>
      <c r="CE958" s="17" t="s">
        <v>191</v>
      </c>
      <c r="CF958" s="22">
        <v>45481</v>
      </c>
      <c r="CG958" s="24">
        <v>1</v>
      </c>
      <c r="CH958" s="17" t="s">
        <v>192</v>
      </c>
      <c r="CI958" s="24">
        <v>13.5</v>
      </c>
      <c r="CJ958" s="17" t="s">
        <v>192</v>
      </c>
      <c r="CK958" s="16">
        <v>1.47</v>
      </c>
      <c r="CL958" s="17" t="s">
        <v>293</v>
      </c>
      <c r="CM958" s="17" t="s">
        <v>293</v>
      </c>
      <c r="CN958" s="17" t="s">
        <v>151</v>
      </c>
      <c r="CO958" s="17" t="s">
        <v>165</v>
      </c>
      <c r="CP958" s="22">
        <v>45481</v>
      </c>
      <c r="CQ958" s="24" t="s">
        <v>151</v>
      </c>
      <c r="CR958" s="17" t="s">
        <v>151</v>
      </c>
      <c r="CS958" s="17" t="s">
        <v>191</v>
      </c>
      <c r="CT958" s="16">
        <v>84</v>
      </c>
      <c r="CU958" s="17" t="s">
        <v>196</v>
      </c>
      <c r="CV958" s="19">
        <v>77</v>
      </c>
      <c r="CW958" s="19">
        <v>23</v>
      </c>
      <c r="CX958" s="17" t="s">
        <v>294</v>
      </c>
      <c r="CY958" s="19">
        <v>1</v>
      </c>
      <c r="CZ958" s="19">
        <v>76</v>
      </c>
      <c r="DA958" s="24">
        <v>13.5</v>
      </c>
      <c r="DB958" s="22">
        <v>45481</v>
      </c>
      <c r="DC958" s="17" t="s">
        <v>293</v>
      </c>
      <c r="DD958" s="16">
        <v>1.47</v>
      </c>
      <c r="DE958" s="19">
        <v>-0.28</v>
      </c>
      <c r="DF958" s="21">
        <v>9</v>
      </c>
      <c r="DG958" s="19">
        <v>0</v>
      </c>
      <c r="DH958" s="19">
        <v>0</v>
      </c>
      <c r="DI958" s="19">
        <v>0</v>
      </c>
      <c r="DJ958" s="21">
        <v>10</v>
      </c>
      <c r="DK958" s="19" t="s">
        <v>151</v>
      </c>
      <c r="DL958" s="21" t="s">
        <v>151</v>
      </c>
      <c r="DM958" s="19">
        <v>0</v>
      </c>
      <c r="DN958" s="21">
        <v>10</v>
      </c>
      <c r="DO958" s="23">
        <v>2.15</v>
      </c>
      <c r="DP958" s="21">
        <v>68</v>
      </c>
      <c r="DQ958" s="23">
        <v>0</v>
      </c>
      <c r="DR958" s="19">
        <v>0</v>
      </c>
      <c r="DS958" s="23">
        <v>2.68</v>
      </c>
      <c r="DT958" s="21">
        <v>72</v>
      </c>
      <c r="DU958" s="23" t="s">
        <v>151</v>
      </c>
      <c r="DV958" s="21" t="s">
        <v>151</v>
      </c>
      <c r="DW958" s="23">
        <v>2.68</v>
      </c>
      <c r="DX958" s="21">
        <v>72</v>
      </c>
      <c r="DY958" s="18" t="s">
        <v>151</v>
      </c>
      <c r="DZ958" s="22" t="s">
        <v>151</v>
      </c>
      <c r="EA958" s="22" t="s">
        <v>151</v>
      </c>
      <c r="EB958" s="21">
        <v>520</v>
      </c>
      <c r="EC958" s="20">
        <v>-40</v>
      </c>
      <c r="ED958" s="19">
        <v>-7.14</v>
      </c>
      <c r="EE958" s="21">
        <v>51</v>
      </c>
      <c r="EF958" s="20">
        <v>2</v>
      </c>
      <c r="EG958" s="19">
        <v>4.08</v>
      </c>
      <c r="EH958" s="16" t="s">
        <v>198</v>
      </c>
      <c r="EI958" s="17" t="s">
        <v>151</v>
      </c>
      <c r="EJ958" s="17" t="s">
        <v>151</v>
      </c>
      <c r="EK958" s="18" t="s">
        <v>151</v>
      </c>
      <c r="EL958" s="18" t="s">
        <v>151</v>
      </c>
      <c r="EM958" s="18" t="s">
        <v>151</v>
      </c>
      <c r="EN958" s="18" t="s">
        <v>151</v>
      </c>
      <c r="EO958" s="18" t="s">
        <v>151</v>
      </c>
      <c r="EP958" s="17" t="s">
        <v>151</v>
      </c>
      <c r="EQ958" s="16" t="s">
        <v>151</v>
      </c>
      <c r="ER958" s="16" t="s">
        <v>151</v>
      </c>
      <c r="ES958" s="3">
        <f>HYPERLINK("https://my.pitchbook.com?c=471922-66","View Company Online")</f>
      </c>
    </row>
    <row r="959">
      <c r="A959" s="30" t="s">
        <v>19333</v>
      </c>
      <c r="B959" s="30" t="s">
        <v>19334</v>
      </c>
      <c r="C959" s="31" t="s">
        <v>151</v>
      </c>
      <c r="D959" s="30" t="s">
        <v>19335</v>
      </c>
      <c r="E959" s="30" t="s">
        <v>19336</v>
      </c>
      <c r="F959" s="30" t="s">
        <v>19337</v>
      </c>
      <c r="G959" s="30" t="s">
        <v>151</v>
      </c>
      <c r="H959" s="30" t="s">
        <v>151</v>
      </c>
      <c r="I959" s="30" t="s">
        <v>19338</v>
      </c>
      <c r="J959" s="30" t="s">
        <v>19333</v>
      </c>
      <c r="K959" s="30" t="s">
        <v>19339</v>
      </c>
      <c r="L959" s="30" t="s">
        <v>1792</v>
      </c>
      <c r="M959" s="30" t="s">
        <v>5329</v>
      </c>
      <c r="N959" s="30" t="s">
        <v>5330</v>
      </c>
      <c r="O959" s="30" t="s">
        <v>12931</v>
      </c>
      <c r="P959" s="30" t="s">
        <v>1462</v>
      </c>
      <c r="Q959" s="30" t="s">
        <v>19340</v>
      </c>
      <c r="R959" s="30" t="s">
        <v>151</v>
      </c>
      <c r="S959" s="30" t="s">
        <v>162</v>
      </c>
      <c r="T959" s="37">
        <v>14.45</v>
      </c>
      <c r="U959" s="30" t="s">
        <v>163</v>
      </c>
      <c r="V959" s="30" t="s">
        <v>164</v>
      </c>
      <c r="W959" s="30" t="s">
        <v>165</v>
      </c>
      <c r="X959" s="28" t="s">
        <v>19341</v>
      </c>
      <c r="Y959" s="28" t="s">
        <v>19342</v>
      </c>
      <c r="Z959" s="40">
        <v>25</v>
      </c>
      <c r="AA959" s="30" t="s">
        <v>19343</v>
      </c>
      <c r="AB959" s="30" t="s">
        <v>151</v>
      </c>
      <c r="AC959" s="30" t="s">
        <v>151</v>
      </c>
      <c r="AD959" s="39">
        <v>2021</v>
      </c>
      <c r="AE959" s="30" t="s">
        <v>151</v>
      </c>
      <c r="AF959" s="35">
        <v>45497</v>
      </c>
      <c r="AG959" s="30" t="s">
        <v>151</v>
      </c>
      <c r="AH959" s="30" t="s">
        <v>151</v>
      </c>
      <c r="AI959" s="38" t="s">
        <v>151</v>
      </c>
      <c r="AJ959" s="32" t="s">
        <v>151</v>
      </c>
      <c r="AK959" s="38" t="s">
        <v>151</v>
      </c>
      <c r="AL959" s="38" t="s">
        <v>151</v>
      </c>
      <c r="AM959" s="38" t="s">
        <v>151</v>
      </c>
      <c r="AN959" s="38" t="s">
        <v>151</v>
      </c>
      <c r="AO959" s="38" t="s">
        <v>151</v>
      </c>
      <c r="AP959" s="38" t="s">
        <v>151</v>
      </c>
      <c r="AQ959" s="38" t="s">
        <v>151</v>
      </c>
      <c r="AR959" s="29" t="s">
        <v>151</v>
      </c>
      <c r="AS959" s="30" t="s">
        <v>19344</v>
      </c>
      <c r="AT959" s="30" t="s">
        <v>19345</v>
      </c>
      <c r="AU959" s="31">
        <v>13</v>
      </c>
      <c r="AV959" s="30" t="s">
        <v>151</v>
      </c>
      <c r="AW959" s="30" t="s">
        <v>151</v>
      </c>
      <c r="AX959" s="30" t="s">
        <v>151</v>
      </c>
      <c r="AY959" s="30" t="s">
        <v>19346</v>
      </c>
      <c r="AZ959" s="30" t="s">
        <v>151</v>
      </c>
      <c r="BA959" s="30" t="s">
        <v>151</v>
      </c>
      <c r="BB959" s="30" t="s">
        <v>3327</v>
      </c>
      <c r="BC959" s="30" t="s">
        <v>3327</v>
      </c>
      <c r="BD959" s="30" t="s">
        <v>19347</v>
      </c>
      <c r="BE959" s="30" t="s">
        <v>19348</v>
      </c>
      <c r="BF959" s="30" t="s">
        <v>282</v>
      </c>
      <c r="BG959" s="30" t="s">
        <v>19349</v>
      </c>
      <c r="BH959" s="30" t="s">
        <v>19350</v>
      </c>
      <c r="BI959" s="30" t="s">
        <v>1666</v>
      </c>
      <c r="BJ959" s="30" t="s">
        <v>19351</v>
      </c>
      <c r="BK959" s="30" t="s">
        <v>151</v>
      </c>
      <c r="BL959" s="30" t="s">
        <v>1668</v>
      </c>
      <c r="BM959" s="30" t="s">
        <v>184</v>
      </c>
      <c r="BN959" s="29" t="s">
        <v>11294</v>
      </c>
      <c r="BO959" s="30" t="s">
        <v>186</v>
      </c>
      <c r="BP959" s="29" t="s">
        <v>19350</v>
      </c>
      <c r="BQ959" s="29" t="s">
        <v>151</v>
      </c>
      <c r="BR959" s="30" t="s">
        <v>151</v>
      </c>
      <c r="BS959" s="30" t="s">
        <v>187</v>
      </c>
      <c r="BT959" s="30" t="s">
        <v>188</v>
      </c>
      <c r="BU959" s="35">
        <v>44409</v>
      </c>
      <c r="BV959" s="37">
        <v>2</v>
      </c>
      <c r="BW959" s="30" t="s">
        <v>192</v>
      </c>
      <c r="BX959" s="37">
        <v>7.5</v>
      </c>
      <c r="BY959" s="30" t="s">
        <v>192</v>
      </c>
      <c r="BZ959" s="30" t="s">
        <v>293</v>
      </c>
      <c r="CA959" s="30" t="s">
        <v>293</v>
      </c>
      <c r="CB959" s="30" t="s">
        <v>151</v>
      </c>
      <c r="CC959" s="30" t="s">
        <v>165</v>
      </c>
      <c r="CD959" s="30" t="s">
        <v>151</v>
      </c>
      <c r="CE959" s="30" t="s">
        <v>191</v>
      </c>
      <c r="CF959" s="35">
        <v>45006</v>
      </c>
      <c r="CG959" s="37">
        <v>5.95</v>
      </c>
      <c r="CH959" s="30" t="s">
        <v>192</v>
      </c>
      <c r="CI959" s="37" t="s">
        <v>151</v>
      </c>
      <c r="CJ959" s="30" t="s">
        <v>151</v>
      </c>
      <c r="CK959" s="29" t="s">
        <v>151</v>
      </c>
      <c r="CL959" s="30" t="s">
        <v>231</v>
      </c>
      <c r="CM959" s="30" t="s">
        <v>151</v>
      </c>
      <c r="CN959" s="30" t="s">
        <v>151</v>
      </c>
      <c r="CO959" s="30" t="s">
        <v>165</v>
      </c>
      <c r="CP959" s="35">
        <v>45006</v>
      </c>
      <c r="CQ959" s="37" t="s">
        <v>151</v>
      </c>
      <c r="CR959" s="30" t="s">
        <v>151</v>
      </c>
      <c r="CS959" s="30" t="s">
        <v>191</v>
      </c>
      <c r="CT959" s="29">
        <v>71</v>
      </c>
      <c r="CU959" s="30" t="s">
        <v>196</v>
      </c>
      <c r="CV959" s="32">
        <v>66</v>
      </c>
      <c r="CW959" s="32">
        <v>34</v>
      </c>
      <c r="CX959" s="30" t="s">
        <v>294</v>
      </c>
      <c r="CY959" s="32">
        <v>1</v>
      </c>
      <c r="CZ959" s="32">
        <v>65</v>
      </c>
      <c r="DA959" s="37">
        <v>17.5</v>
      </c>
      <c r="DB959" s="35">
        <v>44916</v>
      </c>
      <c r="DC959" s="30" t="s">
        <v>293</v>
      </c>
      <c r="DD959" s="29">
        <v>1.47</v>
      </c>
      <c r="DE959" s="32">
        <v>-0.7</v>
      </c>
      <c r="DF959" s="34">
        <v>6</v>
      </c>
      <c r="DG959" s="32">
        <v>0</v>
      </c>
      <c r="DH959" s="32">
        <v>0</v>
      </c>
      <c r="DI959" s="32">
        <v>0</v>
      </c>
      <c r="DJ959" s="34">
        <v>10</v>
      </c>
      <c r="DK959" s="32">
        <v>0</v>
      </c>
      <c r="DL959" s="34">
        <v>11</v>
      </c>
      <c r="DM959" s="32">
        <v>0</v>
      </c>
      <c r="DN959" s="34">
        <v>10</v>
      </c>
      <c r="DO959" s="36">
        <v>2.66</v>
      </c>
      <c r="DP959" s="34">
        <v>72</v>
      </c>
      <c r="DQ959" s="36">
        <v>0</v>
      </c>
      <c r="DR959" s="32">
        <v>0</v>
      </c>
      <c r="DS959" s="36">
        <v>3.39</v>
      </c>
      <c r="DT959" s="34">
        <v>76</v>
      </c>
      <c r="DU959" s="36">
        <v>3.1</v>
      </c>
      <c r="DV959" s="34">
        <v>76</v>
      </c>
      <c r="DW959" s="36">
        <v>3.68</v>
      </c>
      <c r="DX959" s="34">
        <v>77</v>
      </c>
      <c r="DY959" s="31" t="s">
        <v>151</v>
      </c>
      <c r="DZ959" s="35" t="s">
        <v>151</v>
      </c>
      <c r="EA959" s="35" t="s">
        <v>151</v>
      </c>
      <c r="EB959" s="34">
        <v>632</v>
      </c>
      <c r="EC959" s="33">
        <v>60</v>
      </c>
      <c r="ED959" s="32">
        <v>10.49</v>
      </c>
      <c r="EE959" s="34">
        <v>70</v>
      </c>
      <c r="EF959" s="33">
        <v>1</v>
      </c>
      <c r="EG959" s="32">
        <v>1.45</v>
      </c>
      <c r="EH959" s="29" t="s">
        <v>198</v>
      </c>
      <c r="EI959" s="30" t="s">
        <v>151</v>
      </c>
      <c r="EJ959" s="30" t="s">
        <v>151</v>
      </c>
      <c r="EK959" s="31" t="s">
        <v>151</v>
      </c>
      <c r="EL959" s="31" t="s">
        <v>151</v>
      </c>
      <c r="EM959" s="31" t="s">
        <v>151</v>
      </c>
      <c r="EN959" s="31" t="s">
        <v>151</v>
      </c>
      <c r="EO959" s="31" t="s">
        <v>151</v>
      </c>
      <c r="EP959" s="30" t="s">
        <v>151</v>
      </c>
      <c r="EQ959" s="29" t="s">
        <v>151</v>
      </c>
      <c r="ER959" s="29" t="s">
        <v>151</v>
      </c>
      <c r="ES959" s="4">
        <f>HYPERLINK("https://my.pitchbook.com?c=484206-85","View Company Online")</f>
      </c>
    </row>
    <row r="960">
      <c r="A960" s="17" t="s">
        <v>19352</v>
      </c>
      <c r="B960" s="17" t="s">
        <v>19353</v>
      </c>
      <c r="C960" s="18" t="s">
        <v>151</v>
      </c>
      <c r="D960" s="17" t="s">
        <v>151</v>
      </c>
      <c r="E960" s="17" t="s">
        <v>19354</v>
      </c>
      <c r="F960" s="17" t="s">
        <v>19355</v>
      </c>
      <c r="G960" s="17" t="s">
        <v>151</v>
      </c>
      <c r="H960" s="17" t="s">
        <v>151</v>
      </c>
      <c r="I960" s="17" t="s">
        <v>151</v>
      </c>
      <c r="J960" s="17" t="s">
        <v>19352</v>
      </c>
      <c r="K960" s="17" t="s">
        <v>19356</v>
      </c>
      <c r="L960" s="17" t="s">
        <v>205</v>
      </c>
      <c r="M960" s="17" t="s">
        <v>301</v>
      </c>
      <c r="N960" s="17" t="s">
        <v>19357</v>
      </c>
      <c r="O960" s="17" t="s">
        <v>19358</v>
      </c>
      <c r="P960" s="17" t="s">
        <v>151</v>
      </c>
      <c r="Q960" s="17" t="s">
        <v>19359</v>
      </c>
      <c r="R960" s="17" t="s">
        <v>151</v>
      </c>
      <c r="S960" s="17" t="s">
        <v>162</v>
      </c>
      <c r="T960" s="24">
        <v>0.35</v>
      </c>
      <c r="U960" s="17" t="s">
        <v>1727</v>
      </c>
      <c r="V960" s="17" t="s">
        <v>164</v>
      </c>
      <c r="W960" s="17" t="s">
        <v>165</v>
      </c>
      <c r="X960" s="15" t="s">
        <v>19360</v>
      </c>
      <c r="Y960" s="15" t="s">
        <v>151</v>
      </c>
      <c r="Z960" s="27" t="s">
        <v>151</v>
      </c>
      <c r="AA960" s="17" t="s">
        <v>151</v>
      </c>
      <c r="AB960" s="17" t="s">
        <v>151</v>
      </c>
      <c r="AC960" s="17" t="s">
        <v>151</v>
      </c>
      <c r="AD960" s="26" t="s">
        <v>151</v>
      </c>
      <c r="AE960" s="17" t="s">
        <v>151</v>
      </c>
      <c r="AF960" s="22">
        <v>45569</v>
      </c>
      <c r="AG960" s="17" t="s">
        <v>151</v>
      </c>
      <c r="AH960" s="17" t="s">
        <v>151</v>
      </c>
      <c r="AI960" s="25" t="s">
        <v>151</v>
      </c>
      <c r="AJ960" s="19" t="s">
        <v>151</v>
      </c>
      <c r="AK960" s="25" t="s">
        <v>151</v>
      </c>
      <c r="AL960" s="25" t="s">
        <v>151</v>
      </c>
      <c r="AM960" s="25" t="s">
        <v>151</v>
      </c>
      <c r="AN960" s="25" t="s">
        <v>151</v>
      </c>
      <c r="AO960" s="25" t="s">
        <v>151</v>
      </c>
      <c r="AP960" s="25" t="s">
        <v>151</v>
      </c>
      <c r="AQ960" s="25" t="s">
        <v>151</v>
      </c>
      <c r="AR960" s="16" t="s">
        <v>151</v>
      </c>
      <c r="AS960" s="17" t="s">
        <v>19361</v>
      </c>
      <c r="AT960" s="17" t="s">
        <v>19362</v>
      </c>
      <c r="AU960" s="18">
        <v>1</v>
      </c>
      <c r="AV960" s="17" t="s">
        <v>151</v>
      </c>
      <c r="AW960" s="17" t="s">
        <v>151</v>
      </c>
      <c r="AX960" s="17" t="s">
        <v>151</v>
      </c>
      <c r="AY960" s="17" t="s">
        <v>19363</v>
      </c>
      <c r="AZ960" s="17" t="s">
        <v>151</v>
      </c>
      <c r="BA960" s="17" t="s">
        <v>151</v>
      </c>
      <c r="BB960" s="17" t="s">
        <v>151</v>
      </c>
      <c r="BC960" s="17" t="s">
        <v>151</v>
      </c>
      <c r="BD960" s="17" t="s">
        <v>19364</v>
      </c>
      <c r="BE960" s="17" t="s">
        <v>19365</v>
      </c>
      <c r="BF960" s="17" t="s">
        <v>403</v>
      </c>
      <c r="BG960" s="17" t="s">
        <v>19366</v>
      </c>
      <c r="BH960" s="17" t="s">
        <v>19367</v>
      </c>
      <c r="BI960" s="17" t="s">
        <v>19368</v>
      </c>
      <c r="BJ960" s="17" t="s">
        <v>19369</v>
      </c>
      <c r="BK960" s="17" t="s">
        <v>19370</v>
      </c>
      <c r="BL960" s="17" t="s">
        <v>19371</v>
      </c>
      <c r="BM960" s="17" t="s">
        <v>2591</v>
      </c>
      <c r="BN960" s="16" t="s">
        <v>19372</v>
      </c>
      <c r="BO960" s="17" t="s">
        <v>186</v>
      </c>
      <c r="BP960" s="16" t="s">
        <v>19367</v>
      </c>
      <c r="BQ960" s="16" t="s">
        <v>151</v>
      </c>
      <c r="BR960" s="17" t="s">
        <v>19373</v>
      </c>
      <c r="BS960" s="17" t="s">
        <v>187</v>
      </c>
      <c r="BT960" s="17" t="s">
        <v>188</v>
      </c>
      <c r="BU960" s="22">
        <v>44886</v>
      </c>
      <c r="BV960" s="24">
        <v>0.35</v>
      </c>
      <c r="BW960" s="17" t="s">
        <v>192</v>
      </c>
      <c r="BX960" s="24" t="s">
        <v>151</v>
      </c>
      <c r="BY960" s="17" t="s">
        <v>151</v>
      </c>
      <c r="BZ960" s="17" t="s">
        <v>231</v>
      </c>
      <c r="CA960" s="17" t="s">
        <v>151</v>
      </c>
      <c r="CB960" s="17" t="s">
        <v>151</v>
      </c>
      <c r="CC960" s="17" t="s">
        <v>165</v>
      </c>
      <c r="CD960" s="17" t="s">
        <v>151</v>
      </c>
      <c r="CE960" s="17" t="s">
        <v>191</v>
      </c>
      <c r="CF960" s="22">
        <v>44886</v>
      </c>
      <c r="CG960" s="24">
        <v>0.35</v>
      </c>
      <c r="CH960" s="17" t="s">
        <v>192</v>
      </c>
      <c r="CI960" s="24" t="s">
        <v>151</v>
      </c>
      <c r="CJ960" s="17" t="s">
        <v>151</v>
      </c>
      <c r="CK960" s="16" t="s">
        <v>151</v>
      </c>
      <c r="CL960" s="17" t="s">
        <v>231</v>
      </c>
      <c r="CM960" s="17" t="s">
        <v>151</v>
      </c>
      <c r="CN960" s="17" t="s">
        <v>151</v>
      </c>
      <c r="CO960" s="17" t="s">
        <v>165</v>
      </c>
      <c r="CP960" s="22">
        <v>44886</v>
      </c>
      <c r="CQ960" s="24" t="s">
        <v>151</v>
      </c>
      <c r="CR960" s="17" t="s">
        <v>151</v>
      </c>
      <c r="CS960" s="17" t="s">
        <v>191</v>
      </c>
      <c r="CT960" s="16" t="s">
        <v>151</v>
      </c>
      <c r="CU960" s="17" t="s">
        <v>151</v>
      </c>
      <c r="CV960" s="19" t="s">
        <v>151</v>
      </c>
      <c r="CW960" s="19" t="s">
        <v>151</v>
      </c>
      <c r="CX960" s="17" t="s">
        <v>151</v>
      </c>
      <c r="CY960" s="19" t="s">
        <v>151</v>
      </c>
      <c r="CZ960" s="19" t="s">
        <v>151</v>
      </c>
      <c r="DA960" s="24" t="s">
        <v>151</v>
      </c>
      <c r="DB960" s="22" t="s">
        <v>151</v>
      </c>
      <c r="DC960" s="17" t="s">
        <v>151</v>
      </c>
      <c r="DD960" s="16" t="s">
        <v>151</v>
      </c>
      <c r="DE960" s="19" t="s">
        <v>151</v>
      </c>
      <c r="DF960" s="21" t="s">
        <v>151</v>
      </c>
      <c r="DG960" s="19" t="s">
        <v>151</v>
      </c>
      <c r="DH960" s="19" t="s">
        <v>151</v>
      </c>
      <c r="DI960" s="19" t="s">
        <v>151</v>
      </c>
      <c r="DJ960" s="21" t="s">
        <v>151</v>
      </c>
      <c r="DK960" s="19" t="s">
        <v>151</v>
      </c>
      <c r="DL960" s="21" t="s">
        <v>151</v>
      </c>
      <c r="DM960" s="19" t="s">
        <v>151</v>
      </c>
      <c r="DN960" s="21" t="s">
        <v>151</v>
      </c>
      <c r="DO960" s="23" t="s">
        <v>151</v>
      </c>
      <c r="DP960" s="21" t="s">
        <v>151</v>
      </c>
      <c r="DQ960" s="23" t="s">
        <v>151</v>
      </c>
      <c r="DR960" s="19" t="s">
        <v>151</v>
      </c>
      <c r="DS960" s="23" t="s">
        <v>151</v>
      </c>
      <c r="DT960" s="21" t="s">
        <v>151</v>
      </c>
      <c r="DU960" s="23" t="s">
        <v>151</v>
      </c>
      <c r="DV960" s="21" t="s">
        <v>151</v>
      </c>
      <c r="DW960" s="23" t="s">
        <v>151</v>
      </c>
      <c r="DX960" s="21" t="s">
        <v>151</v>
      </c>
      <c r="DY960" s="18" t="s">
        <v>151</v>
      </c>
      <c r="DZ960" s="22" t="s">
        <v>151</v>
      </c>
      <c r="EA960" s="22" t="s">
        <v>151</v>
      </c>
      <c r="EB960" s="21" t="s">
        <v>151</v>
      </c>
      <c r="EC960" s="20" t="s">
        <v>151</v>
      </c>
      <c r="ED960" s="19" t="s">
        <v>151</v>
      </c>
      <c r="EE960" s="21" t="s">
        <v>151</v>
      </c>
      <c r="EF960" s="20" t="s">
        <v>151</v>
      </c>
      <c r="EG960" s="19" t="s">
        <v>151</v>
      </c>
      <c r="EH960" s="16" t="s">
        <v>198</v>
      </c>
      <c r="EI960" s="17" t="s">
        <v>151</v>
      </c>
      <c r="EJ960" s="17" t="s">
        <v>151</v>
      </c>
      <c r="EK960" s="18" t="s">
        <v>151</v>
      </c>
      <c r="EL960" s="18" t="s">
        <v>151</v>
      </c>
      <c r="EM960" s="18" t="s">
        <v>151</v>
      </c>
      <c r="EN960" s="18" t="s">
        <v>151</v>
      </c>
      <c r="EO960" s="18" t="s">
        <v>151</v>
      </c>
      <c r="EP960" s="17" t="s">
        <v>151</v>
      </c>
      <c r="EQ960" s="16" t="s">
        <v>151</v>
      </c>
      <c r="ER960" s="16" t="s">
        <v>151</v>
      </c>
      <c r="ES960" s="3">
        <f>HYPERLINK("https://my.pitchbook.com?c=680245-93","View Company Online")</f>
      </c>
    </row>
    <row r="961">
      <c r="A961" s="30" t="s">
        <v>19374</v>
      </c>
      <c r="B961" s="30" t="s">
        <v>19375</v>
      </c>
      <c r="C961" s="31" t="s">
        <v>151</v>
      </c>
      <c r="D961" s="30" t="s">
        <v>19376</v>
      </c>
      <c r="E961" s="30" t="s">
        <v>19377</v>
      </c>
      <c r="F961" s="30" t="s">
        <v>19378</v>
      </c>
      <c r="G961" s="30" t="s">
        <v>151</v>
      </c>
      <c r="H961" s="30" t="s">
        <v>151</v>
      </c>
      <c r="I961" s="30" t="s">
        <v>151</v>
      </c>
      <c r="J961" s="30" t="s">
        <v>19374</v>
      </c>
      <c r="K961" s="30" t="s">
        <v>19379</v>
      </c>
      <c r="L961" s="30" t="s">
        <v>205</v>
      </c>
      <c r="M961" s="30" t="s">
        <v>206</v>
      </c>
      <c r="N961" s="30" t="s">
        <v>694</v>
      </c>
      <c r="O961" s="30" t="s">
        <v>19380</v>
      </c>
      <c r="P961" s="30" t="s">
        <v>2224</v>
      </c>
      <c r="Q961" s="30" t="s">
        <v>19381</v>
      </c>
      <c r="R961" s="30" t="s">
        <v>151</v>
      </c>
      <c r="S961" s="30" t="s">
        <v>162</v>
      </c>
      <c r="T961" s="37">
        <v>3.51</v>
      </c>
      <c r="U961" s="30" t="s">
        <v>19382</v>
      </c>
      <c r="V961" s="30" t="s">
        <v>164</v>
      </c>
      <c r="W961" s="30" t="s">
        <v>165</v>
      </c>
      <c r="X961" s="28" t="s">
        <v>19383</v>
      </c>
      <c r="Y961" s="28" t="s">
        <v>19384</v>
      </c>
      <c r="Z961" s="40">
        <v>13</v>
      </c>
      <c r="AA961" s="30" t="s">
        <v>19385</v>
      </c>
      <c r="AB961" s="30" t="s">
        <v>151</v>
      </c>
      <c r="AC961" s="30" t="s">
        <v>151</v>
      </c>
      <c r="AD961" s="39">
        <v>2018</v>
      </c>
      <c r="AE961" s="30" t="s">
        <v>151</v>
      </c>
      <c r="AF961" s="35">
        <v>45609</v>
      </c>
      <c r="AG961" s="30" t="s">
        <v>151</v>
      </c>
      <c r="AH961" s="30" t="s">
        <v>151</v>
      </c>
      <c r="AI961" s="38">
        <v>0.1</v>
      </c>
      <c r="AJ961" s="32" t="s">
        <v>151</v>
      </c>
      <c r="AK961" s="38" t="s">
        <v>151</v>
      </c>
      <c r="AL961" s="38" t="s">
        <v>151</v>
      </c>
      <c r="AM961" s="38" t="s">
        <v>151</v>
      </c>
      <c r="AN961" s="38" t="s">
        <v>151</v>
      </c>
      <c r="AO961" s="38" t="s">
        <v>151</v>
      </c>
      <c r="AP961" s="38" t="s">
        <v>151</v>
      </c>
      <c r="AQ961" s="38" t="s">
        <v>151</v>
      </c>
      <c r="AR961" s="29" t="s">
        <v>810</v>
      </c>
      <c r="AS961" s="30" t="s">
        <v>19386</v>
      </c>
      <c r="AT961" s="30" t="s">
        <v>19387</v>
      </c>
      <c r="AU961" s="31">
        <v>24</v>
      </c>
      <c r="AV961" s="30" t="s">
        <v>151</v>
      </c>
      <c r="AW961" s="30" t="s">
        <v>151</v>
      </c>
      <c r="AX961" s="30" t="s">
        <v>151</v>
      </c>
      <c r="AY961" s="30" t="s">
        <v>19388</v>
      </c>
      <c r="AZ961" s="30" t="s">
        <v>151</v>
      </c>
      <c r="BA961" s="30" t="s">
        <v>151</v>
      </c>
      <c r="BB961" s="30" t="s">
        <v>1115</v>
      </c>
      <c r="BC961" s="30" t="s">
        <v>1115</v>
      </c>
      <c r="BD961" s="30" t="s">
        <v>19389</v>
      </c>
      <c r="BE961" s="30" t="s">
        <v>19390</v>
      </c>
      <c r="BF961" s="30" t="s">
        <v>430</v>
      </c>
      <c r="BG961" s="30" t="s">
        <v>19391</v>
      </c>
      <c r="BH961" s="30" t="s">
        <v>19392</v>
      </c>
      <c r="BI961" s="30" t="s">
        <v>285</v>
      </c>
      <c r="BJ961" s="30" t="s">
        <v>19393</v>
      </c>
      <c r="BK961" s="30" t="s">
        <v>19394</v>
      </c>
      <c r="BL961" s="30" t="s">
        <v>288</v>
      </c>
      <c r="BM961" s="30" t="s">
        <v>289</v>
      </c>
      <c r="BN961" s="29" t="s">
        <v>19395</v>
      </c>
      <c r="BO961" s="30" t="s">
        <v>186</v>
      </c>
      <c r="BP961" s="29" t="s">
        <v>19396</v>
      </c>
      <c r="BQ961" s="29" t="s">
        <v>151</v>
      </c>
      <c r="BR961" s="30" t="s">
        <v>19397</v>
      </c>
      <c r="BS961" s="30" t="s">
        <v>187</v>
      </c>
      <c r="BT961" s="30" t="s">
        <v>188</v>
      </c>
      <c r="BU961" s="35" t="s">
        <v>151</v>
      </c>
      <c r="BV961" s="37" t="s">
        <v>151</v>
      </c>
      <c r="BW961" s="30" t="s">
        <v>151</v>
      </c>
      <c r="BX961" s="37" t="s">
        <v>151</v>
      </c>
      <c r="BY961" s="30" t="s">
        <v>151</v>
      </c>
      <c r="BZ961" s="30" t="s">
        <v>189</v>
      </c>
      <c r="CA961" s="30" t="s">
        <v>151</v>
      </c>
      <c r="CB961" s="30" t="s">
        <v>151</v>
      </c>
      <c r="CC961" s="30" t="s">
        <v>190</v>
      </c>
      <c r="CD961" s="30" t="s">
        <v>151</v>
      </c>
      <c r="CE961" s="30" t="s">
        <v>191</v>
      </c>
      <c r="CF961" s="35">
        <v>45119</v>
      </c>
      <c r="CG961" s="37">
        <v>1.35</v>
      </c>
      <c r="CH961" s="30" t="s">
        <v>192</v>
      </c>
      <c r="CI961" s="37">
        <v>11.35</v>
      </c>
      <c r="CJ961" s="30" t="s">
        <v>192</v>
      </c>
      <c r="CK961" s="29" t="s">
        <v>151</v>
      </c>
      <c r="CL961" s="30" t="s">
        <v>293</v>
      </c>
      <c r="CM961" s="30" t="s">
        <v>293</v>
      </c>
      <c r="CN961" s="30" t="s">
        <v>151</v>
      </c>
      <c r="CO961" s="30" t="s">
        <v>165</v>
      </c>
      <c r="CP961" s="35">
        <v>45119</v>
      </c>
      <c r="CQ961" s="37" t="s">
        <v>151</v>
      </c>
      <c r="CR961" s="30" t="s">
        <v>151</v>
      </c>
      <c r="CS961" s="30" t="s">
        <v>191</v>
      </c>
      <c r="CT961" s="29">
        <v>97</v>
      </c>
      <c r="CU961" s="30" t="s">
        <v>196</v>
      </c>
      <c r="CV961" s="32">
        <v>92</v>
      </c>
      <c r="CW961" s="32">
        <v>8</v>
      </c>
      <c r="CX961" s="30" t="s">
        <v>294</v>
      </c>
      <c r="CY961" s="32">
        <v>1</v>
      </c>
      <c r="CZ961" s="32">
        <v>91</v>
      </c>
      <c r="DA961" s="37">
        <v>11.35</v>
      </c>
      <c r="DB961" s="35">
        <v>45119</v>
      </c>
      <c r="DC961" s="30" t="s">
        <v>293</v>
      </c>
      <c r="DD961" s="29" t="s">
        <v>151</v>
      </c>
      <c r="DE961" s="32" t="s">
        <v>151</v>
      </c>
      <c r="DF961" s="34" t="s">
        <v>151</v>
      </c>
      <c r="DG961" s="32" t="s">
        <v>151</v>
      </c>
      <c r="DH961" s="32" t="s">
        <v>151</v>
      </c>
      <c r="DI961" s="32" t="s">
        <v>151</v>
      </c>
      <c r="DJ961" s="34" t="s">
        <v>151</v>
      </c>
      <c r="DK961" s="32" t="s">
        <v>151</v>
      </c>
      <c r="DL961" s="34" t="s">
        <v>151</v>
      </c>
      <c r="DM961" s="32" t="s">
        <v>151</v>
      </c>
      <c r="DN961" s="34" t="s">
        <v>151</v>
      </c>
      <c r="DO961" s="36" t="s">
        <v>151</v>
      </c>
      <c r="DP961" s="34" t="s">
        <v>151</v>
      </c>
      <c r="DQ961" s="36" t="s">
        <v>151</v>
      </c>
      <c r="DR961" s="32" t="s">
        <v>151</v>
      </c>
      <c r="DS961" s="36" t="s">
        <v>151</v>
      </c>
      <c r="DT961" s="34" t="s">
        <v>151</v>
      </c>
      <c r="DU961" s="36" t="s">
        <v>151</v>
      </c>
      <c r="DV961" s="34" t="s">
        <v>151</v>
      </c>
      <c r="DW961" s="36" t="s">
        <v>151</v>
      </c>
      <c r="DX961" s="34" t="s">
        <v>151</v>
      </c>
      <c r="DY961" s="31" t="s">
        <v>151</v>
      </c>
      <c r="DZ961" s="35" t="s">
        <v>151</v>
      </c>
      <c r="EA961" s="35" t="s">
        <v>151</v>
      </c>
      <c r="EB961" s="34" t="s">
        <v>151</v>
      </c>
      <c r="EC961" s="33" t="s">
        <v>151</v>
      </c>
      <c r="ED961" s="32" t="s">
        <v>151</v>
      </c>
      <c r="EE961" s="34" t="s">
        <v>151</v>
      </c>
      <c r="EF961" s="33" t="s">
        <v>151</v>
      </c>
      <c r="EG961" s="32" t="s">
        <v>151</v>
      </c>
      <c r="EH961" s="29" t="s">
        <v>198</v>
      </c>
      <c r="EI961" s="30" t="s">
        <v>151</v>
      </c>
      <c r="EJ961" s="30" t="s">
        <v>151</v>
      </c>
      <c r="EK961" s="31" t="s">
        <v>151</v>
      </c>
      <c r="EL961" s="31" t="s">
        <v>151</v>
      </c>
      <c r="EM961" s="31" t="s">
        <v>151</v>
      </c>
      <c r="EN961" s="31" t="s">
        <v>151</v>
      </c>
      <c r="EO961" s="31" t="s">
        <v>151</v>
      </c>
      <c r="EP961" s="30" t="s">
        <v>151</v>
      </c>
      <c r="EQ961" s="29" t="s">
        <v>151</v>
      </c>
      <c r="ER961" s="29" t="s">
        <v>151</v>
      </c>
      <c r="ES961" s="4">
        <f>HYPERLINK("https://my.pitchbook.com?c=458171-11","View Company Online")</f>
      </c>
    </row>
    <row r="962">
      <c r="A962" s="17" t="s">
        <v>19398</v>
      </c>
      <c r="B962" s="17" t="s">
        <v>19399</v>
      </c>
      <c r="C962" s="18" t="s">
        <v>151</v>
      </c>
      <c r="D962" s="17" t="s">
        <v>19400</v>
      </c>
      <c r="E962" s="17" t="s">
        <v>19401</v>
      </c>
      <c r="F962" s="17" t="s">
        <v>19402</v>
      </c>
      <c r="G962" s="17" t="s">
        <v>151</v>
      </c>
      <c r="H962" s="17" t="s">
        <v>151</v>
      </c>
      <c r="I962" s="17" t="s">
        <v>151</v>
      </c>
      <c r="J962" s="17" t="s">
        <v>19398</v>
      </c>
      <c r="K962" s="17" t="s">
        <v>19403</v>
      </c>
      <c r="L962" s="17" t="s">
        <v>205</v>
      </c>
      <c r="M962" s="17" t="s">
        <v>206</v>
      </c>
      <c r="N962" s="17" t="s">
        <v>269</v>
      </c>
      <c r="O962" s="17" t="s">
        <v>4936</v>
      </c>
      <c r="P962" s="17" t="s">
        <v>9591</v>
      </c>
      <c r="Q962" s="17" t="s">
        <v>19404</v>
      </c>
      <c r="R962" s="17" t="s">
        <v>151</v>
      </c>
      <c r="S962" s="17" t="s">
        <v>162</v>
      </c>
      <c r="T962" s="24">
        <v>2.5</v>
      </c>
      <c r="U962" s="17" t="s">
        <v>163</v>
      </c>
      <c r="V962" s="17" t="s">
        <v>164</v>
      </c>
      <c r="W962" s="17" t="s">
        <v>165</v>
      </c>
      <c r="X962" s="15" t="s">
        <v>19405</v>
      </c>
      <c r="Y962" s="15" t="s">
        <v>19406</v>
      </c>
      <c r="Z962" s="27">
        <v>4</v>
      </c>
      <c r="AA962" s="17" t="s">
        <v>19407</v>
      </c>
      <c r="AB962" s="17" t="s">
        <v>151</v>
      </c>
      <c r="AC962" s="17" t="s">
        <v>151</v>
      </c>
      <c r="AD962" s="26">
        <v>2022</v>
      </c>
      <c r="AE962" s="17" t="s">
        <v>151</v>
      </c>
      <c r="AF962" s="22">
        <v>45572</v>
      </c>
      <c r="AG962" s="17" t="s">
        <v>151</v>
      </c>
      <c r="AH962" s="17" t="s">
        <v>151</v>
      </c>
      <c r="AI962" s="25" t="s">
        <v>151</v>
      </c>
      <c r="AJ962" s="19" t="s">
        <v>151</v>
      </c>
      <c r="AK962" s="25" t="s">
        <v>151</v>
      </c>
      <c r="AL962" s="25" t="s">
        <v>151</v>
      </c>
      <c r="AM962" s="25" t="s">
        <v>151</v>
      </c>
      <c r="AN962" s="25" t="s">
        <v>151</v>
      </c>
      <c r="AO962" s="25" t="s">
        <v>151</v>
      </c>
      <c r="AP962" s="25" t="s">
        <v>151</v>
      </c>
      <c r="AQ962" s="25" t="s">
        <v>151</v>
      </c>
      <c r="AR962" s="16" t="s">
        <v>151</v>
      </c>
      <c r="AS962" s="17" t="s">
        <v>19408</v>
      </c>
      <c r="AT962" s="17" t="s">
        <v>19409</v>
      </c>
      <c r="AU962" s="18">
        <v>2</v>
      </c>
      <c r="AV962" s="17" t="s">
        <v>151</v>
      </c>
      <c r="AW962" s="17" t="s">
        <v>151</v>
      </c>
      <c r="AX962" s="17" t="s">
        <v>151</v>
      </c>
      <c r="AY962" s="17" t="s">
        <v>19410</v>
      </c>
      <c r="AZ962" s="17" t="s">
        <v>151</v>
      </c>
      <c r="BA962" s="17" t="s">
        <v>151</v>
      </c>
      <c r="BB962" s="17" t="s">
        <v>151</v>
      </c>
      <c r="BC962" s="17" t="s">
        <v>151</v>
      </c>
      <c r="BD962" s="17" t="s">
        <v>19411</v>
      </c>
      <c r="BE962" s="17" t="s">
        <v>19412</v>
      </c>
      <c r="BF962" s="17" t="s">
        <v>221</v>
      </c>
      <c r="BG962" s="17" t="s">
        <v>151</v>
      </c>
      <c r="BH962" s="17" t="s">
        <v>151</v>
      </c>
      <c r="BI962" s="17" t="s">
        <v>1384</v>
      </c>
      <c r="BJ962" s="17" t="s">
        <v>8136</v>
      </c>
      <c r="BK962" s="17" t="s">
        <v>19413</v>
      </c>
      <c r="BL962" s="17" t="s">
        <v>1387</v>
      </c>
      <c r="BM962" s="17" t="s">
        <v>1388</v>
      </c>
      <c r="BN962" s="16" t="s">
        <v>1389</v>
      </c>
      <c r="BO962" s="17" t="s">
        <v>186</v>
      </c>
      <c r="BP962" s="16" t="s">
        <v>151</v>
      </c>
      <c r="BQ962" s="16" t="s">
        <v>151</v>
      </c>
      <c r="BR962" s="17" t="s">
        <v>19414</v>
      </c>
      <c r="BS962" s="17" t="s">
        <v>187</v>
      </c>
      <c r="BT962" s="17" t="s">
        <v>188</v>
      </c>
      <c r="BU962" s="22">
        <v>45078</v>
      </c>
      <c r="BV962" s="24">
        <v>2.5</v>
      </c>
      <c r="BW962" s="17" t="s">
        <v>192</v>
      </c>
      <c r="BX962" s="24" t="s">
        <v>151</v>
      </c>
      <c r="BY962" s="17" t="s">
        <v>151</v>
      </c>
      <c r="BZ962" s="17" t="s">
        <v>293</v>
      </c>
      <c r="CA962" s="17" t="s">
        <v>293</v>
      </c>
      <c r="CB962" s="17" t="s">
        <v>151</v>
      </c>
      <c r="CC962" s="17" t="s">
        <v>165</v>
      </c>
      <c r="CD962" s="17" t="s">
        <v>151</v>
      </c>
      <c r="CE962" s="17" t="s">
        <v>191</v>
      </c>
      <c r="CF962" s="22" t="s">
        <v>151</v>
      </c>
      <c r="CG962" s="24" t="s">
        <v>151</v>
      </c>
      <c r="CH962" s="17" t="s">
        <v>151</v>
      </c>
      <c r="CI962" s="24" t="s">
        <v>151</v>
      </c>
      <c r="CJ962" s="17" t="s">
        <v>151</v>
      </c>
      <c r="CK962" s="16" t="s">
        <v>151</v>
      </c>
      <c r="CL962" s="17" t="s">
        <v>231</v>
      </c>
      <c r="CM962" s="17" t="s">
        <v>232</v>
      </c>
      <c r="CN962" s="17" t="s">
        <v>151</v>
      </c>
      <c r="CO962" s="17" t="s">
        <v>165</v>
      </c>
      <c r="CP962" s="22" t="s">
        <v>151</v>
      </c>
      <c r="CQ962" s="24" t="s">
        <v>151</v>
      </c>
      <c r="CR962" s="17" t="s">
        <v>151</v>
      </c>
      <c r="CS962" s="17" t="s">
        <v>1125</v>
      </c>
      <c r="CT962" s="16" t="s">
        <v>151</v>
      </c>
      <c r="CU962" s="17" t="s">
        <v>151</v>
      </c>
      <c r="CV962" s="19" t="s">
        <v>151</v>
      </c>
      <c r="CW962" s="19" t="s">
        <v>151</v>
      </c>
      <c r="CX962" s="17" t="s">
        <v>151</v>
      </c>
      <c r="CY962" s="19" t="s">
        <v>151</v>
      </c>
      <c r="CZ962" s="19" t="s">
        <v>151</v>
      </c>
      <c r="DA962" s="24" t="s">
        <v>151</v>
      </c>
      <c r="DB962" s="22" t="s">
        <v>151</v>
      </c>
      <c r="DC962" s="17" t="s">
        <v>151</v>
      </c>
      <c r="DD962" s="16" t="s">
        <v>151</v>
      </c>
      <c r="DE962" s="19">
        <v>0</v>
      </c>
      <c r="DF962" s="21">
        <v>11</v>
      </c>
      <c r="DG962" s="19">
        <v>0</v>
      </c>
      <c r="DH962" s="19">
        <v>0</v>
      </c>
      <c r="DI962" s="19">
        <v>0</v>
      </c>
      <c r="DJ962" s="21">
        <v>10</v>
      </c>
      <c r="DK962" s="19" t="s">
        <v>151</v>
      </c>
      <c r="DL962" s="21" t="s">
        <v>151</v>
      </c>
      <c r="DM962" s="19">
        <v>0</v>
      </c>
      <c r="DN962" s="21">
        <v>10</v>
      </c>
      <c r="DO962" s="23">
        <v>2.37</v>
      </c>
      <c r="DP962" s="21">
        <v>70</v>
      </c>
      <c r="DQ962" s="23">
        <v>0</v>
      </c>
      <c r="DR962" s="19">
        <v>0</v>
      </c>
      <c r="DS962" s="23">
        <v>2.37</v>
      </c>
      <c r="DT962" s="21">
        <v>70</v>
      </c>
      <c r="DU962" s="23" t="s">
        <v>151</v>
      </c>
      <c r="DV962" s="21" t="s">
        <v>151</v>
      </c>
      <c r="DW962" s="23">
        <v>2.37</v>
      </c>
      <c r="DX962" s="21">
        <v>69</v>
      </c>
      <c r="DY962" s="18" t="s">
        <v>151</v>
      </c>
      <c r="DZ962" s="22" t="s">
        <v>151</v>
      </c>
      <c r="EA962" s="22" t="s">
        <v>151</v>
      </c>
      <c r="EB962" s="21">
        <v>214</v>
      </c>
      <c r="EC962" s="20">
        <v>-5</v>
      </c>
      <c r="ED962" s="19">
        <v>-2.28</v>
      </c>
      <c r="EE962" s="21">
        <v>45</v>
      </c>
      <c r="EF962" s="20">
        <v>0</v>
      </c>
      <c r="EG962" s="19">
        <v>0</v>
      </c>
      <c r="EH962" s="16" t="s">
        <v>198</v>
      </c>
      <c r="EI962" s="17" t="s">
        <v>151</v>
      </c>
      <c r="EJ962" s="17" t="s">
        <v>151</v>
      </c>
      <c r="EK962" s="18" t="s">
        <v>151</v>
      </c>
      <c r="EL962" s="18" t="s">
        <v>151</v>
      </c>
      <c r="EM962" s="18" t="s">
        <v>151</v>
      </c>
      <c r="EN962" s="18" t="s">
        <v>151</v>
      </c>
      <c r="EO962" s="18" t="s">
        <v>151</v>
      </c>
      <c r="EP962" s="17" t="s">
        <v>151</v>
      </c>
      <c r="EQ962" s="16" t="s">
        <v>151</v>
      </c>
      <c r="ER962" s="16" t="s">
        <v>151</v>
      </c>
      <c r="ES962" s="3">
        <f>HYPERLINK("https://my.pitchbook.com?c=529244-47","View Company Online")</f>
      </c>
    </row>
    <row r="963">
      <c r="A963" s="30" t="s">
        <v>19415</v>
      </c>
      <c r="B963" s="30" t="s">
        <v>19416</v>
      </c>
      <c r="C963" s="31" t="s">
        <v>151</v>
      </c>
      <c r="D963" s="30" t="s">
        <v>151</v>
      </c>
      <c r="E963" s="30" t="s">
        <v>151</v>
      </c>
      <c r="F963" s="30" t="s">
        <v>19417</v>
      </c>
      <c r="G963" s="30" t="s">
        <v>151</v>
      </c>
      <c r="H963" s="30" t="s">
        <v>151</v>
      </c>
      <c r="I963" s="30" t="s">
        <v>151</v>
      </c>
      <c r="J963" s="30" t="s">
        <v>19415</v>
      </c>
      <c r="K963" s="30" t="s">
        <v>19418</v>
      </c>
      <c r="L963" s="30" t="s">
        <v>205</v>
      </c>
      <c r="M963" s="30" t="s">
        <v>206</v>
      </c>
      <c r="N963" s="30" t="s">
        <v>269</v>
      </c>
      <c r="O963" s="30" t="s">
        <v>563</v>
      </c>
      <c r="P963" s="30" t="s">
        <v>1153</v>
      </c>
      <c r="Q963" s="30" t="s">
        <v>19419</v>
      </c>
      <c r="R963" s="30" t="s">
        <v>151</v>
      </c>
      <c r="S963" s="30" t="s">
        <v>162</v>
      </c>
      <c r="T963" s="37">
        <v>0.48</v>
      </c>
      <c r="U963" s="30" t="s">
        <v>163</v>
      </c>
      <c r="V963" s="30" t="s">
        <v>164</v>
      </c>
      <c r="W963" s="30" t="s">
        <v>165</v>
      </c>
      <c r="X963" s="28" t="s">
        <v>19420</v>
      </c>
      <c r="Y963" s="28" t="s">
        <v>19421</v>
      </c>
      <c r="Z963" s="40">
        <v>6</v>
      </c>
      <c r="AA963" s="30" t="s">
        <v>19422</v>
      </c>
      <c r="AB963" s="30" t="s">
        <v>151</v>
      </c>
      <c r="AC963" s="30" t="s">
        <v>151</v>
      </c>
      <c r="AD963" s="39">
        <v>2018</v>
      </c>
      <c r="AE963" s="30" t="s">
        <v>151</v>
      </c>
      <c r="AF963" s="35">
        <v>45392</v>
      </c>
      <c r="AG963" s="30" t="s">
        <v>151</v>
      </c>
      <c r="AH963" s="30" t="s">
        <v>151</v>
      </c>
      <c r="AI963" s="38" t="s">
        <v>151</v>
      </c>
      <c r="AJ963" s="32" t="s">
        <v>151</v>
      </c>
      <c r="AK963" s="38" t="s">
        <v>151</v>
      </c>
      <c r="AL963" s="38" t="s">
        <v>151</v>
      </c>
      <c r="AM963" s="38" t="s">
        <v>151</v>
      </c>
      <c r="AN963" s="38" t="s">
        <v>151</v>
      </c>
      <c r="AO963" s="38" t="s">
        <v>151</v>
      </c>
      <c r="AP963" s="38" t="s">
        <v>151</v>
      </c>
      <c r="AQ963" s="38" t="s">
        <v>151</v>
      </c>
      <c r="AR963" s="29" t="s">
        <v>151</v>
      </c>
      <c r="AS963" s="30" t="s">
        <v>19423</v>
      </c>
      <c r="AT963" s="30" t="s">
        <v>19424</v>
      </c>
      <c r="AU963" s="31">
        <v>9</v>
      </c>
      <c r="AV963" s="30" t="s">
        <v>151</v>
      </c>
      <c r="AW963" s="30" t="s">
        <v>151</v>
      </c>
      <c r="AX963" s="30" t="s">
        <v>151</v>
      </c>
      <c r="AY963" s="30" t="s">
        <v>19425</v>
      </c>
      <c r="AZ963" s="30" t="s">
        <v>151</v>
      </c>
      <c r="BA963" s="30" t="s">
        <v>151</v>
      </c>
      <c r="BB963" s="30" t="s">
        <v>151</v>
      </c>
      <c r="BC963" s="30" t="s">
        <v>151</v>
      </c>
      <c r="BD963" s="30" t="s">
        <v>19426</v>
      </c>
      <c r="BE963" s="30" t="s">
        <v>19427</v>
      </c>
      <c r="BF963" s="30" t="s">
        <v>789</v>
      </c>
      <c r="BG963" s="30" t="s">
        <v>19428</v>
      </c>
      <c r="BH963" s="30" t="s">
        <v>19429</v>
      </c>
      <c r="BI963" s="30" t="s">
        <v>15858</v>
      </c>
      <c r="BJ963" s="30" t="s">
        <v>19430</v>
      </c>
      <c r="BK963" s="30" t="s">
        <v>1597</v>
      </c>
      <c r="BL963" s="30" t="s">
        <v>15860</v>
      </c>
      <c r="BM963" s="30" t="s">
        <v>6425</v>
      </c>
      <c r="BN963" s="29" t="s">
        <v>19431</v>
      </c>
      <c r="BO963" s="30" t="s">
        <v>186</v>
      </c>
      <c r="BP963" s="29" t="s">
        <v>19429</v>
      </c>
      <c r="BQ963" s="29" t="s">
        <v>151</v>
      </c>
      <c r="BR963" s="30" t="s">
        <v>19432</v>
      </c>
      <c r="BS963" s="30" t="s">
        <v>187</v>
      </c>
      <c r="BT963" s="30" t="s">
        <v>188</v>
      </c>
      <c r="BU963" s="35">
        <v>43728</v>
      </c>
      <c r="BV963" s="37">
        <v>0.03</v>
      </c>
      <c r="BW963" s="30" t="s">
        <v>192</v>
      </c>
      <c r="BX963" s="37" t="s">
        <v>151</v>
      </c>
      <c r="BY963" s="30" t="s">
        <v>151</v>
      </c>
      <c r="BZ963" s="30" t="s">
        <v>501</v>
      </c>
      <c r="CA963" s="30" t="s">
        <v>151</v>
      </c>
      <c r="CB963" s="30" t="s">
        <v>151</v>
      </c>
      <c r="CC963" s="30" t="s">
        <v>190</v>
      </c>
      <c r="CD963" s="30" t="s">
        <v>151</v>
      </c>
      <c r="CE963" s="30" t="s">
        <v>191</v>
      </c>
      <c r="CF963" s="35">
        <v>45219</v>
      </c>
      <c r="CG963" s="37">
        <v>0.1</v>
      </c>
      <c r="CH963" s="30" t="s">
        <v>192</v>
      </c>
      <c r="CI963" s="37" t="s">
        <v>151</v>
      </c>
      <c r="CJ963" s="30" t="s">
        <v>151</v>
      </c>
      <c r="CK963" s="29" t="s">
        <v>151</v>
      </c>
      <c r="CL963" s="30" t="s">
        <v>189</v>
      </c>
      <c r="CM963" s="30" t="s">
        <v>151</v>
      </c>
      <c r="CN963" s="30" t="s">
        <v>151</v>
      </c>
      <c r="CO963" s="30" t="s">
        <v>190</v>
      </c>
      <c r="CP963" s="35">
        <v>45219</v>
      </c>
      <c r="CQ963" s="37" t="s">
        <v>151</v>
      </c>
      <c r="CR963" s="30" t="s">
        <v>151</v>
      </c>
      <c r="CS963" s="30" t="s">
        <v>191</v>
      </c>
      <c r="CT963" s="29" t="s">
        <v>151</v>
      </c>
      <c r="CU963" s="30" t="s">
        <v>151</v>
      </c>
      <c r="CV963" s="32" t="s">
        <v>151</v>
      </c>
      <c r="CW963" s="32" t="s">
        <v>151</v>
      </c>
      <c r="CX963" s="30" t="s">
        <v>151</v>
      </c>
      <c r="CY963" s="32" t="s">
        <v>151</v>
      </c>
      <c r="CZ963" s="32" t="s">
        <v>151</v>
      </c>
      <c r="DA963" s="37">
        <v>0.33</v>
      </c>
      <c r="DB963" s="35">
        <v>44406</v>
      </c>
      <c r="DC963" s="30" t="s">
        <v>189</v>
      </c>
      <c r="DD963" s="29" t="s">
        <v>151</v>
      </c>
      <c r="DE963" s="32" t="s">
        <v>151</v>
      </c>
      <c r="DF963" s="34" t="s">
        <v>151</v>
      </c>
      <c r="DG963" s="32" t="s">
        <v>151</v>
      </c>
      <c r="DH963" s="32" t="s">
        <v>151</v>
      </c>
      <c r="DI963" s="32" t="s">
        <v>151</v>
      </c>
      <c r="DJ963" s="34" t="s">
        <v>151</v>
      </c>
      <c r="DK963" s="32" t="s">
        <v>151</v>
      </c>
      <c r="DL963" s="34" t="s">
        <v>151</v>
      </c>
      <c r="DM963" s="32" t="s">
        <v>151</v>
      </c>
      <c r="DN963" s="34" t="s">
        <v>151</v>
      </c>
      <c r="DO963" s="36" t="s">
        <v>151</v>
      </c>
      <c r="DP963" s="34" t="s">
        <v>151</v>
      </c>
      <c r="DQ963" s="36" t="s">
        <v>151</v>
      </c>
      <c r="DR963" s="32" t="s">
        <v>151</v>
      </c>
      <c r="DS963" s="36" t="s">
        <v>151</v>
      </c>
      <c r="DT963" s="34" t="s">
        <v>151</v>
      </c>
      <c r="DU963" s="36" t="s">
        <v>151</v>
      </c>
      <c r="DV963" s="34" t="s">
        <v>151</v>
      </c>
      <c r="DW963" s="36" t="s">
        <v>151</v>
      </c>
      <c r="DX963" s="34" t="s">
        <v>151</v>
      </c>
      <c r="DY963" s="31" t="s">
        <v>151</v>
      </c>
      <c r="DZ963" s="35" t="s">
        <v>151</v>
      </c>
      <c r="EA963" s="35" t="s">
        <v>151</v>
      </c>
      <c r="EB963" s="34" t="s">
        <v>151</v>
      </c>
      <c r="EC963" s="33" t="s">
        <v>151</v>
      </c>
      <c r="ED963" s="32" t="s">
        <v>151</v>
      </c>
      <c r="EE963" s="34" t="s">
        <v>151</v>
      </c>
      <c r="EF963" s="33" t="s">
        <v>151</v>
      </c>
      <c r="EG963" s="32" t="s">
        <v>151</v>
      </c>
      <c r="EH963" s="29" t="s">
        <v>198</v>
      </c>
      <c r="EI963" s="30" t="s">
        <v>151</v>
      </c>
      <c r="EJ963" s="30" t="s">
        <v>151</v>
      </c>
      <c r="EK963" s="31" t="s">
        <v>151</v>
      </c>
      <c r="EL963" s="31" t="s">
        <v>151</v>
      </c>
      <c r="EM963" s="31" t="s">
        <v>151</v>
      </c>
      <c r="EN963" s="31" t="s">
        <v>151</v>
      </c>
      <c r="EO963" s="31" t="s">
        <v>151</v>
      </c>
      <c r="EP963" s="30" t="s">
        <v>151</v>
      </c>
      <c r="EQ963" s="29" t="s">
        <v>151</v>
      </c>
      <c r="ER963" s="29" t="s">
        <v>151</v>
      </c>
      <c r="ES963" s="4">
        <f>HYPERLINK("https://my.pitchbook.com?c=433118-08","View Company Online")</f>
      </c>
    </row>
    <row r="964">
      <c r="A964" s="17" t="s">
        <v>19433</v>
      </c>
      <c r="B964" s="17" t="s">
        <v>19434</v>
      </c>
      <c r="C964" s="18" t="s">
        <v>151</v>
      </c>
      <c r="D964" s="17" t="s">
        <v>151</v>
      </c>
      <c r="E964" s="17" t="s">
        <v>151</v>
      </c>
      <c r="F964" s="17" t="s">
        <v>19435</v>
      </c>
      <c r="G964" s="17" t="s">
        <v>151</v>
      </c>
      <c r="H964" s="17" t="s">
        <v>151</v>
      </c>
      <c r="I964" s="17" t="s">
        <v>151</v>
      </c>
      <c r="J964" s="17" t="s">
        <v>19433</v>
      </c>
      <c r="K964" s="17" t="s">
        <v>19436</v>
      </c>
      <c r="L964" s="17" t="s">
        <v>205</v>
      </c>
      <c r="M964" s="17" t="s">
        <v>206</v>
      </c>
      <c r="N964" s="17" t="s">
        <v>1082</v>
      </c>
      <c r="O964" s="17" t="s">
        <v>19437</v>
      </c>
      <c r="P964" s="17" t="s">
        <v>19438</v>
      </c>
      <c r="Q964" s="17" t="s">
        <v>19439</v>
      </c>
      <c r="R964" s="17" t="s">
        <v>3431</v>
      </c>
      <c r="S964" s="17" t="s">
        <v>162</v>
      </c>
      <c r="T964" s="24">
        <v>1.76</v>
      </c>
      <c r="U964" s="17" t="s">
        <v>163</v>
      </c>
      <c r="V964" s="17" t="s">
        <v>164</v>
      </c>
      <c r="W964" s="17" t="s">
        <v>165</v>
      </c>
      <c r="X964" s="15" t="s">
        <v>19440</v>
      </c>
      <c r="Y964" s="15" t="s">
        <v>19441</v>
      </c>
      <c r="Z964" s="27" t="s">
        <v>151</v>
      </c>
      <c r="AA964" s="17" t="s">
        <v>151</v>
      </c>
      <c r="AB964" s="17" t="s">
        <v>151</v>
      </c>
      <c r="AC964" s="17" t="s">
        <v>151</v>
      </c>
      <c r="AD964" s="26">
        <v>2020</v>
      </c>
      <c r="AE964" s="17" t="s">
        <v>151</v>
      </c>
      <c r="AF964" s="22">
        <v>45526</v>
      </c>
      <c r="AG964" s="17" t="s">
        <v>151</v>
      </c>
      <c r="AH964" s="17" t="s">
        <v>151</v>
      </c>
      <c r="AI964" s="25" t="s">
        <v>151</v>
      </c>
      <c r="AJ964" s="19" t="s">
        <v>151</v>
      </c>
      <c r="AK964" s="25" t="s">
        <v>151</v>
      </c>
      <c r="AL964" s="25" t="s">
        <v>151</v>
      </c>
      <c r="AM964" s="25" t="s">
        <v>151</v>
      </c>
      <c r="AN964" s="25" t="s">
        <v>151</v>
      </c>
      <c r="AO964" s="25" t="s">
        <v>151</v>
      </c>
      <c r="AP964" s="25" t="s">
        <v>151</v>
      </c>
      <c r="AQ964" s="25" t="s">
        <v>151</v>
      </c>
      <c r="AR964" s="16" t="s">
        <v>151</v>
      </c>
      <c r="AS964" s="17" t="s">
        <v>19442</v>
      </c>
      <c r="AT964" s="17" t="s">
        <v>19443</v>
      </c>
      <c r="AU964" s="18">
        <v>4</v>
      </c>
      <c r="AV964" s="17" t="s">
        <v>151</v>
      </c>
      <c r="AW964" s="17" t="s">
        <v>151</v>
      </c>
      <c r="AX964" s="17" t="s">
        <v>151</v>
      </c>
      <c r="AY964" s="17" t="s">
        <v>19444</v>
      </c>
      <c r="AZ964" s="17" t="s">
        <v>151</v>
      </c>
      <c r="BA964" s="17" t="s">
        <v>151</v>
      </c>
      <c r="BB964" s="17" t="s">
        <v>151</v>
      </c>
      <c r="BC964" s="17" t="s">
        <v>151</v>
      </c>
      <c r="BD964" s="17" t="s">
        <v>19445</v>
      </c>
      <c r="BE964" s="17" t="s">
        <v>19446</v>
      </c>
      <c r="BF964" s="17" t="s">
        <v>19447</v>
      </c>
      <c r="BG964" s="17" t="s">
        <v>151</v>
      </c>
      <c r="BH964" s="17" t="s">
        <v>19448</v>
      </c>
      <c r="BI964" s="17" t="s">
        <v>1409</v>
      </c>
      <c r="BJ964" s="17" t="s">
        <v>19449</v>
      </c>
      <c r="BK964" s="17" t="s">
        <v>19450</v>
      </c>
      <c r="BL964" s="17" t="s">
        <v>1412</v>
      </c>
      <c r="BM964" s="17" t="s">
        <v>823</v>
      </c>
      <c r="BN964" s="16" t="s">
        <v>1621</v>
      </c>
      <c r="BO964" s="17" t="s">
        <v>186</v>
      </c>
      <c r="BP964" s="16" t="s">
        <v>19448</v>
      </c>
      <c r="BQ964" s="16" t="s">
        <v>151</v>
      </c>
      <c r="BR964" s="17" t="s">
        <v>151</v>
      </c>
      <c r="BS964" s="17" t="s">
        <v>187</v>
      </c>
      <c r="BT964" s="17" t="s">
        <v>188</v>
      </c>
      <c r="BU964" s="22">
        <v>45099</v>
      </c>
      <c r="BV964" s="24">
        <v>1.76</v>
      </c>
      <c r="BW964" s="17" t="s">
        <v>192</v>
      </c>
      <c r="BX964" s="24" t="s">
        <v>151</v>
      </c>
      <c r="BY964" s="17" t="s">
        <v>151</v>
      </c>
      <c r="BZ964" s="17" t="s">
        <v>293</v>
      </c>
      <c r="CA964" s="17" t="s">
        <v>293</v>
      </c>
      <c r="CB964" s="17" t="s">
        <v>151</v>
      </c>
      <c r="CC964" s="17" t="s">
        <v>165</v>
      </c>
      <c r="CD964" s="17" t="s">
        <v>151</v>
      </c>
      <c r="CE964" s="17" t="s">
        <v>191</v>
      </c>
      <c r="CF964" s="22">
        <v>45099</v>
      </c>
      <c r="CG964" s="24">
        <v>1.76</v>
      </c>
      <c r="CH964" s="17" t="s">
        <v>192</v>
      </c>
      <c r="CI964" s="24" t="s">
        <v>151</v>
      </c>
      <c r="CJ964" s="17" t="s">
        <v>151</v>
      </c>
      <c r="CK964" s="16" t="s">
        <v>151</v>
      </c>
      <c r="CL964" s="17" t="s">
        <v>293</v>
      </c>
      <c r="CM964" s="17" t="s">
        <v>293</v>
      </c>
      <c r="CN964" s="17" t="s">
        <v>151</v>
      </c>
      <c r="CO964" s="17" t="s">
        <v>165</v>
      </c>
      <c r="CP964" s="22">
        <v>45099</v>
      </c>
      <c r="CQ964" s="24" t="s">
        <v>151</v>
      </c>
      <c r="CR964" s="17" t="s">
        <v>151</v>
      </c>
      <c r="CS964" s="17" t="s">
        <v>191</v>
      </c>
      <c r="CT964" s="16" t="s">
        <v>151</v>
      </c>
      <c r="CU964" s="17" t="s">
        <v>151</v>
      </c>
      <c r="CV964" s="19" t="s">
        <v>151</v>
      </c>
      <c r="CW964" s="19" t="s">
        <v>151</v>
      </c>
      <c r="CX964" s="17" t="s">
        <v>151</v>
      </c>
      <c r="CY964" s="19" t="s">
        <v>151</v>
      </c>
      <c r="CZ964" s="19" t="s">
        <v>151</v>
      </c>
      <c r="DA964" s="24" t="s">
        <v>151</v>
      </c>
      <c r="DB964" s="22" t="s">
        <v>151</v>
      </c>
      <c r="DC964" s="17" t="s">
        <v>151</v>
      </c>
      <c r="DD964" s="16" t="s">
        <v>151</v>
      </c>
      <c r="DE964" s="19">
        <v>0</v>
      </c>
      <c r="DF964" s="21">
        <v>11</v>
      </c>
      <c r="DG964" s="19">
        <v>0</v>
      </c>
      <c r="DH964" s="19">
        <v>0</v>
      </c>
      <c r="DI964" s="19">
        <v>0</v>
      </c>
      <c r="DJ964" s="21">
        <v>10</v>
      </c>
      <c r="DK964" s="19" t="s">
        <v>151</v>
      </c>
      <c r="DL964" s="21" t="s">
        <v>151</v>
      </c>
      <c r="DM964" s="19">
        <v>0</v>
      </c>
      <c r="DN964" s="21">
        <v>10</v>
      </c>
      <c r="DO964" s="23">
        <v>0.16</v>
      </c>
      <c r="DP964" s="21">
        <v>9</v>
      </c>
      <c r="DQ964" s="23">
        <v>0</v>
      </c>
      <c r="DR964" s="19">
        <v>0</v>
      </c>
      <c r="DS964" s="23">
        <v>0.16</v>
      </c>
      <c r="DT964" s="21">
        <v>10</v>
      </c>
      <c r="DU964" s="23" t="s">
        <v>151</v>
      </c>
      <c r="DV964" s="21" t="s">
        <v>151</v>
      </c>
      <c r="DW964" s="23">
        <v>0.16</v>
      </c>
      <c r="DX964" s="21">
        <v>10</v>
      </c>
      <c r="DY964" s="18" t="s">
        <v>151</v>
      </c>
      <c r="DZ964" s="22" t="s">
        <v>151</v>
      </c>
      <c r="EA964" s="22" t="s">
        <v>151</v>
      </c>
      <c r="EB964" s="21" t="s">
        <v>151</v>
      </c>
      <c r="EC964" s="20" t="s">
        <v>151</v>
      </c>
      <c r="ED964" s="19" t="s">
        <v>151</v>
      </c>
      <c r="EE964" s="21">
        <v>3</v>
      </c>
      <c r="EF964" s="20">
        <v>0</v>
      </c>
      <c r="EG964" s="19">
        <v>0</v>
      </c>
      <c r="EH964" s="16" t="s">
        <v>198</v>
      </c>
      <c r="EI964" s="17" t="s">
        <v>151</v>
      </c>
      <c r="EJ964" s="17" t="s">
        <v>151</v>
      </c>
      <c r="EK964" s="18" t="s">
        <v>151</v>
      </c>
      <c r="EL964" s="18" t="s">
        <v>151</v>
      </c>
      <c r="EM964" s="18" t="s">
        <v>151</v>
      </c>
      <c r="EN964" s="18" t="s">
        <v>151</v>
      </c>
      <c r="EO964" s="18" t="s">
        <v>151</v>
      </c>
      <c r="EP964" s="17" t="s">
        <v>151</v>
      </c>
      <c r="EQ964" s="16" t="s">
        <v>151</v>
      </c>
      <c r="ER964" s="16" t="s">
        <v>151</v>
      </c>
      <c r="ES964" s="3">
        <f>HYPERLINK("https://my.pitchbook.com?c=437243-05","View Company Online")</f>
      </c>
    </row>
    <row r="965">
      <c r="A965" s="30" t="s">
        <v>19451</v>
      </c>
      <c r="B965" s="30" t="s">
        <v>19452</v>
      </c>
      <c r="C965" s="31" t="s">
        <v>151</v>
      </c>
      <c r="D965" s="30" t="s">
        <v>151</v>
      </c>
      <c r="E965" s="30" t="s">
        <v>151</v>
      </c>
      <c r="F965" s="30" t="s">
        <v>19453</v>
      </c>
      <c r="G965" s="30" t="s">
        <v>151</v>
      </c>
      <c r="H965" s="30" t="s">
        <v>151</v>
      </c>
      <c r="I965" s="30" t="s">
        <v>151</v>
      </c>
      <c r="J965" s="30" t="s">
        <v>19451</v>
      </c>
      <c r="K965" s="30" t="s">
        <v>19454</v>
      </c>
      <c r="L965" s="30" t="s">
        <v>1178</v>
      </c>
      <c r="M965" s="30" t="s">
        <v>1179</v>
      </c>
      <c r="N965" s="30" t="s">
        <v>1179</v>
      </c>
      <c r="O965" s="30" t="s">
        <v>19455</v>
      </c>
      <c r="P965" s="30" t="s">
        <v>2130</v>
      </c>
      <c r="Q965" s="30" t="s">
        <v>19456</v>
      </c>
      <c r="R965" s="30" t="s">
        <v>151</v>
      </c>
      <c r="S965" s="30" t="s">
        <v>162</v>
      </c>
      <c r="T965" s="37">
        <v>1</v>
      </c>
      <c r="U965" s="30" t="s">
        <v>4045</v>
      </c>
      <c r="V965" s="30" t="s">
        <v>164</v>
      </c>
      <c r="W965" s="30" t="s">
        <v>165</v>
      </c>
      <c r="X965" s="28" t="s">
        <v>19457</v>
      </c>
      <c r="Y965" s="28" t="s">
        <v>19458</v>
      </c>
      <c r="Z965" s="40">
        <v>9</v>
      </c>
      <c r="AA965" s="30" t="s">
        <v>12279</v>
      </c>
      <c r="AB965" s="30" t="s">
        <v>151</v>
      </c>
      <c r="AC965" s="30" t="s">
        <v>151</v>
      </c>
      <c r="AD965" s="39">
        <v>2021</v>
      </c>
      <c r="AE965" s="30" t="s">
        <v>151</v>
      </c>
      <c r="AF965" s="35">
        <v>45569</v>
      </c>
      <c r="AG965" s="30" t="s">
        <v>151</v>
      </c>
      <c r="AH965" s="30" t="s">
        <v>151</v>
      </c>
      <c r="AI965" s="38" t="s">
        <v>151</v>
      </c>
      <c r="AJ965" s="32" t="s">
        <v>151</v>
      </c>
      <c r="AK965" s="38" t="s">
        <v>151</v>
      </c>
      <c r="AL965" s="38" t="s">
        <v>151</v>
      </c>
      <c r="AM965" s="38" t="s">
        <v>151</v>
      </c>
      <c r="AN965" s="38" t="s">
        <v>151</v>
      </c>
      <c r="AO965" s="38" t="s">
        <v>151</v>
      </c>
      <c r="AP965" s="38" t="s">
        <v>151</v>
      </c>
      <c r="AQ965" s="38" t="s">
        <v>151</v>
      </c>
      <c r="AR965" s="29" t="s">
        <v>151</v>
      </c>
      <c r="AS965" s="30" t="s">
        <v>19459</v>
      </c>
      <c r="AT965" s="30" t="s">
        <v>19460</v>
      </c>
      <c r="AU965" s="31">
        <v>4</v>
      </c>
      <c r="AV965" s="30" t="s">
        <v>151</v>
      </c>
      <c r="AW965" s="30" t="s">
        <v>151</v>
      </c>
      <c r="AX965" s="30" t="s">
        <v>151</v>
      </c>
      <c r="AY965" s="30" t="s">
        <v>19461</v>
      </c>
      <c r="AZ965" s="30" t="s">
        <v>151</v>
      </c>
      <c r="BA965" s="30" t="s">
        <v>151</v>
      </c>
      <c r="BB965" s="30" t="s">
        <v>151</v>
      </c>
      <c r="BC965" s="30" t="s">
        <v>151</v>
      </c>
      <c r="BD965" s="30" t="s">
        <v>19462</v>
      </c>
      <c r="BE965" s="30" t="s">
        <v>19463</v>
      </c>
      <c r="BF965" s="30" t="s">
        <v>403</v>
      </c>
      <c r="BG965" s="30" t="s">
        <v>19464</v>
      </c>
      <c r="BH965" s="30" t="s">
        <v>19465</v>
      </c>
      <c r="BI965" s="30" t="s">
        <v>19466</v>
      </c>
      <c r="BJ965" s="30" t="s">
        <v>19467</v>
      </c>
      <c r="BK965" s="30" t="s">
        <v>19468</v>
      </c>
      <c r="BL965" s="30" t="s">
        <v>19469</v>
      </c>
      <c r="BM965" s="30" t="s">
        <v>322</v>
      </c>
      <c r="BN965" s="29" t="s">
        <v>19470</v>
      </c>
      <c r="BO965" s="30" t="s">
        <v>186</v>
      </c>
      <c r="BP965" s="29" t="s">
        <v>19465</v>
      </c>
      <c r="BQ965" s="29" t="s">
        <v>151</v>
      </c>
      <c r="BR965" s="30" t="s">
        <v>19471</v>
      </c>
      <c r="BS965" s="30" t="s">
        <v>187</v>
      </c>
      <c r="BT965" s="30" t="s">
        <v>188</v>
      </c>
      <c r="BU965" s="35">
        <v>45344</v>
      </c>
      <c r="BV965" s="37">
        <v>1</v>
      </c>
      <c r="BW965" s="30" t="s">
        <v>193</v>
      </c>
      <c r="BX965" s="37" t="s">
        <v>151</v>
      </c>
      <c r="BY965" s="30" t="s">
        <v>151</v>
      </c>
      <c r="BZ965" s="30" t="s">
        <v>293</v>
      </c>
      <c r="CA965" s="30" t="s">
        <v>293</v>
      </c>
      <c r="CB965" s="30" t="s">
        <v>151</v>
      </c>
      <c r="CC965" s="30" t="s">
        <v>165</v>
      </c>
      <c r="CD965" s="30" t="s">
        <v>151</v>
      </c>
      <c r="CE965" s="30" t="s">
        <v>191</v>
      </c>
      <c r="CF965" s="35">
        <v>45344</v>
      </c>
      <c r="CG965" s="37">
        <v>1</v>
      </c>
      <c r="CH965" s="30" t="s">
        <v>193</v>
      </c>
      <c r="CI965" s="37" t="s">
        <v>151</v>
      </c>
      <c r="CJ965" s="30" t="s">
        <v>151</v>
      </c>
      <c r="CK965" s="29" t="s">
        <v>151</v>
      </c>
      <c r="CL965" s="30" t="s">
        <v>293</v>
      </c>
      <c r="CM965" s="30" t="s">
        <v>293</v>
      </c>
      <c r="CN965" s="30" t="s">
        <v>151</v>
      </c>
      <c r="CO965" s="30" t="s">
        <v>165</v>
      </c>
      <c r="CP965" s="35">
        <v>45344</v>
      </c>
      <c r="CQ965" s="37" t="s">
        <v>151</v>
      </c>
      <c r="CR965" s="30" t="s">
        <v>151</v>
      </c>
      <c r="CS965" s="30" t="s">
        <v>191</v>
      </c>
      <c r="CT965" s="29" t="s">
        <v>151</v>
      </c>
      <c r="CU965" s="30" t="s">
        <v>151</v>
      </c>
      <c r="CV965" s="32" t="s">
        <v>151</v>
      </c>
      <c r="CW965" s="32" t="s">
        <v>151</v>
      </c>
      <c r="CX965" s="30" t="s">
        <v>151</v>
      </c>
      <c r="CY965" s="32" t="s">
        <v>151</v>
      </c>
      <c r="CZ965" s="32" t="s">
        <v>151</v>
      </c>
      <c r="DA965" s="37" t="s">
        <v>151</v>
      </c>
      <c r="DB965" s="35" t="s">
        <v>151</v>
      </c>
      <c r="DC965" s="30" t="s">
        <v>151</v>
      </c>
      <c r="DD965" s="29" t="s">
        <v>151</v>
      </c>
      <c r="DE965" s="32">
        <v>0</v>
      </c>
      <c r="DF965" s="34">
        <v>11</v>
      </c>
      <c r="DG965" s="32">
        <v>0</v>
      </c>
      <c r="DH965" s="32">
        <v>0</v>
      </c>
      <c r="DI965" s="32">
        <v>0</v>
      </c>
      <c r="DJ965" s="34">
        <v>10</v>
      </c>
      <c r="DK965" s="32">
        <v>0</v>
      </c>
      <c r="DL965" s="34">
        <v>11</v>
      </c>
      <c r="DM965" s="32">
        <v>0</v>
      </c>
      <c r="DN965" s="34">
        <v>10</v>
      </c>
      <c r="DO965" s="36">
        <v>1.4</v>
      </c>
      <c r="DP965" s="34">
        <v>58</v>
      </c>
      <c r="DQ965" s="36">
        <v>0</v>
      </c>
      <c r="DR965" s="32">
        <v>0</v>
      </c>
      <c r="DS965" s="36">
        <v>2.11</v>
      </c>
      <c r="DT965" s="34">
        <v>67</v>
      </c>
      <c r="DU965" s="36">
        <v>1.17</v>
      </c>
      <c r="DV965" s="34">
        <v>58</v>
      </c>
      <c r="DW965" s="36">
        <v>3.05</v>
      </c>
      <c r="DX965" s="34">
        <v>74</v>
      </c>
      <c r="DY965" s="31">
        <v>1</v>
      </c>
      <c r="DZ965" s="35">
        <v>45082</v>
      </c>
      <c r="EA965" s="35" t="s">
        <v>151</v>
      </c>
      <c r="EB965" s="34">
        <v>0</v>
      </c>
      <c r="EC965" s="33">
        <v>0</v>
      </c>
      <c r="ED965" s="32">
        <v>0</v>
      </c>
      <c r="EE965" s="34">
        <v>58</v>
      </c>
      <c r="EF965" s="33">
        <v>2</v>
      </c>
      <c r="EG965" s="32">
        <v>3.57</v>
      </c>
      <c r="EH965" s="29" t="s">
        <v>198</v>
      </c>
      <c r="EI965" s="30" t="s">
        <v>151</v>
      </c>
      <c r="EJ965" s="30" t="s">
        <v>151</v>
      </c>
      <c r="EK965" s="31" t="s">
        <v>151</v>
      </c>
      <c r="EL965" s="31" t="s">
        <v>151</v>
      </c>
      <c r="EM965" s="31" t="s">
        <v>151</v>
      </c>
      <c r="EN965" s="31" t="s">
        <v>151</v>
      </c>
      <c r="EO965" s="31" t="s">
        <v>151</v>
      </c>
      <c r="EP965" s="30" t="s">
        <v>151</v>
      </c>
      <c r="EQ965" s="29" t="s">
        <v>151</v>
      </c>
      <c r="ER965" s="29" t="s">
        <v>151</v>
      </c>
      <c r="ES965" s="4">
        <f>HYPERLINK("https://my.pitchbook.com?c=532722-79","View Company Online")</f>
      </c>
    </row>
    <row r="966">
      <c r="A966" s="17" t="s">
        <v>19472</v>
      </c>
      <c r="B966" s="17" t="s">
        <v>19473</v>
      </c>
      <c r="C966" s="18" t="s">
        <v>151</v>
      </c>
      <c r="D966" s="17" t="s">
        <v>19474</v>
      </c>
      <c r="E966" s="17" t="s">
        <v>151</v>
      </c>
      <c r="F966" s="17" t="s">
        <v>19475</v>
      </c>
      <c r="G966" s="17" t="s">
        <v>151</v>
      </c>
      <c r="H966" s="17" t="s">
        <v>151</v>
      </c>
      <c r="I966" s="17" t="s">
        <v>19476</v>
      </c>
      <c r="J966" s="17" t="s">
        <v>19472</v>
      </c>
      <c r="K966" s="17" t="s">
        <v>19477</v>
      </c>
      <c r="L966" s="17" t="s">
        <v>205</v>
      </c>
      <c r="M966" s="17" t="s">
        <v>206</v>
      </c>
      <c r="N966" s="17" t="s">
        <v>1268</v>
      </c>
      <c r="O966" s="17" t="s">
        <v>1534</v>
      </c>
      <c r="P966" s="17" t="s">
        <v>2130</v>
      </c>
      <c r="Q966" s="17" t="s">
        <v>19478</v>
      </c>
      <c r="R966" s="17" t="s">
        <v>151</v>
      </c>
      <c r="S966" s="17" t="s">
        <v>162</v>
      </c>
      <c r="T966" s="24">
        <v>1.38</v>
      </c>
      <c r="U966" s="17" t="s">
        <v>163</v>
      </c>
      <c r="V966" s="17" t="s">
        <v>164</v>
      </c>
      <c r="W966" s="17" t="s">
        <v>165</v>
      </c>
      <c r="X966" s="15" t="s">
        <v>19479</v>
      </c>
      <c r="Y966" s="15" t="s">
        <v>19480</v>
      </c>
      <c r="Z966" s="27">
        <v>11</v>
      </c>
      <c r="AA966" s="17" t="s">
        <v>19481</v>
      </c>
      <c r="AB966" s="17" t="s">
        <v>151</v>
      </c>
      <c r="AC966" s="17" t="s">
        <v>151</v>
      </c>
      <c r="AD966" s="26">
        <v>2013</v>
      </c>
      <c r="AE966" s="17" t="s">
        <v>151</v>
      </c>
      <c r="AF966" s="22">
        <v>45553</v>
      </c>
      <c r="AG966" s="17" t="s">
        <v>151</v>
      </c>
      <c r="AH966" s="17" t="s">
        <v>151</v>
      </c>
      <c r="AI966" s="25" t="s">
        <v>151</v>
      </c>
      <c r="AJ966" s="19" t="s">
        <v>151</v>
      </c>
      <c r="AK966" s="25" t="s">
        <v>151</v>
      </c>
      <c r="AL966" s="25" t="s">
        <v>151</v>
      </c>
      <c r="AM966" s="25" t="s">
        <v>151</v>
      </c>
      <c r="AN966" s="25" t="s">
        <v>151</v>
      </c>
      <c r="AO966" s="25" t="s">
        <v>151</v>
      </c>
      <c r="AP966" s="25" t="s">
        <v>151</v>
      </c>
      <c r="AQ966" s="25" t="s">
        <v>151</v>
      </c>
      <c r="AR966" s="16" t="s">
        <v>151</v>
      </c>
      <c r="AS966" s="17" t="s">
        <v>19482</v>
      </c>
      <c r="AT966" s="17" t="s">
        <v>19483</v>
      </c>
      <c r="AU966" s="18">
        <v>2</v>
      </c>
      <c r="AV966" s="17" t="s">
        <v>151</v>
      </c>
      <c r="AW966" s="17" t="s">
        <v>151</v>
      </c>
      <c r="AX966" s="17" t="s">
        <v>151</v>
      </c>
      <c r="AY966" s="17" t="s">
        <v>19484</v>
      </c>
      <c r="AZ966" s="17" t="s">
        <v>151</v>
      </c>
      <c r="BA966" s="17" t="s">
        <v>151</v>
      </c>
      <c r="BB966" s="17" t="s">
        <v>19485</v>
      </c>
      <c r="BC966" s="17" t="s">
        <v>151</v>
      </c>
      <c r="BD966" s="17" t="s">
        <v>19486</v>
      </c>
      <c r="BE966" s="17" t="s">
        <v>19487</v>
      </c>
      <c r="BF966" s="17" t="s">
        <v>493</v>
      </c>
      <c r="BG966" s="17" t="s">
        <v>19488</v>
      </c>
      <c r="BH966" s="17" t="s">
        <v>19489</v>
      </c>
      <c r="BI966" s="17" t="s">
        <v>19490</v>
      </c>
      <c r="BJ966" s="17" t="s">
        <v>19491</v>
      </c>
      <c r="BK966" s="17" t="s">
        <v>151</v>
      </c>
      <c r="BL966" s="17" t="s">
        <v>19492</v>
      </c>
      <c r="BM966" s="17" t="s">
        <v>1576</v>
      </c>
      <c r="BN966" s="16" t="s">
        <v>19493</v>
      </c>
      <c r="BO966" s="17" t="s">
        <v>186</v>
      </c>
      <c r="BP966" s="16" t="s">
        <v>19489</v>
      </c>
      <c r="BQ966" s="16" t="s">
        <v>151</v>
      </c>
      <c r="BR966" s="17" t="s">
        <v>19494</v>
      </c>
      <c r="BS966" s="17" t="s">
        <v>187</v>
      </c>
      <c r="BT966" s="17" t="s">
        <v>188</v>
      </c>
      <c r="BU966" s="22">
        <v>45546</v>
      </c>
      <c r="BV966" s="24">
        <v>1.38</v>
      </c>
      <c r="BW966" s="17" t="s">
        <v>192</v>
      </c>
      <c r="BX966" s="24">
        <v>5.38</v>
      </c>
      <c r="BY966" s="17" t="s">
        <v>192</v>
      </c>
      <c r="BZ966" s="17" t="s">
        <v>194</v>
      </c>
      <c r="CA966" s="17" t="s">
        <v>232</v>
      </c>
      <c r="CB966" s="17" t="s">
        <v>151</v>
      </c>
      <c r="CC966" s="17" t="s">
        <v>165</v>
      </c>
      <c r="CD966" s="17" t="s">
        <v>151</v>
      </c>
      <c r="CE966" s="17" t="s">
        <v>191</v>
      </c>
      <c r="CF966" s="22">
        <v>45546</v>
      </c>
      <c r="CG966" s="24">
        <v>1.38</v>
      </c>
      <c r="CH966" s="17" t="s">
        <v>192</v>
      </c>
      <c r="CI966" s="24">
        <v>5.38</v>
      </c>
      <c r="CJ966" s="17" t="s">
        <v>192</v>
      </c>
      <c r="CK966" s="16" t="s">
        <v>151</v>
      </c>
      <c r="CL966" s="17" t="s">
        <v>194</v>
      </c>
      <c r="CM966" s="17" t="s">
        <v>232</v>
      </c>
      <c r="CN966" s="17" t="s">
        <v>151</v>
      </c>
      <c r="CO966" s="17" t="s">
        <v>165</v>
      </c>
      <c r="CP966" s="22">
        <v>45546</v>
      </c>
      <c r="CQ966" s="24" t="s">
        <v>151</v>
      </c>
      <c r="CR966" s="17" t="s">
        <v>151</v>
      </c>
      <c r="CS966" s="17" t="s">
        <v>191</v>
      </c>
      <c r="CT966" s="16" t="s">
        <v>151</v>
      </c>
      <c r="CU966" s="17" t="s">
        <v>151</v>
      </c>
      <c r="CV966" s="19" t="s">
        <v>151</v>
      </c>
      <c r="CW966" s="19" t="s">
        <v>151</v>
      </c>
      <c r="CX966" s="17" t="s">
        <v>151</v>
      </c>
      <c r="CY966" s="19" t="s">
        <v>151</v>
      </c>
      <c r="CZ966" s="19" t="s">
        <v>151</v>
      </c>
      <c r="DA966" s="24">
        <v>5.38</v>
      </c>
      <c r="DB966" s="22">
        <v>45546</v>
      </c>
      <c r="DC966" s="17" t="s">
        <v>194</v>
      </c>
      <c r="DD966" s="16" t="s">
        <v>151</v>
      </c>
      <c r="DE966" s="19">
        <v>-2.76</v>
      </c>
      <c r="DF966" s="21">
        <v>1</v>
      </c>
      <c r="DG966" s="19">
        <v>0</v>
      </c>
      <c r="DH966" s="19">
        <v>0</v>
      </c>
      <c r="DI966" s="19">
        <v>-2.76</v>
      </c>
      <c r="DJ966" s="21">
        <v>1</v>
      </c>
      <c r="DK966" s="19" t="s">
        <v>151</v>
      </c>
      <c r="DL966" s="21" t="s">
        <v>151</v>
      </c>
      <c r="DM966" s="19">
        <v>-2.76</v>
      </c>
      <c r="DN966" s="21">
        <v>1</v>
      </c>
      <c r="DO966" s="23">
        <v>25.05</v>
      </c>
      <c r="DP966" s="21">
        <v>96</v>
      </c>
      <c r="DQ966" s="23">
        <v>0</v>
      </c>
      <c r="DR966" s="19">
        <v>0</v>
      </c>
      <c r="DS966" s="23">
        <v>25.05</v>
      </c>
      <c r="DT966" s="21">
        <v>96</v>
      </c>
      <c r="DU966" s="23" t="s">
        <v>151</v>
      </c>
      <c r="DV966" s="21" t="s">
        <v>151</v>
      </c>
      <c r="DW966" s="23">
        <v>25.05</v>
      </c>
      <c r="DX966" s="21">
        <v>96</v>
      </c>
      <c r="DY966" s="18" t="s">
        <v>151</v>
      </c>
      <c r="DZ966" s="22" t="s">
        <v>151</v>
      </c>
      <c r="EA966" s="22" t="s">
        <v>151</v>
      </c>
      <c r="EB966" s="21" t="s">
        <v>151</v>
      </c>
      <c r="EC966" s="20" t="s">
        <v>151</v>
      </c>
      <c r="ED966" s="19" t="s">
        <v>151</v>
      </c>
      <c r="EE966" s="21">
        <v>476</v>
      </c>
      <c r="EF966" s="20">
        <v>-14</v>
      </c>
      <c r="EG966" s="19">
        <v>-2.86</v>
      </c>
      <c r="EH966" s="16" t="s">
        <v>198</v>
      </c>
      <c r="EI966" s="17" t="s">
        <v>151</v>
      </c>
      <c r="EJ966" s="17" t="s">
        <v>151</v>
      </c>
      <c r="EK966" s="18" t="s">
        <v>151</v>
      </c>
      <c r="EL966" s="18" t="s">
        <v>151</v>
      </c>
      <c r="EM966" s="18" t="s">
        <v>151</v>
      </c>
      <c r="EN966" s="18" t="s">
        <v>151</v>
      </c>
      <c r="EO966" s="18" t="s">
        <v>151</v>
      </c>
      <c r="EP966" s="17" t="s">
        <v>151</v>
      </c>
      <c r="EQ966" s="16" t="s">
        <v>151</v>
      </c>
      <c r="ER966" s="16" t="s">
        <v>151</v>
      </c>
      <c r="ES966" s="3">
        <f>HYPERLINK("https://my.pitchbook.com?c=277648-66","View Company Online")</f>
      </c>
    </row>
    <row r="967">
      <c r="A967" s="30" t="s">
        <v>19495</v>
      </c>
      <c r="B967" s="30" t="s">
        <v>19496</v>
      </c>
      <c r="C967" s="31" t="s">
        <v>151</v>
      </c>
      <c r="D967" s="30" t="s">
        <v>151</v>
      </c>
      <c r="E967" s="30" t="s">
        <v>151</v>
      </c>
      <c r="F967" s="30" t="s">
        <v>19497</v>
      </c>
      <c r="G967" s="30" t="s">
        <v>151</v>
      </c>
      <c r="H967" s="30" t="s">
        <v>151</v>
      </c>
      <c r="I967" s="30" t="s">
        <v>19498</v>
      </c>
      <c r="J967" s="30" t="s">
        <v>19495</v>
      </c>
      <c r="K967" s="30" t="s">
        <v>19499</v>
      </c>
      <c r="L967" s="30" t="s">
        <v>155</v>
      </c>
      <c r="M967" s="30" t="s">
        <v>361</v>
      </c>
      <c r="N967" s="30" t="s">
        <v>3162</v>
      </c>
      <c r="O967" s="30" t="s">
        <v>8993</v>
      </c>
      <c r="P967" s="30" t="s">
        <v>2640</v>
      </c>
      <c r="Q967" s="30" t="s">
        <v>19500</v>
      </c>
      <c r="R967" s="30" t="s">
        <v>151</v>
      </c>
      <c r="S967" s="30" t="s">
        <v>162</v>
      </c>
      <c r="T967" s="37">
        <v>0.41</v>
      </c>
      <c r="U967" s="30" t="s">
        <v>163</v>
      </c>
      <c r="V967" s="30" t="s">
        <v>164</v>
      </c>
      <c r="W967" s="30" t="s">
        <v>165</v>
      </c>
      <c r="X967" s="28" t="s">
        <v>19501</v>
      </c>
      <c r="Y967" s="28" t="s">
        <v>19502</v>
      </c>
      <c r="Z967" s="40">
        <v>10</v>
      </c>
      <c r="AA967" s="30" t="s">
        <v>19503</v>
      </c>
      <c r="AB967" s="30" t="s">
        <v>151</v>
      </c>
      <c r="AC967" s="30" t="s">
        <v>151</v>
      </c>
      <c r="AD967" s="39" t="s">
        <v>151</v>
      </c>
      <c r="AE967" s="30" t="s">
        <v>151</v>
      </c>
      <c r="AF967" s="35">
        <v>45443</v>
      </c>
      <c r="AG967" s="30" t="s">
        <v>151</v>
      </c>
      <c r="AH967" s="30" t="s">
        <v>151</v>
      </c>
      <c r="AI967" s="38">
        <v>1.5</v>
      </c>
      <c r="AJ967" s="32" t="s">
        <v>151</v>
      </c>
      <c r="AK967" s="38" t="s">
        <v>151</v>
      </c>
      <c r="AL967" s="38" t="s">
        <v>151</v>
      </c>
      <c r="AM967" s="38" t="s">
        <v>151</v>
      </c>
      <c r="AN967" s="38" t="s">
        <v>151</v>
      </c>
      <c r="AO967" s="38" t="s">
        <v>151</v>
      </c>
      <c r="AP967" s="38" t="s">
        <v>151</v>
      </c>
      <c r="AQ967" s="38" t="s">
        <v>151</v>
      </c>
      <c r="AR967" s="29" t="s">
        <v>841</v>
      </c>
      <c r="AS967" s="30" t="s">
        <v>19504</v>
      </c>
      <c r="AT967" s="30" t="s">
        <v>19505</v>
      </c>
      <c r="AU967" s="31">
        <v>4</v>
      </c>
      <c r="AV967" s="30" t="s">
        <v>151</v>
      </c>
      <c r="AW967" s="30" t="s">
        <v>151</v>
      </c>
      <c r="AX967" s="30" t="s">
        <v>151</v>
      </c>
      <c r="AY967" s="30" t="s">
        <v>19506</v>
      </c>
      <c r="AZ967" s="30" t="s">
        <v>151</v>
      </c>
      <c r="BA967" s="30" t="s">
        <v>151</v>
      </c>
      <c r="BB967" s="30" t="s">
        <v>151</v>
      </c>
      <c r="BC967" s="30" t="s">
        <v>151</v>
      </c>
      <c r="BD967" s="30" t="s">
        <v>19507</v>
      </c>
      <c r="BE967" s="30" t="s">
        <v>19508</v>
      </c>
      <c r="BF967" s="30" t="s">
        <v>493</v>
      </c>
      <c r="BG967" s="30" t="s">
        <v>19509</v>
      </c>
      <c r="BH967" s="30" t="s">
        <v>19510</v>
      </c>
      <c r="BI967" s="30" t="s">
        <v>906</v>
      </c>
      <c r="BJ967" s="30" t="s">
        <v>19511</v>
      </c>
      <c r="BK967" s="30" t="s">
        <v>151</v>
      </c>
      <c r="BL967" s="30" t="s">
        <v>259</v>
      </c>
      <c r="BM967" s="30" t="s">
        <v>259</v>
      </c>
      <c r="BN967" s="29" t="s">
        <v>15460</v>
      </c>
      <c r="BO967" s="30" t="s">
        <v>186</v>
      </c>
      <c r="BP967" s="29" t="s">
        <v>19510</v>
      </c>
      <c r="BQ967" s="29" t="s">
        <v>151</v>
      </c>
      <c r="BR967" s="30" t="s">
        <v>19512</v>
      </c>
      <c r="BS967" s="30" t="s">
        <v>187</v>
      </c>
      <c r="BT967" s="30" t="s">
        <v>188</v>
      </c>
      <c r="BU967" s="35">
        <v>44781</v>
      </c>
      <c r="BV967" s="37">
        <v>0.17</v>
      </c>
      <c r="BW967" s="30" t="s">
        <v>192</v>
      </c>
      <c r="BX967" s="37" t="s">
        <v>151</v>
      </c>
      <c r="BY967" s="30" t="s">
        <v>151</v>
      </c>
      <c r="BZ967" s="30" t="s">
        <v>1391</v>
      </c>
      <c r="CA967" s="30" t="s">
        <v>151</v>
      </c>
      <c r="CB967" s="30" t="s">
        <v>151</v>
      </c>
      <c r="CC967" s="30" t="s">
        <v>585</v>
      </c>
      <c r="CD967" s="30" t="s">
        <v>151</v>
      </c>
      <c r="CE967" s="30" t="s">
        <v>191</v>
      </c>
      <c r="CF967" s="35">
        <v>45366</v>
      </c>
      <c r="CG967" s="37">
        <v>0.12</v>
      </c>
      <c r="CH967" s="30" t="s">
        <v>192</v>
      </c>
      <c r="CI967" s="37" t="s">
        <v>151</v>
      </c>
      <c r="CJ967" s="30" t="s">
        <v>151</v>
      </c>
      <c r="CK967" s="29" t="s">
        <v>151</v>
      </c>
      <c r="CL967" s="30" t="s">
        <v>189</v>
      </c>
      <c r="CM967" s="30" t="s">
        <v>151</v>
      </c>
      <c r="CN967" s="30" t="s">
        <v>151</v>
      </c>
      <c r="CO967" s="30" t="s">
        <v>190</v>
      </c>
      <c r="CP967" s="35">
        <v>45366</v>
      </c>
      <c r="CQ967" s="37" t="s">
        <v>151</v>
      </c>
      <c r="CR967" s="30" t="s">
        <v>151</v>
      </c>
      <c r="CS967" s="30" t="s">
        <v>191</v>
      </c>
      <c r="CT967" s="29" t="s">
        <v>151</v>
      </c>
      <c r="CU967" s="30" t="s">
        <v>151</v>
      </c>
      <c r="CV967" s="32" t="s">
        <v>151</v>
      </c>
      <c r="CW967" s="32" t="s">
        <v>151</v>
      </c>
      <c r="CX967" s="30" t="s">
        <v>151</v>
      </c>
      <c r="CY967" s="32" t="s">
        <v>151</v>
      </c>
      <c r="CZ967" s="32" t="s">
        <v>151</v>
      </c>
      <c r="DA967" s="37" t="s">
        <v>151</v>
      </c>
      <c r="DB967" s="35" t="s">
        <v>151</v>
      </c>
      <c r="DC967" s="30" t="s">
        <v>151</v>
      </c>
      <c r="DD967" s="29" t="s">
        <v>151</v>
      </c>
      <c r="DE967" s="32">
        <v>1.4</v>
      </c>
      <c r="DF967" s="34">
        <v>97</v>
      </c>
      <c r="DG967" s="32">
        <v>0</v>
      </c>
      <c r="DH967" s="32">
        <v>0</v>
      </c>
      <c r="DI967" s="32">
        <v>1.41</v>
      </c>
      <c r="DJ967" s="34">
        <v>97</v>
      </c>
      <c r="DK967" s="32" t="s">
        <v>151</v>
      </c>
      <c r="DL967" s="34" t="s">
        <v>151</v>
      </c>
      <c r="DM967" s="32">
        <v>1.41</v>
      </c>
      <c r="DN967" s="34">
        <v>97</v>
      </c>
      <c r="DO967" s="36">
        <v>4.86</v>
      </c>
      <c r="DP967" s="34">
        <v>82</v>
      </c>
      <c r="DQ967" s="36">
        <v>0</v>
      </c>
      <c r="DR967" s="32">
        <v>0</v>
      </c>
      <c r="DS967" s="36">
        <v>8.95</v>
      </c>
      <c r="DT967" s="34">
        <v>89</v>
      </c>
      <c r="DU967" s="36" t="s">
        <v>151</v>
      </c>
      <c r="DV967" s="34" t="s">
        <v>151</v>
      </c>
      <c r="DW967" s="36">
        <v>8.95</v>
      </c>
      <c r="DX967" s="34">
        <v>89</v>
      </c>
      <c r="DY967" s="31" t="s">
        <v>151</v>
      </c>
      <c r="DZ967" s="35" t="s">
        <v>151</v>
      </c>
      <c r="EA967" s="35" t="s">
        <v>151</v>
      </c>
      <c r="EB967" s="34">
        <v>2104</v>
      </c>
      <c r="EC967" s="33">
        <v>125</v>
      </c>
      <c r="ED967" s="32">
        <v>6.32</v>
      </c>
      <c r="EE967" s="34">
        <v>170</v>
      </c>
      <c r="EF967" s="33">
        <v>1</v>
      </c>
      <c r="EG967" s="32">
        <v>0.59</v>
      </c>
      <c r="EH967" s="29" t="s">
        <v>198</v>
      </c>
      <c r="EI967" s="30" t="s">
        <v>151</v>
      </c>
      <c r="EJ967" s="30" t="s">
        <v>151</v>
      </c>
      <c r="EK967" s="31" t="s">
        <v>151</v>
      </c>
      <c r="EL967" s="31" t="s">
        <v>151</v>
      </c>
      <c r="EM967" s="31" t="s">
        <v>151</v>
      </c>
      <c r="EN967" s="31" t="s">
        <v>151</v>
      </c>
      <c r="EO967" s="31" t="s">
        <v>151</v>
      </c>
      <c r="EP967" s="30" t="s">
        <v>151</v>
      </c>
      <c r="EQ967" s="29" t="s">
        <v>151</v>
      </c>
      <c r="ER967" s="29" t="s">
        <v>151</v>
      </c>
      <c r="ES967" s="4">
        <f>HYPERLINK("https://my.pitchbook.com?c=512815-24","View Company Online")</f>
      </c>
    </row>
    <row r="968">
      <c r="A968" s="17" t="s">
        <v>19513</v>
      </c>
      <c r="B968" s="17" t="s">
        <v>19514</v>
      </c>
      <c r="C968" s="18" t="s">
        <v>151</v>
      </c>
      <c r="D968" s="17" t="s">
        <v>151</v>
      </c>
      <c r="E968" s="17" t="s">
        <v>151</v>
      </c>
      <c r="F968" s="17" t="s">
        <v>19515</v>
      </c>
      <c r="G968" s="17" t="s">
        <v>151</v>
      </c>
      <c r="H968" s="17" t="s">
        <v>151</v>
      </c>
      <c r="I968" s="17" t="s">
        <v>151</v>
      </c>
      <c r="J968" s="17" t="s">
        <v>19513</v>
      </c>
      <c r="K968" s="17" t="s">
        <v>19516</v>
      </c>
      <c r="L968" s="17" t="s">
        <v>205</v>
      </c>
      <c r="M968" s="17" t="s">
        <v>206</v>
      </c>
      <c r="N968" s="17" t="s">
        <v>917</v>
      </c>
      <c r="O968" s="17" t="s">
        <v>3476</v>
      </c>
      <c r="P968" s="17" t="s">
        <v>151</v>
      </c>
      <c r="Q968" s="17" t="s">
        <v>19517</v>
      </c>
      <c r="R968" s="17" t="s">
        <v>151</v>
      </c>
      <c r="S968" s="17" t="s">
        <v>162</v>
      </c>
      <c r="T968" s="24">
        <v>2.63</v>
      </c>
      <c r="U968" s="17" t="s">
        <v>163</v>
      </c>
      <c r="V968" s="17" t="s">
        <v>164</v>
      </c>
      <c r="W968" s="17" t="s">
        <v>165</v>
      </c>
      <c r="X968" s="15" t="s">
        <v>19518</v>
      </c>
      <c r="Y968" s="15" t="s">
        <v>19519</v>
      </c>
      <c r="Z968" s="27">
        <v>8</v>
      </c>
      <c r="AA968" s="17" t="s">
        <v>19520</v>
      </c>
      <c r="AB968" s="17" t="s">
        <v>151</v>
      </c>
      <c r="AC968" s="17" t="s">
        <v>151</v>
      </c>
      <c r="AD968" s="26">
        <v>2019</v>
      </c>
      <c r="AE968" s="17" t="s">
        <v>151</v>
      </c>
      <c r="AF968" s="22">
        <v>45464</v>
      </c>
      <c r="AG968" s="17" t="s">
        <v>151</v>
      </c>
      <c r="AH968" s="17" t="s">
        <v>151</v>
      </c>
      <c r="AI968" s="25" t="s">
        <v>151</v>
      </c>
      <c r="AJ968" s="19" t="s">
        <v>151</v>
      </c>
      <c r="AK968" s="25" t="s">
        <v>151</v>
      </c>
      <c r="AL968" s="25" t="s">
        <v>151</v>
      </c>
      <c r="AM968" s="25" t="s">
        <v>151</v>
      </c>
      <c r="AN968" s="25" t="s">
        <v>151</v>
      </c>
      <c r="AO968" s="25" t="s">
        <v>151</v>
      </c>
      <c r="AP968" s="25" t="s">
        <v>151</v>
      </c>
      <c r="AQ968" s="25" t="s">
        <v>151</v>
      </c>
      <c r="AR968" s="16" t="s">
        <v>151</v>
      </c>
      <c r="AS968" s="17" t="s">
        <v>19521</v>
      </c>
      <c r="AT968" s="17" t="s">
        <v>19522</v>
      </c>
      <c r="AU968" s="18">
        <v>7</v>
      </c>
      <c r="AV968" s="17" t="s">
        <v>151</v>
      </c>
      <c r="AW968" s="17" t="s">
        <v>151</v>
      </c>
      <c r="AX968" s="17" t="s">
        <v>151</v>
      </c>
      <c r="AY968" s="17" t="s">
        <v>19523</v>
      </c>
      <c r="AZ968" s="17" t="s">
        <v>151</v>
      </c>
      <c r="BA968" s="17" t="s">
        <v>151</v>
      </c>
      <c r="BB968" s="17" t="s">
        <v>2626</v>
      </c>
      <c r="BC968" s="17" t="s">
        <v>2626</v>
      </c>
      <c r="BD968" s="17" t="s">
        <v>19524</v>
      </c>
      <c r="BE968" s="17" t="s">
        <v>19525</v>
      </c>
      <c r="BF968" s="17" t="s">
        <v>13195</v>
      </c>
      <c r="BG968" s="17" t="s">
        <v>19526</v>
      </c>
      <c r="BH968" s="17" t="s">
        <v>19527</v>
      </c>
      <c r="BI968" s="17" t="s">
        <v>934</v>
      </c>
      <c r="BJ968" s="17" t="s">
        <v>151</v>
      </c>
      <c r="BK968" s="17" t="s">
        <v>151</v>
      </c>
      <c r="BL968" s="17" t="s">
        <v>937</v>
      </c>
      <c r="BM968" s="17" t="s">
        <v>184</v>
      </c>
      <c r="BN968" s="16" t="s">
        <v>2547</v>
      </c>
      <c r="BO968" s="17" t="s">
        <v>186</v>
      </c>
      <c r="BP968" s="16" t="s">
        <v>151</v>
      </c>
      <c r="BQ968" s="16" t="s">
        <v>151</v>
      </c>
      <c r="BR968" s="17" t="s">
        <v>19528</v>
      </c>
      <c r="BS968" s="17" t="s">
        <v>187</v>
      </c>
      <c r="BT968" s="17" t="s">
        <v>188</v>
      </c>
      <c r="BU968" s="22">
        <v>44285</v>
      </c>
      <c r="BV968" s="24">
        <v>0.64</v>
      </c>
      <c r="BW968" s="17" t="s">
        <v>192</v>
      </c>
      <c r="BX968" s="24" t="s">
        <v>151</v>
      </c>
      <c r="BY968" s="17" t="s">
        <v>151</v>
      </c>
      <c r="BZ968" s="17" t="s">
        <v>1075</v>
      </c>
      <c r="CA968" s="17" t="s">
        <v>1075</v>
      </c>
      <c r="CB968" s="17" t="s">
        <v>151</v>
      </c>
      <c r="CC968" s="17" t="s">
        <v>585</v>
      </c>
      <c r="CD968" s="17" t="s">
        <v>151</v>
      </c>
      <c r="CE968" s="17" t="s">
        <v>191</v>
      </c>
      <c r="CF968" s="22">
        <v>45170</v>
      </c>
      <c r="CG968" s="24">
        <v>0.89</v>
      </c>
      <c r="CH968" s="17" t="s">
        <v>192</v>
      </c>
      <c r="CI968" s="24" t="s">
        <v>151</v>
      </c>
      <c r="CJ968" s="17" t="s">
        <v>151</v>
      </c>
      <c r="CK968" s="16" t="s">
        <v>151</v>
      </c>
      <c r="CL968" s="17" t="s">
        <v>1363</v>
      </c>
      <c r="CM968" s="17" t="s">
        <v>151</v>
      </c>
      <c r="CN968" s="17" t="s">
        <v>151</v>
      </c>
      <c r="CO968" s="17" t="s">
        <v>585</v>
      </c>
      <c r="CP968" s="22">
        <v>45170</v>
      </c>
      <c r="CQ968" s="24" t="s">
        <v>151</v>
      </c>
      <c r="CR968" s="17" t="s">
        <v>151</v>
      </c>
      <c r="CS968" s="17" t="s">
        <v>191</v>
      </c>
      <c r="CT968" s="16">
        <v>30</v>
      </c>
      <c r="CU968" s="17" t="s">
        <v>263</v>
      </c>
      <c r="CV968" s="19">
        <v>31</v>
      </c>
      <c r="CW968" s="19">
        <v>69</v>
      </c>
      <c r="CX968" s="17" t="s">
        <v>263</v>
      </c>
      <c r="CY968" s="19">
        <v>1</v>
      </c>
      <c r="CZ968" s="19">
        <v>30</v>
      </c>
      <c r="DA968" s="24" t="s">
        <v>151</v>
      </c>
      <c r="DB968" s="22" t="s">
        <v>151</v>
      </c>
      <c r="DC968" s="17" t="s">
        <v>151</v>
      </c>
      <c r="DD968" s="16" t="s">
        <v>151</v>
      </c>
      <c r="DE968" s="19">
        <v>0</v>
      </c>
      <c r="DF968" s="21">
        <v>11</v>
      </c>
      <c r="DG968" s="19">
        <v>0</v>
      </c>
      <c r="DH968" s="19">
        <v>0</v>
      </c>
      <c r="DI968" s="19">
        <v>0</v>
      </c>
      <c r="DJ968" s="21">
        <v>10</v>
      </c>
      <c r="DK968" s="19" t="s">
        <v>151</v>
      </c>
      <c r="DL968" s="21" t="s">
        <v>151</v>
      </c>
      <c r="DM968" s="19">
        <v>0</v>
      </c>
      <c r="DN968" s="21">
        <v>10</v>
      </c>
      <c r="DO968" s="23">
        <v>8</v>
      </c>
      <c r="DP968" s="21">
        <v>88</v>
      </c>
      <c r="DQ968" s="23">
        <v>0</v>
      </c>
      <c r="DR968" s="19">
        <v>0</v>
      </c>
      <c r="DS968" s="23">
        <v>8</v>
      </c>
      <c r="DT968" s="21">
        <v>88</v>
      </c>
      <c r="DU968" s="23" t="s">
        <v>151</v>
      </c>
      <c r="DV968" s="21" t="s">
        <v>151</v>
      </c>
      <c r="DW968" s="23">
        <v>8</v>
      </c>
      <c r="DX968" s="21">
        <v>87</v>
      </c>
      <c r="DY968" s="18" t="s">
        <v>151</v>
      </c>
      <c r="DZ968" s="22" t="s">
        <v>151</v>
      </c>
      <c r="EA968" s="22" t="s">
        <v>151</v>
      </c>
      <c r="EB968" s="21">
        <v>3935</v>
      </c>
      <c r="EC968" s="20">
        <v>428</v>
      </c>
      <c r="ED968" s="19">
        <v>12.2</v>
      </c>
      <c r="EE968" s="21">
        <v>152</v>
      </c>
      <c r="EF968" s="20">
        <v>1</v>
      </c>
      <c r="EG968" s="19">
        <v>0.66</v>
      </c>
      <c r="EH968" s="16" t="s">
        <v>198</v>
      </c>
      <c r="EI968" s="17" t="s">
        <v>151</v>
      </c>
      <c r="EJ968" s="17" t="s">
        <v>151</v>
      </c>
      <c r="EK968" s="18" t="s">
        <v>151</v>
      </c>
      <c r="EL968" s="18" t="s">
        <v>151</v>
      </c>
      <c r="EM968" s="18" t="s">
        <v>151</v>
      </c>
      <c r="EN968" s="18" t="s">
        <v>151</v>
      </c>
      <c r="EO968" s="18" t="s">
        <v>151</v>
      </c>
      <c r="EP968" s="17" t="s">
        <v>151</v>
      </c>
      <c r="EQ968" s="16" t="s">
        <v>151</v>
      </c>
      <c r="ER968" s="16" t="s">
        <v>151</v>
      </c>
      <c r="ES968" s="3">
        <f>HYPERLINK("https://my.pitchbook.com?c=484207-48","View Company Online")</f>
      </c>
    </row>
    <row r="969">
      <c r="A969" s="30" t="s">
        <v>19529</v>
      </c>
      <c r="B969" s="30" t="s">
        <v>19530</v>
      </c>
      <c r="C969" s="31" t="s">
        <v>151</v>
      </c>
      <c r="D969" s="30" t="s">
        <v>151</v>
      </c>
      <c r="E969" s="30" t="s">
        <v>151</v>
      </c>
      <c r="F969" s="30" t="s">
        <v>19531</v>
      </c>
      <c r="G969" s="30" t="s">
        <v>151</v>
      </c>
      <c r="H969" s="30" t="s">
        <v>151</v>
      </c>
      <c r="I969" s="30" t="s">
        <v>151</v>
      </c>
      <c r="J969" s="30" t="s">
        <v>19529</v>
      </c>
      <c r="K969" s="30" t="s">
        <v>19532</v>
      </c>
      <c r="L969" s="30" t="s">
        <v>205</v>
      </c>
      <c r="M969" s="30" t="s">
        <v>206</v>
      </c>
      <c r="N969" s="30" t="s">
        <v>776</v>
      </c>
      <c r="O969" s="30" t="s">
        <v>5507</v>
      </c>
      <c r="P969" s="30" t="s">
        <v>778</v>
      </c>
      <c r="Q969" s="30" t="s">
        <v>19533</v>
      </c>
      <c r="R969" s="30" t="s">
        <v>151</v>
      </c>
      <c r="S969" s="30" t="s">
        <v>162</v>
      </c>
      <c r="T969" s="37">
        <v>1.67</v>
      </c>
      <c r="U969" s="30" t="s">
        <v>163</v>
      </c>
      <c r="V969" s="30" t="s">
        <v>164</v>
      </c>
      <c r="W969" s="30" t="s">
        <v>165</v>
      </c>
      <c r="X969" s="28" t="s">
        <v>19534</v>
      </c>
      <c r="Y969" s="28" t="s">
        <v>19535</v>
      </c>
      <c r="Z969" s="40">
        <v>4</v>
      </c>
      <c r="AA969" s="30" t="s">
        <v>6849</v>
      </c>
      <c r="AB969" s="30" t="s">
        <v>151</v>
      </c>
      <c r="AC969" s="30" t="s">
        <v>151</v>
      </c>
      <c r="AD969" s="39" t="s">
        <v>151</v>
      </c>
      <c r="AE969" s="30" t="s">
        <v>151</v>
      </c>
      <c r="AF969" s="35">
        <v>45559</v>
      </c>
      <c r="AG969" s="30" t="s">
        <v>151</v>
      </c>
      <c r="AH969" s="30" t="s">
        <v>151</v>
      </c>
      <c r="AI969" s="38" t="s">
        <v>151</v>
      </c>
      <c r="AJ969" s="32" t="s">
        <v>151</v>
      </c>
      <c r="AK969" s="38" t="s">
        <v>151</v>
      </c>
      <c r="AL969" s="38" t="s">
        <v>151</v>
      </c>
      <c r="AM969" s="38" t="s">
        <v>151</v>
      </c>
      <c r="AN969" s="38" t="s">
        <v>151</v>
      </c>
      <c r="AO969" s="38" t="s">
        <v>151</v>
      </c>
      <c r="AP969" s="38" t="s">
        <v>151</v>
      </c>
      <c r="AQ969" s="38" t="s">
        <v>151</v>
      </c>
      <c r="AR969" s="29" t="s">
        <v>151</v>
      </c>
      <c r="AS969" s="30" t="s">
        <v>19536</v>
      </c>
      <c r="AT969" s="30" t="s">
        <v>19537</v>
      </c>
      <c r="AU969" s="31">
        <v>3</v>
      </c>
      <c r="AV969" s="30" t="s">
        <v>151</v>
      </c>
      <c r="AW969" s="30" t="s">
        <v>151</v>
      </c>
      <c r="AX969" s="30" t="s">
        <v>151</v>
      </c>
      <c r="AY969" s="30" t="s">
        <v>19538</v>
      </c>
      <c r="AZ969" s="30" t="s">
        <v>151</v>
      </c>
      <c r="BA969" s="30" t="s">
        <v>151</v>
      </c>
      <c r="BB969" s="30" t="s">
        <v>151</v>
      </c>
      <c r="BC969" s="30" t="s">
        <v>151</v>
      </c>
      <c r="BD969" s="30" t="s">
        <v>19539</v>
      </c>
      <c r="BE969" s="30" t="s">
        <v>19540</v>
      </c>
      <c r="BF969" s="30" t="s">
        <v>221</v>
      </c>
      <c r="BG969" s="30" t="s">
        <v>19541</v>
      </c>
      <c r="BH969" s="30" t="s">
        <v>151</v>
      </c>
      <c r="BI969" s="30" t="s">
        <v>6124</v>
      </c>
      <c r="BJ969" s="30" t="s">
        <v>151</v>
      </c>
      <c r="BK969" s="30" t="s">
        <v>151</v>
      </c>
      <c r="BL969" s="30" t="s">
        <v>6127</v>
      </c>
      <c r="BM969" s="30" t="s">
        <v>1388</v>
      </c>
      <c r="BN969" s="29" t="s">
        <v>151</v>
      </c>
      <c r="BO969" s="30" t="s">
        <v>186</v>
      </c>
      <c r="BP969" s="29" t="s">
        <v>151</v>
      </c>
      <c r="BQ969" s="29" t="s">
        <v>151</v>
      </c>
      <c r="BR969" s="30" t="s">
        <v>19542</v>
      </c>
      <c r="BS969" s="30" t="s">
        <v>187</v>
      </c>
      <c r="BT969" s="30" t="s">
        <v>188</v>
      </c>
      <c r="BU969" s="35">
        <v>44866</v>
      </c>
      <c r="BV969" s="37">
        <v>0.02</v>
      </c>
      <c r="BW969" s="30" t="s">
        <v>192</v>
      </c>
      <c r="BX969" s="37">
        <v>0.33</v>
      </c>
      <c r="BY969" s="30" t="s">
        <v>192</v>
      </c>
      <c r="BZ969" s="30" t="s">
        <v>189</v>
      </c>
      <c r="CA969" s="30" t="s">
        <v>151</v>
      </c>
      <c r="CB969" s="30" t="s">
        <v>151</v>
      </c>
      <c r="CC969" s="30" t="s">
        <v>190</v>
      </c>
      <c r="CD969" s="30" t="s">
        <v>151</v>
      </c>
      <c r="CE969" s="30" t="s">
        <v>191</v>
      </c>
      <c r="CF969" s="35">
        <v>45058</v>
      </c>
      <c r="CG969" s="37">
        <v>1.65</v>
      </c>
      <c r="CH969" s="30" t="s">
        <v>193</v>
      </c>
      <c r="CI969" s="37">
        <v>6.4</v>
      </c>
      <c r="CJ969" s="30" t="s">
        <v>192</v>
      </c>
      <c r="CK969" s="29" t="s">
        <v>151</v>
      </c>
      <c r="CL969" s="30" t="s">
        <v>293</v>
      </c>
      <c r="CM969" s="30" t="s">
        <v>293</v>
      </c>
      <c r="CN969" s="30" t="s">
        <v>151</v>
      </c>
      <c r="CO969" s="30" t="s">
        <v>165</v>
      </c>
      <c r="CP969" s="35">
        <v>45058</v>
      </c>
      <c r="CQ969" s="37" t="s">
        <v>151</v>
      </c>
      <c r="CR969" s="30" t="s">
        <v>151</v>
      </c>
      <c r="CS969" s="30" t="s">
        <v>191</v>
      </c>
      <c r="CT969" s="29" t="s">
        <v>151</v>
      </c>
      <c r="CU969" s="30" t="s">
        <v>151</v>
      </c>
      <c r="CV969" s="32" t="s">
        <v>151</v>
      </c>
      <c r="CW969" s="32" t="s">
        <v>151</v>
      </c>
      <c r="CX969" s="30" t="s">
        <v>151</v>
      </c>
      <c r="CY969" s="32" t="s">
        <v>151</v>
      </c>
      <c r="CZ969" s="32" t="s">
        <v>151</v>
      </c>
      <c r="DA969" s="37">
        <v>6.4</v>
      </c>
      <c r="DB969" s="35">
        <v>45058</v>
      </c>
      <c r="DC969" s="30" t="s">
        <v>293</v>
      </c>
      <c r="DD969" s="29" t="s">
        <v>151</v>
      </c>
      <c r="DE969" s="32">
        <v>0</v>
      </c>
      <c r="DF969" s="34">
        <v>11</v>
      </c>
      <c r="DG969" s="32">
        <v>0</v>
      </c>
      <c r="DH969" s="32">
        <v>0</v>
      </c>
      <c r="DI969" s="32">
        <v>0</v>
      </c>
      <c r="DJ969" s="34">
        <v>10</v>
      </c>
      <c r="DK969" s="32">
        <v>0</v>
      </c>
      <c r="DL969" s="34">
        <v>11</v>
      </c>
      <c r="DM969" s="32">
        <v>0</v>
      </c>
      <c r="DN969" s="34">
        <v>10</v>
      </c>
      <c r="DO969" s="36">
        <v>0.23</v>
      </c>
      <c r="DP969" s="34">
        <v>17</v>
      </c>
      <c r="DQ969" s="36">
        <v>0</v>
      </c>
      <c r="DR969" s="32">
        <v>0</v>
      </c>
      <c r="DS969" s="36">
        <v>0.15</v>
      </c>
      <c r="DT969" s="34">
        <v>10</v>
      </c>
      <c r="DU969" s="36">
        <v>0.03</v>
      </c>
      <c r="DV969" s="34">
        <v>15</v>
      </c>
      <c r="DW969" s="36">
        <v>0.26</v>
      </c>
      <c r="DX969" s="34">
        <v>18</v>
      </c>
      <c r="DY969" s="31" t="s">
        <v>151</v>
      </c>
      <c r="DZ969" s="35" t="s">
        <v>151</v>
      </c>
      <c r="EA969" s="35" t="s">
        <v>151</v>
      </c>
      <c r="EB969" s="34">
        <v>3</v>
      </c>
      <c r="EC969" s="33">
        <v>-31</v>
      </c>
      <c r="ED969" s="32">
        <v>-91.18</v>
      </c>
      <c r="EE969" s="34">
        <v>5</v>
      </c>
      <c r="EF969" s="33">
        <v>0</v>
      </c>
      <c r="EG969" s="32">
        <v>0</v>
      </c>
      <c r="EH969" s="29" t="s">
        <v>198</v>
      </c>
      <c r="EI969" s="30" t="s">
        <v>151</v>
      </c>
      <c r="EJ969" s="30" t="s">
        <v>151</v>
      </c>
      <c r="EK969" s="31" t="s">
        <v>151</v>
      </c>
      <c r="EL969" s="31" t="s">
        <v>151</v>
      </c>
      <c r="EM969" s="31" t="s">
        <v>151</v>
      </c>
      <c r="EN969" s="31" t="s">
        <v>151</v>
      </c>
      <c r="EO969" s="31" t="s">
        <v>151</v>
      </c>
      <c r="EP969" s="30" t="s">
        <v>151</v>
      </c>
      <c r="EQ969" s="29" t="s">
        <v>151</v>
      </c>
      <c r="ER969" s="29" t="s">
        <v>151</v>
      </c>
      <c r="ES969" s="4">
        <f>HYPERLINK("https://my.pitchbook.com?c=527528-71","View Company Online")</f>
      </c>
    </row>
    <row r="970">
      <c r="A970" s="17" t="s">
        <v>19543</v>
      </c>
      <c r="B970" s="17" t="s">
        <v>19544</v>
      </c>
      <c r="C970" s="18" t="s">
        <v>151</v>
      </c>
      <c r="D970" s="17" t="s">
        <v>151</v>
      </c>
      <c r="E970" s="17" t="s">
        <v>19545</v>
      </c>
      <c r="F970" s="17" t="s">
        <v>19546</v>
      </c>
      <c r="G970" s="17" t="s">
        <v>151</v>
      </c>
      <c r="H970" s="17" t="s">
        <v>151</v>
      </c>
      <c r="I970" s="17" t="s">
        <v>151</v>
      </c>
      <c r="J970" s="17" t="s">
        <v>19543</v>
      </c>
      <c r="K970" s="17" t="s">
        <v>19547</v>
      </c>
      <c r="L970" s="17" t="s">
        <v>205</v>
      </c>
      <c r="M970" s="17" t="s">
        <v>206</v>
      </c>
      <c r="N970" s="17" t="s">
        <v>917</v>
      </c>
      <c r="O970" s="17" t="s">
        <v>7345</v>
      </c>
      <c r="P970" s="17" t="s">
        <v>151</v>
      </c>
      <c r="Q970" s="17" t="s">
        <v>19548</v>
      </c>
      <c r="R970" s="17" t="s">
        <v>151</v>
      </c>
      <c r="S970" s="17" t="s">
        <v>162</v>
      </c>
      <c r="T970" s="24">
        <v>1.65</v>
      </c>
      <c r="U970" s="17" t="s">
        <v>4045</v>
      </c>
      <c r="V970" s="17" t="s">
        <v>164</v>
      </c>
      <c r="W970" s="17" t="s">
        <v>165</v>
      </c>
      <c r="X970" s="15" t="s">
        <v>19549</v>
      </c>
      <c r="Y970" s="15" t="s">
        <v>19550</v>
      </c>
      <c r="Z970" s="27">
        <v>4</v>
      </c>
      <c r="AA970" s="17" t="s">
        <v>8692</v>
      </c>
      <c r="AB970" s="17" t="s">
        <v>151</v>
      </c>
      <c r="AC970" s="17" t="s">
        <v>151</v>
      </c>
      <c r="AD970" s="26">
        <v>2023</v>
      </c>
      <c r="AE970" s="17" t="s">
        <v>151</v>
      </c>
      <c r="AF970" s="22">
        <v>45583</v>
      </c>
      <c r="AG970" s="17" t="s">
        <v>151</v>
      </c>
      <c r="AH970" s="17" t="s">
        <v>151</v>
      </c>
      <c r="AI970" s="25" t="s">
        <v>151</v>
      </c>
      <c r="AJ970" s="19" t="s">
        <v>151</v>
      </c>
      <c r="AK970" s="25" t="s">
        <v>151</v>
      </c>
      <c r="AL970" s="25" t="s">
        <v>151</v>
      </c>
      <c r="AM970" s="25" t="s">
        <v>151</v>
      </c>
      <c r="AN970" s="25" t="s">
        <v>151</v>
      </c>
      <c r="AO970" s="25" t="s">
        <v>151</v>
      </c>
      <c r="AP970" s="25" t="s">
        <v>151</v>
      </c>
      <c r="AQ970" s="25" t="s">
        <v>151</v>
      </c>
      <c r="AR970" s="16" t="s">
        <v>151</v>
      </c>
      <c r="AS970" s="17" t="s">
        <v>19551</v>
      </c>
      <c r="AT970" s="17" t="s">
        <v>19552</v>
      </c>
      <c r="AU970" s="18">
        <v>8</v>
      </c>
      <c r="AV970" s="17" t="s">
        <v>151</v>
      </c>
      <c r="AW970" s="17" t="s">
        <v>151</v>
      </c>
      <c r="AX970" s="17" t="s">
        <v>151</v>
      </c>
      <c r="AY970" s="17" t="s">
        <v>19553</v>
      </c>
      <c r="AZ970" s="17" t="s">
        <v>151</v>
      </c>
      <c r="BA970" s="17" t="s">
        <v>151</v>
      </c>
      <c r="BB970" s="17" t="s">
        <v>151</v>
      </c>
      <c r="BC970" s="17" t="s">
        <v>151</v>
      </c>
      <c r="BD970" s="17" t="s">
        <v>19554</v>
      </c>
      <c r="BE970" s="17" t="s">
        <v>19555</v>
      </c>
      <c r="BF970" s="17" t="s">
        <v>221</v>
      </c>
      <c r="BG970" s="17" t="s">
        <v>151</v>
      </c>
      <c r="BH970" s="17" t="s">
        <v>151</v>
      </c>
      <c r="BI970" s="17" t="s">
        <v>19556</v>
      </c>
      <c r="BJ970" s="17" t="s">
        <v>19557</v>
      </c>
      <c r="BK970" s="17" t="s">
        <v>151</v>
      </c>
      <c r="BL970" s="17" t="s">
        <v>19558</v>
      </c>
      <c r="BM970" s="17" t="s">
        <v>1072</v>
      </c>
      <c r="BN970" s="16" t="s">
        <v>19559</v>
      </c>
      <c r="BO970" s="17" t="s">
        <v>186</v>
      </c>
      <c r="BP970" s="16" t="s">
        <v>151</v>
      </c>
      <c r="BQ970" s="16" t="s">
        <v>151</v>
      </c>
      <c r="BR970" s="17" t="s">
        <v>19560</v>
      </c>
      <c r="BS970" s="17" t="s">
        <v>187</v>
      </c>
      <c r="BT970" s="17" t="s">
        <v>188</v>
      </c>
      <c r="BU970" s="22">
        <v>45511</v>
      </c>
      <c r="BV970" s="24">
        <v>1.65</v>
      </c>
      <c r="BW970" s="17" t="s">
        <v>192</v>
      </c>
      <c r="BX970" s="24">
        <v>7.5</v>
      </c>
      <c r="BY970" s="17" t="s">
        <v>192</v>
      </c>
      <c r="BZ970" s="17" t="s">
        <v>293</v>
      </c>
      <c r="CA970" s="17" t="s">
        <v>293</v>
      </c>
      <c r="CB970" s="17" t="s">
        <v>151</v>
      </c>
      <c r="CC970" s="17" t="s">
        <v>165</v>
      </c>
      <c r="CD970" s="17" t="s">
        <v>151</v>
      </c>
      <c r="CE970" s="17" t="s">
        <v>191</v>
      </c>
      <c r="CF970" s="22">
        <v>45511</v>
      </c>
      <c r="CG970" s="24">
        <v>1.65</v>
      </c>
      <c r="CH970" s="17" t="s">
        <v>192</v>
      </c>
      <c r="CI970" s="24">
        <v>7.5</v>
      </c>
      <c r="CJ970" s="17" t="s">
        <v>192</v>
      </c>
      <c r="CK970" s="16" t="s">
        <v>151</v>
      </c>
      <c r="CL970" s="17" t="s">
        <v>293</v>
      </c>
      <c r="CM970" s="17" t="s">
        <v>293</v>
      </c>
      <c r="CN970" s="17" t="s">
        <v>151</v>
      </c>
      <c r="CO970" s="17" t="s">
        <v>165</v>
      </c>
      <c r="CP970" s="22">
        <v>45511</v>
      </c>
      <c r="CQ970" s="24" t="s">
        <v>151</v>
      </c>
      <c r="CR970" s="17" t="s">
        <v>151</v>
      </c>
      <c r="CS970" s="17" t="s">
        <v>191</v>
      </c>
      <c r="CT970" s="16" t="s">
        <v>151</v>
      </c>
      <c r="CU970" s="17" t="s">
        <v>151</v>
      </c>
      <c r="CV970" s="19" t="s">
        <v>151</v>
      </c>
      <c r="CW970" s="19" t="s">
        <v>151</v>
      </c>
      <c r="CX970" s="17" t="s">
        <v>151</v>
      </c>
      <c r="CY970" s="19" t="s">
        <v>151</v>
      </c>
      <c r="CZ970" s="19" t="s">
        <v>151</v>
      </c>
      <c r="DA970" s="24">
        <v>7.5</v>
      </c>
      <c r="DB970" s="22">
        <v>45511</v>
      </c>
      <c r="DC970" s="17" t="s">
        <v>293</v>
      </c>
      <c r="DD970" s="16" t="s">
        <v>151</v>
      </c>
      <c r="DE970" s="19">
        <v>0</v>
      </c>
      <c r="DF970" s="21">
        <v>11</v>
      </c>
      <c r="DG970" s="19">
        <v>0</v>
      </c>
      <c r="DH970" s="19">
        <v>0</v>
      </c>
      <c r="DI970" s="19">
        <v>0</v>
      </c>
      <c r="DJ970" s="21">
        <v>10</v>
      </c>
      <c r="DK970" s="19" t="s">
        <v>151</v>
      </c>
      <c r="DL970" s="21" t="s">
        <v>151</v>
      </c>
      <c r="DM970" s="19">
        <v>0</v>
      </c>
      <c r="DN970" s="21">
        <v>10</v>
      </c>
      <c r="DO970" s="23">
        <v>1.47</v>
      </c>
      <c r="DP970" s="21">
        <v>59</v>
      </c>
      <c r="DQ970" s="23">
        <v>0</v>
      </c>
      <c r="DR970" s="19">
        <v>0</v>
      </c>
      <c r="DS970" s="23">
        <v>1.47</v>
      </c>
      <c r="DT970" s="21">
        <v>59</v>
      </c>
      <c r="DU970" s="23" t="s">
        <v>151</v>
      </c>
      <c r="DV970" s="21" t="s">
        <v>151</v>
      </c>
      <c r="DW970" s="23">
        <v>1.47</v>
      </c>
      <c r="DX970" s="21">
        <v>58</v>
      </c>
      <c r="DY970" s="18" t="s">
        <v>151</v>
      </c>
      <c r="DZ970" s="22" t="s">
        <v>151</v>
      </c>
      <c r="EA970" s="22" t="s">
        <v>151</v>
      </c>
      <c r="EB970" s="21" t="s">
        <v>151</v>
      </c>
      <c r="EC970" s="20" t="s">
        <v>151</v>
      </c>
      <c r="ED970" s="19" t="s">
        <v>151</v>
      </c>
      <c r="EE970" s="21">
        <v>28</v>
      </c>
      <c r="EF970" s="20">
        <v>1</v>
      </c>
      <c r="EG970" s="19">
        <v>3.7</v>
      </c>
      <c r="EH970" s="16" t="s">
        <v>198</v>
      </c>
      <c r="EI970" s="17" t="s">
        <v>151</v>
      </c>
      <c r="EJ970" s="17" t="s">
        <v>151</v>
      </c>
      <c r="EK970" s="18" t="s">
        <v>151</v>
      </c>
      <c r="EL970" s="18" t="s">
        <v>151</v>
      </c>
      <c r="EM970" s="18" t="s">
        <v>151</v>
      </c>
      <c r="EN970" s="18" t="s">
        <v>151</v>
      </c>
      <c r="EO970" s="18" t="s">
        <v>151</v>
      </c>
      <c r="EP970" s="17" t="s">
        <v>151</v>
      </c>
      <c r="EQ970" s="16" t="s">
        <v>151</v>
      </c>
      <c r="ER970" s="16" t="s">
        <v>151</v>
      </c>
      <c r="ES970" s="3">
        <f>HYPERLINK("https://my.pitchbook.com?c=624915-91","View Company Online")</f>
      </c>
    </row>
    <row r="971">
      <c r="A971" s="30" t="s">
        <v>19561</v>
      </c>
      <c r="B971" s="30" t="s">
        <v>19562</v>
      </c>
      <c r="C971" s="31" t="s">
        <v>151</v>
      </c>
      <c r="D971" s="30" t="s">
        <v>151</v>
      </c>
      <c r="E971" s="30" t="s">
        <v>151</v>
      </c>
      <c r="F971" s="30" t="s">
        <v>19563</v>
      </c>
      <c r="G971" s="30" t="s">
        <v>151</v>
      </c>
      <c r="H971" s="30" t="s">
        <v>151</v>
      </c>
      <c r="I971" s="30" t="s">
        <v>19564</v>
      </c>
      <c r="J971" s="30" t="s">
        <v>19561</v>
      </c>
      <c r="K971" s="30" t="s">
        <v>19565</v>
      </c>
      <c r="L971" s="30" t="s">
        <v>205</v>
      </c>
      <c r="M971" s="30" t="s">
        <v>206</v>
      </c>
      <c r="N971" s="30" t="s">
        <v>269</v>
      </c>
      <c r="O971" s="30" t="s">
        <v>1819</v>
      </c>
      <c r="P971" s="30" t="s">
        <v>1107</v>
      </c>
      <c r="Q971" s="30" t="s">
        <v>19566</v>
      </c>
      <c r="R971" s="30" t="s">
        <v>780</v>
      </c>
      <c r="S971" s="30" t="s">
        <v>162</v>
      </c>
      <c r="T971" s="37">
        <v>14</v>
      </c>
      <c r="U971" s="30" t="s">
        <v>163</v>
      </c>
      <c r="V971" s="30" t="s">
        <v>164</v>
      </c>
      <c r="W971" s="30" t="s">
        <v>165</v>
      </c>
      <c r="X971" s="28" t="s">
        <v>19567</v>
      </c>
      <c r="Y971" s="28" t="s">
        <v>19568</v>
      </c>
      <c r="Z971" s="40">
        <v>45</v>
      </c>
      <c r="AA971" s="30" t="s">
        <v>19569</v>
      </c>
      <c r="AB971" s="30" t="s">
        <v>151</v>
      </c>
      <c r="AC971" s="30" t="s">
        <v>151</v>
      </c>
      <c r="AD971" s="39">
        <v>2019</v>
      </c>
      <c r="AE971" s="30" t="s">
        <v>151</v>
      </c>
      <c r="AF971" s="35">
        <v>45505</v>
      </c>
      <c r="AG971" s="30" t="s">
        <v>151</v>
      </c>
      <c r="AH971" s="30" t="s">
        <v>151</v>
      </c>
      <c r="AI971" s="38" t="s">
        <v>151</v>
      </c>
      <c r="AJ971" s="32" t="s">
        <v>151</v>
      </c>
      <c r="AK971" s="38" t="s">
        <v>151</v>
      </c>
      <c r="AL971" s="38" t="s">
        <v>151</v>
      </c>
      <c r="AM971" s="38" t="s">
        <v>151</v>
      </c>
      <c r="AN971" s="38" t="s">
        <v>151</v>
      </c>
      <c r="AO971" s="38" t="s">
        <v>151</v>
      </c>
      <c r="AP971" s="38" t="s">
        <v>151</v>
      </c>
      <c r="AQ971" s="38" t="s">
        <v>151</v>
      </c>
      <c r="AR971" s="29" t="s">
        <v>151</v>
      </c>
      <c r="AS971" s="30" t="s">
        <v>19570</v>
      </c>
      <c r="AT971" s="30" t="s">
        <v>19571</v>
      </c>
      <c r="AU971" s="31">
        <v>7</v>
      </c>
      <c r="AV971" s="30" t="s">
        <v>151</v>
      </c>
      <c r="AW971" s="30" t="s">
        <v>151</v>
      </c>
      <c r="AX971" s="30" t="s">
        <v>151</v>
      </c>
      <c r="AY971" s="30" t="s">
        <v>19572</v>
      </c>
      <c r="AZ971" s="30" t="s">
        <v>151</v>
      </c>
      <c r="BA971" s="30" t="s">
        <v>151</v>
      </c>
      <c r="BB971" s="30" t="s">
        <v>151</v>
      </c>
      <c r="BC971" s="30" t="s">
        <v>490</v>
      </c>
      <c r="BD971" s="30" t="s">
        <v>19573</v>
      </c>
      <c r="BE971" s="30" t="s">
        <v>19574</v>
      </c>
      <c r="BF971" s="30" t="s">
        <v>221</v>
      </c>
      <c r="BG971" s="30" t="s">
        <v>19575</v>
      </c>
      <c r="BH971" s="30" t="s">
        <v>19576</v>
      </c>
      <c r="BI971" s="30" t="s">
        <v>285</v>
      </c>
      <c r="BJ971" s="30" t="s">
        <v>19577</v>
      </c>
      <c r="BK971" s="30" t="s">
        <v>19578</v>
      </c>
      <c r="BL971" s="30" t="s">
        <v>288</v>
      </c>
      <c r="BM971" s="30" t="s">
        <v>289</v>
      </c>
      <c r="BN971" s="29" t="s">
        <v>19579</v>
      </c>
      <c r="BO971" s="30" t="s">
        <v>186</v>
      </c>
      <c r="BP971" s="29" t="s">
        <v>19576</v>
      </c>
      <c r="BQ971" s="29" t="s">
        <v>151</v>
      </c>
      <c r="BR971" s="30" t="s">
        <v>19580</v>
      </c>
      <c r="BS971" s="30" t="s">
        <v>187</v>
      </c>
      <c r="BT971" s="30" t="s">
        <v>188</v>
      </c>
      <c r="BU971" s="35">
        <v>43840</v>
      </c>
      <c r="BV971" s="37">
        <v>4</v>
      </c>
      <c r="BW971" s="30" t="s">
        <v>192</v>
      </c>
      <c r="BX971" s="37">
        <v>12</v>
      </c>
      <c r="BY971" s="30" t="s">
        <v>192</v>
      </c>
      <c r="BZ971" s="30" t="s">
        <v>293</v>
      </c>
      <c r="CA971" s="30" t="s">
        <v>293</v>
      </c>
      <c r="CB971" s="30" t="s">
        <v>151</v>
      </c>
      <c r="CC971" s="30" t="s">
        <v>165</v>
      </c>
      <c r="CD971" s="30" t="s">
        <v>151</v>
      </c>
      <c r="CE971" s="30" t="s">
        <v>191</v>
      </c>
      <c r="CF971" s="35">
        <v>44658</v>
      </c>
      <c r="CG971" s="37" t="s">
        <v>151</v>
      </c>
      <c r="CH971" s="30" t="s">
        <v>151</v>
      </c>
      <c r="CI971" s="37" t="s">
        <v>151</v>
      </c>
      <c r="CJ971" s="30" t="s">
        <v>151</v>
      </c>
      <c r="CK971" s="29">
        <v>2.25</v>
      </c>
      <c r="CL971" s="30" t="s">
        <v>189</v>
      </c>
      <c r="CM971" s="30" t="s">
        <v>151</v>
      </c>
      <c r="CN971" s="30" t="s">
        <v>151</v>
      </c>
      <c r="CO971" s="30" t="s">
        <v>190</v>
      </c>
      <c r="CP971" s="35">
        <v>44658</v>
      </c>
      <c r="CQ971" s="37" t="s">
        <v>151</v>
      </c>
      <c r="CR971" s="30" t="s">
        <v>151</v>
      </c>
      <c r="CS971" s="30" t="s">
        <v>191</v>
      </c>
      <c r="CT971" s="29">
        <v>95</v>
      </c>
      <c r="CU971" s="30" t="s">
        <v>196</v>
      </c>
      <c r="CV971" s="32">
        <v>89</v>
      </c>
      <c r="CW971" s="32">
        <v>11</v>
      </c>
      <c r="CX971" s="30" t="s">
        <v>294</v>
      </c>
      <c r="CY971" s="32">
        <v>2</v>
      </c>
      <c r="CZ971" s="32">
        <v>87</v>
      </c>
      <c r="DA971" s="37">
        <v>37</v>
      </c>
      <c r="DB971" s="35">
        <v>44474</v>
      </c>
      <c r="DC971" s="30" t="s">
        <v>231</v>
      </c>
      <c r="DD971" s="29">
        <v>2.25</v>
      </c>
      <c r="DE971" s="32">
        <v>3.26</v>
      </c>
      <c r="DF971" s="34">
        <v>99</v>
      </c>
      <c r="DG971" s="32">
        <v>0</v>
      </c>
      <c r="DH971" s="32">
        <v>0</v>
      </c>
      <c r="DI971" s="32">
        <v>3.26</v>
      </c>
      <c r="DJ971" s="34">
        <v>99</v>
      </c>
      <c r="DK971" s="32">
        <v>5.26</v>
      </c>
      <c r="DL971" s="34">
        <v>98</v>
      </c>
      <c r="DM971" s="32">
        <v>1.26</v>
      </c>
      <c r="DN971" s="34">
        <v>97</v>
      </c>
      <c r="DO971" s="36">
        <v>18.44</v>
      </c>
      <c r="DP971" s="34">
        <v>94</v>
      </c>
      <c r="DQ971" s="36">
        <v>0</v>
      </c>
      <c r="DR971" s="32">
        <v>0</v>
      </c>
      <c r="DS971" s="36">
        <v>18.44</v>
      </c>
      <c r="DT971" s="34">
        <v>94</v>
      </c>
      <c r="DU971" s="36">
        <v>13.04</v>
      </c>
      <c r="DV971" s="34">
        <v>89</v>
      </c>
      <c r="DW971" s="36">
        <v>23.84</v>
      </c>
      <c r="DX971" s="34">
        <v>96</v>
      </c>
      <c r="DY971" s="31">
        <v>1</v>
      </c>
      <c r="DZ971" s="35">
        <v>44781</v>
      </c>
      <c r="EA971" s="35" t="s">
        <v>151</v>
      </c>
      <c r="EB971" s="34">
        <v>2678</v>
      </c>
      <c r="EC971" s="33">
        <v>79</v>
      </c>
      <c r="ED971" s="32">
        <v>3.04</v>
      </c>
      <c r="EE971" s="34">
        <v>453</v>
      </c>
      <c r="EF971" s="33">
        <v>4</v>
      </c>
      <c r="EG971" s="32">
        <v>0.89</v>
      </c>
      <c r="EH971" s="29" t="s">
        <v>198</v>
      </c>
      <c r="EI971" s="30" t="s">
        <v>151</v>
      </c>
      <c r="EJ971" s="30" t="s">
        <v>151</v>
      </c>
      <c r="EK971" s="31" t="s">
        <v>151</v>
      </c>
      <c r="EL971" s="31" t="s">
        <v>151</v>
      </c>
      <c r="EM971" s="31" t="s">
        <v>151</v>
      </c>
      <c r="EN971" s="31" t="s">
        <v>151</v>
      </c>
      <c r="EO971" s="31" t="s">
        <v>151</v>
      </c>
      <c r="EP971" s="30" t="s">
        <v>151</v>
      </c>
      <c r="EQ971" s="29" t="s">
        <v>151</v>
      </c>
      <c r="ER971" s="29" t="s">
        <v>151</v>
      </c>
      <c r="ES971" s="4">
        <f>HYPERLINK("https://my.pitchbook.com?c=416522-62","View Company Online")</f>
      </c>
    </row>
    <row r="972">
      <c r="A972" s="17" t="s">
        <v>19581</v>
      </c>
      <c r="B972" s="17" t="s">
        <v>19582</v>
      </c>
      <c r="C972" s="18" t="s">
        <v>151</v>
      </c>
      <c r="D972" s="17" t="s">
        <v>151</v>
      </c>
      <c r="E972" s="17" t="s">
        <v>151</v>
      </c>
      <c r="F972" s="17" t="s">
        <v>19583</v>
      </c>
      <c r="G972" s="17" t="s">
        <v>151</v>
      </c>
      <c r="H972" s="17" t="s">
        <v>151</v>
      </c>
      <c r="I972" s="17" t="s">
        <v>151</v>
      </c>
      <c r="J972" s="17" t="s">
        <v>19581</v>
      </c>
      <c r="K972" s="17" t="s">
        <v>19584</v>
      </c>
      <c r="L972" s="17" t="s">
        <v>205</v>
      </c>
      <c r="M972" s="17" t="s">
        <v>206</v>
      </c>
      <c r="N972" s="17" t="s">
        <v>207</v>
      </c>
      <c r="O972" s="17" t="s">
        <v>11654</v>
      </c>
      <c r="P972" s="17" t="s">
        <v>2250</v>
      </c>
      <c r="Q972" s="17" t="s">
        <v>19585</v>
      </c>
      <c r="R972" s="17" t="s">
        <v>151</v>
      </c>
      <c r="S972" s="17" t="s">
        <v>162</v>
      </c>
      <c r="T972" s="24">
        <v>4.6</v>
      </c>
      <c r="U972" s="17" t="s">
        <v>336</v>
      </c>
      <c r="V972" s="17" t="s">
        <v>164</v>
      </c>
      <c r="W972" s="17" t="s">
        <v>165</v>
      </c>
      <c r="X972" s="15" t="s">
        <v>19586</v>
      </c>
      <c r="Y972" s="15" t="s">
        <v>19587</v>
      </c>
      <c r="Z972" s="27">
        <v>6</v>
      </c>
      <c r="AA972" s="17" t="s">
        <v>19588</v>
      </c>
      <c r="AB972" s="17" t="s">
        <v>151</v>
      </c>
      <c r="AC972" s="17" t="s">
        <v>151</v>
      </c>
      <c r="AD972" s="26">
        <v>2020</v>
      </c>
      <c r="AE972" s="17" t="s">
        <v>151</v>
      </c>
      <c r="AF972" s="22">
        <v>45596</v>
      </c>
      <c r="AG972" s="17" t="s">
        <v>151</v>
      </c>
      <c r="AH972" s="17" t="s">
        <v>151</v>
      </c>
      <c r="AI972" s="25" t="s">
        <v>151</v>
      </c>
      <c r="AJ972" s="19" t="s">
        <v>151</v>
      </c>
      <c r="AK972" s="25" t="s">
        <v>151</v>
      </c>
      <c r="AL972" s="25" t="s">
        <v>151</v>
      </c>
      <c r="AM972" s="25" t="s">
        <v>151</v>
      </c>
      <c r="AN972" s="25" t="s">
        <v>151</v>
      </c>
      <c r="AO972" s="25" t="s">
        <v>151</v>
      </c>
      <c r="AP972" s="25" t="s">
        <v>151</v>
      </c>
      <c r="AQ972" s="25" t="s">
        <v>151</v>
      </c>
      <c r="AR972" s="16" t="s">
        <v>151</v>
      </c>
      <c r="AS972" s="17" t="s">
        <v>19589</v>
      </c>
      <c r="AT972" s="17" t="s">
        <v>19590</v>
      </c>
      <c r="AU972" s="18">
        <v>21</v>
      </c>
      <c r="AV972" s="17" t="s">
        <v>151</v>
      </c>
      <c r="AW972" s="17" t="s">
        <v>151</v>
      </c>
      <c r="AX972" s="17" t="s">
        <v>151</v>
      </c>
      <c r="AY972" s="17" t="s">
        <v>19591</v>
      </c>
      <c r="AZ972" s="17" t="s">
        <v>151</v>
      </c>
      <c r="BA972" s="17" t="s">
        <v>151</v>
      </c>
      <c r="BB972" s="17" t="s">
        <v>4088</v>
      </c>
      <c r="BC972" s="17" t="s">
        <v>1636</v>
      </c>
      <c r="BD972" s="17" t="s">
        <v>19592</v>
      </c>
      <c r="BE972" s="17" t="s">
        <v>19593</v>
      </c>
      <c r="BF972" s="17" t="s">
        <v>493</v>
      </c>
      <c r="BG972" s="17" t="s">
        <v>151</v>
      </c>
      <c r="BH972" s="17" t="s">
        <v>19594</v>
      </c>
      <c r="BI972" s="17" t="s">
        <v>19595</v>
      </c>
      <c r="BJ972" s="17" t="s">
        <v>19596</v>
      </c>
      <c r="BK972" s="17" t="s">
        <v>151</v>
      </c>
      <c r="BL972" s="17" t="s">
        <v>19597</v>
      </c>
      <c r="BM972" s="17" t="s">
        <v>9081</v>
      </c>
      <c r="BN972" s="16" t="s">
        <v>19598</v>
      </c>
      <c r="BO972" s="17" t="s">
        <v>186</v>
      </c>
      <c r="BP972" s="16" t="s">
        <v>19594</v>
      </c>
      <c r="BQ972" s="16" t="s">
        <v>151</v>
      </c>
      <c r="BR972" s="17" t="s">
        <v>19599</v>
      </c>
      <c r="BS972" s="17" t="s">
        <v>187</v>
      </c>
      <c r="BT972" s="17" t="s">
        <v>188</v>
      </c>
      <c r="BU972" s="22">
        <v>45182</v>
      </c>
      <c r="BV972" s="24">
        <v>4.6</v>
      </c>
      <c r="BW972" s="17" t="s">
        <v>192</v>
      </c>
      <c r="BX972" s="24">
        <v>10.3</v>
      </c>
      <c r="BY972" s="17" t="s">
        <v>192</v>
      </c>
      <c r="BZ972" s="17" t="s">
        <v>293</v>
      </c>
      <c r="CA972" s="17" t="s">
        <v>293</v>
      </c>
      <c r="CB972" s="17" t="s">
        <v>151</v>
      </c>
      <c r="CC972" s="17" t="s">
        <v>165</v>
      </c>
      <c r="CD972" s="17" t="s">
        <v>151</v>
      </c>
      <c r="CE972" s="17" t="s">
        <v>191</v>
      </c>
      <c r="CF972" s="22">
        <v>45182</v>
      </c>
      <c r="CG972" s="24">
        <v>4.6</v>
      </c>
      <c r="CH972" s="17" t="s">
        <v>192</v>
      </c>
      <c r="CI972" s="24">
        <v>10.3</v>
      </c>
      <c r="CJ972" s="17" t="s">
        <v>192</v>
      </c>
      <c r="CK972" s="16" t="s">
        <v>151</v>
      </c>
      <c r="CL972" s="17" t="s">
        <v>293</v>
      </c>
      <c r="CM972" s="17" t="s">
        <v>293</v>
      </c>
      <c r="CN972" s="17" t="s">
        <v>151</v>
      </c>
      <c r="CO972" s="17" t="s">
        <v>165</v>
      </c>
      <c r="CP972" s="22">
        <v>45182</v>
      </c>
      <c r="CQ972" s="24" t="s">
        <v>151</v>
      </c>
      <c r="CR972" s="17" t="s">
        <v>151</v>
      </c>
      <c r="CS972" s="17" t="s">
        <v>191</v>
      </c>
      <c r="CT972" s="16" t="s">
        <v>151</v>
      </c>
      <c r="CU972" s="17" t="s">
        <v>151</v>
      </c>
      <c r="CV972" s="19" t="s">
        <v>151</v>
      </c>
      <c r="CW972" s="19" t="s">
        <v>151</v>
      </c>
      <c r="CX972" s="17" t="s">
        <v>151</v>
      </c>
      <c r="CY972" s="19" t="s">
        <v>151</v>
      </c>
      <c r="CZ972" s="19" t="s">
        <v>151</v>
      </c>
      <c r="DA972" s="24">
        <v>10.3</v>
      </c>
      <c r="DB972" s="22">
        <v>45182</v>
      </c>
      <c r="DC972" s="17" t="s">
        <v>293</v>
      </c>
      <c r="DD972" s="16" t="s">
        <v>151</v>
      </c>
      <c r="DE972" s="19">
        <v>0</v>
      </c>
      <c r="DF972" s="21">
        <v>11</v>
      </c>
      <c r="DG972" s="19">
        <v>0</v>
      </c>
      <c r="DH972" s="19">
        <v>0</v>
      </c>
      <c r="DI972" s="19">
        <v>0</v>
      </c>
      <c r="DJ972" s="21">
        <v>10</v>
      </c>
      <c r="DK972" s="19" t="s">
        <v>151</v>
      </c>
      <c r="DL972" s="21" t="s">
        <v>151</v>
      </c>
      <c r="DM972" s="19">
        <v>0</v>
      </c>
      <c r="DN972" s="21">
        <v>10</v>
      </c>
      <c r="DO972" s="23">
        <v>3.11</v>
      </c>
      <c r="DP972" s="21">
        <v>75</v>
      </c>
      <c r="DQ972" s="23">
        <v>0</v>
      </c>
      <c r="DR972" s="19">
        <v>0</v>
      </c>
      <c r="DS972" s="23">
        <v>3.11</v>
      </c>
      <c r="DT972" s="21">
        <v>75</v>
      </c>
      <c r="DU972" s="23" t="s">
        <v>151</v>
      </c>
      <c r="DV972" s="21" t="s">
        <v>151</v>
      </c>
      <c r="DW972" s="23">
        <v>3.11</v>
      </c>
      <c r="DX972" s="21">
        <v>74</v>
      </c>
      <c r="DY972" s="18" t="s">
        <v>151</v>
      </c>
      <c r="DZ972" s="22" t="s">
        <v>151</v>
      </c>
      <c r="EA972" s="22" t="s">
        <v>151</v>
      </c>
      <c r="EB972" s="21">
        <v>724</v>
      </c>
      <c r="EC972" s="20">
        <v>-8</v>
      </c>
      <c r="ED972" s="19">
        <v>-1.09</v>
      </c>
      <c r="EE972" s="21">
        <v>59</v>
      </c>
      <c r="EF972" s="20">
        <v>1</v>
      </c>
      <c r="EG972" s="19">
        <v>1.72</v>
      </c>
      <c r="EH972" s="16" t="s">
        <v>198</v>
      </c>
      <c r="EI972" s="17" t="s">
        <v>151</v>
      </c>
      <c r="EJ972" s="17" t="s">
        <v>151</v>
      </c>
      <c r="EK972" s="18" t="s">
        <v>151</v>
      </c>
      <c r="EL972" s="18" t="s">
        <v>151</v>
      </c>
      <c r="EM972" s="18" t="s">
        <v>151</v>
      </c>
      <c r="EN972" s="18" t="s">
        <v>151</v>
      </c>
      <c r="EO972" s="18" t="s">
        <v>151</v>
      </c>
      <c r="EP972" s="17" t="s">
        <v>151</v>
      </c>
      <c r="EQ972" s="16" t="s">
        <v>151</v>
      </c>
      <c r="ER972" s="16" t="s">
        <v>151</v>
      </c>
      <c r="ES972" s="3">
        <f>HYPERLINK("https://my.pitchbook.com?c=494599-33","View Company Online")</f>
      </c>
    </row>
    <row r="973">
      <c r="A973" s="30" t="s">
        <v>19600</v>
      </c>
      <c r="B973" s="30" t="s">
        <v>19601</v>
      </c>
      <c r="C973" s="31" t="s">
        <v>151</v>
      </c>
      <c r="D973" s="30" t="s">
        <v>151</v>
      </c>
      <c r="E973" s="30" t="s">
        <v>151</v>
      </c>
      <c r="F973" s="30" t="s">
        <v>19602</v>
      </c>
      <c r="G973" s="30" t="s">
        <v>151</v>
      </c>
      <c r="H973" s="30" t="s">
        <v>151</v>
      </c>
      <c r="I973" s="30" t="s">
        <v>19603</v>
      </c>
      <c r="J973" s="30" t="s">
        <v>19600</v>
      </c>
      <c r="K973" s="30" t="s">
        <v>19604</v>
      </c>
      <c r="L973" s="30" t="s">
        <v>205</v>
      </c>
      <c r="M973" s="30" t="s">
        <v>206</v>
      </c>
      <c r="N973" s="30" t="s">
        <v>269</v>
      </c>
      <c r="O973" s="30" t="s">
        <v>19605</v>
      </c>
      <c r="P973" s="30" t="s">
        <v>19606</v>
      </c>
      <c r="Q973" s="30" t="s">
        <v>19607</v>
      </c>
      <c r="R973" s="30" t="s">
        <v>151</v>
      </c>
      <c r="S973" s="30" t="s">
        <v>162</v>
      </c>
      <c r="T973" s="37">
        <v>2.27</v>
      </c>
      <c r="U973" s="30" t="s">
        <v>163</v>
      </c>
      <c r="V973" s="30" t="s">
        <v>164</v>
      </c>
      <c r="W973" s="30" t="s">
        <v>165</v>
      </c>
      <c r="X973" s="28" t="s">
        <v>19608</v>
      </c>
      <c r="Y973" s="28" t="s">
        <v>19609</v>
      </c>
      <c r="Z973" s="40">
        <v>12</v>
      </c>
      <c r="AA973" s="30" t="s">
        <v>19610</v>
      </c>
      <c r="AB973" s="30" t="s">
        <v>151</v>
      </c>
      <c r="AC973" s="30" t="s">
        <v>151</v>
      </c>
      <c r="AD973" s="39">
        <v>2016</v>
      </c>
      <c r="AE973" s="30" t="s">
        <v>151</v>
      </c>
      <c r="AF973" s="35">
        <v>45559</v>
      </c>
      <c r="AG973" s="30" t="s">
        <v>151</v>
      </c>
      <c r="AH973" s="30" t="s">
        <v>151</v>
      </c>
      <c r="AI973" s="38">
        <v>1.1</v>
      </c>
      <c r="AJ973" s="32" t="s">
        <v>151</v>
      </c>
      <c r="AK973" s="38" t="s">
        <v>151</v>
      </c>
      <c r="AL973" s="38" t="s">
        <v>151</v>
      </c>
      <c r="AM973" s="38" t="s">
        <v>151</v>
      </c>
      <c r="AN973" s="38" t="s">
        <v>151</v>
      </c>
      <c r="AO973" s="38" t="s">
        <v>151</v>
      </c>
      <c r="AP973" s="38" t="s">
        <v>151</v>
      </c>
      <c r="AQ973" s="38" t="s">
        <v>151</v>
      </c>
      <c r="AR973" s="29" t="s">
        <v>810</v>
      </c>
      <c r="AS973" s="30" t="s">
        <v>19611</v>
      </c>
      <c r="AT973" s="30" t="s">
        <v>19612</v>
      </c>
      <c r="AU973" s="31">
        <v>4</v>
      </c>
      <c r="AV973" s="30" t="s">
        <v>151</v>
      </c>
      <c r="AW973" s="30" t="s">
        <v>151</v>
      </c>
      <c r="AX973" s="30" t="s">
        <v>151</v>
      </c>
      <c r="AY973" s="30" t="s">
        <v>19613</v>
      </c>
      <c r="AZ973" s="30" t="s">
        <v>151</v>
      </c>
      <c r="BA973" s="30" t="s">
        <v>151</v>
      </c>
      <c r="BB973" s="30" t="s">
        <v>19614</v>
      </c>
      <c r="BC973" s="30" t="s">
        <v>151</v>
      </c>
      <c r="BD973" s="30" t="s">
        <v>19615</v>
      </c>
      <c r="BE973" s="30" t="s">
        <v>19616</v>
      </c>
      <c r="BF973" s="30" t="s">
        <v>19617</v>
      </c>
      <c r="BG973" s="30" t="s">
        <v>19618</v>
      </c>
      <c r="BH973" s="30" t="s">
        <v>19619</v>
      </c>
      <c r="BI973" s="30" t="s">
        <v>734</v>
      </c>
      <c r="BJ973" s="30" t="s">
        <v>19620</v>
      </c>
      <c r="BK973" s="30" t="s">
        <v>19621</v>
      </c>
      <c r="BL973" s="30" t="s">
        <v>737</v>
      </c>
      <c r="BM973" s="30" t="s">
        <v>184</v>
      </c>
      <c r="BN973" s="29" t="s">
        <v>19622</v>
      </c>
      <c r="BO973" s="30" t="s">
        <v>186</v>
      </c>
      <c r="BP973" s="29" t="s">
        <v>19623</v>
      </c>
      <c r="BQ973" s="29" t="s">
        <v>151</v>
      </c>
      <c r="BR973" s="30" t="s">
        <v>19624</v>
      </c>
      <c r="BS973" s="30" t="s">
        <v>187</v>
      </c>
      <c r="BT973" s="30" t="s">
        <v>188</v>
      </c>
      <c r="BU973" s="35" t="s">
        <v>151</v>
      </c>
      <c r="BV973" s="37" t="s">
        <v>151</v>
      </c>
      <c r="BW973" s="30" t="s">
        <v>151</v>
      </c>
      <c r="BX973" s="37" t="s">
        <v>151</v>
      </c>
      <c r="BY973" s="30" t="s">
        <v>151</v>
      </c>
      <c r="BZ973" s="30" t="s">
        <v>189</v>
      </c>
      <c r="CA973" s="30" t="s">
        <v>151</v>
      </c>
      <c r="CB973" s="30" t="s">
        <v>151</v>
      </c>
      <c r="CC973" s="30" t="s">
        <v>190</v>
      </c>
      <c r="CD973" s="30" t="s">
        <v>151</v>
      </c>
      <c r="CE973" s="30" t="s">
        <v>191</v>
      </c>
      <c r="CF973" s="35">
        <v>43851</v>
      </c>
      <c r="CG973" s="37">
        <v>2</v>
      </c>
      <c r="CH973" s="30" t="s">
        <v>192</v>
      </c>
      <c r="CI973" s="37">
        <v>6</v>
      </c>
      <c r="CJ973" s="30" t="s">
        <v>192</v>
      </c>
      <c r="CK973" s="29" t="s">
        <v>151</v>
      </c>
      <c r="CL973" s="30" t="s">
        <v>293</v>
      </c>
      <c r="CM973" s="30" t="s">
        <v>293</v>
      </c>
      <c r="CN973" s="30" t="s">
        <v>151</v>
      </c>
      <c r="CO973" s="30" t="s">
        <v>165</v>
      </c>
      <c r="CP973" s="35">
        <v>43851</v>
      </c>
      <c r="CQ973" s="37" t="s">
        <v>151</v>
      </c>
      <c r="CR973" s="30" t="s">
        <v>151</v>
      </c>
      <c r="CS973" s="30" t="s">
        <v>191</v>
      </c>
      <c r="CT973" s="29">
        <v>6</v>
      </c>
      <c r="CU973" s="30" t="s">
        <v>263</v>
      </c>
      <c r="CV973" s="32">
        <v>7</v>
      </c>
      <c r="CW973" s="32">
        <v>93</v>
      </c>
      <c r="CX973" s="30" t="s">
        <v>263</v>
      </c>
      <c r="CY973" s="32">
        <v>1</v>
      </c>
      <c r="CZ973" s="32">
        <v>6</v>
      </c>
      <c r="DA973" s="37">
        <v>6</v>
      </c>
      <c r="DB973" s="35">
        <v>43851</v>
      </c>
      <c r="DC973" s="30" t="s">
        <v>293</v>
      </c>
      <c r="DD973" s="29" t="s">
        <v>151</v>
      </c>
      <c r="DE973" s="32">
        <v>0</v>
      </c>
      <c r="DF973" s="34">
        <v>11</v>
      </c>
      <c r="DG973" s="32">
        <v>0</v>
      </c>
      <c r="DH973" s="32">
        <v>0</v>
      </c>
      <c r="DI973" s="32">
        <v>0</v>
      </c>
      <c r="DJ973" s="34">
        <v>10</v>
      </c>
      <c r="DK973" s="32" t="s">
        <v>151</v>
      </c>
      <c r="DL973" s="34" t="s">
        <v>151</v>
      </c>
      <c r="DM973" s="32">
        <v>0</v>
      </c>
      <c r="DN973" s="34">
        <v>10</v>
      </c>
      <c r="DO973" s="36">
        <v>1.67</v>
      </c>
      <c r="DP973" s="34">
        <v>62</v>
      </c>
      <c r="DQ973" s="36">
        <v>0</v>
      </c>
      <c r="DR973" s="32">
        <v>0</v>
      </c>
      <c r="DS973" s="36">
        <v>3.26</v>
      </c>
      <c r="DT973" s="34">
        <v>76</v>
      </c>
      <c r="DU973" s="36" t="s">
        <v>151</v>
      </c>
      <c r="DV973" s="34" t="s">
        <v>151</v>
      </c>
      <c r="DW973" s="36">
        <v>3.26</v>
      </c>
      <c r="DX973" s="34">
        <v>75</v>
      </c>
      <c r="DY973" s="31" t="s">
        <v>151</v>
      </c>
      <c r="DZ973" s="35" t="s">
        <v>151</v>
      </c>
      <c r="EA973" s="35" t="s">
        <v>151</v>
      </c>
      <c r="EB973" s="34" t="s">
        <v>151</v>
      </c>
      <c r="EC973" s="33" t="s">
        <v>151</v>
      </c>
      <c r="ED973" s="32" t="s">
        <v>151</v>
      </c>
      <c r="EE973" s="34">
        <v>62</v>
      </c>
      <c r="EF973" s="33">
        <v>0</v>
      </c>
      <c r="EG973" s="32">
        <v>0</v>
      </c>
      <c r="EH973" s="29" t="s">
        <v>198</v>
      </c>
      <c r="EI973" s="30" t="s">
        <v>151</v>
      </c>
      <c r="EJ973" s="30" t="s">
        <v>151</v>
      </c>
      <c r="EK973" s="31" t="s">
        <v>151</v>
      </c>
      <c r="EL973" s="31" t="s">
        <v>151</v>
      </c>
      <c r="EM973" s="31" t="s">
        <v>151</v>
      </c>
      <c r="EN973" s="31" t="s">
        <v>151</v>
      </c>
      <c r="EO973" s="31" t="s">
        <v>151</v>
      </c>
      <c r="EP973" s="30" t="s">
        <v>151</v>
      </c>
      <c r="EQ973" s="29" t="s">
        <v>151</v>
      </c>
      <c r="ER973" s="29" t="s">
        <v>151</v>
      </c>
      <c r="ES973" s="4">
        <f>HYPERLINK("https://my.pitchbook.com?c=225729-46","View Company Online")</f>
      </c>
    </row>
    <row r="974">
      <c r="A974" s="17" t="s">
        <v>19625</v>
      </c>
      <c r="B974" s="17" t="s">
        <v>19626</v>
      </c>
      <c r="C974" s="18" t="s">
        <v>151</v>
      </c>
      <c r="D974" s="17" t="s">
        <v>151</v>
      </c>
      <c r="E974" s="17" t="s">
        <v>151</v>
      </c>
      <c r="F974" s="17" t="s">
        <v>19627</v>
      </c>
      <c r="G974" s="17" t="s">
        <v>151</v>
      </c>
      <c r="H974" s="17" t="s">
        <v>151</v>
      </c>
      <c r="I974" s="17" t="s">
        <v>19628</v>
      </c>
      <c r="J974" s="17" t="s">
        <v>19625</v>
      </c>
      <c r="K974" s="17" t="s">
        <v>19629</v>
      </c>
      <c r="L974" s="17" t="s">
        <v>205</v>
      </c>
      <c r="M974" s="17" t="s">
        <v>206</v>
      </c>
      <c r="N974" s="17" t="s">
        <v>1268</v>
      </c>
      <c r="O974" s="17" t="s">
        <v>2129</v>
      </c>
      <c r="P974" s="17" t="s">
        <v>9432</v>
      </c>
      <c r="Q974" s="17" t="s">
        <v>19630</v>
      </c>
      <c r="R974" s="17" t="s">
        <v>151</v>
      </c>
      <c r="S974" s="17" t="s">
        <v>162</v>
      </c>
      <c r="T974" s="24">
        <v>5.75</v>
      </c>
      <c r="U974" s="17" t="s">
        <v>163</v>
      </c>
      <c r="V974" s="17" t="s">
        <v>164</v>
      </c>
      <c r="W974" s="17" t="s">
        <v>165</v>
      </c>
      <c r="X974" s="15" t="s">
        <v>19631</v>
      </c>
      <c r="Y974" s="15" t="s">
        <v>19632</v>
      </c>
      <c r="Z974" s="27">
        <v>10</v>
      </c>
      <c r="AA974" s="17" t="s">
        <v>14207</v>
      </c>
      <c r="AB974" s="17" t="s">
        <v>151</v>
      </c>
      <c r="AC974" s="17" t="s">
        <v>151</v>
      </c>
      <c r="AD974" s="26">
        <v>2021</v>
      </c>
      <c r="AE974" s="17" t="s">
        <v>151</v>
      </c>
      <c r="AF974" s="22">
        <v>45470</v>
      </c>
      <c r="AG974" s="17" t="s">
        <v>151</v>
      </c>
      <c r="AH974" s="17" t="s">
        <v>151</v>
      </c>
      <c r="AI974" s="25" t="s">
        <v>151</v>
      </c>
      <c r="AJ974" s="19" t="s">
        <v>151</v>
      </c>
      <c r="AK974" s="25" t="s">
        <v>151</v>
      </c>
      <c r="AL974" s="25" t="s">
        <v>151</v>
      </c>
      <c r="AM974" s="25" t="s">
        <v>151</v>
      </c>
      <c r="AN974" s="25" t="s">
        <v>151</v>
      </c>
      <c r="AO974" s="25" t="s">
        <v>151</v>
      </c>
      <c r="AP974" s="25" t="s">
        <v>151</v>
      </c>
      <c r="AQ974" s="25" t="s">
        <v>151</v>
      </c>
      <c r="AR974" s="16" t="s">
        <v>151</v>
      </c>
      <c r="AS974" s="17" t="s">
        <v>19633</v>
      </c>
      <c r="AT974" s="17" t="s">
        <v>19634</v>
      </c>
      <c r="AU974" s="18">
        <v>5</v>
      </c>
      <c r="AV974" s="17" t="s">
        <v>151</v>
      </c>
      <c r="AW974" s="17" t="s">
        <v>151</v>
      </c>
      <c r="AX974" s="17" t="s">
        <v>151</v>
      </c>
      <c r="AY974" s="17" t="s">
        <v>19635</v>
      </c>
      <c r="AZ974" s="17" t="s">
        <v>151</v>
      </c>
      <c r="BA974" s="17" t="s">
        <v>151</v>
      </c>
      <c r="BB974" s="17" t="s">
        <v>151</v>
      </c>
      <c r="BC974" s="17" t="s">
        <v>490</v>
      </c>
      <c r="BD974" s="17" t="s">
        <v>19636</v>
      </c>
      <c r="BE974" s="17" t="s">
        <v>19637</v>
      </c>
      <c r="BF974" s="17" t="s">
        <v>2427</v>
      </c>
      <c r="BG974" s="17" t="s">
        <v>19638</v>
      </c>
      <c r="BH974" s="17" t="s">
        <v>19639</v>
      </c>
      <c r="BI974" s="17" t="s">
        <v>224</v>
      </c>
      <c r="BJ974" s="17" t="s">
        <v>19640</v>
      </c>
      <c r="BK974" s="17" t="s">
        <v>151</v>
      </c>
      <c r="BL974" s="17" t="s">
        <v>227</v>
      </c>
      <c r="BM974" s="17" t="s">
        <v>184</v>
      </c>
      <c r="BN974" s="16" t="s">
        <v>19641</v>
      </c>
      <c r="BO974" s="17" t="s">
        <v>186</v>
      </c>
      <c r="BP974" s="16" t="s">
        <v>19639</v>
      </c>
      <c r="BQ974" s="16" t="s">
        <v>151</v>
      </c>
      <c r="BR974" s="17" t="s">
        <v>19642</v>
      </c>
      <c r="BS974" s="17" t="s">
        <v>187</v>
      </c>
      <c r="BT974" s="17" t="s">
        <v>188</v>
      </c>
      <c r="BU974" s="22">
        <v>44784</v>
      </c>
      <c r="BV974" s="24">
        <v>5.75</v>
      </c>
      <c r="BW974" s="17" t="s">
        <v>192</v>
      </c>
      <c r="BX974" s="24" t="s">
        <v>151</v>
      </c>
      <c r="BY974" s="17" t="s">
        <v>151</v>
      </c>
      <c r="BZ974" s="17" t="s">
        <v>293</v>
      </c>
      <c r="CA974" s="17" t="s">
        <v>293</v>
      </c>
      <c r="CB974" s="17" t="s">
        <v>151</v>
      </c>
      <c r="CC974" s="17" t="s">
        <v>165</v>
      </c>
      <c r="CD974" s="17" t="s">
        <v>151</v>
      </c>
      <c r="CE974" s="17" t="s">
        <v>191</v>
      </c>
      <c r="CF974" s="22">
        <v>44784</v>
      </c>
      <c r="CG974" s="24">
        <v>5.75</v>
      </c>
      <c r="CH974" s="17" t="s">
        <v>192</v>
      </c>
      <c r="CI974" s="24" t="s">
        <v>151</v>
      </c>
      <c r="CJ974" s="17" t="s">
        <v>151</v>
      </c>
      <c r="CK974" s="16" t="s">
        <v>151</v>
      </c>
      <c r="CL974" s="17" t="s">
        <v>293</v>
      </c>
      <c r="CM974" s="17" t="s">
        <v>293</v>
      </c>
      <c r="CN974" s="17" t="s">
        <v>151</v>
      </c>
      <c r="CO974" s="17" t="s">
        <v>165</v>
      </c>
      <c r="CP974" s="22">
        <v>44784</v>
      </c>
      <c r="CQ974" s="24" t="s">
        <v>151</v>
      </c>
      <c r="CR974" s="17" t="s">
        <v>151</v>
      </c>
      <c r="CS974" s="17" t="s">
        <v>191</v>
      </c>
      <c r="CT974" s="16" t="s">
        <v>151</v>
      </c>
      <c r="CU974" s="17" t="s">
        <v>151</v>
      </c>
      <c r="CV974" s="19" t="s">
        <v>151</v>
      </c>
      <c r="CW974" s="19" t="s">
        <v>151</v>
      </c>
      <c r="CX974" s="17" t="s">
        <v>151</v>
      </c>
      <c r="CY974" s="19" t="s">
        <v>151</v>
      </c>
      <c r="CZ974" s="19" t="s">
        <v>151</v>
      </c>
      <c r="DA974" s="24" t="s">
        <v>151</v>
      </c>
      <c r="DB974" s="22" t="s">
        <v>151</v>
      </c>
      <c r="DC974" s="17" t="s">
        <v>151</v>
      </c>
      <c r="DD974" s="16" t="s">
        <v>151</v>
      </c>
      <c r="DE974" s="19">
        <v>0.69</v>
      </c>
      <c r="DF974" s="21">
        <v>95</v>
      </c>
      <c r="DG974" s="19">
        <v>0</v>
      </c>
      <c r="DH974" s="19">
        <v>0</v>
      </c>
      <c r="DI974" s="19">
        <v>0</v>
      </c>
      <c r="DJ974" s="21">
        <v>10</v>
      </c>
      <c r="DK974" s="19" t="s">
        <v>151</v>
      </c>
      <c r="DL974" s="21" t="s">
        <v>151</v>
      </c>
      <c r="DM974" s="19">
        <v>0</v>
      </c>
      <c r="DN974" s="21">
        <v>10</v>
      </c>
      <c r="DO974" s="23">
        <v>1.52</v>
      </c>
      <c r="DP974" s="21">
        <v>60</v>
      </c>
      <c r="DQ974" s="23">
        <v>0</v>
      </c>
      <c r="DR974" s="19">
        <v>0</v>
      </c>
      <c r="DS974" s="23">
        <v>2.26</v>
      </c>
      <c r="DT974" s="21">
        <v>69</v>
      </c>
      <c r="DU974" s="23" t="s">
        <v>151</v>
      </c>
      <c r="DV974" s="21" t="s">
        <v>151</v>
      </c>
      <c r="DW974" s="23">
        <v>2.26</v>
      </c>
      <c r="DX974" s="21">
        <v>68</v>
      </c>
      <c r="DY974" s="18" t="s">
        <v>151</v>
      </c>
      <c r="DZ974" s="22" t="s">
        <v>151</v>
      </c>
      <c r="EA974" s="22" t="s">
        <v>151</v>
      </c>
      <c r="EB974" s="21">
        <v>226</v>
      </c>
      <c r="EC974" s="20">
        <v>2</v>
      </c>
      <c r="ED974" s="19">
        <v>0.89</v>
      </c>
      <c r="EE974" s="21">
        <v>43</v>
      </c>
      <c r="EF974" s="20">
        <v>0</v>
      </c>
      <c r="EG974" s="19">
        <v>0</v>
      </c>
      <c r="EH974" s="16" t="s">
        <v>198</v>
      </c>
      <c r="EI974" s="17" t="s">
        <v>151</v>
      </c>
      <c r="EJ974" s="17" t="s">
        <v>151</v>
      </c>
      <c r="EK974" s="18" t="s">
        <v>151</v>
      </c>
      <c r="EL974" s="18" t="s">
        <v>151</v>
      </c>
      <c r="EM974" s="18" t="s">
        <v>151</v>
      </c>
      <c r="EN974" s="18" t="s">
        <v>151</v>
      </c>
      <c r="EO974" s="18" t="s">
        <v>151</v>
      </c>
      <c r="EP974" s="17" t="s">
        <v>151</v>
      </c>
      <c r="EQ974" s="16" t="s">
        <v>151</v>
      </c>
      <c r="ER974" s="16" t="s">
        <v>151</v>
      </c>
      <c r="ES974" s="3">
        <f>HYPERLINK("https://my.pitchbook.com?c=493234-66","View Company Online")</f>
      </c>
    </row>
    <row r="975">
      <c r="A975" s="30" t="s">
        <v>19643</v>
      </c>
      <c r="B975" s="30" t="s">
        <v>19644</v>
      </c>
      <c r="C975" s="31" t="s">
        <v>151</v>
      </c>
      <c r="D975" s="30" t="s">
        <v>151</v>
      </c>
      <c r="E975" s="30" t="s">
        <v>19645</v>
      </c>
      <c r="F975" s="30" t="s">
        <v>19646</v>
      </c>
      <c r="G975" s="30" t="s">
        <v>151</v>
      </c>
      <c r="H975" s="30" t="s">
        <v>151</v>
      </c>
      <c r="I975" s="30" t="s">
        <v>151</v>
      </c>
      <c r="J975" s="30" t="s">
        <v>19643</v>
      </c>
      <c r="K975" s="30" t="s">
        <v>19647</v>
      </c>
      <c r="L975" s="30" t="s">
        <v>205</v>
      </c>
      <c r="M975" s="30" t="s">
        <v>206</v>
      </c>
      <c r="N975" s="30" t="s">
        <v>269</v>
      </c>
      <c r="O975" s="30" t="s">
        <v>1819</v>
      </c>
      <c r="P975" s="30" t="s">
        <v>151</v>
      </c>
      <c r="Q975" s="30" t="s">
        <v>19648</v>
      </c>
      <c r="R975" s="30" t="s">
        <v>151</v>
      </c>
      <c r="S975" s="30" t="s">
        <v>162</v>
      </c>
      <c r="T975" s="37">
        <v>4.5</v>
      </c>
      <c r="U975" s="30" t="s">
        <v>163</v>
      </c>
      <c r="V975" s="30" t="s">
        <v>164</v>
      </c>
      <c r="W975" s="30" t="s">
        <v>165</v>
      </c>
      <c r="X975" s="28" t="s">
        <v>19649</v>
      </c>
      <c r="Y975" s="28" t="s">
        <v>19650</v>
      </c>
      <c r="Z975" s="40">
        <v>10</v>
      </c>
      <c r="AA975" s="30" t="s">
        <v>6643</v>
      </c>
      <c r="AB975" s="30" t="s">
        <v>151</v>
      </c>
      <c r="AC975" s="30" t="s">
        <v>151</v>
      </c>
      <c r="AD975" s="39">
        <v>2022</v>
      </c>
      <c r="AE975" s="30" t="s">
        <v>151</v>
      </c>
      <c r="AF975" s="35">
        <v>45496</v>
      </c>
      <c r="AG975" s="30" t="s">
        <v>151</v>
      </c>
      <c r="AH975" s="30" t="s">
        <v>151</v>
      </c>
      <c r="AI975" s="38" t="s">
        <v>151</v>
      </c>
      <c r="AJ975" s="32" t="s">
        <v>151</v>
      </c>
      <c r="AK975" s="38" t="s">
        <v>151</v>
      </c>
      <c r="AL975" s="38" t="s">
        <v>151</v>
      </c>
      <c r="AM975" s="38" t="s">
        <v>151</v>
      </c>
      <c r="AN975" s="38" t="s">
        <v>151</v>
      </c>
      <c r="AO975" s="38" t="s">
        <v>151</v>
      </c>
      <c r="AP975" s="38" t="s">
        <v>151</v>
      </c>
      <c r="AQ975" s="38" t="s">
        <v>151</v>
      </c>
      <c r="AR975" s="29" t="s">
        <v>151</v>
      </c>
      <c r="AS975" s="30" t="s">
        <v>19651</v>
      </c>
      <c r="AT975" s="30" t="s">
        <v>19652</v>
      </c>
      <c r="AU975" s="31">
        <v>1</v>
      </c>
      <c r="AV975" s="30" t="s">
        <v>151</v>
      </c>
      <c r="AW975" s="30" t="s">
        <v>151</v>
      </c>
      <c r="AX975" s="30" t="s">
        <v>151</v>
      </c>
      <c r="AY975" s="30" t="s">
        <v>19653</v>
      </c>
      <c r="AZ975" s="30" t="s">
        <v>151</v>
      </c>
      <c r="BA975" s="30" t="s">
        <v>151</v>
      </c>
      <c r="BB975" s="30" t="s">
        <v>151</v>
      </c>
      <c r="BC975" s="30" t="s">
        <v>490</v>
      </c>
      <c r="BD975" s="30" t="s">
        <v>19654</v>
      </c>
      <c r="BE975" s="30" t="s">
        <v>19655</v>
      </c>
      <c r="BF975" s="30" t="s">
        <v>221</v>
      </c>
      <c r="BG975" s="30" t="s">
        <v>19656</v>
      </c>
      <c r="BH975" s="30" t="s">
        <v>19657</v>
      </c>
      <c r="BI975" s="30" t="s">
        <v>906</v>
      </c>
      <c r="BJ975" s="30" t="s">
        <v>19658</v>
      </c>
      <c r="BK975" s="30" t="s">
        <v>151</v>
      </c>
      <c r="BL975" s="30" t="s">
        <v>259</v>
      </c>
      <c r="BM975" s="30" t="s">
        <v>259</v>
      </c>
      <c r="BN975" s="29" t="s">
        <v>19659</v>
      </c>
      <c r="BO975" s="30" t="s">
        <v>186</v>
      </c>
      <c r="BP975" s="29" t="s">
        <v>19657</v>
      </c>
      <c r="BQ975" s="29" t="s">
        <v>151</v>
      </c>
      <c r="BR975" s="30" t="s">
        <v>19660</v>
      </c>
      <c r="BS975" s="30" t="s">
        <v>187</v>
      </c>
      <c r="BT975" s="30" t="s">
        <v>188</v>
      </c>
      <c r="BU975" s="35">
        <v>45307</v>
      </c>
      <c r="BV975" s="37">
        <v>4.5</v>
      </c>
      <c r="BW975" s="30" t="s">
        <v>192</v>
      </c>
      <c r="BX975" s="37">
        <v>14.5</v>
      </c>
      <c r="BY975" s="30" t="s">
        <v>193</v>
      </c>
      <c r="BZ975" s="30" t="s">
        <v>293</v>
      </c>
      <c r="CA975" s="30" t="s">
        <v>293</v>
      </c>
      <c r="CB975" s="30" t="s">
        <v>151</v>
      </c>
      <c r="CC975" s="30" t="s">
        <v>165</v>
      </c>
      <c r="CD975" s="30" t="s">
        <v>151</v>
      </c>
      <c r="CE975" s="30" t="s">
        <v>191</v>
      </c>
      <c r="CF975" s="35">
        <v>45307</v>
      </c>
      <c r="CG975" s="37">
        <v>4.5</v>
      </c>
      <c r="CH975" s="30" t="s">
        <v>192</v>
      </c>
      <c r="CI975" s="37">
        <v>14.5</v>
      </c>
      <c r="CJ975" s="30" t="s">
        <v>193</v>
      </c>
      <c r="CK975" s="29" t="s">
        <v>151</v>
      </c>
      <c r="CL975" s="30" t="s">
        <v>293</v>
      </c>
      <c r="CM975" s="30" t="s">
        <v>293</v>
      </c>
      <c r="CN975" s="30" t="s">
        <v>151</v>
      </c>
      <c r="CO975" s="30" t="s">
        <v>165</v>
      </c>
      <c r="CP975" s="35">
        <v>45307</v>
      </c>
      <c r="CQ975" s="37" t="s">
        <v>151</v>
      </c>
      <c r="CR975" s="30" t="s">
        <v>151</v>
      </c>
      <c r="CS975" s="30" t="s">
        <v>191</v>
      </c>
      <c r="CT975" s="29" t="s">
        <v>151</v>
      </c>
      <c r="CU975" s="30" t="s">
        <v>151</v>
      </c>
      <c r="CV975" s="32" t="s">
        <v>151</v>
      </c>
      <c r="CW975" s="32" t="s">
        <v>151</v>
      </c>
      <c r="CX975" s="30" t="s">
        <v>151</v>
      </c>
      <c r="CY975" s="32" t="s">
        <v>151</v>
      </c>
      <c r="CZ975" s="32" t="s">
        <v>151</v>
      </c>
      <c r="DA975" s="37">
        <v>14.5</v>
      </c>
      <c r="DB975" s="35">
        <v>45307</v>
      </c>
      <c r="DC975" s="30" t="s">
        <v>293</v>
      </c>
      <c r="DD975" s="29" t="s">
        <v>151</v>
      </c>
      <c r="DE975" s="32">
        <v>1.39</v>
      </c>
      <c r="DF975" s="34">
        <v>97</v>
      </c>
      <c r="DG975" s="32">
        <v>0</v>
      </c>
      <c r="DH975" s="32">
        <v>0</v>
      </c>
      <c r="DI975" s="32" t="s">
        <v>151</v>
      </c>
      <c r="DJ975" s="34" t="s">
        <v>151</v>
      </c>
      <c r="DK975" s="32" t="s">
        <v>151</v>
      </c>
      <c r="DL975" s="34" t="s">
        <v>151</v>
      </c>
      <c r="DM975" s="32" t="s">
        <v>151</v>
      </c>
      <c r="DN975" s="34" t="s">
        <v>151</v>
      </c>
      <c r="DO975" s="36">
        <v>0.77</v>
      </c>
      <c r="DP975" s="34">
        <v>44</v>
      </c>
      <c r="DQ975" s="36">
        <v>0</v>
      </c>
      <c r="DR975" s="32">
        <v>0</v>
      </c>
      <c r="DS975" s="36" t="s">
        <v>151</v>
      </c>
      <c r="DT975" s="34" t="s">
        <v>151</v>
      </c>
      <c r="DU975" s="36" t="s">
        <v>151</v>
      </c>
      <c r="DV975" s="34" t="s">
        <v>151</v>
      </c>
      <c r="DW975" s="36" t="s">
        <v>151</v>
      </c>
      <c r="DX975" s="34" t="s">
        <v>151</v>
      </c>
      <c r="DY975" s="31" t="s">
        <v>151</v>
      </c>
      <c r="DZ975" s="35" t="s">
        <v>151</v>
      </c>
      <c r="EA975" s="35" t="s">
        <v>151</v>
      </c>
      <c r="EB975" s="34">
        <v>332</v>
      </c>
      <c r="EC975" s="33">
        <v>43</v>
      </c>
      <c r="ED975" s="32">
        <v>14.88</v>
      </c>
      <c r="EE975" s="34" t="s">
        <v>151</v>
      </c>
      <c r="EF975" s="33" t="s">
        <v>151</v>
      </c>
      <c r="EG975" s="32" t="s">
        <v>151</v>
      </c>
      <c r="EH975" s="29" t="s">
        <v>198</v>
      </c>
      <c r="EI975" s="30" t="s">
        <v>151</v>
      </c>
      <c r="EJ975" s="30" t="s">
        <v>151</v>
      </c>
      <c r="EK975" s="31" t="s">
        <v>151</v>
      </c>
      <c r="EL975" s="31" t="s">
        <v>151</v>
      </c>
      <c r="EM975" s="31" t="s">
        <v>151</v>
      </c>
      <c r="EN975" s="31" t="s">
        <v>151</v>
      </c>
      <c r="EO975" s="31" t="s">
        <v>151</v>
      </c>
      <c r="EP975" s="30" t="s">
        <v>151</v>
      </c>
      <c r="EQ975" s="29" t="s">
        <v>151</v>
      </c>
      <c r="ER975" s="29" t="s">
        <v>151</v>
      </c>
      <c r="ES975" s="4">
        <f>HYPERLINK("https://my.pitchbook.com?c=543704-05","View Company Online")</f>
      </c>
    </row>
    <row r="976">
      <c r="A976" s="17" t="s">
        <v>19661</v>
      </c>
      <c r="B976" s="17" t="s">
        <v>19662</v>
      </c>
      <c r="C976" s="18" t="s">
        <v>151</v>
      </c>
      <c r="D976" s="17" t="s">
        <v>151</v>
      </c>
      <c r="E976" s="17" t="s">
        <v>19663</v>
      </c>
      <c r="F976" s="17" t="s">
        <v>19664</v>
      </c>
      <c r="G976" s="17" t="s">
        <v>151</v>
      </c>
      <c r="H976" s="17" t="s">
        <v>151</v>
      </c>
      <c r="I976" s="17" t="s">
        <v>19665</v>
      </c>
      <c r="J976" s="17" t="s">
        <v>19661</v>
      </c>
      <c r="K976" s="17" t="s">
        <v>19666</v>
      </c>
      <c r="L976" s="17" t="s">
        <v>205</v>
      </c>
      <c r="M976" s="17" t="s">
        <v>206</v>
      </c>
      <c r="N976" s="17" t="s">
        <v>1940</v>
      </c>
      <c r="O976" s="17" t="s">
        <v>5396</v>
      </c>
      <c r="P976" s="17" t="s">
        <v>2174</v>
      </c>
      <c r="Q976" s="17" t="s">
        <v>19667</v>
      </c>
      <c r="R976" s="17" t="s">
        <v>151</v>
      </c>
      <c r="S976" s="17" t="s">
        <v>162</v>
      </c>
      <c r="T976" s="24">
        <v>1.29</v>
      </c>
      <c r="U976" s="17" t="s">
        <v>163</v>
      </c>
      <c r="V976" s="17" t="s">
        <v>164</v>
      </c>
      <c r="W976" s="17" t="s">
        <v>165</v>
      </c>
      <c r="X976" s="15" t="s">
        <v>19668</v>
      </c>
      <c r="Y976" s="15" t="s">
        <v>19669</v>
      </c>
      <c r="Z976" s="27">
        <v>15</v>
      </c>
      <c r="AA976" s="17" t="s">
        <v>19670</v>
      </c>
      <c r="AB976" s="17" t="s">
        <v>151</v>
      </c>
      <c r="AC976" s="17" t="s">
        <v>151</v>
      </c>
      <c r="AD976" s="26">
        <v>2019</v>
      </c>
      <c r="AE976" s="17" t="s">
        <v>151</v>
      </c>
      <c r="AF976" s="22">
        <v>45559</v>
      </c>
      <c r="AG976" s="17" t="s">
        <v>151</v>
      </c>
      <c r="AH976" s="17" t="s">
        <v>151</v>
      </c>
      <c r="AI976" s="25" t="s">
        <v>151</v>
      </c>
      <c r="AJ976" s="19" t="s">
        <v>151</v>
      </c>
      <c r="AK976" s="25" t="s">
        <v>151</v>
      </c>
      <c r="AL976" s="25" t="s">
        <v>151</v>
      </c>
      <c r="AM976" s="25" t="s">
        <v>151</v>
      </c>
      <c r="AN976" s="25" t="s">
        <v>151</v>
      </c>
      <c r="AO976" s="25" t="s">
        <v>151</v>
      </c>
      <c r="AP976" s="25" t="s">
        <v>151</v>
      </c>
      <c r="AQ976" s="25" t="s">
        <v>151</v>
      </c>
      <c r="AR976" s="16" t="s">
        <v>151</v>
      </c>
      <c r="AS976" s="17" t="s">
        <v>19671</v>
      </c>
      <c r="AT976" s="17" t="s">
        <v>19672</v>
      </c>
      <c r="AU976" s="18">
        <v>5</v>
      </c>
      <c r="AV976" s="17" t="s">
        <v>151</v>
      </c>
      <c r="AW976" s="17" t="s">
        <v>151</v>
      </c>
      <c r="AX976" s="17" t="s">
        <v>151</v>
      </c>
      <c r="AY976" s="17" t="s">
        <v>19673</v>
      </c>
      <c r="AZ976" s="17" t="s">
        <v>151</v>
      </c>
      <c r="BA976" s="17" t="s">
        <v>151</v>
      </c>
      <c r="BB976" s="17" t="s">
        <v>151</v>
      </c>
      <c r="BC976" s="17" t="s">
        <v>151</v>
      </c>
      <c r="BD976" s="17" t="s">
        <v>19674</v>
      </c>
      <c r="BE976" s="17" t="s">
        <v>19675</v>
      </c>
      <c r="BF976" s="17" t="s">
        <v>403</v>
      </c>
      <c r="BG976" s="17" t="s">
        <v>19676</v>
      </c>
      <c r="BH976" s="17" t="s">
        <v>19677</v>
      </c>
      <c r="BI976" s="17" t="s">
        <v>906</v>
      </c>
      <c r="BJ976" s="17" t="s">
        <v>19678</v>
      </c>
      <c r="BK976" s="17" t="s">
        <v>151</v>
      </c>
      <c r="BL976" s="17" t="s">
        <v>259</v>
      </c>
      <c r="BM976" s="17" t="s">
        <v>259</v>
      </c>
      <c r="BN976" s="16" t="s">
        <v>151</v>
      </c>
      <c r="BO976" s="17" t="s">
        <v>186</v>
      </c>
      <c r="BP976" s="16" t="s">
        <v>19679</v>
      </c>
      <c r="BQ976" s="16" t="s">
        <v>151</v>
      </c>
      <c r="BR976" s="17" t="s">
        <v>19680</v>
      </c>
      <c r="BS976" s="17" t="s">
        <v>187</v>
      </c>
      <c r="BT976" s="17" t="s">
        <v>188</v>
      </c>
      <c r="BU976" s="22">
        <v>44562</v>
      </c>
      <c r="BV976" s="24">
        <v>0.15</v>
      </c>
      <c r="BW976" s="17" t="s">
        <v>192</v>
      </c>
      <c r="BX976" s="24" t="s">
        <v>151</v>
      </c>
      <c r="BY976" s="17" t="s">
        <v>151</v>
      </c>
      <c r="BZ976" s="17" t="s">
        <v>189</v>
      </c>
      <c r="CA976" s="17" t="s">
        <v>151</v>
      </c>
      <c r="CB976" s="17" t="s">
        <v>151</v>
      </c>
      <c r="CC976" s="17" t="s">
        <v>190</v>
      </c>
      <c r="CD976" s="17" t="s">
        <v>151</v>
      </c>
      <c r="CE976" s="17" t="s">
        <v>191</v>
      </c>
      <c r="CF976" s="22">
        <v>44771</v>
      </c>
      <c r="CG976" s="24">
        <v>1.04</v>
      </c>
      <c r="CH976" s="17" t="s">
        <v>192</v>
      </c>
      <c r="CI976" s="24" t="s">
        <v>151</v>
      </c>
      <c r="CJ976" s="17" t="s">
        <v>151</v>
      </c>
      <c r="CK976" s="16" t="s">
        <v>151</v>
      </c>
      <c r="CL976" s="17" t="s">
        <v>293</v>
      </c>
      <c r="CM976" s="17" t="s">
        <v>293</v>
      </c>
      <c r="CN976" s="17" t="s">
        <v>151</v>
      </c>
      <c r="CO976" s="17" t="s">
        <v>165</v>
      </c>
      <c r="CP976" s="22">
        <v>44771</v>
      </c>
      <c r="CQ976" s="24" t="s">
        <v>151</v>
      </c>
      <c r="CR976" s="17" t="s">
        <v>151</v>
      </c>
      <c r="CS976" s="17" t="s">
        <v>191</v>
      </c>
      <c r="CT976" s="16" t="s">
        <v>151</v>
      </c>
      <c r="CU976" s="17" t="s">
        <v>151</v>
      </c>
      <c r="CV976" s="19" t="s">
        <v>151</v>
      </c>
      <c r="CW976" s="19" t="s">
        <v>151</v>
      </c>
      <c r="CX976" s="17" t="s">
        <v>151</v>
      </c>
      <c r="CY976" s="19" t="s">
        <v>151</v>
      </c>
      <c r="CZ976" s="19" t="s">
        <v>151</v>
      </c>
      <c r="DA976" s="24" t="s">
        <v>151</v>
      </c>
      <c r="DB976" s="22" t="s">
        <v>151</v>
      </c>
      <c r="DC976" s="17" t="s">
        <v>151</v>
      </c>
      <c r="DD976" s="16" t="s">
        <v>151</v>
      </c>
      <c r="DE976" s="19">
        <v>0.45</v>
      </c>
      <c r="DF976" s="21">
        <v>94</v>
      </c>
      <c r="DG976" s="19">
        <v>0</v>
      </c>
      <c r="DH976" s="19">
        <v>0</v>
      </c>
      <c r="DI976" s="19">
        <v>0</v>
      </c>
      <c r="DJ976" s="21">
        <v>10</v>
      </c>
      <c r="DK976" s="19" t="s">
        <v>151</v>
      </c>
      <c r="DL976" s="21" t="s">
        <v>151</v>
      </c>
      <c r="DM976" s="19">
        <v>0</v>
      </c>
      <c r="DN976" s="21">
        <v>10</v>
      </c>
      <c r="DO976" s="23">
        <v>1.39</v>
      </c>
      <c r="DP976" s="21">
        <v>58</v>
      </c>
      <c r="DQ976" s="23">
        <v>0</v>
      </c>
      <c r="DR976" s="19">
        <v>0</v>
      </c>
      <c r="DS976" s="23">
        <v>1.63</v>
      </c>
      <c r="DT976" s="21">
        <v>61</v>
      </c>
      <c r="DU976" s="23" t="s">
        <v>151</v>
      </c>
      <c r="DV976" s="21" t="s">
        <v>151</v>
      </c>
      <c r="DW976" s="23">
        <v>1.63</v>
      </c>
      <c r="DX976" s="21">
        <v>61</v>
      </c>
      <c r="DY976" s="18" t="s">
        <v>151</v>
      </c>
      <c r="DZ976" s="22" t="s">
        <v>151</v>
      </c>
      <c r="EA976" s="22" t="s">
        <v>151</v>
      </c>
      <c r="EB976" s="21">
        <v>289</v>
      </c>
      <c r="EC976" s="20">
        <v>-91</v>
      </c>
      <c r="ED976" s="19">
        <v>-23.95</v>
      </c>
      <c r="EE976" s="21">
        <v>31</v>
      </c>
      <c r="EF976" s="20">
        <v>0</v>
      </c>
      <c r="EG976" s="19">
        <v>0</v>
      </c>
      <c r="EH976" s="16" t="s">
        <v>198</v>
      </c>
      <c r="EI976" s="17" t="s">
        <v>151</v>
      </c>
      <c r="EJ976" s="17" t="s">
        <v>151</v>
      </c>
      <c r="EK976" s="18" t="s">
        <v>151</v>
      </c>
      <c r="EL976" s="18" t="s">
        <v>151</v>
      </c>
      <c r="EM976" s="18" t="s">
        <v>151</v>
      </c>
      <c r="EN976" s="18" t="s">
        <v>151</v>
      </c>
      <c r="EO976" s="18" t="s">
        <v>151</v>
      </c>
      <c r="EP976" s="17" t="s">
        <v>151</v>
      </c>
      <c r="EQ976" s="16" t="s">
        <v>151</v>
      </c>
      <c r="ER976" s="16" t="s">
        <v>151</v>
      </c>
      <c r="ES976" s="3">
        <f>HYPERLINK("https://my.pitchbook.com?c=470049-22","View Company Online")</f>
      </c>
    </row>
    <row r="977">
      <c r="A977" s="30" t="s">
        <v>19681</v>
      </c>
      <c r="B977" s="30" t="s">
        <v>19682</v>
      </c>
      <c r="C977" s="31" t="s">
        <v>151</v>
      </c>
      <c r="D977" s="30" t="s">
        <v>19683</v>
      </c>
      <c r="E977" s="30" t="s">
        <v>151</v>
      </c>
      <c r="F977" s="30" t="s">
        <v>19684</v>
      </c>
      <c r="G977" s="30" t="s">
        <v>151</v>
      </c>
      <c r="H977" s="30" t="s">
        <v>151</v>
      </c>
      <c r="I977" s="30" t="s">
        <v>151</v>
      </c>
      <c r="J977" s="30" t="s">
        <v>19681</v>
      </c>
      <c r="K977" s="30" t="s">
        <v>19685</v>
      </c>
      <c r="L977" s="30" t="s">
        <v>205</v>
      </c>
      <c r="M977" s="30" t="s">
        <v>206</v>
      </c>
      <c r="N977" s="30" t="s">
        <v>776</v>
      </c>
      <c r="O977" s="30" t="s">
        <v>19686</v>
      </c>
      <c r="P977" s="30" t="s">
        <v>19687</v>
      </c>
      <c r="Q977" s="30" t="s">
        <v>19688</v>
      </c>
      <c r="R977" s="30" t="s">
        <v>151</v>
      </c>
      <c r="S977" s="30" t="s">
        <v>162</v>
      </c>
      <c r="T977" s="37">
        <v>4.92</v>
      </c>
      <c r="U977" s="30" t="s">
        <v>4045</v>
      </c>
      <c r="V977" s="30" t="s">
        <v>164</v>
      </c>
      <c r="W977" s="30" t="s">
        <v>165</v>
      </c>
      <c r="X977" s="28" t="s">
        <v>19689</v>
      </c>
      <c r="Y977" s="28" t="s">
        <v>19690</v>
      </c>
      <c r="Z977" s="40">
        <v>41</v>
      </c>
      <c r="AA977" s="30" t="s">
        <v>19691</v>
      </c>
      <c r="AB977" s="30" t="s">
        <v>151</v>
      </c>
      <c r="AC977" s="30" t="s">
        <v>151</v>
      </c>
      <c r="AD977" s="39">
        <v>2016</v>
      </c>
      <c r="AE977" s="30" t="s">
        <v>151</v>
      </c>
      <c r="AF977" s="35">
        <v>45504</v>
      </c>
      <c r="AG977" s="30" t="s">
        <v>151</v>
      </c>
      <c r="AH977" s="30" t="s">
        <v>151</v>
      </c>
      <c r="AI977" s="38">
        <v>0.08</v>
      </c>
      <c r="AJ977" s="32" t="s">
        <v>151</v>
      </c>
      <c r="AK977" s="38" t="s">
        <v>151</v>
      </c>
      <c r="AL977" s="38">
        <v>-0.14</v>
      </c>
      <c r="AM977" s="38" t="s">
        <v>151</v>
      </c>
      <c r="AN977" s="38" t="s">
        <v>151</v>
      </c>
      <c r="AO977" s="38" t="s">
        <v>151</v>
      </c>
      <c r="AP977" s="38" t="s">
        <v>151</v>
      </c>
      <c r="AQ977" s="38" t="s">
        <v>151</v>
      </c>
      <c r="AR977" s="29" t="s">
        <v>7190</v>
      </c>
      <c r="AS977" s="30" t="s">
        <v>19692</v>
      </c>
      <c r="AT977" s="30" t="s">
        <v>19693</v>
      </c>
      <c r="AU977" s="31">
        <v>13</v>
      </c>
      <c r="AV977" s="30" t="s">
        <v>151</v>
      </c>
      <c r="AW977" s="30" t="s">
        <v>151</v>
      </c>
      <c r="AX977" s="30" t="s">
        <v>151</v>
      </c>
      <c r="AY977" s="30" t="s">
        <v>19694</v>
      </c>
      <c r="AZ977" s="30" t="s">
        <v>151</v>
      </c>
      <c r="BA977" s="30" t="s">
        <v>151</v>
      </c>
      <c r="BB977" s="30" t="s">
        <v>151</v>
      </c>
      <c r="BC977" s="30" t="s">
        <v>2626</v>
      </c>
      <c r="BD977" s="30" t="s">
        <v>19695</v>
      </c>
      <c r="BE977" s="30" t="s">
        <v>19696</v>
      </c>
      <c r="BF977" s="30" t="s">
        <v>403</v>
      </c>
      <c r="BG977" s="30" t="s">
        <v>19697</v>
      </c>
      <c r="BH977" s="30" t="s">
        <v>19698</v>
      </c>
      <c r="BI977" s="30" t="s">
        <v>906</v>
      </c>
      <c r="BJ977" s="30" t="s">
        <v>3193</v>
      </c>
      <c r="BK977" s="30" t="s">
        <v>2957</v>
      </c>
      <c r="BL977" s="30" t="s">
        <v>259</v>
      </c>
      <c r="BM977" s="30" t="s">
        <v>259</v>
      </c>
      <c r="BN977" s="29" t="s">
        <v>19699</v>
      </c>
      <c r="BO977" s="30" t="s">
        <v>186</v>
      </c>
      <c r="BP977" s="29" t="s">
        <v>19698</v>
      </c>
      <c r="BQ977" s="29" t="s">
        <v>151</v>
      </c>
      <c r="BR977" s="30" t="s">
        <v>19700</v>
      </c>
      <c r="BS977" s="30" t="s">
        <v>187</v>
      </c>
      <c r="BT977" s="30" t="s">
        <v>188</v>
      </c>
      <c r="BU977" s="35">
        <v>43664</v>
      </c>
      <c r="BV977" s="37">
        <v>0.12</v>
      </c>
      <c r="BW977" s="30" t="s">
        <v>192</v>
      </c>
      <c r="BX977" s="37">
        <v>0.33</v>
      </c>
      <c r="BY977" s="30" t="s">
        <v>192</v>
      </c>
      <c r="BZ977" s="30" t="s">
        <v>189</v>
      </c>
      <c r="CA977" s="30" t="s">
        <v>151</v>
      </c>
      <c r="CB977" s="30" t="s">
        <v>151</v>
      </c>
      <c r="CC977" s="30" t="s">
        <v>190</v>
      </c>
      <c r="CD977" s="30" t="s">
        <v>151</v>
      </c>
      <c r="CE977" s="30" t="s">
        <v>191</v>
      </c>
      <c r="CF977" s="35">
        <v>44979</v>
      </c>
      <c r="CG977" s="37" t="s">
        <v>151</v>
      </c>
      <c r="CH977" s="30" t="s">
        <v>151</v>
      </c>
      <c r="CI977" s="37" t="s">
        <v>151</v>
      </c>
      <c r="CJ977" s="30" t="s">
        <v>151</v>
      </c>
      <c r="CK977" s="29" t="s">
        <v>151</v>
      </c>
      <c r="CL977" s="30" t="s">
        <v>293</v>
      </c>
      <c r="CM977" s="30" t="s">
        <v>293</v>
      </c>
      <c r="CN977" s="30" t="s">
        <v>151</v>
      </c>
      <c r="CO977" s="30" t="s">
        <v>165</v>
      </c>
      <c r="CP977" s="35">
        <v>44979</v>
      </c>
      <c r="CQ977" s="37" t="s">
        <v>151</v>
      </c>
      <c r="CR977" s="30" t="s">
        <v>151</v>
      </c>
      <c r="CS977" s="30" t="s">
        <v>191</v>
      </c>
      <c r="CT977" s="29">
        <v>80</v>
      </c>
      <c r="CU977" s="30" t="s">
        <v>196</v>
      </c>
      <c r="CV977" s="32">
        <v>73</v>
      </c>
      <c r="CW977" s="32">
        <v>27</v>
      </c>
      <c r="CX977" s="30" t="s">
        <v>294</v>
      </c>
      <c r="CY977" s="32">
        <v>1</v>
      </c>
      <c r="CZ977" s="32">
        <v>72</v>
      </c>
      <c r="DA977" s="37">
        <v>19.7</v>
      </c>
      <c r="DB977" s="35">
        <v>44678</v>
      </c>
      <c r="DC977" s="30" t="s">
        <v>293</v>
      </c>
      <c r="DD977" s="29" t="s">
        <v>151</v>
      </c>
      <c r="DE977" s="32">
        <v>0.38</v>
      </c>
      <c r="DF977" s="34">
        <v>93</v>
      </c>
      <c r="DG977" s="32">
        <v>0.01</v>
      </c>
      <c r="DH977" s="32">
        <v>3.4</v>
      </c>
      <c r="DI977" s="32">
        <v>0.76</v>
      </c>
      <c r="DJ977" s="34">
        <v>96</v>
      </c>
      <c r="DK977" s="32" t="s">
        <v>151</v>
      </c>
      <c r="DL977" s="34" t="s">
        <v>151</v>
      </c>
      <c r="DM977" s="32">
        <v>0.76</v>
      </c>
      <c r="DN977" s="34">
        <v>96</v>
      </c>
      <c r="DO977" s="36">
        <v>13.16</v>
      </c>
      <c r="DP977" s="34">
        <v>92</v>
      </c>
      <c r="DQ977" s="36">
        <v>0.03</v>
      </c>
      <c r="DR977" s="32">
        <v>0.2</v>
      </c>
      <c r="DS977" s="36">
        <v>23.16</v>
      </c>
      <c r="DT977" s="34">
        <v>96</v>
      </c>
      <c r="DU977" s="36" t="s">
        <v>151</v>
      </c>
      <c r="DV977" s="34" t="s">
        <v>151</v>
      </c>
      <c r="DW977" s="36">
        <v>23.16</v>
      </c>
      <c r="DX977" s="34">
        <v>96</v>
      </c>
      <c r="DY977" s="31" t="s">
        <v>151</v>
      </c>
      <c r="DZ977" s="35" t="s">
        <v>151</v>
      </c>
      <c r="EA977" s="35" t="s">
        <v>151</v>
      </c>
      <c r="EB977" s="34">
        <v>38402</v>
      </c>
      <c r="EC977" s="33">
        <v>-1853</v>
      </c>
      <c r="ED977" s="32">
        <v>-4.6</v>
      </c>
      <c r="EE977" s="34">
        <v>440</v>
      </c>
      <c r="EF977" s="33">
        <v>3</v>
      </c>
      <c r="EG977" s="32">
        <v>0.69</v>
      </c>
      <c r="EH977" s="29" t="s">
        <v>198</v>
      </c>
      <c r="EI977" s="30" t="s">
        <v>151</v>
      </c>
      <c r="EJ977" s="30" t="s">
        <v>151</v>
      </c>
      <c r="EK977" s="31" t="s">
        <v>151</v>
      </c>
      <c r="EL977" s="31" t="s">
        <v>151</v>
      </c>
      <c r="EM977" s="31" t="s">
        <v>151</v>
      </c>
      <c r="EN977" s="31" t="s">
        <v>151</v>
      </c>
      <c r="EO977" s="31" t="s">
        <v>151</v>
      </c>
      <c r="EP977" s="30" t="s">
        <v>151</v>
      </c>
      <c r="EQ977" s="29" t="s">
        <v>151</v>
      </c>
      <c r="ER977" s="29" t="s">
        <v>151</v>
      </c>
      <c r="ES977" s="4">
        <f>HYPERLINK("https://my.pitchbook.com?c=264870-64","View Company Online")</f>
      </c>
    </row>
    <row r="978">
      <c r="A978" s="17" t="s">
        <v>19701</v>
      </c>
      <c r="B978" s="17" t="s">
        <v>19702</v>
      </c>
      <c r="C978" s="18" t="s">
        <v>151</v>
      </c>
      <c r="D978" s="17" t="s">
        <v>151</v>
      </c>
      <c r="E978" s="17" t="s">
        <v>151</v>
      </c>
      <c r="F978" s="17" t="s">
        <v>19703</v>
      </c>
      <c r="G978" s="17" t="s">
        <v>151</v>
      </c>
      <c r="H978" s="17" t="s">
        <v>151</v>
      </c>
      <c r="I978" s="17" t="s">
        <v>19704</v>
      </c>
      <c r="J978" s="17" t="s">
        <v>19701</v>
      </c>
      <c r="K978" s="17" t="s">
        <v>19705</v>
      </c>
      <c r="L978" s="17" t="s">
        <v>616</v>
      </c>
      <c r="M978" s="17" t="s">
        <v>834</v>
      </c>
      <c r="N978" s="17" t="s">
        <v>3076</v>
      </c>
      <c r="O978" s="17" t="s">
        <v>5651</v>
      </c>
      <c r="P978" s="17" t="s">
        <v>19706</v>
      </c>
      <c r="Q978" s="17" t="s">
        <v>19707</v>
      </c>
      <c r="R978" s="17" t="s">
        <v>151</v>
      </c>
      <c r="S978" s="17" t="s">
        <v>162</v>
      </c>
      <c r="T978" s="24">
        <v>16.5</v>
      </c>
      <c r="U978" s="17" t="s">
        <v>163</v>
      </c>
      <c r="V978" s="17" t="s">
        <v>164</v>
      </c>
      <c r="W978" s="17" t="s">
        <v>165</v>
      </c>
      <c r="X978" s="15" t="s">
        <v>19708</v>
      </c>
      <c r="Y978" s="15" t="s">
        <v>19709</v>
      </c>
      <c r="Z978" s="27">
        <v>40</v>
      </c>
      <c r="AA978" s="17" t="s">
        <v>19710</v>
      </c>
      <c r="AB978" s="17" t="s">
        <v>151</v>
      </c>
      <c r="AC978" s="17" t="s">
        <v>151</v>
      </c>
      <c r="AD978" s="26">
        <v>2019</v>
      </c>
      <c r="AE978" s="17" t="s">
        <v>151</v>
      </c>
      <c r="AF978" s="22">
        <v>45596</v>
      </c>
      <c r="AG978" s="17" t="s">
        <v>151</v>
      </c>
      <c r="AH978" s="17" t="s">
        <v>151</v>
      </c>
      <c r="AI978" s="25" t="s">
        <v>151</v>
      </c>
      <c r="AJ978" s="19" t="s">
        <v>151</v>
      </c>
      <c r="AK978" s="25" t="s">
        <v>151</v>
      </c>
      <c r="AL978" s="25" t="s">
        <v>151</v>
      </c>
      <c r="AM978" s="25" t="s">
        <v>151</v>
      </c>
      <c r="AN978" s="25" t="s">
        <v>151</v>
      </c>
      <c r="AO978" s="25" t="s">
        <v>151</v>
      </c>
      <c r="AP978" s="25" t="s">
        <v>151</v>
      </c>
      <c r="AQ978" s="25" t="s">
        <v>151</v>
      </c>
      <c r="AR978" s="16" t="s">
        <v>151</v>
      </c>
      <c r="AS978" s="17" t="s">
        <v>19711</v>
      </c>
      <c r="AT978" s="17" t="s">
        <v>19712</v>
      </c>
      <c r="AU978" s="18">
        <v>14</v>
      </c>
      <c r="AV978" s="17" t="s">
        <v>151</v>
      </c>
      <c r="AW978" s="17" t="s">
        <v>151</v>
      </c>
      <c r="AX978" s="17" t="s">
        <v>151</v>
      </c>
      <c r="AY978" s="17" t="s">
        <v>19713</v>
      </c>
      <c r="AZ978" s="17" t="s">
        <v>151</v>
      </c>
      <c r="BA978" s="17" t="s">
        <v>151</v>
      </c>
      <c r="BB978" s="17" t="s">
        <v>151</v>
      </c>
      <c r="BC978" s="17" t="s">
        <v>2424</v>
      </c>
      <c r="BD978" s="17" t="s">
        <v>19714</v>
      </c>
      <c r="BE978" s="17" t="s">
        <v>19715</v>
      </c>
      <c r="BF978" s="17" t="s">
        <v>221</v>
      </c>
      <c r="BG978" s="17" t="s">
        <v>19716</v>
      </c>
      <c r="BH978" s="17" t="s">
        <v>19717</v>
      </c>
      <c r="BI978" s="17" t="s">
        <v>764</v>
      </c>
      <c r="BJ978" s="17" t="s">
        <v>19718</v>
      </c>
      <c r="BK978" s="17" t="s">
        <v>3531</v>
      </c>
      <c r="BL978" s="17" t="s">
        <v>767</v>
      </c>
      <c r="BM978" s="17" t="s">
        <v>184</v>
      </c>
      <c r="BN978" s="16" t="s">
        <v>3001</v>
      </c>
      <c r="BO978" s="17" t="s">
        <v>186</v>
      </c>
      <c r="BP978" s="16" t="s">
        <v>19717</v>
      </c>
      <c r="BQ978" s="16" t="s">
        <v>151</v>
      </c>
      <c r="BR978" s="17" t="s">
        <v>19719</v>
      </c>
      <c r="BS978" s="17" t="s">
        <v>187</v>
      </c>
      <c r="BT978" s="17" t="s">
        <v>188</v>
      </c>
      <c r="BU978" s="22">
        <v>44183</v>
      </c>
      <c r="BV978" s="24">
        <v>3.5</v>
      </c>
      <c r="BW978" s="17" t="s">
        <v>192</v>
      </c>
      <c r="BX978" s="24">
        <v>9</v>
      </c>
      <c r="BY978" s="17" t="s">
        <v>192</v>
      </c>
      <c r="BZ978" s="17" t="s">
        <v>293</v>
      </c>
      <c r="CA978" s="17" t="s">
        <v>293</v>
      </c>
      <c r="CB978" s="17" t="s">
        <v>151</v>
      </c>
      <c r="CC978" s="17" t="s">
        <v>165</v>
      </c>
      <c r="CD978" s="17" t="s">
        <v>151</v>
      </c>
      <c r="CE978" s="17" t="s">
        <v>191</v>
      </c>
      <c r="CF978" s="22">
        <v>45098</v>
      </c>
      <c r="CG978" s="24" t="s">
        <v>151</v>
      </c>
      <c r="CH978" s="17" t="s">
        <v>151</v>
      </c>
      <c r="CI978" s="24" t="s">
        <v>151</v>
      </c>
      <c r="CJ978" s="17" t="s">
        <v>151</v>
      </c>
      <c r="CK978" s="16">
        <v>6.09</v>
      </c>
      <c r="CL978" s="17" t="s">
        <v>189</v>
      </c>
      <c r="CM978" s="17" t="s">
        <v>151</v>
      </c>
      <c r="CN978" s="17" t="s">
        <v>151</v>
      </c>
      <c r="CO978" s="17" t="s">
        <v>190</v>
      </c>
      <c r="CP978" s="22">
        <v>45098</v>
      </c>
      <c r="CQ978" s="24" t="s">
        <v>151</v>
      </c>
      <c r="CR978" s="17" t="s">
        <v>151</v>
      </c>
      <c r="CS978" s="17" t="s">
        <v>191</v>
      </c>
      <c r="CT978" s="16">
        <v>93</v>
      </c>
      <c r="CU978" s="17" t="s">
        <v>196</v>
      </c>
      <c r="CV978" s="19">
        <v>84</v>
      </c>
      <c r="CW978" s="19">
        <v>16</v>
      </c>
      <c r="CX978" s="17" t="s">
        <v>294</v>
      </c>
      <c r="CY978" s="19">
        <v>3</v>
      </c>
      <c r="CZ978" s="19">
        <v>81</v>
      </c>
      <c r="DA978" s="24">
        <v>67.8</v>
      </c>
      <c r="DB978" s="22">
        <v>44553</v>
      </c>
      <c r="DC978" s="17" t="s">
        <v>231</v>
      </c>
      <c r="DD978" s="16">
        <v>6.09</v>
      </c>
      <c r="DE978" s="19">
        <v>-0.32</v>
      </c>
      <c r="DF978" s="21">
        <v>8</v>
      </c>
      <c r="DG978" s="19">
        <v>0</v>
      </c>
      <c r="DH978" s="19">
        <v>0</v>
      </c>
      <c r="DI978" s="19">
        <v>-0.32</v>
      </c>
      <c r="DJ978" s="21">
        <v>8</v>
      </c>
      <c r="DK978" s="19" t="s">
        <v>151</v>
      </c>
      <c r="DL978" s="21" t="s">
        <v>151</v>
      </c>
      <c r="DM978" s="19">
        <v>-0.32</v>
      </c>
      <c r="DN978" s="21">
        <v>8</v>
      </c>
      <c r="DO978" s="23">
        <v>6</v>
      </c>
      <c r="DP978" s="21">
        <v>85</v>
      </c>
      <c r="DQ978" s="23">
        <v>0</v>
      </c>
      <c r="DR978" s="19">
        <v>0</v>
      </c>
      <c r="DS978" s="23">
        <v>6</v>
      </c>
      <c r="DT978" s="21">
        <v>84</v>
      </c>
      <c r="DU978" s="23" t="s">
        <v>151</v>
      </c>
      <c r="DV978" s="21" t="s">
        <v>151</v>
      </c>
      <c r="DW978" s="23">
        <v>6</v>
      </c>
      <c r="DX978" s="21">
        <v>84</v>
      </c>
      <c r="DY978" s="18" t="s">
        <v>151</v>
      </c>
      <c r="DZ978" s="22" t="s">
        <v>151</v>
      </c>
      <c r="EA978" s="22" t="s">
        <v>151</v>
      </c>
      <c r="EB978" s="21">
        <v>2755</v>
      </c>
      <c r="EC978" s="20">
        <v>239</v>
      </c>
      <c r="ED978" s="19">
        <v>9.5</v>
      </c>
      <c r="EE978" s="21">
        <v>114</v>
      </c>
      <c r="EF978" s="20">
        <v>0</v>
      </c>
      <c r="EG978" s="19">
        <v>0</v>
      </c>
      <c r="EH978" s="16" t="s">
        <v>198</v>
      </c>
      <c r="EI978" s="17" t="s">
        <v>151</v>
      </c>
      <c r="EJ978" s="17" t="s">
        <v>151</v>
      </c>
      <c r="EK978" s="18" t="s">
        <v>151</v>
      </c>
      <c r="EL978" s="18" t="s">
        <v>151</v>
      </c>
      <c r="EM978" s="18" t="s">
        <v>151</v>
      </c>
      <c r="EN978" s="18" t="s">
        <v>151</v>
      </c>
      <c r="EO978" s="18" t="s">
        <v>151</v>
      </c>
      <c r="EP978" s="17" t="s">
        <v>151</v>
      </c>
      <c r="EQ978" s="16" t="s">
        <v>151</v>
      </c>
      <c r="ER978" s="16" t="s">
        <v>151</v>
      </c>
      <c r="ES978" s="3">
        <f>HYPERLINK("https://my.pitchbook.com?c=454415-32","View Company Online")</f>
      </c>
    </row>
    <row r="979">
      <c r="A979" s="30" t="s">
        <v>19720</v>
      </c>
      <c r="B979" s="30" t="s">
        <v>19721</v>
      </c>
      <c r="C979" s="31" t="s">
        <v>151</v>
      </c>
      <c r="D979" s="30" t="s">
        <v>151</v>
      </c>
      <c r="E979" s="30" t="s">
        <v>151</v>
      </c>
      <c r="F979" s="30" t="s">
        <v>151</v>
      </c>
      <c r="G979" s="30" t="s">
        <v>151</v>
      </c>
      <c r="H979" s="30" t="s">
        <v>151</v>
      </c>
      <c r="I979" s="30" t="s">
        <v>151</v>
      </c>
      <c r="J979" s="30" t="s">
        <v>19720</v>
      </c>
      <c r="K979" s="30" t="s">
        <v>19722</v>
      </c>
      <c r="L979" s="30" t="s">
        <v>205</v>
      </c>
      <c r="M979" s="30" t="s">
        <v>206</v>
      </c>
      <c r="N979" s="30" t="s">
        <v>269</v>
      </c>
      <c r="O979" s="30" t="s">
        <v>563</v>
      </c>
      <c r="P979" s="30" t="s">
        <v>19723</v>
      </c>
      <c r="Q979" s="30" t="s">
        <v>19724</v>
      </c>
      <c r="R979" s="30" t="s">
        <v>19725</v>
      </c>
      <c r="S979" s="30" t="s">
        <v>162</v>
      </c>
      <c r="T979" s="37">
        <v>291.5</v>
      </c>
      <c r="U979" s="30" t="s">
        <v>1727</v>
      </c>
      <c r="V979" s="30" t="s">
        <v>164</v>
      </c>
      <c r="W979" s="30" t="s">
        <v>165</v>
      </c>
      <c r="X979" s="28" t="s">
        <v>19726</v>
      </c>
      <c r="Y979" s="28" t="s">
        <v>19727</v>
      </c>
      <c r="Z979" s="40">
        <v>20</v>
      </c>
      <c r="AA979" s="30" t="s">
        <v>17194</v>
      </c>
      <c r="AB979" s="30" t="s">
        <v>151</v>
      </c>
      <c r="AC979" s="30" t="s">
        <v>151</v>
      </c>
      <c r="AD979" s="39">
        <v>2024</v>
      </c>
      <c r="AE979" s="30" t="s">
        <v>151</v>
      </c>
      <c r="AF979" s="35">
        <v>45594</v>
      </c>
      <c r="AG979" s="30" t="s">
        <v>151</v>
      </c>
      <c r="AH979" s="30" t="s">
        <v>151</v>
      </c>
      <c r="AI979" s="38" t="s">
        <v>151</v>
      </c>
      <c r="AJ979" s="32" t="s">
        <v>151</v>
      </c>
      <c r="AK979" s="38" t="s">
        <v>151</v>
      </c>
      <c r="AL979" s="38" t="s">
        <v>151</v>
      </c>
      <c r="AM979" s="38" t="s">
        <v>151</v>
      </c>
      <c r="AN979" s="38" t="s">
        <v>151</v>
      </c>
      <c r="AO979" s="38" t="s">
        <v>151</v>
      </c>
      <c r="AP979" s="38" t="s">
        <v>151</v>
      </c>
      <c r="AQ979" s="38" t="s">
        <v>151</v>
      </c>
      <c r="AR979" s="29" t="s">
        <v>151</v>
      </c>
      <c r="AS979" s="30" t="s">
        <v>19728</v>
      </c>
      <c r="AT979" s="30" t="s">
        <v>19729</v>
      </c>
      <c r="AU979" s="31">
        <v>24</v>
      </c>
      <c r="AV979" s="30" t="s">
        <v>151</v>
      </c>
      <c r="AW979" s="30" t="s">
        <v>151</v>
      </c>
      <c r="AX979" s="30" t="s">
        <v>151</v>
      </c>
      <c r="AY979" s="30" t="s">
        <v>19730</v>
      </c>
      <c r="AZ979" s="30" t="s">
        <v>151</v>
      </c>
      <c r="BA979" s="30" t="s">
        <v>151</v>
      </c>
      <c r="BB979" s="30" t="s">
        <v>151</v>
      </c>
      <c r="BC979" s="30" t="s">
        <v>462</v>
      </c>
      <c r="BD979" s="30" t="s">
        <v>19731</v>
      </c>
      <c r="BE979" s="30" t="s">
        <v>19732</v>
      </c>
      <c r="BF979" s="30" t="s">
        <v>221</v>
      </c>
      <c r="BG979" s="30" t="s">
        <v>151</v>
      </c>
      <c r="BH979" s="30" t="s">
        <v>19733</v>
      </c>
      <c r="BI979" s="30" t="s">
        <v>764</v>
      </c>
      <c r="BJ979" s="30" t="s">
        <v>151</v>
      </c>
      <c r="BK979" s="30" t="s">
        <v>151</v>
      </c>
      <c r="BL979" s="30" t="s">
        <v>767</v>
      </c>
      <c r="BM979" s="30" t="s">
        <v>184</v>
      </c>
      <c r="BN979" s="29" t="s">
        <v>151</v>
      </c>
      <c r="BO979" s="30" t="s">
        <v>186</v>
      </c>
      <c r="BP979" s="29" t="s">
        <v>151</v>
      </c>
      <c r="BQ979" s="29" t="s">
        <v>151</v>
      </c>
      <c r="BR979" s="30" t="s">
        <v>19734</v>
      </c>
      <c r="BS979" s="30" t="s">
        <v>187</v>
      </c>
      <c r="BT979" s="30" t="s">
        <v>188</v>
      </c>
      <c r="BU979" s="35">
        <v>45383</v>
      </c>
      <c r="BV979" s="37">
        <v>61.5</v>
      </c>
      <c r="BW979" s="30" t="s">
        <v>193</v>
      </c>
      <c r="BX979" s="37">
        <v>300</v>
      </c>
      <c r="BY979" s="30" t="s">
        <v>193</v>
      </c>
      <c r="BZ979" s="30" t="s">
        <v>231</v>
      </c>
      <c r="CA979" s="30" t="s">
        <v>232</v>
      </c>
      <c r="CB979" s="30" t="s">
        <v>151</v>
      </c>
      <c r="CC979" s="30" t="s">
        <v>165</v>
      </c>
      <c r="CD979" s="30" t="s">
        <v>151</v>
      </c>
      <c r="CE979" s="30" t="s">
        <v>191</v>
      </c>
      <c r="CF979" s="35">
        <v>45548</v>
      </c>
      <c r="CG979" s="37">
        <v>230</v>
      </c>
      <c r="CH979" s="30" t="s">
        <v>192</v>
      </c>
      <c r="CI979" s="37">
        <v>1000</v>
      </c>
      <c r="CJ979" s="30" t="s">
        <v>193</v>
      </c>
      <c r="CK979" s="29">
        <v>3</v>
      </c>
      <c r="CL979" s="30" t="s">
        <v>231</v>
      </c>
      <c r="CM979" s="30" t="s">
        <v>326</v>
      </c>
      <c r="CN979" s="30" t="s">
        <v>151</v>
      </c>
      <c r="CO979" s="30" t="s">
        <v>165</v>
      </c>
      <c r="CP979" s="35">
        <v>45548</v>
      </c>
      <c r="CQ979" s="37" t="s">
        <v>151</v>
      </c>
      <c r="CR979" s="30" t="s">
        <v>151</v>
      </c>
      <c r="CS979" s="30" t="s">
        <v>191</v>
      </c>
      <c r="CT979" s="29">
        <v>96</v>
      </c>
      <c r="CU979" s="30" t="s">
        <v>196</v>
      </c>
      <c r="CV979" s="32">
        <v>98</v>
      </c>
      <c r="CW979" s="32">
        <v>2</v>
      </c>
      <c r="CX979" s="30" t="s">
        <v>197</v>
      </c>
      <c r="CY979" s="32">
        <v>72</v>
      </c>
      <c r="CZ979" s="32">
        <v>26</v>
      </c>
      <c r="DA979" s="37">
        <v>1000</v>
      </c>
      <c r="DB979" s="35">
        <v>45548</v>
      </c>
      <c r="DC979" s="30" t="s">
        <v>231</v>
      </c>
      <c r="DD979" s="29">
        <v>3</v>
      </c>
      <c r="DE979" s="32" t="s">
        <v>151</v>
      </c>
      <c r="DF979" s="34" t="s">
        <v>151</v>
      </c>
      <c r="DG979" s="32" t="s">
        <v>151</v>
      </c>
      <c r="DH979" s="32" t="s">
        <v>151</v>
      </c>
      <c r="DI979" s="32" t="s">
        <v>151</v>
      </c>
      <c r="DJ979" s="34" t="s">
        <v>151</v>
      </c>
      <c r="DK979" s="32" t="s">
        <v>151</v>
      </c>
      <c r="DL979" s="34" t="s">
        <v>151</v>
      </c>
      <c r="DM979" s="32" t="s">
        <v>151</v>
      </c>
      <c r="DN979" s="34" t="s">
        <v>151</v>
      </c>
      <c r="DO979" s="36" t="s">
        <v>151</v>
      </c>
      <c r="DP979" s="34" t="s">
        <v>151</v>
      </c>
      <c r="DQ979" s="36" t="s">
        <v>151</v>
      </c>
      <c r="DR979" s="32" t="s">
        <v>151</v>
      </c>
      <c r="DS979" s="36" t="s">
        <v>151</v>
      </c>
      <c r="DT979" s="34" t="s">
        <v>151</v>
      </c>
      <c r="DU979" s="36" t="s">
        <v>151</v>
      </c>
      <c r="DV979" s="34" t="s">
        <v>151</v>
      </c>
      <c r="DW979" s="36" t="s">
        <v>151</v>
      </c>
      <c r="DX979" s="34" t="s">
        <v>151</v>
      </c>
      <c r="DY979" s="31" t="s">
        <v>151</v>
      </c>
      <c r="DZ979" s="35" t="s">
        <v>151</v>
      </c>
      <c r="EA979" s="35" t="s">
        <v>151</v>
      </c>
      <c r="EB979" s="34" t="s">
        <v>151</v>
      </c>
      <c r="EC979" s="33" t="s">
        <v>151</v>
      </c>
      <c r="ED979" s="32" t="s">
        <v>151</v>
      </c>
      <c r="EE979" s="34" t="s">
        <v>151</v>
      </c>
      <c r="EF979" s="33" t="s">
        <v>151</v>
      </c>
      <c r="EG979" s="32" t="s">
        <v>151</v>
      </c>
      <c r="EH979" s="29" t="s">
        <v>198</v>
      </c>
      <c r="EI979" s="30" t="s">
        <v>151</v>
      </c>
      <c r="EJ979" s="30" t="s">
        <v>151</v>
      </c>
      <c r="EK979" s="31" t="s">
        <v>151</v>
      </c>
      <c r="EL979" s="31" t="s">
        <v>151</v>
      </c>
      <c r="EM979" s="31" t="s">
        <v>151</v>
      </c>
      <c r="EN979" s="31" t="s">
        <v>151</v>
      </c>
      <c r="EO979" s="31" t="s">
        <v>151</v>
      </c>
      <c r="EP979" s="30" t="s">
        <v>151</v>
      </c>
      <c r="EQ979" s="29" t="s">
        <v>151</v>
      </c>
      <c r="ER979" s="29" t="s">
        <v>151</v>
      </c>
      <c r="ES979" s="4">
        <f>HYPERLINK("https://my.pitchbook.com?c=608754-43","View Company Online")</f>
      </c>
    </row>
    <row r="980">
      <c r="A980" s="17" t="s">
        <v>19735</v>
      </c>
      <c r="B980" s="17" t="s">
        <v>19736</v>
      </c>
      <c r="C980" s="18" t="s">
        <v>151</v>
      </c>
      <c r="D980" s="17" t="s">
        <v>151</v>
      </c>
      <c r="E980" s="17" t="s">
        <v>19737</v>
      </c>
      <c r="F980" s="17" t="s">
        <v>19738</v>
      </c>
      <c r="G980" s="17" t="s">
        <v>151</v>
      </c>
      <c r="H980" s="17" t="s">
        <v>151</v>
      </c>
      <c r="I980" s="17" t="s">
        <v>151</v>
      </c>
      <c r="J980" s="17" t="s">
        <v>19735</v>
      </c>
      <c r="K980" s="17" t="s">
        <v>19739</v>
      </c>
      <c r="L980" s="17" t="s">
        <v>205</v>
      </c>
      <c r="M980" s="17" t="s">
        <v>206</v>
      </c>
      <c r="N980" s="17" t="s">
        <v>269</v>
      </c>
      <c r="O980" s="17" t="s">
        <v>1420</v>
      </c>
      <c r="P980" s="17" t="s">
        <v>5909</v>
      </c>
      <c r="Q980" s="17" t="s">
        <v>19740</v>
      </c>
      <c r="R980" s="17" t="s">
        <v>151</v>
      </c>
      <c r="S980" s="17" t="s">
        <v>162</v>
      </c>
      <c r="T980" s="24">
        <v>12</v>
      </c>
      <c r="U980" s="17" t="s">
        <v>163</v>
      </c>
      <c r="V980" s="17" t="s">
        <v>164</v>
      </c>
      <c r="W980" s="17" t="s">
        <v>165</v>
      </c>
      <c r="X980" s="15" t="s">
        <v>19741</v>
      </c>
      <c r="Y980" s="15" t="s">
        <v>19742</v>
      </c>
      <c r="Z980" s="27">
        <v>28</v>
      </c>
      <c r="AA980" s="17" t="s">
        <v>19743</v>
      </c>
      <c r="AB980" s="17" t="s">
        <v>151</v>
      </c>
      <c r="AC980" s="17" t="s">
        <v>151</v>
      </c>
      <c r="AD980" s="26">
        <v>2023</v>
      </c>
      <c r="AE980" s="17" t="s">
        <v>151</v>
      </c>
      <c r="AF980" s="22">
        <v>45595</v>
      </c>
      <c r="AG980" s="17" t="s">
        <v>151</v>
      </c>
      <c r="AH980" s="17" t="s">
        <v>151</v>
      </c>
      <c r="AI980" s="25" t="s">
        <v>151</v>
      </c>
      <c r="AJ980" s="19" t="s">
        <v>151</v>
      </c>
      <c r="AK980" s="25" t="s">
        <v>151</v>
      </c>
      <c r="AL980" s="25" t="s">
        <v>151</v>
      </c>
      <c r="AM980" s="25" t="s">
        <v>151</v>
      </c>
      <c r="AN980" s="25" t="s">
        <v>151</v>
      </c>
      <c r="AO980" s="25" t="s">
        <v>151</v>
      </c>
      <c r="AP980" s="25" t="s">
        <v>151</v>
      </c>
      <c r="AQ980" s="25" t="s">
        <v>151</v>
      </c>
      <c r="AR980" s="16" t="s">
        <v>151</v>
      </c>
      <c r="AS980" s="17" t="s">
        <v>19744</v>
      </c>
      <c r="AT980" s="17" t="s">
        <v>19745</v>
      </c>
      <c r="AU980" s="18">
        <v>6</v>
      </c>
      <c r="AV980" s="17" t="s">
        <v>151</v>
      </c>
      <c r="AW980" s="17" t="s">
        <v>151</v>
      </c>
      <c r="AX980" s="17" t="s">
        <v>151</v>
      </c>
      <c r="AY980" s="17" t="s">
        <v>19746</v>
      </c>
      <c r="AZ980" s="17" t="s">
        <v>151</v>
      </c>
      <c r="BA980" s="17" t="s">
        <v>151</v>
      </c>
      <c r="BB980" s="17" t="s">
        <v>151</v>
      </c>
      <c r="BC980" s="17" t="s">
        <v>151</v>
      </c>
      <c r="BD980" s="17" t="s">
        <v>19747</v>
      </c>
      <c r="BE980" s="17" t="s">
        <v>19748</v>
      </c>
      <c r="BF980" s="17" t="s">
        <v>931</v>
      </c>
      <c r="BG980" s="17" t="s">
        <v>151</v>
      </c>
      <c r="BH980" s="17" t="s">
        <v>19749</v>
      </c>
      <c r="BI980" s="17" t="s">
        <v>19750</v>
      </c>
      <c r="BJ980" s="17" t="s">
        <v>19751</v>
      </c>
      <c r="BK980" s="17" t="s">
        <v>13411</v>
      </c>
      <c r="BL980" s="17" t="s">
        <v>19752</v>
      </c>
      <c r="BM980" s="17" t="s">
        <v>823</v>
      </c>
      <c r="BN980" s="16" t="s">
        <v>19753</v>
      </c>
      <c r="BO980" s="17" t="s">
        <v>186</v>
      </c>
      <c r="BP980" s="16" t="s">
        <v>19749</v>
      </c>
      <c r="BQ980" s="16" t="s">
        <v>151</v>
      </c>
      <c r="BR980" s="17" t="s">
        <v>151</v>
      </c>
      <c r="BS980" s="17" t="s">
        <v>187</v>
      </c>
      <c r="BT980" s="17" t="s">
        <v>188</v>
      </c>
      <c r="BU980" s="22">
        <v>45308</v>
      </c>
      <c r="BV980" s="24">
        <v>12</v>
      </c>
      <c r="BW980" s="17" t="s">
        <v>192</v>
      </c>
      <c r="BX980" s="24">
        <v>58</v>
      </c>
      <c r="BY980" s="17" t="s">
        <v>192</v>
      </c>
      <c r="BZ980" s="17" t="s">
        <v>293</v>
      </c>
      <c r="CA980" s="17" t="s">
        <v>293</v>
      </c>
      <c r="CB980" s="17" t="s">
        <v>151</v>
      </c>
      <c r="CC980" s="17" t="s">
        <v>165</v>
      </c>
      <c r="CD980" s="17" t="s">
        <v>151</v>
      </c>
      <c r="CE980" s="17" t="s">
        <v>191</v>
      </c>
      <c r="CF980" s="22">
        <v>45308</v>
      </c>
      <c r="CG980" s="24">
        <v>12</v>
      </c>
      <c r="CH980" s="17" t="s">
        <v>192</v>
      </c>
      <c r="CI980" s="24">
        <v>58</v>
      </c>
      <c r="CJ980" s="17" t="s">
        <v>192</v>
      </c>
      <c r="CK980" s="16" t="s">
        <v>151</v>
      </c>
      <c r="CL980" s="17" t="s">
        <v>293</v>
      </c>
      <c r="CM980" s="17" t="s">
        <v>293</v>
      </c>
      <c r="CN980" s="17" t="s">
        <v>151</v>
      </c>
      <c r="CO980" s="17" t="s">
        <v>165</v>
      </c>
      <c r="CP980" s="22">
        <v>45308</v>
      </c>
      <c r="CQ980" s="24" t="s">
        <v>151</v>
      </c>
      <c r="CR980" s="17" t="s">
        <v>151</v>
      </c>
      <c r="CS980" s="17" t="s">
        <v>191</v>
      </c>
      <c r="CT980" s="16" t="s">
        <v>151</v>
      </c>
      <c r="CU980" s="17" t="s">
        <v>151</v>
      </c>
      <c r="CV980" s="19" t="s">
        <v>151</v>
      </c>
      <c r="CW980" s="19" t="s">
        <v>151</v>
      </c>
      <c r="CX980" s="17" t="s">
        <v>151</v>
      </c>
      <c r="CY980" s="19" t="s">
        <v>151</v>
      </c>
      <c r="CZ980" s="19" t="s">
        <v>151</v>
      </c>
      <c r="DA980" s="24">
        <v>58</v>
      </c>
      <c r="DB980" s="22">
        <v>45308</v>
      </c>
      <c r="DC980" s="17" t="s">
        <v>293</v>
      </c>
      <c r="DD980" s="16" t="s">
        <v>151</v>
      </c>
      <c r="DE980" s="19">
        <v>0.72</v>
      </c>
      <c r="DF980" s="21">
        <v>95</v>
      </c>
      <c r="DG980" s="19">
        <v>0</v>
      </c>
      <c r="DH980" s="19">
        <v>0</v>
      </c>
      <c r="DI980" s="19">
        <v>0</v>
      </c>
      <c r="DJ980" s="21">
        <v>10</v>
      </c>
      <c r="DK980" s="19" t="s">
        <v>151</v>
      </c>
      <c r="DL980" s="21" t="s">
        <v>151</v>
      </c>
      <c r="DM980" s="19">
        <v>0</v>
      </c>
      <c r="DN980" s="21">
        <v>10</v>
      </c>
      <c r="DO980" s="23">
        <v>1.95</v>
      </c>
      <c r="DP980" s="21">
        <v>65</v>
      </c>
      <c r="DQ980" s="23">
        <v>0</v>
      </c>
      <c r="DR980" s="19">
        <v>0</v>
      </c>
      <c r="DS980" s="23">
        <v>1.74</v>
      </c>
      <c r="DT980" s="21">
        <v>63</v>
      </c>
      <c r="DU980" s="23" t="s">
        <v>151</v>
      </c>
      <c r="DV980" s="21" t="s">
        <v>151</v>
      </c>
      <c r="DW980" s="23">
        <v>1.74</v>
      </c>
      <c r="DX980" s="21">
        <v>62</v>
      </c>
      <c r="DY980" s="18" t="s">
        <v>151</v>
      </c>
      <c r="DZ980" s="22" t="s">
        <v>151</v>
      </c>
      <c r="EA980" s="22" t="s">
        <v>151</v>
      </c>
      <c r="EB980" s="21">
        <v>1996</v>
      </c>
      <c r="EC980" s="20">
        <v>50</v>
      </c>
      <c r="ED980" s="19">
        <v>2.57</v>
      </c>
      <c r="EE980" s="21">
        <v>33</v>
      </c>
      <c r="EF980" s="20">
        <v>0</v>
      </c>
      <c r="EG980" s="19">
        <v>0</v>
      </c>
      <c r="EH980" s="16" t="s">
        <v>198</v>
      </c>
      <c r="EI980" s="17" t="s">
        <v>151</v>
      </c>
      <c r="EJ980" s="17" t="s">
        <v>151</v>
      </c>
      <c r="EK980" s="18" t="s">
        <v>151</v>
      </c>
      <c r="EL980" s="18" t="s">
        <v>151</v>
      </c>
      <c r="EM980" s="18" t="s">
        <v>151</v>
      </c>
      <c r="EN980" s="18" t="s">
        <v>151</v>
      </c>
      <c r="EO980" s="18" t="s">
        <v>151</v>
      </c>
      <c r="EP980" s="17" t="s">
        <v>151</v>
      </c>
      <c r="EQ980" s="16" t="s">
        <v>151</v>
      </c>
      <c r="ER980" s="16" t="s">
        <v>151</v>
      </c>
      <c r="ES980" s="3">
        <f>HYPERLINK("https://my.pitchbook.com?c=549538-66","View Company Online")</f>
      </c>
    </row>
    <row r="981">
      <c r="A981" s="30" t="s">
        <v>19754</v>
      </c>
      <c r="B981" s="30" t="s">
        <v>19755</v>
      </c>
      <c r="C981" s="31" t="s">
        <v>151</v>
      </c>
      <c r="D981" s="30" t="s">
        <v>151</v>
      </c>
      <c r="E981" s="30" t="s">
        <v>151</v>
      </c>
      <c r="F981" s="30" t="s">
        <v>19756</v>
      </c>
      <c r="G981" s="30" t="s">
        <v>151</v>
      </c>
      <c r="H981" s="30" t="s">
        <v>151</v>
      </c>
      <c r="I981" s="30" t="s">
        <v>19757</v>
      </c>
      <c r="J981" s="30" t="s">
        <v>19754</v>
      </c>
      <c r="K981" s="30" t="s">
        <v>19758</v>
      </c>
      <c r="L981" s="30" t="s">
        <v>205</v>
      </c>
      <c r="M981" s="30" t="s">
        <v>206</v>
      </c>
      <c r="N981" s="30" t="s">
        <v>1130</v>
      </c>
      <c r="O981" s="30" t="s">
        <v>19759</v>
      </c>
      <c r="P981" s="30" t="s">
        <v>2922</v>
      </c>
      <c r="Q981" s="30" t="s">
        <v>19760</v>
      </c>
      <c r="R981" s="30" t="s">
        <v>151</v>
      </c>
      <c r="S981" s="30" t="s">
        <v>162</v>
      </c>
      <c r="T981" s="37">
        <v>35</v>
      </c>
      <c r="U981" s="30" t="s">
        <v>163</v>
      </c>
      <c r="V981" s="30" t="s">
        <v>164</v>
      </c>
      <c r="W981" s="30" t="s">
        <v>165</v>
      </c>
      <c r="X981" s="28" t="s">
        <v>19761</v>
      </c>
      <c r="Y981" s="28" t="s">
        <v>19762</v>
      </c>
      <c r="Z981" s="40">
        <v>27</v>
      </c>
      <c r="AA981" s="30" t="s">
        <v>19763</v>
      </c>
      <c r="AB981" s="30" t="s">
        <v>151</v>
      </c>
      <c r="AC981" s="30" t="s">
        <v>151</v>
      </c>
      <c r="AD981" s="39">
        <v>2020</v>
      </c>
      <c r="AE981" s="30" t="s">
        <v>151</v>
      </c>
      <c r="AF981" s="35">
        <v>45616</v>
      </c>
      <c r="AG981" s="30" t="s">
        <v>151</v>
      </c>
      <c r="AH981" s="30" t="s">
        <v>151</v>
      </c>
      <c r="AI981" s="38" t="s">
        <v>151</v>
      </c>
      <c r="AJ981" s="32" t="s">
        <v>151</v>
      </c>
      <c r="AK981" s="38" t="s">
        <v>151</v>
      </c>
      <c r="AL981" s="38" t="s">
        <v>151</v>
      </c>
      <c r="AM981" s="38" t="s">
        <v>151</v>
      </c>
      <c r="AN981" s="38" t="s">
        <v>151</v>
      </c>
      <c r="AO981" s="38" t="s">
        <v>151</v>
      </c>
      <c r="AP981" s="38" t="s">
        <v>151</v>
      </c>
      <c r="AQ981" s="38" t="s">
        <v>151</v>
      </c>
      <c r="AR981" s="29" t="s">
        <v>151</v>
      </c>
      <c r="AS981" s="30" t="s">
        <v>19764</v>
      </c>
      <c r="AT981" s="30" t="s">
        <v>19765</v>
      </c>
      <c r="AU981" s="31">
        <v>18</v>
      </c>
      <c r="AV981" s="30" t="s">
        <v>151</v>
      </c>
      <c r="AW981" s="30" t="s">
        <v>151</v>
      </c>
      <c r="AX981" s="30" t="s">
        <v>151</v>
      </c>
      <c r="AY981" s="30" t="s">
        <v>19766</v>
      </c>
      <c r="AZ981" s="30" t="s">
        <v>151</v>
      </c>
      <c r="BA981" s="30" t="s">
        <v>151</v>
      </c>
      <c r="BB981" s="30" t="s">
        <v>151</v>
      </c>
      <c r="BC981" s="30" t="s">
        <v>1115</v>
      </c>
      <c r="BD981" s="30" t="s">
        <v>19767</v>
      </c>
      <c r="BE981" s="30" t="s">
        <v>19768</v>
      </c>
      <c r="BF981" s="30" t="s">
        <v>282</v>
      </c>
      <c r="BG981" s="30" t="s">
        <v>19769</v>
      </c>
      <c r="BH981" s="30" t="s">
        <v>19770</v>
      </c>
      <c r="BI981" s="30" t="s">
        <v>764</v>
      </c>
      <c r="BJ981" s="30" t="s">
        <v>15560</v>
      </c>
      <c r="BK981" s="30" t="s">
        <v>19771</v>
      </c>
      <c r="BL981" s="30" t="s">
        <v>767</v>
      </c>
      <c r="BM981" s="30" t="s">
        <v>184</v>
      </c>
      <c r="BN981" s="29" t="s">
        <v>15562</v>
      </c>
      <c r="BO981" s="30" t="s">
        <v>186</v>
      </c>
      <c r="BP981" s="29" t="s">
        <v>19770</v>
      </c>
      <c r="BQ981" s="29" t="s">
        <v>151</v>
      </c>
      <c r="BR981" s="30" t="s">
        <v>19772</v>
      </c>
      <c r="BS981" s="30" t="s">
        <v>187</v>
      </c>
      <c r="BT981" s="30" t="s">
        <v>188</v>
      </c>
      <c r="BU981" s="35">
        <v>44409</v>
      </c>
      <c r="BV981" s="37">
        <v>5</v>
      </c>
      <c r="BW981" s="30" t="s">
        <v>192</v>
      </c>
      <c r="BX981" s="37">
        <v>35</v>
      </c>
      <c r="BY981" s="30" t="s">
        <v>192</v>
      </c>
      <c r="BZ981" s="30" t="s">
        <v>231</v>
      </c>
      <c r="CA981" s="30" t="s">
        <v>232</v>
      </c>
      <c r="CB981" s="30" t="s">
        <v>151</v>
      </c>
      <c r="CC981" s="30" t="s">
        <v>165</v>
      </c>
      <c r="CD981" s="30" t="s">
        <v>151</v>
      </c>
      <c r="CE981" s="30" t="s">
        <v>191</v>
      </c>
      <c r="CF981" s="35">
        <v>44630</v>
      </c>
      <c r="CG981" s="37">
        <v>30</v>
      </c>
      <c r="CH981" s="30" t="s">
        <v>192</v>
      </c>
      <c r="CI981" s="37">
        <v>175</v>
      </c>
      <c r="CJ981" s="30" t="s">
        <v>192</v>
      </c>
      <c r="CK981" s="29">
        <v>4.14</v>
      </c>
      <c r="CL981" s="30" t="s">
        <v>231</v>
      </c>
      <c r="CM981" s="30" t="s">
        <v>232</v>
      </c>
      <c r="CN981" s="30" t="s">
        <v>151</v>
      </c>
      <c r="CO981" s="30" t="s">
        <v>165</v>
      </c>
      <c r="CP981" s="35">
        <v>44630</v>
      </c>
      <c r="CQ981" s="37" t="s">
        <v>151</v>
      </c>
      <c r="CR981" s="30" t="s">
        <v>151</v>
      </c>
      <c r="CS981" s="30" t="s">
        <v>191</v>
      </c>
      <c r="CT981" s="29">
        <v>73</v>
      </c>
      <c r="CU981" s="30" t="s">
        <v>196</v>
      </c>
      <c r="CV981" s="32">
        <v>67</v>
      </c>
      <c r="CW981" s="32">
        <v>33</v>
      </c>
      <c r="CX981" s="30" t="s">
        <v>294</v>
      </c>
      <c r="CY981" s="32">
        <v>3</v>
      </c>
      <c r="CZ981" s="32">
        <v>64</v>
      </c>
      <c r="DA981" s="37">
        <v>175</v>
      </c>
      <c r="DB981" s="35">
        <v>44630</v>
      </c>
      <c r="DC981" s="30" t="s">
        <v>231</v>
      </c>
      <c r="DD981" s="29">
        <v>4.14</v>
      </c>
      <c r="DE981" s="32">
        <v>0.07</v>
      </c>
      <c r="DF981" s="34">
        <v>90</v>
      </c>
      <c r="DG981" s="32">
        <v>0</v>
      </c>
      <c r="DH981" s="32">
        <v>0</v>
      </c>
      <c r="DI981" s="32">
        <v>0.14</v>
      </c>
      <c r="DJ981" s="34">
        <v>93</v>
      </c>
      <c r="DK981" s="32" t="s">
        <v>151</v>
      </c>
      <c r="DL981" s="34" t="s">
        <v>151</v>
      </c>
      <c r="DM981" s="32">
        <v>0.14</v>
      </c>
      <c r="DN981" s="34">
        <v>93</v>
      </c>
      <c r="DO981" s="36">
        <v>25.64</v>
      </c>
      <c r="DP981" s="34">
        <v>96</v>
      </c>
      <c r="DQ981" s="36">
        <v>0</v>
      </c>
      <c r="DR981" s="32">
        <v>0</v>
      </c>
      <c r="DS981" s="36">
        <v>49.21</v>
      </c>
      <c r="DT981" s="34">
        <v>98</v>
      </c>
      <c r="DU981" s="36" t="s">
        <v>151</v>
      </c>
      <c r="DV981" s="34" t="s">
        <v>151</v>
      </c>
      <c r="DW981" s="36">
        <v>49.21</v>
      </c>
      <c r="DX981" s="34">
        <v>98</v>
      </c>
      <c r="DY981" s="31" t="s">
        <v>151</v>
      </c>
      <c r="DZ981" s="35" t="s">
        <v>151</v>
      </c>
      <c r="EA981" s="35" t="s">
        <v>151</v>
      </c>
      <c r="EB981" s="34">
        <v>18885</v>
      </c>
      <c r="EC981" s="33">
        <v>74</v>
      </c>
      <c r="ED981" s="32">
        <v>0.39</v>
      </c>
      <c r="EE981" s="34">
        <v>935</v>
      </c>
      <c r="EF981" s="33">
        <v>3</v>
      </c>
      <c r="EG981" s="32">
        <v>0.32</v>
      </c>
      <c r="EH981" s="29" t="s">
        <v>198</v>
      </c>
      <c r="EI981" s="30" t="s">
        <v>151</v>
      </c>
      <c r="EJ981" s="30" t="s">
        <v>151</v>
      </c>
      <c r="EK981" s="31" t="s">
        <v>151</v>
      </c>
      <c r="EL981" s="31" t="s">
        <v>151</v>
      </c>
      <c r="EM981" s="31" t="s">
        <v>151</v>
      </c>
      <c r="EN981" s="31" t="s">
        <v>151</v>
      </c>
      <c r="EO981" s="31" t="s">
        <v>151</v>
      </c>
      <c r="EP981" s="30" t="s">
        <v>151</v>
      </c>
      <c r="EQ981" s="29" t="s">
        <v>151</v>
      </c>
      <c r="ER981" s="29" t="s">
        <v>151</v>
      </c>
      <c r="ES981" s="4">
        <f>HYPERLINK("https://my.pitchbook.com?c=471966-85","View Company Online")</f>
      </c>
    </row>
    <row r="982">
      <c r="A982" s="17" t="s">
        <v>19773</v>
      </c>
      <c r="B982" s="17" t="s">
        <v>19774</v>
      </c>
      <c r="C982" s="18" t="s">
        <v>151</v>
      </c>
      <c r="D982" s="17" t="s">
        <v>151</v>
      </c>
      <c r="E982" s="17" t="s">
        <v>19775</v>
      </c>
      <c r="F982" s="17" t="s">
        <v>19776</v>
      </c>
      <c r="G982" s="17" t="s">
        <v>151</v>
      </c>
      <c r="H982" s="17" t="s">
        <v>151</v>
      </c>
      <c r="I982" s="17" t="s">
        <v>151</v>
      </c>
      <c r="J982" s="17" t="s">
        <v>19773</v>
      </c>
      <c r="K982" s="17" t="s">
        <v>19777</v>
      </c>
      <c r="L982" s="17" t="s">
        <v>205</v>
      </c>
      <c r="M982" s="17" t="s">
        <v>206</v>
      </c>
      <c r="N982" s="17" t="s">
        <v>269</v>
      </c>
      <c r="O982" s="17" t="s">
        <v>2965</v>
      </c>
      <c r="P982" s="17" t="s">
        <v>19778</v>
      </c>
      <c r="Q982" s="17" t="s">
        <v>19779</v>
      </c>
      <c r="R982" s="17" t="s">
        <v>151</v>
      </c>
      <c r="S982" s="17" t="s">
        <v>162</v>
      </c>
      <c r="T982" s="24">
        <v>5</v>
      </c>
      <c r="U982" s="17" t="s">
        <v>163</v>
      </c>
      <c r="V982" s="17" t="s">
        <v>164</v>
      </c>
      <c r="W982" s="17" t="s">
        <v>165</v>
      </c>
      <c r="X982" s="15" t="s">
        <v>19780</v>
      </c>
      <c r="Y982" s="15" t="s">
        <v>19781</v>
      </c>
      <c r="Z982" s="27">
        <v>106</v>
      </c>
      <c r="AA982" s="17" t="s">
        <v>19782</v>
      </c>
      <c r="AB982" s="17" t="s">
        <v>151</v>
      </c>
      <c r="AC982" s="17" t="s">
        <v>151</v>
      </c>
      <c r="AD982" s="26">
        <v>2018</v>
      </c>
      <c r="AE982" s="17" t="s">
        <v>151</v>
      </c>
      <c r="AF982" s="22">
        <v>45560</v>
      </c>
      <c r="AG982" s="17" t="s">
        <v>151</v>
      </c>
      <c r="AH982" s="17" t="s">
        <v>151</v>
      </c>
      <c r="AI982" s="25" t="s">
        <v>151</v>
      </c>
      <c r="AJ982" s="19" t="s">
        <v>151</v>
      </c>
      <c r="AK982" s="25" t="s">
        <v>151</v>
      </c>
      <c r="AL982" s="25" t="s">
        <v>151</v>
      </c>
      <c r="AM982" s="25" t="s">
        <v>151</v>
      </c>
      <c r="AN982" s="25" t="s">
        <v>151</v>
      </c>
      <c r="AO982" s="25" t="s">
        <v>151</v>
      </c>
      <c r="AP982" s="25" t="s">
        <v>151</v>
      </c>
      <c r="AQ982" s="25" t="s">
        <v>151</v>
      </c>
      <c r="AR982" s="16" t="s">
        <v>151</v>
      </c>
      <c r="AS982" s="17" t="s">
        <v>19783</v>
      </c>
      <c r="AT982" s="17" t="s">
        <v>19784</v>
      </c>
      <c r="AU982" s="18">
        <v>2</v>
      </c>
      <c r="AV982" s="17" t="s">
        <v>151</v>
      </c>
      <c r="AW982" s="17" t="s">
        <v>151</v>
      </c>
      <c r="AX982" s="17" t="s">
        <v>151</v>
      </c>
      <c r="AY982" s="17" t="s">
        <v>19785</v>
      </c>
      <c r="AZ982" s="17" t="s">
        <v>151</v>
      </c>
      <c r="BA982" s="17" t="s">
        <v>151</v>
      </c>
      <c r="BB982" s="17" t="s">
        <v>151</v>
      </c>
      <c r="BC982" s="17" t="s">
        <v>1115</v>
      </c>
      <c r="BD982" s="17" t="s">
        <v>19786</v>
      </c>
      <c r="BE982" s="17" t="s">
        <v>19787</v>
      </c>
      <c r="BF982" s="17" t="s">
        <v>19788</v>
      </c>
      <c r="BG982" s="17" t="s">
        <v>19789</v>
      </c>
      <c r="BH982" s="17" t="s">
        <v>19790</v>
      </c>
      <c r="BI982" s="17" t="s">
        <v>906</v>
      </c>
      <c r="BJ982" s="17" t="s">
        <v>19791</v>
      </c>
      <c r="BK982" s="17" t="s">
        <v>19792</v>
      </c>
      <c r="BL982" s="17" t="s">
        <v>259</v>
      </c>
      <c r="BM982" s="17" t="s">
        <v>259</v>
      </c>
      <c r="BN982" s="16" t="s">
        <v>4140</v>
      </c>
      <c r="BO982" s="17" t="s">
        <v>186</v>
      </c>
      <c r="BP982" s="16" t="s">
        <v>19790</v>
      </c>
      <c r="BQ982" s="16" t="s">
        <v>151</v>
      </c>
      <c r="BR982" s="17" t="s">
        <v>19793</v>
      </c>
      <c r="BS982" s="17" t="s">
        <v>187</v>
      </c>
      <c r="BT982" s="17" t="s">
        <v>188</v>
      </c>
      <c r="BU982" s="22">
        <v>44742</v>
      </c>
      <c r="BV982" s="24">
        <v>5</v>
      </c>
      <c r="BW982" s="17" t="s">
        <v>193</v>
      </c>
      <c r="BX982" s="24">
        <v>20</v>
      </c>
      <c r="BY982" s="17" t="s">
        <v>192</v>
      </c>
      <c r="BZ982" s="17" t="s">
        <v>293</v>
      </c>
      <c r="CA982" s="17" t="s">
        <v>293</v>
      </c>
      <c r="CB982" s="17" t="s">
        <v>151</v>
      </c>
      <c r="CC982" s="17" t="s">
        <v>165</v>
      </c>
      <c r="CD982" s="17" t="s">
        <v>151</v>
      </c>
      <c r="CE982" s="17" t="s">
        <v>191</v>
      </c>
      <c r="CF982" s="22">
        <v>44742</v>
      </c>
      <c r="CG982" s="24">
        <v>5</v>
      </c>
      <c r="CH982" s="17" t="s">
        <v>193</v>
      </c>
      <c r="CI982" s="24">
        <v>20</v>
      </c>
      <c r="CJ982" s="17" t="s">
        <v>192</v>
      </c>
      <c r="CK982" s="16" t="s">
        <v>151</v>
      </c>
      <c r="CL982" s="17" t="s">
        <v>293</v>
      </c>
      <c r="CM982" s="17" t="s">
        <v>293</v>
      </c>
      <c r="CN982" s="17" t="s">
        <v>151</v>
      </c>
      <c r="CO982" s="17" t="s">
        <v>165</v>
      </c>
      <c r="CP982" s="22">
        <v>44742</v>
      </c>
      <c r="CQ982" s="24" t="s">
        <v>151</v>
      </c>
      <c r="CR982" s="17" t="s">
        <v>151</v>
      </c>
      <c r="CS982" s="17" t="s">
        <v>191</v>
      </c>
      <c r="CT982" s="16" t="s">
        <v>151</v>
      </c>
      <c r="CU982" s="17" t="s">
        <v>151</v>
      </c>
      <c r="CV982" s="19" t="s">
        <v>151</v>
      </c>
      <c r="CW982" s="19" t="s">
        <v>151</v>
      </c>
      <c r="CX982" s="17" t="s">
        <v>151</v>
      </c>
      <c r="CY982" s="19" t="s">
        <v>151</v>
      </c>
      <c r="CZ982" s="19" t="s">
        <v>151</v>
      </c>
      <c r="DA982" s="24">
        <v>20</v>
      </c>
      <c r="DB982" s="22">
        <v>44742</v>
      </c>
      <c r="DC982" s="17" t="s">
        <v>293</v>
      </c>
      <c r="DD982" s="16" t="s">
        <v>151</v>
      </c>
      <c r="DE982" s="19">
        <v>0.32</v>
      </c>
      <c r="DF982" s="21">
        <v>93</v>
      </c>
      <c r="DG982" s="19">
        <v>0</v>
      </c>
      <c r="DH982" s="19">
        <v>0</v>
      </c>
      <c r="DI982" s="19">
        <v>-0.49</v>
      </c>
      <c r="DJ982" s="21">
        <v>7</v>
      </c>
      <c r="DK982" s="19" t="s">
        <v>151</v>
      </c>
      <c r="DL982" s="21" t="s">
        <v>151</v>
      </c>
      <c r="DM982" s="19">
        <v>-0.49</v>
      </c>
      <c r="DN982" s="21">
        <v>7</v>
      </c>
      <c r="DO982" s="23">
        <v>6.66</v>
      </c>
      <c r="DP982" s="21">
        <v>86</v>
      </c>
      <c r="DQ982" s="23">
        <v>0</v>
      </c>
      <c r="DR982" s="19">
        <v>0</v>
      </c>
      <c r="DS982" s="23">
        <v>5.16</v>
      </c>
      <c r="DT982" s="21">
        <v>83</v>
      </c>
      <c r="DU982" s="23" t="s">
        <v>151</v>
      </c>
      <c r="DV982" s="21" t="s">
        <v>151</v>
      </c>
      <c r="DW982" s="23">
        <v>5.16</v>
      </c>
      <c r="DX982" s="21">
        <v>82</v>
      </c>
      <c r="DY982" s="18" t="s">
        <v>151</v>
      </c>
      <c r="DZ982" s="22" t="s">
        <v>151</v>
      </c>
      <c r="EA982" s="22" t="s">
        <v>151</v>
      </c>
      <c r="EB982" s="21">
        <v>522</v>
      </c>
      <c r="EC982" s="20">
        <v>67</v>
      </c>
      <c r="ED982" s="19">
        <v>14.73</v>
      </c>
      <c r="EE982" s="21">
        <v>98</v>
      </c>
      <c r="EF982" s="20">
        <v>0</v>
      </c>
      <c r="EG982" s="19">
        <v>0</v>
      </c>
      <c r="EH982" s="16" t="s">
        <v>198</v>
      </c>
      <c r="EI982" s="17" t="s">
        <v>151</v>
      </c>
      <c r="EJ982" s="17" t="s">
        <v>151</v>
      </c>
      <c r="EK982" s="18" t="s">
        <v>151</v>
      </c>
      <c r="EL982" s="18" t="s">
        <v>151</v>
      </c>
      <c r="EM982" s="18" t="s">
        <v>151</v>
      </c>
      <c r="EN982" s="18" t="s">
        <v>151</v>
      </c>
      <c r="EO982" s="18" t="s">
        <v>151</v>
      </c>
      <c r="EP982" s="17" t="s">
        <v>151</v>
      </c>
      <c r="EQ982" s="16" t="s">
        <v>151</v>
      </c>
      <c r="ER982" s="16" t="s">
        <v>151</v>
      </c>
      <c r="ES982" s="3">
        <f>HYPERLINK("https://my.pitchbook.com?c=492746-59","View Company Online")</f>
      </c>
    </row>
    <row r="983">
      <c r="A983" s="30" t="s">
        <v>19794</v>
      </c>
      <c r="B983" s="30" t="s">
        <v>19795</v>
      </c>
      <c r="C983" s="31" t="s">
        <v>151</v>
      </c>
      <c r="D983" s="30" t="s">
        <v>151</v>
      </c>
      <c r="E983" s="30" t="s">
        <v>151</v>
      </c>
      <c r="F983" s="30" t="s">
        <v>19796</v>
      </c>
      <c r="G983" s="30" t="s">
        <v>151</v>
      </c>
      <c r="H983" s="30" t="s">
        <v>151</v>
      </c>
      <c r="I983" s="30" t="s">
        <v>151</v>
      </c>
      <c r="J983" s="30" t="s">
        <v>19794</v>
      </c>
      <c r="K983" s="30" t="s">
        <v>19797</v>
      </c>
      <c r="L983" s="30" t="s">
        <v>205</v>
      </c>
      <c r="M983" s="30" t="s">
        <v>206</v>
      </c>
      <c r="N983" s="30" t="s">
        <v>1082</v>
      </c>
      <c r="O983" s="30" t="s">
        <v>11398</v>
      </c>
      <c r="P983" s="30" t="s">
        <v>1608</v>
      </c>
      <c r="Q983" s="30" t="s">
        <v>19798</v>
      </c>
      <c r="R983" s="30" t="s">
        <v>151</v>
      </c>
      <c r="S983" s="30" t="s">
        <v>162</v>
      </c>
      <c r="T983" s="37">
        <v>5.2</v>
      </c>
      <c r="U983" s="30" t="s">
        <v>163</v>
      </c>
      <c r="V983" s="30" t="s">
        <v>164</v>
      </c>
      <c r="W983" s="30" t="s">
        <v>165</v>
      </c>
      <c r="X983" s="28" t="s">
        <v>19799</v>
      </c>
      <c r="Y983" s="28" t="s">
        <v>19800</v>
      </c>
      <c r="Z983" s="40">
        <v>10</v>
      </c>
      <c r="AA983" s="30" t="s">
        <v>19801</v>
      </c>
      <c r="AB983" s="30" t="s">
        <v>151</v>
      </c>
      <c r="AC983" s="30" t="s">
        <v>151</v>
      </c>
      <c r="AD983" s="39">
        <v>2022</v>
      </c>
      <c r="AE983" s="30" t="s">
        <v>151</v>
      </c>
      <c r="AF983" s="35">
        <v>45414</v>
      </c>
      <c r="AG983" s="30" t="s">
        <v>151</v>
      </c>
      <c r="AH983" s="30" t="s">
        <v>151</v>
      </c>
      <c r="AI983" s="38" t="s">
        <v>151</v>
      </c>
      <c r="AJ983" s="32" t="s">
        <v>151</v>
      </c>
      <c r="AK983" s="38" t="s">
        <v>151</v>
      </c>
      <c r="AL983" s="38" t="s">
        <v>151</v>
      </c>
      <c r="AM983" s="38" t="s">
        <v>151</v>
      </c>
      <c r="AN983" s="38" t="s">
        <v>151</v>
      </c>
      <c r="AO983" s="38" t="s">
        <v>151</v>
      </c>
      <c r="AP983" s="38" t="s">
        <v>151</v>
      </c>
      <c r="AQ983" s="38" t="s">
        <v>151</v>
      </c>
      <c r="AR983" s="29" t="s">
        <v>151</v>
      </c>
      <c r="AS983" s="30" t="s">
        <v>19802</v>
      </c>
      <c r="AT983" s="30" t="s">
        <v>19803</v>
      </c>
      <c r="AU983" s="31">
        <v>6</v>
      </c>
      <c r="AV983" s="30" t="s">
        <v>151</v>
      </c>
      <c r="AW983" s="30" t="s">
        <v>151</v>
      </c>
      <c r="AX983" s="30" t="s">
        <v>151</v>
      </c>
      <c r="AY983" s="30" t="s">
        <v>19804</v>
      </c>
      <c r="AZ983" s="30" t="s">
        <v>151</v>
      </c>
      <c r="BA983" s="30" t="s">
        <v>151</v>
      </c>
      <c r="BB983" s="30" t="s">
        <v>151</v>
      </c>
      <c r="BC983" s="30" t="s">
        <v>1115</v>
      </c>
      <c r="BD983" s="30" t="s">
        <v>19805</v>
      </c>
      <c r="BE983" s="30" t="s">
        <v>19806</v>
      </c>
      <c r="BF983" s="30" t="s">
        <v>221</v>
      </c>
      <c r="BG983" s="30" t="s">
        <v>151</v>
      </c>
      <c r="BH983" s="30" t="s">
        <v>19807</v>
      </c>
      <c r="BI983" s="30" t="s">
        <v>2265</v>
      </c>
      <c r="BJ983" s="30" t="s">
        <v>19808</v>
      </c>
      <c r="BK983" s="30" t="s">
        <v>151</v>
      </c>
      <c r="BL983" s="30" t="s">
        <v>2267</v>
      </c>
      <c r="BM983" s="30" t="s">
        <v>855</v>
      </c>
      <c r="BN983" s="29" t="s">
        <v>19809</v>
      </c>
      <c r="BO983" s="30" t="s">
        <v>186</v>
      </c>
      <c r="BP983" s="29" t="s">
        <v>151</v>
      </c>
      <c r="BQ983" s="29" t="s">
        <v>151</v>
      </c>
      <c r="BR983" s="30" t="s">
        <v>151</v>
      </c>
      <c r="BS983" s="30" t="s">
        <v>187</v>
      </c>
      <c r="BT983" s="30" t="s">
        <v>188</v>
      </c>
      <c r="BU983" s="35">
        <v>44760</v>
      </c>
      <c r="BV983" s="37">
        <v>5.2</v>
      </c>
      <c r="BW983" s="30" t="s">
        <v>193</v>
      </c>
      <c r="BX983" s="37">
        <v>20</v>
      </c>
      <c r="BY983" s="30" t="s">
        <v>192</v>
      </c>
      <c r="BZ983" s="30" t="s">
        <v>293</v>
      </c>
      <c r="CA983" s="30" t="s">
        <v>293</v>
      </c>
      <c r="CB983" s="30" t="s">
        <v>151</v>
      </c>
      <c r="CC983" s="30" t="s">
        <v>165</v>
      </c>
      <c r="CD983" s="30" t="s">
        <v>151</v>
      </c>
      <c r="CE983" s="30" t="s">
        <v>191</v>
      </c>
      <c r="CF983" s="35">
        <v>44760</v>
      </c>
      <c r="CG983" s="37">
        <v>5.2</v>
      </c>
      <c r="CH983" s="30" t="s">
        <v>193</v>
      </c>
      <c r="CI983" s="37">
        <v>20</v>
      </c>
      <c r="CJ983" s="30" t="s">
        <v>192</v>
      </c>
      <c r="CK983" s="29" t="s">
        <v>151</v>
      </c>
      <c r="CL983" s="30" t="s">
        <v>293</v>
      </c>
      <c r="CM983" s="30" t="s">
        <v>293</v>
      </c>
      <c r="CN983" s="30" t="s">
        <v>151</v>
      </c>
      <c r="CO983" s="30" t="s">
        <v>165</v>
      </c>
      <c r="CP983" s="35">
        <v>44760</v>
      </c>
      <c r="CQ983" s="37" t="s">
        <v>151</v>
      </c>
      <c r="CR983" s="30" t="s">
        <v>151</v>
      </c>
      <c r="CS983" s="30" t="s">
        <v>191</v>
      </c>
      <c r="CT983" s="29" t="s">
        <v>151</v>
      </c>
      <c r="CU983" s="30" t="s">
        <v>151</v>
      </c>
      <c r="CV983" s="32" t="s">
        <v>151</v>
      </c>
      <c r="CW983" s="32" t="s">
        <v>151</v>
      </c>
      <c r="CX983" s="30" t="s">
        <v>151</v>
      </c>
      <c r="CY983" s="32" t="s">
        <v>151</v>
      </c>
      <c r="CZ983" s="32" t="s">
        <v>151</v>
      </c>
      <c r="DA983" s="37">
        <v>20</v>
      </c>
      <c r="DB983" s="35">
        <v>44760</v>
      </c>
      <c r="DC983" s="30" t="s">
        <v>293</v>
      </c>
      <c r="DD983" s="29" t="s">
        <v>151</v>
      </c>
      <c r="DE983" s="32" t="s">
        <v>151</v>
      </c>
      <c r="DF983" s="34" t="s">
        <v>151</v>
      </c>
      <c r="DG983" s="32" t="s">
        <v>151</v>
      </c>
      <c r="DH983" s="32" t="s">
        <v>151</v>
      </c>
      <c r="DI983" s="32" t="s">
        <v>151</v>
      </c>
      <c r="DJ983" s="34" t="s">
        <v>151</v>
      </c>
      <c r="DK983" s="32" t="s">
        <v>151</v>
      </c>
      <c r="DL983" s="34" t="s">
        <v>151</v>
      </c>
      <c r="DM983" s="32" t="s">
        <v>151</v>
      </c>
      <c r="DN983" s="34" t="s">
        <v>151</v>
      </c>
      <c r="DO983" s="36" t="s">
        <v>151</v>
      </c>
      <c r="DP983" s="34" t="s">
        <v>151</v>
      </c>
      <c r="DQ983" s="36" t="s">
        <v>151</v>
      </c>
      <c r="DR983" s="32" t="s">
        <v>151</v>
      </c>
      <c r="DS983" s="36" t="s">
        <v>151</v>
      </c>
      <c r="DT983" s="34" t="s">
        <v>151</v>
      </c>
      <c r="DU983" s="36" t="s">
        <v>151</v>
      </c>
      <c r="DV983" s="34" t="s">
        <v>151</v>
      </c>
      <c r="DW983" s="36" t="s">
        <v>151</v>
      </c>
      <c r="DX983" s="34" t="s">
        <v>151</v>
      </c>
      <c r="DY983" s="31" t="s">
        <v>151</v>
      </c>
      <c r="DZ983" s="35" t="s">
        <v>151</v>
      </c>
      <c r="EA983" s="35" t="s">
        <v>151</v>
      </c>
      <c r="EB983" s="34" t="s">
        <v>151</v>
      </c>
      <c r="EC983" s="33" t="s">
        <v>151</v>
      </c>
      <c r="ED983" s="32" t="s">
        <v>151</v>
      </c>
      <c r="EE983" s="34" t="s">
        <v>151</v>
      </c>
      <c r="EF983" s="33" t="s">
        <v>151</v>
      </c>
      <c r="EG983" s="32" t="s">
        <v>151</v>
      </c>
      <c r="EH983" s="29" t="s">
        <v>198</v>
      </c>
      <c r="EI983" s="30" t="s">
        <v>151</v>
      </c>
      <c r="EJ983" s="30" t="s">
        <v>151</v>
      </c>
      <c r="EK983" s="31" t="s">
        <v>151</v>
      </c>
      <c r="EL983" s="31" t="s">
        <v>151</v>
      </c>
      <c r="EM983" s="31" t="s">
        <v>151</v>
      </c>
      <c r="EN983" s="31" t="s">
        <v>151</v>
      </c>
      <c r="EO983" s="31" t="s">
        <v>151</v>
      </c>
      <c r="EP983" s="30" t="s">
        <v>151</v>
      </c>
      <c r="EQ983" s="29" t="s">
        <v>151</v>
      </c>
      <c r="ER983" s="29" t="s">
        <v>151</v>
      </c>
      <c r="ES983" s="4">
        <f>HYPERLINK("https://my.pitchbook.com?c=502826-59","View Company Online")</f>
      </c>
    </row>
    <row r="984">
      <c r="A984" s="17" t="s">
        <v>19810</v>
      </c>
      <c r="B984" s="17" t="s">
        <v>19811</v>
      </c>
      <c r="C984" s="18" t="s">
        <v>151</v>
      </c>
      <c r="D984" s="17" t="s">
        <v>19812</v>
      </c>
      <c r="E984" s="17" t="s">
        <v>19813</v>
      </c>
      <c r="F984" s="17" t="s">
        <v>19814</v>
      </c>
      <c r="G984" s="17" t="s">
        <v>151</v>
      </c>
      <c r="H984" s="17" t="s">
        <v>151</v>
      </c>
      <c r="I984" s="17" t="s">
        <v>19815</v>
      </c>
      <c r="J984" s="17" t="s">
        <v>19810</v>
      </c>
      <c r="K984" s="17" t="s">
        <v>19816</v>
      </c>
      <c r="L984" s="17" t="s">
        <v>205</v>
      </c>
      <c r="M984" s="17" t="s">
        <v>206</v>
      </c>
      <c r="N984" s="17" t="s">
        <v>1268</v>
      </c>
      <c r="O984" s="17" t="s">
        <v>2129</v>
      </c>
      <c r="P984" s="17" t="s">
        <v>892</v>
      </c>
      <c r="Q984" s="17" t="s">
        <v>19817</v>
      </c>
      <c r="R984" s="17" t="s">
        <v>151</v>
      </c>
      <c r="S984" s="17" t="s">
        <v>162</v>
      </c>
      <c r="T984" s="24">
        <v>7</v>
      </c>
      <c r="U984" s="17" t="s">
        <v>163</v>
      </c>
      <c r="V984" s="17" t="s">
        <v>164</v>
      </c>
      <c r="W984" s="17" t="s">
        <v>165</v>
      </c>
      <c r="X984" s="15" t="s">
        <v>19818</v>
      </c>
      <c r="Y984" s="15" t="s">
        <v>19819</v>
      </c>
      <c r="Z984" s="27">
        <v>16</v>
      </c>
      <c r="AA984" s="17" t="s">
        <v>19820</v>
      </c>
      <c r="AB984" s="17" t="s">
        <v>151</v>
      </c>
      <c r="AC984" s="17" t="s">
        <v>151</v>
      </c>
      <c r="AD984" s="26">
        <v>2018</v>
      </c>
      <c r="AE984" s="17" t="s">
        <v>151</v>
      </c>
      <c r="AF984" s="22">
        <v>45573</v>
      </c>
      <c r="AG984" s="17" t="s">
        <v>151</v>
      </c>
      <c r="AH984" s="17" t="s">
        <v>151</v>
      </c>
      <c r="AI984" s="25" t="s">
        <v>151</v>
      </c>
      <c r="AJ984" s="19" t="s">
        <v>151</v>
      </c>
      <c r="AK984" s="25" t="s">
        <v>151</v>
      </c>
      <c r="AL984" s="25" t="s">
        <v>151</v>
      </c>
      <c r="AM984" s="25" t="s">
        <v>151</v>
      </c>
      <c r="AN984" s="25" t="s">
        <v>151</v>
      </c>
      <c r="AO984" s="25" t="s">
        <v>151</v>
      </c>
      <c r="AP984" s="25" t="s">
        <v>151</v>
      </c>
      <c r="AQ984" s="25" t="s">
        <v>151</v>
      </c>
      <c r="AR984" s="16" t="s">
        <v>151</v>
      </c>
      <c r="AS984" s="17" t="s">
        <v>19821</v>
      </c>
      <c r="AT984" s="17" t="s">
        <v>19822</v>
      </c>
      <c r="AU984" s="18">
        <v>8</v>
      </c>
      <c r="AV984" s="17" t="s">
        <v>151</v>
      </c>
      <c r="AW984" s="17" t="s">
        <v>151</v>
      </c>
      <c r="AX984" s="17" t="s">
        <v>151</v>
      </c>
      <c r="AY984" s="17" t="s">
        <v>19823</v>
      </c>
      <c r="AZ984" s="17" t="s">
        <v>151</v>
      </c>
      <c r="BA984" s="17" t="s">
        <v>151</v>
      </c>
      <c r="BB984" s="17" t="s">
        <v>151</v>
      </c>
      <c r="BC984" s="17" t="s">
        <v>374</v>
      </c>
      <c r="BD984" s="17" t="s">
        <v>19824</v>
      </c>
      <c r="BE984" s="17" t="s">
        <v>19825</v>
      </c>
      <c r="BF984" s="17" t="s">
        <v>19826</v>
      </c>
      <c r="BG984" s="17" t="s">
        <v>19827</v>
      </c>
      <c r="BH984" s="17" t="s">
        <v>19828</v>
      </c>
      <c r="BI984" s="17" t="s">
        <v>906</v>
      </c>
      <c r="BJ984" s="17" t="s">
        <v>19829</v>
      </c>
      <c r="BK984" s="17" t="s">
        <v>19830</v>
      </c>
      <c r="BL984" s="17" t="s">
        <v>259</v>
      </c>
      <c r="BM984" s="17" t="s">
        <v>259</v>
      </c>
      <c r="BN984" s="16" t="s">
        <v>4140</v>
      </c>
      <c r="BO984" s="17" t="s">
        <v>186</v>
      </c>
      <c r="BP984" s="16" t="s">
        <v>19828</v>
      </c>
      <c r="BQ984" s="16" t="s">
        <v>151</v>
      </c>
      <c r="BR984" s="17" t="s">
        <v>151</v>
      </c>
      <c r="BS984" s="17" t="s">
        <v>187</v>
      </c>
      <c r="BT984" s="17" t="s">
        <v>188</v>
      </c>
      <c r="BU984" s="22">
        <v>44131</v>
      </c>
      <c r="BV984" s="24">
        <v>2</v>
      </c>
      <c r="BW984" s="17" t="s">
        <v>192</v>
      </c>
      <c r="BX984" s="24">
        <v>8</v>
      </c>
      <c r="BY984" s="17" t="s">
        <v>192</v>
      </c>
      <c r="BZ984" s="17" t="s">
        <v>293</v>
      </c>
      <c r="CA984" s="17" t="s">
        <v>293</v>
      </c>
      <c r="CB984" s="17" t="s">
        <v>151</v>
      </c>
      <c r="CC984" s="17" t="s">
        <v>165</v>
      </c>
      <c r="CD984" s="17" t="s">
        <v>151</v>
      </c>
      <c r="CE984" s="17" t="s">
        <v>191</v>
      </c>
      <c r="CF984" s="22">
        <v>45020</v>
      </c>
      <c r="CG984" s="24" t="s">
        <v>151</v>
      </c>
      <c r="CH984" s="17" t="s">
        <v>151</v>
      </c>
      <c r="CI984" s="24" t="s">
        <v>151</v>
      </c>
      <c r="CJ984" s="17" t="s">
        <v>151</v>
      </c>
      <c r="CK984" s="16" t="s">
        <v>151</v>
      </c>
      <c r="CL984" s="17" t="s">
        <v>189</v>
      </c>
      <c r="CM984" s="17" t="s">
        <v>151</v>
      </c>
      <c r="CN984" s="17" t="s">
        <v>151</v>
      </c>
      <c r="CO984" s="17" t="s">
        <v>190</v>
      </c>
      <c r="CP984" s="22">
        <v>45020</v>
      </c>
      <c r="CQ984" s="24" t="s">
        <v>151</v>
      </c>
      <c r="CR984" s="17" t="s">
        <v>151</v>
      </c>
      <c r="CS984" s="17" t="s">
        <v>191</v>
      </c>
      <c r="CT984" s="16">
        <v>89</v>
      </c>
      <c r="CU984" s="17" t="s">
        <v>196</v>
      </c>
      <c r="CV984" s="19">
        <v>81</v>
      </c>
      <c r="CW984" s="19">
        <v>19</v>
      </c>
      <c r="CX984" s="17" t="s">
        <v>294</v>
      </c>
      <c r="CY984" s="19">
        <v>1</v>
      </c>
      <c r="CZ984" s="19">
        <v>80</v>
      </c>
      <c r="DA984" s="24">
        <v>8</v>
      </c>
      <c r="DB984" s="22">
        <v>44131</v>
      </c>
      <c r="DC984" s="17" t="s">
        <v>293</v>
      </c>
      <c r="DD984" s="16" t="s">
        <v>151</v>
      </c>
      <c r="DE984" s="19" t="s">
        <v>151</v>
      </c>
      <c r="DF984" s="21" t="s">
        <v>151</v>
      </c>
      <c r="DG984" s="19" t="s">
        <v>151</v>
      </c>
      <c r="DH984" s="19" t="s">
        <v>151</v>
      </c>
      <c r="DI984" s="19" t="s">
        <v>151</v>
      </c>
      <c r="DJ984" s="21" t="s">
        <v>151</v>
      </c>
      <c r="DK984" s="19" t="s">
        <v>151</v>
      </c>
      <c r="DL984" s="21" t="s">
        <v>151</v>
      </c>
      <c r="DM984" s="19" t="s">
        <v>151</v>
      </c>
      <c r="DN984" s="21" t="s">
        <v>151</v>
      </c>
      <c r="DO984" s="23" t="s">
        <v>151</v>
      </c>
      <c r="DP984" s="21" t="s">
        <v>151</v>
      </c>
      <c r="DQ984" s="23" t="s">
        <v>151</v>
      </c>
      <c r="DR984" s="19" t="s">
        <v>151</v>
      </c>
      <c r="DS984" s="23" t="s">
        <v>151</v>
      </c>
      <c r="DT984" s="21" t="s">
        <v>151</v>
      </c>
      <c r="DU984" s="23" t="s">
        <v>151</v>
      </c>
      <c r="DV984" s="21" t="s">
        <v>151</v>
      </c>
      <c r="DW984" s="23" t="s">
        <v>151</v>
      </c>
      <c r="DX984" s="21" t="s">
        <v>151</v>
      </c>
      <c r="DY984" s="18" t="s">
        <v>151</v>
      </c>
      <c r="DZ984" s="22" t="s">
        <v>151</v>
      </c>
      <c r="EA984" s="22" t="s">
        <v>151</v>
      </c>
      <c r="EB984" s="21" t="s">
        <v>151</v>
      </c>
      <c r="EC984" s="20" t="s">
        <v>151</v>
      </c>
      <c r="ED984" s="19" t="s">
        <v>151</v>
      </c>
      <c r="EE984" s="21" t="s">
        <v>151</v>
      </c>
      <c r="EF984" s="20" t="s">
        <v>151</v>
      </c>
      <c r="EG984" s="19" t="s">
        <v>151</v>
      </c>
      <c r="EH984" s="16" t="s">
        <v>198</v>
      </c>
      <c r="EI984" s="17" t="s">
        <v>151</v>
      </c>
      <c r="EJ984" s="17" t="s">
        <v>151</v>
      </c>
      <c r="EK984" s="18" t="s">
        <v>151</v>
      </c>
      <c r="EL984" s="18" t="s">
        <v>151</v>
      </c>
      <c r="EM984" s="18" t="s">
        <v>151</v>
      </c>
      <c r="EN984" s="18" t="s">
        <v>151</v>
      </c>
      <c r="EO984" s="18" t="s">
        <v>151</v>
      </c>
      <c r="EP984" s="17" t="s">
        <v>151</v>
      </c>
      <c r="EQ984" s="16" t="s">
        <v>151</v>
      </c>
      <c r="ER984" s="16" t="s">
        <v>151</v>
      </c>
      <c r="ES984" s="3">
        <f>HYPERLINK("https://my.pitchbook.com?c=442978-12","View Company Online")</f>
      </c>
    </row>
    <row r="985">
      <c r="A985" s="30" t="s">
        <v>19831</v>
      </c>
      <c r="B985" s="30" t="s">
        <v>19832</v>
      </c>
      <c r="C985" s="31" t="s">
        <v>151</v>
      </c>
      <c r="D985" s="30" t="s">
        <v>151</v>
      </c>
      <c r="E985" s="30" t="s">
        <v>19833</v>
      </c>
      <c r="F985" s="30" t="s">
        <v>19834</v>
      </c>
      <c r="G985" s="30" t="s">
        <v>151</v>
      </c>
      <c r="H985" s="30" t="s">
        <v>151</v>
      </c>
      <c r="I985" s="30" t="s">
        <v>19835</v>
      </c>
      <c r="J985" s="30" t="s">
        <v>19831</v>
      </c>
      <c r="K985" s="30" t="s">
        <v>19836</v>
      </c>
      <c r="L985" s="30" t="s">
        <v>1792</v>
      </c>
      <c r="M985" s="30" t="s">
        <v>5329</v>
      </c>
      <c r="N985" s="30" t="s">
        <v>9924</v>
      </c>
      <c r="O985" s="30" t="s">
        <v>19837</v>
      </c>
      <c r="P985" s="30" t="s">
        <v>10302</v>
      </c>
      <c r="Q985" s="30" t="s">
        <v>19838</v>
      </c>
      <c r="R985" s="30" t="s">
        <v>151</v>
      </c>
      <c r="S985" s="30" t="s">
        <v>162</v>
      </c>
      <c r="T985" s="37">
        <v>0.55</v>
      </c>
      <c r="U985" s="30" t="s">
        <v>163</v>
      </c>
      <c r="V985" s="30" t="s">
        <v>164</v>
      </c>
      <c r="W985" s="30" t="s">
        <v>165</v>
      </c>
      <c r="X985" s="28" t="s">
        <v>19839</v>
      </c>
      <c r="Y985" s="28" t="s">
        <v>19840</v>
      </c>
      <c r="Z985" s="40">
        <v>3</v>
      </c>
      <c r="AA985" s="30" t="s">
        <v>19841</v>
      </c>
      <c r="AB985" s="30" t="s">
        <v>151</v>
      </c>
      <c r="AC985" s="30" t="s">
        <v>151</v>
      </c>
      <c r="AD985" s="39">
        <v>2020</v>
      </c>
      <c r="AE985" s="30" t="s">
        <v>151</v>
      </c>
      <c r="AF985" s="35">
        <v>45390</v>
      </c>
      <c r="AG985" s="30" t="s">
        <v>151</v>
      </c>
      <c r="AH985" s="30" t="s">
        <v>151</v>
      </c>
      <c r="AI985" s="38" t="s">
        <v>151</v>
      </c>
      <c r="AJ985" s="32" t="s">
        <v>151</v>
      </c>
      <c r="AK985" s="38" t="s">
        <v>151</v>
      </c>
      <c r="AL985" s="38" t="s">
        <v>151</v>
      </c>
      <c r="AM985" s="38" t="s">
        <v>151</v>
      </c>
      <c r="AN985" s="38" t="s">
        <v>151</v>
      </c>
      <c r="AO985" s="38" t="s">
        <v>151</v>
      </c>
      <c r="AP985" s="38" t="s">
        <v>151</v>
      </c>
      <c r="AQ985" s="38" t="s">
        <v>151</v>
      </c>
      <c r="AR985" s="29" t="s">
        <v>151</v>
      </c>
      <c r="AS985" s="30" t="s">
        <v>19842</v>
      </c>
      <c r="AT985" s="30" t="s">
        <v>19843</v>
      </c>
      <c r="AU985" s="31">
        <v>2</v>
      </c>
      <c r="AV985" s="30" t="s">
        <v>151</v>
      </c>
      <c r="AW985" s="30" t="s">
        <v>151</v>
      </c>
      <c r="AX985" s="30" t="s">
        <v>151</v>
      </c>
      <c r="AY985" s="30" t="s">
        <v>19844</v>
      </c>
      <c r="AZ985" s="30" t="s">
        <v>151</v>
      </c>
      <c r="BA985" s="30" t="s">
        <v>151</v>
      </c>
      <c r="BB985" s="30" t="s">
        <v>151</v>
      </c>
      <c r="BC985" s="30" t="s">
        <v>151</v>
      </c>
      <c r="BD985" s="30" t="s">
        <v>19845</v>
      </c>
      <c r="BE985" s="30" t="s">
        <v>19846</v>
      </c>
      <c r="BF985" s="30" t="s">
        <v>221</v>
      </c>
      <c r="BG985" s="30" t="s">
        <v>19847</v>
      </c>
      <c r="BH985" s="30" t="s">
        <v>19848</v>
      </c>
      <c r="BI985" s="30" t="s">
        <v>906</v>
      </c>
      <c r="BJ985" s="30" t="s">
        <v>19849</v>
      </c>
      <c r="BK985" s="30" t="s">
        <v>2957</v>
      </c>
      <c r="BL985" s="30" t="s">
        <v>259</v>
      </c>
      <c r="BM985" s="30" t="s">
        <v>259</v>
      </c>
      <c r="BN985" s="29" t="s">
        <v>4983</v>
      </c>
      <c r="BO985" s="30" t="s">
        <v>186</v>
      </c>
      <c r="BP985" s="29" t="s">
        <v>19848</v>
      </c>
      <c r="BQ985" s="29" t="s">
        <v>151</v>
      </c>
      <c r="BR985" s="30" t="s">
        <v>19850</v>
      </c>
      <c r="BS985" s="30" t="s">
        <v>187</v>
      </c>
      <c r="BT985" s="30" t="s">
        <v>188</v>
      </c>
      <c r="BU985" s="35">
        <v>44438</v>
      </c>
      <c r="BV985" s="37">
        <v>0.55</v>
      </c>
      <c r="BW985" s="30" t="s">
        <v>192</v>
      </c>
      <c r="BX985" s="37">
        <v>15.55</v>
      </c>
      <c r="BY985" s="30" t="s">
        <v>192</v>
      </c>
      <c r="BZ985" s="30" t="s">
        <v>231</v>
      </c>
      <c r="CA985" s="30" t="s">
        <v>151</v>
      </c>
      <c r="CB985" s="30" t="s">
        <v>151</v>
      </c>
      <c r="CC985" s="30" t="s">
        <v>165</v>
      </c>
      <c r="CD985" s="30" t="s">
        <v>151</v>
      </c>
      <c r="CE985" s="30" t="s">
        <v>191</v>
      </c>
      <c r="CF985" s="35">
        <v>44438</v>
      </c>
      <c r="CG985" s="37">
        <v>0.55</v>
      </c>
      <c r="CH985" s="30" t="s">
        <v>192</v>
      </c>
      <c r="CI985" s="37">
        <v>15.55</v>
      </c>
      <c r="CJ985" s="30" t="s">
        <v>192</v>
      </c>
      <c r="CK985" s="29" t="s">
        <v>151</v>
      </c>
      <c r="CL985" s="30" t="s">
        <v>231</v>
      </c>
      <c r="CM985" s="30" t="s">
        <v>151</v>
      </c>
      <c r="CN985" s="30" t="s">
        <v>151</v>
      </c>
      <c r="CO985" s="30" t="s">
        <v>165</v>
      </c>
      <c r="CP985" s="35">
        <v>44438</v>
      </c>
      <c r="CQ985" s="37" t="s">
        <v>151</v>
      </c>
      <c r="CR985" s="30" t="s">
        <v>151</v>
      </c>
      <c r="CS985" s="30" t="s">
        <v>191</v>
      </c>
      <c r="CT985" s="29" t="s">
        <v>151</v>
      </c>
      <c r="CU985" s="30" t="s">
        <v>151</v>
      </c>
      <c r="CV985" s="32" t="s">
        <v>151</v>
      </c>
      <c r="CW985" s="32" t="s">
        <v>151</v>
      </c>
      <c r="CX985" s="30" t="s">
        <v>151</v>
      </c>
      <c r="CY985" s="32" t="s">
        <v>151</v>
      </c>
      <c r="CZ985" s="32" t="s">
        <v>151</v>
      </c>
      <c r="DA985" s="37">
        <v>15.55</v>
      </c>
      <c r="DB985" s="35">
        <v>44438</v>
      </c>
      <c r="DC985" s="30" t="s">
        <v>231</v>
      </c>
      <c r="DD985" s="29" t="s">
        <v>151</v>
      </c>
      <c r="DE985" s="32">
        <v>0</v>
      </c>
      <c r="DF985" s="34">
        <v>11</v>
      </c>
      <c r="DG985" s="32">
        <v>0</v>
      </c>
      <c r="DH985" s="32">
        <v>0</v>
      </c>
      <c r="DI985" s="32">
        <v>0</v>
      </c>
      <c r="DJ985" s="34">
        <v>10</v>
      </c>
      <c r="DK985" s="32" t="s">
        <v>151</v>
      </c>
      <c r="DL985" s="34" t="s">
        <v>151</v>
      </c>
      <c r="DM985" s="32">
        <v>0</v>
      </c>
      <c r="DN985" s="34">
        <v>10</v>
      </c>
      <c r="DO985" s="36">
        <v>0.27</v>
      </c>
      <c r="DP985" s="34">
        <v>21</v>
      </c>
      <c r="DQ985" s="36">
        <v>0</v>
      </c>
      <c r="DR985" s="32">
        <v>0</v>
      </c>
      <c r="DS985" s="36">
        <v>0.32</v>
      </c>
      <c r="DT985" s="34">
        <v>22</v>
      </c>
      <c r="DU985" s="36" t="s">
        <v>151</v>
      </c>
      <c r="DV985" s="34" t="s">
        <v>151</v>
      </c>
      <c r="DW985" s="36">
        <v>0.32</v>
      </c>
      <c r="DX985" s="34">
        <v>22</v>
      </c>
      <c r="DY985" s="31" t="s">
        <v>151</v>
      </c>
      <c r="DZ985" s="35" t="s">
        <v>151</v>
      </c>
      <c r="EA985" s="35" t="s">
        <v>151</v>
      </c>
      <c r="EB985" s="34">
        <v>0</v>
      </c>
      <c r="EC985" s="33">
        <v>0</v>
      </c>
      <c r="ED985" s="32">
        <v>0</v>
      </c>
      <c r="EE985" s="34">
        <v>6</v>
      </c>
      <c r="EF985" s="33">
        <v>0</v>
      </c>
      <c r="EG985" s="32">
        <v>0</v>
      </c>
      <c r="EH985" s="29" t="s">
        <v>198</v>
      </c>
      <c r="EI985" s="30" t="s">
        <v>151</v>
      </c>
      <c r="EJ985" s="30" t="s">
        <v>151</v>
      </c>
      <c r="EK985" s="31" t="s">
        <v>151</v>
      </c>
      <c r="EL985" s="31" t="s">
        <v>151</v>
      </c>
      <c r="EM985" s="31" t="s">
        <v>151</v>
      </c>
      <c r="EN985" s="31" t="s">
        <v>151</v>
      </c>
      <c r="EO985" s="31" t="s">
        <v>151</v>
      </c>
      <c r="EP985" s="30" t="s">
        <v>151</v>
      </c>
      <c r="EQ985" s="29" t="s">
        <v>151</v>
      </c>
      <c r="ER985" s="29" t="s">
        <v>151</v>
      </c>
      <c r="ES985" s="4">
        <f>HYPERLINK("https://my.pitchbook.com?c=489005-38","View Company Online")</f>
      </c>
    </row>
    <row r="986">
      <c r="A986" s="17" t="s">
        <v>19851</v>
      </c>
      <c r="B986" s="17" t="s">
        <v>19852</v>
      </c>
      <c r="C986" s="18" t="s">
        <v>151</v>
      </c>
      <c r="D986" s="17" t="s">
        <v>151</v>
      </c>
      <c r="E986" s="17" t="s">
        <v>151</v>
      </c>
      <c r="F986" s="17" t="s">
        <v>19853</v>
      </c>
      <c r="G986" s="17" t="s">
        <v>151</v>
      </c>
      <c r="H986" s="17" t="s">
        <v>151</v>
      </c>
      <c r="I986" s="17" t="s">
        <v>19854</v>
      </c>
      <c r="J986" s="17" t="s">
        <v>19851</v>
      </c>
      <c r="K986" s="17" t="s">
        <v>19855</v>
      </c>
      <c r="L986" s="17" t="s">
        <v>616</v>
      </c>
      <c r="M986" s="17" t="s">
        <v>834</v>
      </c>
      <c r="N986" s="17" t="s">
        <v>835</v>
      </c>
      <c r="O986" s="17" t="s">
        <v>1992</v>
      </c>
      <c r="P986" s="17" t="s">
        <v>151</v>
      </c>
      <c r="Q986" s="17" t="s">
        <v>19856</v>
      </c>
      <c r="R986" s="17" t="s">
        <v>151</v>
      </c>
      <c r="S986" s="17" t="s">
        <v>162</v>
      </c>
      <c r="T986" s="24">
        <v>5.7</v>
      </c>
      <c r="U986" s="17" t="s">
        <v>163</v>
      </c>
      <c r="V986" s="17" t="s">
        <v>164</v>
      </c>
      <c r="W986" s="17" t="s">
        <v>165</v>
      </c>
      <c r="X986" s="15" t="s">
        <v>19857</v>
      </c>
      <c r="Y986" s="15" t="s">
        <v>19858</v>
      </c>
      <c r="Z986" s="27">
        <v>4</v>
      </c>
      <c r="AA986" s="17" t="s">
        <v>19407</v>
      </c>
      <c r="AB986" s="17" t="s">
        <v>151</v>
      </c>
      <c r="AC986" s="17" t="s">
        <v>151</v>
      </c>
      <c r="AD986" s="26">
        <v>2021</v>
      </c>
      <c r="AE986" s="17" t="s">
        <v>151</v>
      </c>
      <c r="AF986" s="22">
        <v>45196</v>
      </c>
      <c r="AG986" s="17" t="s">
        <v>151</v>
      </c>
      <c r="AH986" s="17" t="s">
        <v>151</v>
      </c>
      <c r="AI986" s="25" t="s">
        <v>151</v>
      </c>
      <c r="AJ986" s="19" t="s">
        <v>151</v>
      </c>
      <c r="AK986" s="25" t="s">
        <v>151</v>
      </c>
      <c r="AL986" s="25" t="s">
        <v>151</v>
      </c>
      <c r="AM986" s="25" t="s">
        <v>151</v>
      </c>
      <c r="AN986" s="25" t="s">
        <v>151</v>
      </c>
      <c r="AO986" s="25" t="s">
        <v>151</v>
      </c>
      <c r="AP986" s="25" t="s">
        <v>151</v>
      </c>
      <c r="AQ986" s="25" t="s">
        <v>151</v>
      </c>
      <c r="AR986" s="16" t="s">
        <v>151</v>
      </c>
      <c r="AS986" s="17" t="s">
        <v>19859</v>
      </c>
      <c r="AT986" s="17" t="s">
        <v>19860</v>
      </c>
      <c r="AU986" s="18">
        <v>4</v>
      </c>
      <c r="AV986" s="17" t="s">
        <v>151</v>
      </c>
      <c r="AW986" s="17" t="s">
        <v>151</v>
      </c>
      <c r="AX986" s="17" t="s">
        <v>151</v>
      </c>
      <c r="AY986" s="17" t="s">
        <v>19861</v>
      </c>
      <c r="AZ986" s="17" t="s">
        <v>151</v>
      </c>
      <c r="BA986" s="17" t="s">
        <v>151</v>
      </c>
      <c r="BB986" s="17" t="s">
        <v>151</v>
      </c>
      <c r="BC986" s="17" t="s">
        <v>151</v>
      </c>
      <c r="BD986" s="17" t="s">
        <v>19862</v>
      </c>
      <c r="BE986" s="17" t="s">
        <v>19863</v>
      </c>
      <c r="BF986" s="17" t="s">
        <v>403</v>
      </c>
      <c r="BG986" s="17" t="s">
        <v>151</v>
      </c>
      <c r="BH986" s="17" t="s">
        <v>151</v>
      </c>
      <c r="BI986" s="17" t="s">
        <v>764</v>
      </c>
      <c r="BJ986" s="17" t="s">
        <v>19864</v>
      </c>
      <c r="BK986" s="17" t="s">
        <v>523</v>
      </c>
      <c r="BL986" s="17" t="s">
        <v>767</v>
      </c>
      <c r="BM986" s="17" t="s">
        <v>184</v>
      </c>
      <c r="BN986" s="16" t="s">
        <v>4698</v>
      </c>
      <c r="BO986" s="17" t="s">
        <v>186</v>
      </c>
      <c r="BP986" s="16" t="s">
        <v>151</v>
      </c>
      <c r="BQ986" s="16" t="s">
        <v>151</v>
      </c>
      <c r="BR986" s="17" t="s">
        <v>19865</v>
      </c>
      <c r="BS986" s="17" t="s">
        <v>187</v>
      </c>
      <c r="BT986" s="17" t="s">
        <v>188</v>
      </c>
      <c r="BU986" s="22">
        <v>44986</v>
      </c>
      <c r="BV986" s="24">
        <v>5.7</v>
      </c>
      <c r="BW986" s="17" t="s">
        <v>192</v>
      </c>
      <c r="BX986" s="24">
        <v>35</v>
      </c>
      <c r="BY986" s="17" t="s">
        <v>192</v>
      </c>
      <c r="BZ986" s="17" t="s">
        <v>293</v>
      </c>
      <c r="CA986" s="17" t="s">
        <v>293</v>
      </c>
      <c r="CB986" s="17" t="s">
        <v>151</v>
      </c>
      <c r="CC986" s="17" t="s">
        <v>165</v>
      </c>
      <c r="CD986" s="17" t="s">
        <v>151</v>
      </c>
      <c r="CE986" s="17" t="s">
        <v>191</v>
      </c>
      <c r="CF986" s="22">
        <v>44986</v>
      </c>
      <c r="CG986" s="24">
        <v>5.7</v>
      </c>
      <c r="CH986" s="17" t="s">
        <v>192</v>
      </c>
      <c r="CI986" s="24">
        <v>35</v>
      </c>
      <c r="CJ986" s="17" t="s">
        <v>192</v>
      </c>
      <c r="CK986" s="16" t="s">
        <v>151</v>
      </c>
      <c r="CL986" s="17" t="s">
        <v>293</v>
      </c>
      <c r="CM986" s="17" t="s">
        <v>293</v>
      </c>
      <c r="CN986" s="17" t="s">
        <v>151</v>
      </c>
      <c r="CO986" s="17" t="s">
        <v>165</v>
      </c>
      <c r="CP986" s="22">
        <v>44986</v>
      </c>
      <c r="CQ986" s="24" t="s">
        <v>151</v>
      </c>
      <c r="CR986" s="17" t="s">
        <v>151</v>
      </c>
      <c r="CS986" s="17" t="s">
        <v>191</v>
      </c>
      <c r="CT986" s="16" t="s">
        <v>151</v>
      </c>
      <c r="CU986" s="17" t="s">
        <v>151</v>
      </c>
      <c r="CV986" s="19" t="s">
        <v>151</v>
      </c>
      <c r="CW986" s="19" t="s">
        <v>151</v>
      </c>
      <c r="CX986" s="17" t="s">
        <v>151</v>
      </c>
      <c r="CY986" s="19" t="s">
        <v>151</v>
      </c>
      <c r="CZ986" s="19" t="s">
        <v>151</v>
      </c>
      <c r="DA986" s="24">
        <v>35</v>
      </c>
      <c r="DB986" s="22">
        <v>44986</v>
      </c>
      <c r="DC986" s="17" t="s">
        <v>293</v>
      </c>
      <c r="DD986" s="16" t="s">
        <v>151</v>
      </c>
      <c r="DE986" s="19">
        <v>0</v>
      </c>
      <c r="DF986" s="21">
        <v>11</v>
      </c>
      <c r="DG986" s="19">
        <v>0</v>
      </c>
      <c r="DH986" s="19">
        <v>0</v>
      </c>
      <c r="DI986" s="19">
        <v>0</v>
      </c>
      <c r="DJ986" s="21">
        <v>10</v>
      </c>
      <c r="DK986" s="19" t="s">
        <v>151</v>
      </c>
      <c r="DL986" s="21" t="s">
        <v>151</v>
      </c>
      <c r="DM986" s="19">
        <v>0</v>
      </c>
      <c r="DN986" s="21">
        <v>10</v>
      </c>
      <c r="DO986" s="23">
        <v>1.26</v>
      </c>
      <c r="DP986" s="21">
        <v>55</v>
      </c>
      <c r="DQ986" s="23">
        <v>0</v>
      </c>
      <c r="DR986" s="19">
        <v>0</v>
      </c>
      <c r="DS986" s="23">
        <v>1.26</v>
      </c>
      <c r="DT986" s="21">
        <v>55</v>
      </c>
      <c r="DU986" s="23" t="s">
        <v>151</v>
      </c>
      <c r="DV986" s="21" t="s">
        <v>151</v>
      </c>
      <c r="DW986" s="23">
        <v>1.26</v>
      </c>
      <c r="DX986" s="21">
        <v>55</v>
      </c>
      <c r="DY986" s="18" t="s">
        <v>151</v>
      </c>
      <c r="DZ986" s="22" t="s">
        <v>151</v>
      </c>
      <c r="EA986" s="22" t="s">
        <v>151</v>
      </c>
      <c r="EB986" s="21">
        <v>32</v>
      </c>
      <c r="EC986" s="20">
        <v>-160</v>
      </c>
      <c r="ED986" s="19">
        <v>-83.33</v>
      </c>
      <c r="EE986" s="21">
        <v>24</v>
      </c>
      <c r="EF986" s="20">
        <v>0</v>
      </c>
      <c r="EG986" s="19">
        <v>0</v>
      </c>
      <c r="EH986" s="16" t="s">
        <v>198</v>
      </c>
      <c r="EI986" s="17" t="s">
        <v>151</v>
      </c>
      <c r="EJ986" s="17" t="s">
        <v>151</v>
      </c>
      <c r="EK986" s="18" t="s">
        <v>151</v>
      </c>
      <c r="EL986" s="18" t="s">
        <v>151</v>
      </c>
      <c r="EM986" s="18" t="s">
        <v>151</v>
      </c>
      <c r="EN986" s="18" t="s">
        <v>151</v>
      </c>
      <c r="EO986" s="18" t="s">
        <v>151</v>
      </c>
      <c r="EP986" s="17" t="s">
        <v>151</v>
      </c>
      <c r="EQ986" s="16" t="s">
        <v>151</v>
      </c>
      <c r="ER986" s="16" t="s">
        <v>151</v>
      </c>
      <c r="ES986" s="3">
        <f>HYPERLINK("https://my.pitchbook.com?c=520994-17","View Company Online")</f>
      </c>
    </row>
    <row r="987">
      <c r="A987" s="30" t="s">
        <v>19866</v>
      </c>
      <c r="B987" s="30" t="s">
        <v>19867</v>
      </c>
      <c r="C987" s="31" t="s">
        <v>151</v>
      </c>
      <c r="D987" s="30" t="s">
        <v>19868</v>
      </c>
      <c r="E987" s="30" t="s">
        <v>151</v>
      </c>
      <c r="F987" s="30" t="s">
        <v>19869</v>
      </c>
      <c r="G987" s="30" t="s">
        <v>151</v>
      </c>
      <c r="H987" s="30" t="s">
        <v>151</v>
      </c>
      <c r="I987" s="30" t="s">
        <v>19870</v>
      </c>
      <c r="J987" s="30" t="s">
        <v>19866</v>
      </c>
      <c r="K987" s="30" t="s">
        <v>19871</v>
      </c>
      <c r="L987" s="30" t="s">
        <v>205</v>
      </c>
      <c r="M987" s="30" t="s">
        <v>206</v>
      </c>
      <c r="N987" s="30" t="s">
        <v>19872</v>
      </c>
      <c r="O987" s="30" t="s">
        <v>19873</v>
      </c>
      <c r="P987" s="30" t="s">
        <v>2416</v>
      </c>
      <c r="Q987" s="30" t="s">
        <v>19874</v>
      </c>
      <c r="R987" s="30" t="s">
        <v>151</v>
      </c>
      <c r="S987" s="30" t="s">
        <v>162</v>
      </c>
      <c r="T987" s="37">
        <v>30.06</v>
      </c>
      <c r="U987" s="30" t="s">
        <v>163</v>
      </c>
      <c r="V987" s="30" t="s">
        <v>164</v>
      </c>
      <c r="W987" s="30" t="s">
        <v>165</v>
      </c>
      <c r="X987" s="28" t="s">
        <v>19875</v>
      </c>
      <c r="Y987" s="28" t="s">
        <v>19876</v>
      </c>
      <c r="Z987" s="40">
        <v>89</v>
      </c>
      <c r="AA987" s="30" t="s">
        <v>19877</v>
      </c>
      <c r="AB987" s="30" t="s">
        <v>151</v>
      </c>
      <c r="AC987" s="30" t="s">
        <v>151</v>
      </c>
      <c r="AD987" s="39">
        <v>2019</v>
      </c>
      <c r="AE987" s="30" t="s">
        <v>151</v>
      </c>
      <c r="AF987" s="35">
        <v>45595</v>
      </c>
      <c r="AG987" s="30" t="s">
        <v>151</v>
      </c>
      <c r="AH987" s="30" t="s">
        <v>151</v>
      </c>
      <c r="AI987" s="38">
        <v>10</v>
      </c>
      <c r="AJ987" s="32" t="s">
        <v>151</v>
      </c>
      <c r="AK987" s="38" t="s">
        <v>151</v>
      </c>
      <c r="AL987" s="38" t="s">
        <v>151</v>
      </c>
      <c r="AM987" s="38" t="s">
        <v>151</v>
      </c>
      <c r="AN987" s="38" t="s">
        <v>151</v>
      </c>
      <c r="AO987" s="38" t="s">
        <v>151</v>
      </c>
      <c r="AP987" s="38" t="s">
        <v>151</v>
      </c>
      <c r="AQ987" s="38" t="s">
        <v>151</v>
      </c>
      <c r="AR987" s="29" t="s">
        <v>456</v>
      </c>
      <c r="AS987" s="30" t="s">
        <v>19878</v>
      </c>
      <c r="AT987" s="30" t="s">
        <v>19879</v>
      </c>
      <c r="AU987" s="31">
        <v>3</v>
      </c>
      <c r="AV987" s="30" t="s">
        <v>151</v>
      </c>
      <c r="AW987" s="30" t="s">
        <v>151</v>
      </c>
      <c r="AX987" s="30" t="s">
        <v>151</v>
      </c>
      <c r="AY987" s="30" t="s">
        <v>19880</v>
      </c>
      <c r="AZ987" s="30" t="s">
        <v>151</v>
      </c>
      <c r="BA987" s="30" t="s">
        <v>151</v>
      </c>
      <c r="BB987" s="30" t="s">
        <v>151</v>
      </c>
      <c r="BC987" s="30" t="s">
        <v>151</v>
      </c>
      <c r="BD987" s="30" t="s">
        <v>19881</v>
      </c>
      <c r="BE987" s="30" t="s">
        <v>19882</v>
      </c>
      <c r="BF987" s="30" t="s">
        <v>2585</v>
      </c>
      <c r="BG987" s="30" t="s">
        <v>19883</v>
      </c>
      <c r="BH987" s="30" t="s">
        <v>19884</v>
      </c>
      <c r="BI987" s="30" t="s">
        <v>467</v>
      </c>
      <c r="BJ987" s="30" t="s">
        <v>19885</v>
      </c>
      <c r="BK987" s="30" t="s">
        <v>8197</v>
      </c>
      <c r="BL987" s="30" t="s">
        <v>469</v>
      </c>
      <c r="BM987" s="30" t="s">
        <v>470</v>
      </c>
      <c r="BN987" s="29" t="s">
        <v>8198</v>
      </c>
      <c r="BO987" s="30" t="s">
        <v>186</v>
      </c>
      <c r="BP987" s="29" t="s">
        <v>19886</v>
      </c>
      <c r="BQ987" s="29" t="s">
        <v>151</v>
      </c>
      <c r="BR987" s="30" t="s">
        <v>151</v>
      </c>
      <c r="BS987" s="30" t="s">
        <v>187</v>
      </c>
      <c r="BT987" s="30" t="s">
        <v>188</v>
      </c>
      <c r="BU987" s="35">
        <v>44543</v>
      </c>
      <c r="BV987" s="37">
        <v>4.47</v>
      </c>
      <c r="BW987" s="30" t="s">
        <v>192</v>
      </c>
      <c r="BX987" s="37">
        <v>39.47</v>
      </c>
      <c r="BY987" s="30" t="s">
        <v>192</v>
      </c>
      <c r="BZ987" s="30" t="s">
        <v>293</v>
      </c>
      <c r="CA987" s="30" t="s">
        <v>293</v>
      </c>
      <c r="CB987" s="30" t="s">
        <v>151</v>
      </c>
      <c r="CC987" s="30" t="s">
        <v>165</v>
      </c>
      <c r="CD987" s="30" t="s">
        <v>151</v>
      </c>
      <c r="CE987" s="30" t="s">
        <v>191</v>
      </c>
      <c r="CF987" s="35">
        <v>45490</v>
      </c>
      <c r="CG987" s="37">
        <v>5.59</v>
      </c>
      <c r="CH987" s="30" t="s">
        <v>192</v>
      </c>
      <c r="CI987" s="37">
        <v>51.09</v>
      </c>
      <c r="CJ987" s="30" t="s">
        <v>192</v>
      </c>
      <c r="CK987" s="29">
        <v>0.41</v>
      </c>
      <c r="CL987" s="30" t="s">
        <v>194</v>
      </c>
      <c r="CM987" s="30" t="s">
        <v>1239</v>
      </c>
      <c r="CN987" s="30" t="s">
        <v>151</v>
      </c>
      <c r="CO987" s="30" t="s">
        <v>165</v>
      </c>
      <c r="CP987" s="35">
        <v>45490</v>
      </c>
      <c r="CQ987" s="37" t="s">
        <v>151</v>
      </c>
      <c r="CR987" s="30" t="s">
        <v>151</v>
      </c>
      <c r="CS987" s="30" t="s">
        <v>191</v>
      </c>
      <c r="CT987" s="29">
        <v>86</v>
      </c>
      <c r="CU987" s="30" t="s">
        <v>196</v>
      </c>
      <c r="CV987" s="32">
        <v>79</v>
      </c>
      <c r="CW987" s="32">
        <v>21</v>
      </c>
      <c r="CX987" s="30" t="s">
        <v>294</v>
      </c>
      <c r="CY987" s="32">
        <v>1</v>
      </c>
      <c r="CZ987" s="32">
        <v>78</v>
      </c>
      <c r="DA987" s="37">
        <v>51.09</v>
      </c>
      <c r="DB987" s="35">
        <v>45490</v>
      </c>
      <c r="DC987" s="30" t="s">
        <v>194</v>
      </c>
      <c r="DD987" s="29">
        <v>0.41</v>
      </c>
      <c r="DE987" s="32">
        <v>0.59</v>
      </c>
      <c r="DF987" s="34">
        <v>94</v>
      </c>
      <c r="DG987" s="32">
        <v>0</v>
      </c>
      <c r="DH987" s="32">
        <v>0</v>
      </c>
      <c r="DI987" s="32">
        <v>1.04</v>
      </c>
      <c r="DJ987" s="34">
        <v>97</v>
      </c>
      <c r="DK987" s="32" t="s">
        <v>151</v>
      </c>
      <c r="DL987" s="34" t="s">
        <v>151</v>
      </c>
      <c r="DM987" s="32">
        <v>1.04</v>
      </c>
      <c r="DN987" s="34">
        <v>97</v>
      </c>
      <c r="DO987" s="36">
        <v>10.37</v>
      </c>
      <c r="DP987" s="34">
        <v>90</v>
      </c>
      <c r="DQ987" s="36">
        <v>0</v>
      </c>
      <c r="DR987" s="32">
        <v>0</v>
      </c>
      <c r="DS987" s="36">
        <v>13.89</v>
      </c>
      <c r="DT987" s="34">
        <v>93</v>
      </c>
      <c r="DU987" s="36" t="s">
        <v>151</v>
      </c>
      <c r="DV987" s="34" t="s">
        <v>151</v>
      </c>
      <c r="DW987" s="36">
        <v>13.89</v>
      </c>
      <c r="DX987" s="34">
        <v>93</v>
      </c>
      <c r="DY987" s="31">
        <v>2</v>
      </c>
      <c r="DZ987" s="35">
        <v>45048</v>
      </c>
      <c r="EA987" s="35" t="s">
        <v>151</v>
      </c>
      <c r="EB987" s="34">
        <v>707</v>
      </c>
      <c r="EC987" s="33">
        <v>7</v>
      </c>
      <c r="ED987" s="32">
        <v>1</v>
      </c>
      <c r="EE987" s="34">
        <v>264</v>
      </c>
      <c r="EF987" s="33">
        <v>2</v>
      </c>
      <c r="EG987" s="32">
        <v>0.76</v>
      </c>
      <c r="EH987" s="29" t="s">
        <v>198</v>
      </c>
      <c r="EI987" s="30" t="s">
        <v>151</v>
      </c>
      <c r="EJ987" s="30" t="s">
        <v>151</v>
      </c>
      <c r="EK987" s="31" t="s">
        <v>151</v>
      </c>
      <c r="EL987" s="31" t="s">
        <v>151</v>
      </c>
      <c r="EM987" s="31" t="s">
        <v>151</v>
      </c>
      <c r="EN987" s="31" t="s">
        <v>151</v>
      </c>
      <c r="EO987" s="31" t="s">
        <v>151</v>
      </c>
      <c r="EP987" s="30" t="s">
        <v>151</v>
      </c>
      <c r="EQ987" s="29" t="s">
        <v>151</v>
      </c>
      <c r="ER987" s="29" t="s">
        <v>151</v>
      </c>
      <c r="ES987" s="4">
        <f>HYPERLINK("https://my.pitchbook.com?c=464381-83","View Company Online")</f>
      </c>
    </row>
    <row r="988">
      <c r="A988" s="17" t="s">
        <v>19887</v>
      </c>
      <c r="B988" s="17" t="s">
        <v>19888</v>
      </c>
      <c r="C988" s="18" t="s">
        <v>151</v>
      </c>
      <c r="D988" s="17" t="s">
        <v>19889</v>
      </c>
      <c r="E988" s="17" t="s">
        <v>151</v>
      </c>
      <c r="F988" s="17" t="s">
        <v>19890</v>
      </c>
      <c r="G988" s="17" t="s">
        <v>151</v>
      </c>
      <c r="H988" s="17" t="s">
        <v>151</v>
      </c>
      <c r="I988" s="17" t="s">
        <v>19891</v>
      </c>
      <c r="J988" s="17" t="s">
        <v>19887</v>
      </c>
      <c r="K988" s="17" t="s">
        <v>19892</v>
      </c>
      <c r="L988" s="17" t="s">
        <v>205</v>
      </c>
      <c r="M988" s="17" t="s">
        <v>206</v>
      </c>
      <c r="N988" s="17" t="s">
        <v>269</v>
      </c>
      <c r="O988" s="17" t="s">
        <v>8880</v>
      </c>
      <c r="P988" s="17" t="s">
        <v>19893</v>
      </c>
      <c r="Q988" s="17" t="s">
        <v>19894</v>
      </c>
      <c r="R988" s="17" t="s">
        <v>151</v>
      </c>
      <c r="S988" s="17" t="s">
        <v>162</v>
      </c>
      <c r="T988" s="24">
        <v>27.65</v>
      </c>
      <c r="U988" s="17" t="s">
        <v>163</v>
      </c>
      <c r="V988" s="17" t="s">
        <v>164</v>
      </c>
      <c r="W988" s="17" t="s">
        <v>165</v>
      </c>
      <c r="X988" s="15" t="s">
        <v>19895</v>
      </c>
      <c r="Y988" s="15" t="s">
        <v>19896</v>
      </c>
      <c r="Z988" s="27">
        <v>43</v>
      </c>
      <c r="AA988" s="17" t="s">
        <v>19897</v>
      </c>
      <c r="AB988" s="17" t="s">
        <v>151</v>
      </c>
      <c r="AC988" s="17" t="s">
        <v>151</v>
      </c>
      <c r="AD988" s="26">
        <v>2019</v>
      </c>
      <c r="AE988" s="17" t="s">
        <v>151</v>
      </c>
      <c r="AF988" s="22">
        <v>45575</v>
      </c>
      <c r="AG988" s="17" t="s">
        <v>151</v>
      </c>
      <c r="AH988" s="17" t="s">
        <v>151</v>
      </c>
      <c r="AI988" s="25" t="s">
        <v>151</v>
      </c>
      <c r="AJ988" s="19" t="s">
        <v>151</v>
      </c>
      <c r="AK988" s="25" t="s">
        <v>151</v>
      </c>
      <c r="AL988" s="25" t="s">
        <v>151</v>
      </c>
      <c r="AM988" s="25" t="s">
        <v>151</v>
      </c>
      <c r="AN988" s="25" t="s">
        <v>151</v>
      </c>
      <c r="AO988" s="25" t="s">
        <v>151</v>
      </c>
      <c r="AP988" s="25" t="s">
        <v>151</v>
      </c>
      <c r="AQ988" s="25" t="s">
        <v>151</v>
      </c>
      <c r="AR988" s="16" t="s">
        <v>151</v>
      </c>
      <c r="AS988" s="17" t="s">
        <v>19898</v>
      </c>
      <c r="AT988" s="17" t="s">
        <v>19899</v>
      </c>
      <c r="AU988" s="18">
        <v>22</v>
      </c>
      <c r="AV988" s="17" t="s">
        <v>151</v>
      </c>
      <c r="AW988" s="17" t="s">
        <v>151</v>
      </c>
      <c r="AX988" s="17" t="s">
        <v>151</v>
      </c>
      <c r="AY988" s="17" t="s">
        <v>19900</v>
      </c>
      <c r="AZ988" s="17" t="s">
        <v>151</v>
      </c>
      <c r="BA988" s="17" t="s">
        <v>151</v>
      </c>
      <c r="BB988" s="17" t="s">
        <v>151</v>
      </c>
      <c r="BC988" s="17" t="s">
        <v>343</v>
      </c>
      <c r="BD988" s="17" t="s">
        <v>19901</v>
      </c>
      <c r="BE988" s="17" t="s">
        <v>19902</v>
      </c>
      <c r="BF988" s="17" t="s">
        <v>493</v>
      </c>
      <c r="BG988" s="17" t="s">
        <v>19903</v>
      </c>
      <c r="BH988" s="17" t="s">
        <v>19904</v>
      </c>
      <c r="BI988" s="17" t="s">
        <v>764</v>
      </c>
      <c r="BJ988" s="17" t="s">
        <v>19905</v>
      </c>
      <c r="BK988" s="17" t="s">
        <v>151</v>
      </c>
      <c r="BL988" s="17" t="s">
        <v>767</v>
      </c>
      <c r="BM988" s="17" t="s">
        <v>184</v>
      </c>
      <c r="BN988" s="16" t="s">
        <v>3001</v>
      </c>
      <c r="BO988" s="17" t="s">
        <v>186</v>
      </c>
      <c r="BP988" s="16" t="s">
        <v>19904</v>
      </c>
      <c r="BQ988" s="16" t="s">
        <v>151</v>
      </c>
      <c r="BR988" s="17" t="s">
        <v>19906</v>
      </c>
      <c r="BS988" s="17" t="s">
        <v>187</v>
      </c>
      <c r="BT988" s="17" t="s">
        <v>188</v>
      </c>
      <c r="BU988" s="22">
        <v>43697</v>
      </c>
      <c r="BV988" s="24">
        <v>0.15</v>
      </c>
      <c r="BW988" s="17" t="s">
        <v>192</v>
      </c>
      <c r="BX988" s="24">
        <v>2.29</v>
      </c>
      <c r="BY988" s="17" t="s">
        <v>192</v>
      </c>
      <c r="BZ988" s="17" t="s">
        <v>189</v>
      </c>
      <c r="CA988" s="17" t="s">
        <v>151</v>
      </c>
      <c r="CB988" s="17" t="s">
        <v>151</v>
      </c>
      <c r="CC988" s="17" t="s">
        <v>190</v>
      </c>
      <c r="CD988" s="17" t="s">
        <v>151</v>
      </c>
      <c r="CE988" s="17" t="s">
        <v>191</v>
      </c>
      <c r="CF988" s="22">
        <v>45575</v>
      </c>
      <c r="CG988" s="24">
        <v>14.5</v>
      </c>
      <c r="CH988" s="17" t="s">
        <v>192</v>
      </c>
      <c r="CI988" s="24">
        <v>62.5</v>
      </c>
      <c r="CJ988" s="17" t="s">
        <v>192</v>
      </c>
      <c r="CK988" s="16">
        <v>0.83</v>
      </c>
      <c r="CL988" s="17" t="s">
        <v>231</v>
      </c>
      <c r="CM988" s="17" t="s">
        <v>326</v>
      </c>
      <c r="CN988" s="17" t="s">
        <v>151</v>
      </c>
      <c r="CO988" s="17" t="s">
        <v>165</v>
      </c>
      <c r="CP988" s="22">
        <v>45575</v>
      </c>
      <c r="CQ988" s="24" t="s">
        <v>151</v>
      </c>
      <c r="CR988" s="17" t="s">
        <v>151</v>
      </c>
      <c r="CS988" s="17" t="s">
        <v>191</v>
      </c>
      <c r="CT988" s="16">
        <v>87</v>
      </c>
      <c r="CU988" s="17" t="s">
        <v>196</v>
      </c>
      <c r="CV988" s="19">
        <v>94</v>
      </c>
      <c r="CW988" s="19">
        <v>6</v>
      </c>
      <c r="CX988" s="17" t="s">
        <v>294</v>
      </c>
      <c r="CY988" s="19">
        <v>12</v>
      </c>
      <c r="CZ988" s="19">
        <v>82</v>
      </c>
      <c r="DA988" s="24">
        <v>62.5</v>
      </c>
      <c r="DB988" s="22">
        <v>45575</v>
      </c>
      <c r="DC988" s="17" t="s">
        <v>231</v>
      </c>
      <c r="DD988" s="16">
        <v>0.83</v>
      </c>
      <c r="DE988" s="19">
        <v>-1.18</v>
      </c>
      <c r="DF988" s="21">
        <v>4</v>
      </c>
      <c r="DG988" s="19">
        <v>0</v>
      </c>
      <c r="DH988" s="19">
        <v>0</v>
      </c>
      <c r="DI988" s="19">
        <v>-2.07</v>
      </c>
      <c r="DJ988" s="21">
        <v>2</v>
      </c>
      <c r="DK988" s="19" t="s">
        <v>151</v>
      </c>
      <c r="DL988" s="21" t="s">
        <v>151</v>
      </c>
      <c r="DM988" s="19">
        <v>-2.07</v>
      </c>
      <c r="DN988" s="21">
        <v>2</v>
      </c>
      <c r="DO988" s="23">
        <v>37.86</v>
      </c>
      <c r="DP988" s="21">
        <v>97</v>
      </c>
      <c r="DQ988" s="23">
        <v>0</v>
      </c>
      <c r="DR988" s="19">
        <v>0</v>
      </c>
      <c r="DS988" s="23">
        <v>72.42</v>
      </c>
      <c r="DT988" s="21">
        <v>99</v>
      </c>
      <c r="DU988" s="23" t="s">
        <v>151</v>
      </c>
      <c r="DV988" s="21" t="s">
        <v>151</v>
      </c>
      <c r="DW988" s="23">
        <v>72.42</v>
      </c>
      <c r="DX988" s="21">
        <v>99</v>
      </c>
      <c r="DY988" s="18">
        <v>1</v>
      </c>
      <c r="DZ988" s="22">
        <v>44651</v>
      </c>
      <c r="EA988" s="22" t="s">
        <v>151</v>
      </c>
      <c r="EB988" s="21">
        <v>1340</v>
      </c>
      <c r="EC988" s="20">
        <v>-75</v>
      </c>
      <c r="ED988" s="19">
        <v>-5.3</v>
      </c>
      <c r="EE988" s="21">
        <v>1376</v>
      </c>
      <c r="EF988" s="20">
        <v>-11</v>
      </c>
      <c r="EG988" s="19">
        <v>-0.79</v>
      </c>
      <c r="EH988" s="16" t="s">
        <v>198</v>
      </c>
      <c r="EI988" s="17" t="s">
        <v>151</v>
      </c>
      <c r="EJ988" s="17" t="s">
        <v>151</v>
      </c>
      <c r="EK988" s="18" t="s">
        <v>151</v>
      </c>
      <c r="EL988" s="18" t="s">
        <v>151</v>
      </c>
      <c r="EM988" s="18" t="s">
        <v>151</v>
      </c>
      <c r="EN988" s="18" t="s">
        <v>151</v>
      </c>
      <c r="EO988" s="18" t="s">
        <v>151</v>
      </c>
      <c r="EP988" s="17" t="s">
        <v>151</v>
      </c>
      <c r="EQ988" s="16" t="s">
        <v>151</v>
      </c>
      <c r="ER988" s="16" t="s">
        <v>151</v>
      </c>
      <c r="ES988" s="3">
        <f>HYPERLINK("https://my.pitchbook.com?c=279628-66","View Company Online")</f>
      </c>
    </row>
    <row r="989">
      <c r="A989" s="30" t="s">
        <v>19907</v>
      </c>
      <c r="B989" s="30" t="s">
        <v>19908</v>
      </c>
      <c r="C989" s="31" t="s">
        <v>151</v>
      </c>
      <c r="D989" s="30" t="s">
        <v>151</v>
      </c>
      <c r="E989" s="30" t="s">
        <v>151</v>
      </c>
      <c r="F989" s="30" t="s">
        <v>19909</v>
      </c>
      <c r="G989" s="30" t="s">
        <v>151</v>
      </c>
      <c r="H989" s="30" t="s">
        <v>151</v>
      </c>
      <c r="I989" s="30" t="s">
        <v>19910</v>
      </c>
      <c r="J989" s="30" t="s">
        <v>19907</v>
      </c>
      <c r="K989" s="30" t="s">
        <v>19911</v>
      </c>
      <c r="L989" s="30" t="s">
        <v>1792</v>
      </c>
      <c r="M989" s="30" t="s">
        <v>5329</v>
      </c>
      <c r="N989" s="30" t="s">
        <v>5330</v>
      </c>
      <c r="O989" s="30" t="s">
        <v>19912</v>
      </c>
      <c r="P989" s="30" t="s">
        <v>19913</v>
      </c>
      <c r="Q989" s="30" t="s">
        <v>19914</v>
      </c>
      <c r="R989" s="30" t="s">
        <v>151</v>
      </c>
      <c r="S989" s="30" t="s">
        <v>162</v>
      </c>
      <c r="T989" s="37">
        <v>53</v>
      </c>
      <c r="U989" s="30" t="s">
        <v>163</v>
      </c>
      <c r="V989" s="30" t="s">
        <v>164</v>
      </c>
      <c r="W989" s="30" t="s">
        <v>165</v>
      </c>
      <c r="X989" s="28" t="s">
        <v>19915</v>
      </c>
      <c r="Y989" s="28" t="s">
        <v>19916</v>
      </c>
      <c r="Z989" s="40">
        <v>115</v>
      </c>
      <c r="AA989" s="30" t="s">
        <v>19917</v>
      </c>
      <c r="AB989" s="30" t="s">
        <v>151</v>
      </c>
      <c r="AC989" s="30" t="s">
        <v>151</v>
      </c>
      <c r="AD989" s="39">
        <v>2019</v>
      </c>
      <c r="AE989" s="30" t="s">
        <v>151</v>
      </c>
      <c r="AF989" s="35">
        <v>45537</v>
      </c>
      <c r="AG989" s="30" t="s">
        <v>151</v>
      </c>
      <c r="AH989" s="30" t="s">
        <v>151</v>
      </c>
      <c r="AI989" s="38" t="s">
        <v>151</v>
      </c>
      <c r="AJ989" s="32" t="s">
        <v>151</v>
      </c>
      <c r="AK989" s="38" t="s">
        <v>151</v>
      </c>
      <c r="AL989" s="38" t="s">
        <v>151</v>
      </c>
      <c r="AM989" s="38" t="s">
        <v>151</v>
      </c>
      <c r="AN989" s="38" t="s">
        <v>151</v>
      </c>
      <c r="AO989" s="38" t="s">
        <v>151</v>
      </c>
      <c r="AP989" s="38" t="s">
        <v>151</v>
      </c>
      <c r="AQ989" s="38" t="s">
        <v>151</v>
      </c>
      <c r="AR989" s="29" t="s">
        <v>151</v>
      </c>
      <c r="AS989" s="30" t="s">
        <v>19918</v>
      </c>
      <c r="AT989" s="30" t="s">
        <v>19919</v>
      </c>
      <c r="AU989" s="31">
        <v>18</v>
      </c>
      <c r="AV989" s="30" t="s">
        <v>151</v>
      </c>
      <c r="AW989" s="30" t="s">
        <v>151</v>
      </c>
      <c r="AX989" s="30" t="s">
        <v>151</v>
      </c>
      <c r="AY989" s="30" t="s">
        <v>19920</v>
      </c>
      <c r="AZ989" s="30" t="s">
        <v>151</v>
      </c>
      <c r="BA989" s="30" t="s">
        <v>151</v>
      </c>
      <c r="BB989" s="30" t="s">
        <v>151</v>
      </c>
      <c r="BC989" s="30" t="s">
        <v>374</v>
      </c>
      <c r="BD989" s="30" t="s">
        <v>19921</v>
      </c>
      <c r="BE989" s="30" t="s">
        <v>19922</v>
      </c>
      <c r="BF989" s="30" t="s">
        <v>403</v>
      </c>
      <c r="BG989" s="30" t="s">
        <v>19923</v>
      </c>
      <c r="BH989" s="30" t="s">
        <v>19924</v>
      </c>
      <c r="BI989" s="30" t="s">
        <v>906</v>
      </c>
      <c r="BJ989" s="30" t="s">
        <v>19925</v>
      </c>
      <c r="BK989" s="30" t="s">
        <v>1574</v>
      </c>
      <c r="BL989" s="30" t="s">
        <v>259</v>
      </c>
      <c r="BM989" s="30" t="s">
        <v>259</v>
      </c>
      <c r="BN989" s="29" t="s">
        <v>5984</v>
      </c>
      <c r="BO989" s="30" t="s">
        <v>186</v>
      </c>
      <c r="BP989" s="29" t="s">
        <v>19924</v>
      </c>
      <c r="BQ989" s="29" t="s">
        <v>151</v>
      </c>
      <c r="BR989" s="30" t="s">
        <v>19926</v>
      </c>
      <c r="BS989" s="30" t="s">
        <v>187</v>
      </c>
      <c r="BT989" s="30" t="s">
        <v>188</v>
      </c>
      <c r="BU989" s="35">
        <v>43993</v>
      </c>
      <c r="BV989" s="37">
        <v>6</v>
      </c>
      <c r="BW989" s="30" t="s">
        <v>192</v>
      </c>
      <c r="BX989" s="37">
        <v>15</v>
      </c>
      <c r="BY989" s="30" t="s">
        <v>192</v>
      </c>
      <c r="BZ989" s="30" t="s">
        <v>293</v>
      </c>
      <c r="CA989" s="30" t="s">
        <v>293</v>
      </c>
      <c r="CB989" s="30" t="s">
        <v>151</v>
      </c>
      <c r="CC989" s="30" t="s">
        <v>165</v>
      </c>
      <c r="CD989" s="30" t="s">
        <v>151</v>
      </c>
      <c r="CE989" s="30" t="s">
        <v>191</v>
      </c>
      <c r="CF989" s="35">
        <v>44575</v>
      </c>
      <c r="CG989" s="37">
        <v>37</v>
      </c>
      <c r="CH989" s="30" t="s">
        <v>192</v>
      </c>
      <c r="CI989" s="37">
        <v>147</v>
      </c>
      <c r="CJ989" s="30" t="s">
        <v>192</v>
      </c>
      <c r="CK989" s="29">
        <v>3.14</v>
      </c>
      <c r="CL989" s="30" t="s">
        <v>231</v>
      </c>
      <c r="CM989" s="30" t="s">
        <v>326</v>
      </c>
      <c r="CN989" s="30" t="s">
        <v>151</v>
      </c>
      <c r="CO989" s="30" t="s">
        <v>165</v>
      </c>
      <c r="CP989" s="35">
        <v>44575</v>
      </c>
      <c r="CQ989" s="37" t="s">
        <v>151</v>
      </c>
      <c r="CR989" s="30" t="s">
        <v>151</v>
      </c>
      <c r="CS989" s="30" t="s">
        <v>191</v>
      </c>
      <c r="CT989" s="29">
        <v>66</v>
      </c>
      <c r="CU989" s="30" t="s">
        <v>196</v>
      </c>
      <c r="CV989" s="32">
        <v>77</v>
      </c>
      <c r="CW989" s="32">
        <v>23</v>
      </c>
      <c r="CX989" s="30" t="s">
        <v>294</v>
      </c>
      <c r="CY989" s="32">
        <v>3</v>
      </c>
      <c r="CZ989" s="32">
        <v>74</v>
      </c>
      <c r="DA989" s="37">
        <v>147</v>
      </c>
      <c r="DB989" s="35">
        <v>44575</v>
      </c>
      <c r="DC989" s="30" t="s">
        <v>231</v>
      </c>
      <c r="DD989" s="29">
        <v>3.14</v>
      </c>
      <c r="DE989" s="32">
        <v>0.03</v>
      </c>
      <c r="DF989" s="34">
        <v>90</v>
      </c>
      <c r="DG989" s="32">
        <v>0</v>
      </c>
      <c r="DH989" s="32">
        <v>0</v>
      </c>
      <c r="DI989" s="32">
        <v>0</v>
      </c>
      <c r="DJ989" s="34">
        <v>10</v>
      </c>
      <c r="DK989" s="32" t="s">
        <v>151</v>
      </c>
      <c r="DL989" s="34" t="s">
        <v>151</v>
      </c>
      <c r="DM989" s="32">
        <v>0</v>
      </c>
      <c r="DN989" s="34">
        <v>10</v>
      </c>
      <c r="DO989" s="36">
        <v>4.21</v>
      </c>
      <c r="DP989" s="34">
        <v>80</v>
      </c>
      <c r="DQ989" s="36">
        <v>0</v>
      </c>
      <c r="DR989" s="32">
        <v>0</v>
      </c>
      <c r="DS989" s="36">
        <v>0.42</v>
      </c>
      <c r="DT989" s="34">
        <v>29</v>
      </c>
      <c r="DU989" s="36" t="s">
        <v>151</v>
      </c>
      <c r="DV989" s="34" t="s">
        <v>151</v>
      </c>
      <c r="DW989" s="36">
        <v>0.42</v>
      </c>
      <c r="DX989" s="34">
        <v>29</v>
      </c>
      <c r="DY989" s="31" t="s">
        <v>151</v>
      </c>
      <c r="DZ989" s="35" t="s">
        <v>151</v>
      </c>
      <c r="EA989" s="35" t="s">
        <v>151</v>
      </c>
      <c r="EB989" s="34">
        <v>515</v>
      </c>
      <c r="EC989" s="33">
        <v>89</v>
      </c>
      <c r="ED989" s="32">
        <v>20.89</v>
      </c>
      <c r="EE989" s="34">
        <v>8</v>
      </c>
      <c r="EF989" s="33">
        <v>0</v>
      </c>
      <c r="EG989" s="32">
        <v>0</v>
      </c>
      <c r="EH989" s="29" t="s">
        <v>198</v>
      </c>
      <c r="EI989" s="30" t="s">
        <v>151</v>
      </c>
      <c r="EJ989" s="30" t="s">
        <v>151</v>
      </c>
      <c r="EK989" s="31" t="s">
        <v>151</v>
      </c>
      <c r="EL989" s="31" t="s">
        <v>151</v>
      </c>
      <c r="EM989" s="31" t="s">
        <v>151</v>
      </c>
      <c r="EN989" s="31" t="s">
        <v>151</v>
      </c>
      <c r="EO989" s="31" t="s">
        <v>151</v>
      </c>
      <c r="EP989" s="30" t="s">
        <v>151</v>
      </c>
      <c r="EQ989" s="29" t="s">
        <v>151</v>
      </c>
      <c r="ER989" s="29" t="s">
        <v>151</v>
      </c>
      <c r="ES989" s="4">
        <f>HYPERLINK("https://my.pitchbook.com?c=343531-72","View Company Online")</f>
      </c>
    </row>
    <row r="990">
      <c r="A990" s="17" t="s">
        <v>19927</v>
      </c>
      <c r="B990" s="17" t="s">
        <v>19928</v>
      </c>
      <c r="C990" s="18" t="s">
        <v>151</v>
      </c>
      <c r="D990" s="17" t="s">
        <v>19929</v>
      </c>
      <c r="E990" s="17" t="s">
        <v>151</v>
      </c>
      <c r="F990" s="17" t="s">
        <v>19930</v>
      </c>
      <c r="G990" s="17" t="s">
        <v>151</v>
      </c>
      <c r="H990" s="17" t="s">
        <v>151</v>
      </c>
      <c r="I990" s="17" t="s">
        <v>19931</v>
      </c>
      <c r="J990" s="17" t="s">
        <v>19927</v>
      </c>
      <c r="K990" s="17" t="s">
        <v>19932</v>
      </c>
      <c r="L990" s="17" t="s">
        <v>205</v>
      </c>
      <c r="M990" s="17" t="s">
        <v>206</v>
      </c>
      <c r="N990" s="17" t="s">
        <v>1268</v>
      </c>
      <c r="O990" s="17" t="s">
        <v>19933</v>
      </c>
      <c r="P990" s="17" t="s">
        <v>19934</v>
      </c>
      <c r="Q990" s="17" t="s">
        <v>19935</v>
      </c>
      <c r="R990" s="17" t="s">
        <v>151</v>
      </c>
      <c r="S990" s="17" t="s">
        <v>162</v>
      </c>
      <c r="T990" s="24">
        <v>0.9</v>
      </c>
      <c r="U990" s="17" t="s">
        <v>163</v>
      </c>
      <c r="V990" s="17" t="s">
        <v>164</v>
      </c>
      <c r="W990" s="17" t="s">
        <v>165</v>
      </c>
      <c r="X990" s="15" t="s">
        <v>19936</v>
      </c>
      <c r="Y990" s="15" t="s">
        <v>19937</v>
      </c>
      <c r="Z990" s="27">
        <v>8</v>
      </c>
      <c r="AA990" s="17" t="s">
        <v>19938</v>
      </c>
      <c r="AB990" s="17" t="s">
        <v>151</v>
      </c>
      <c r="AC990" s="17" t="s">
        <v>151</v>
      </c>
      <c r="AD990" s="26">
        <v>2017</v>
      </c>
      <c r="AE990" s="17" t="s">
        <v>151</v>
      </c>
      <c r="AF990" s="22">
        <v>45596</v>
      </c>
      <c r="AG990" s="17" t="s">
        <v>151</v>
      </c>
      <c r="AH990" s="17" t="s">
        <v>151</v>
      </c>
      <c r="AI990" s="25" t="s">
        <v>151</v>
      </c>
      <c r="AJ990" s="19" t="s">
        <v>151</v>
      </c>
      <c r="AK990" s="25" t="s">
        <v>151</v>
      </c>
      <c r="AL990" s="25" t="s">
        <v>151</v>
      </c>
      <c r="AM990" s="25" t="s">
        <v>151</v>
      </c>
      <c r="AN990" s="25" t="s">
        <v>151</v>
      </c>
      <c r="AO990" s="25" t="s">
        <v>151</v>
      </c>
      <c r="AP990" s="25" t="s">
        <v>151</v>
      </c>
      <c r="AQ990" s="25" t="s">
        <v>151</v>
      </c>
      <c r="AR990" s="16" t="s">
        <v>151</v>
      </c>
      <c r="AS990" s="17" t="s">
        <v>19939</v>
      </c>
      <c r="AT990" s="17" t="s">
        <v>19940</v>
      </c>
      <c r="AU990" s="18">
        <v>12</v>
      </c>
      <c r="AV990" s="17" t="s">
        <v>151</v>
      </c>
      <c r="AW990" s="17" t="s">
        <v>151</v>
      </c>
      <c r="AX990" s="17" t="s">
        <v>151</v>
      </c>
      <c r="AY990" s="17" t="s">
        <v>19941</v>
      </c>
      <c r="AZ990" s="17" t="s">
        <v>151</v>
      </c>
      <c r="BA990" s="17" t="s">
        <v>151</v>
      </c>
      <c r="BB990" s="17" t="s">
        <v>151</v>
      </c>
      <c r="BC990" s="17" t="s">
        <v>151</v>
      </c>
      <c r="BD990" s="17" t="s">
        <v>19942</v>
      </c>
      <c r="BE990" s="17" t="s">
        <v>19943</v>
      </c>
      <c r="BF990" s="17" t="s">
        <v>221</v>
      </c>
      <c r="BG990" s="17" t="s">
        <v>19944</v>
      </c>
      <c r="BH990" s="17" t="s">
        <v>151</v>
      </c>
      <c r="BI990" s="17" t="s">
        <v>764</v>
      </c>
      <c r="BJ990" s="17" t="s">
        <v>3969</v>
      </c>
      <c r="BK990" s="17" t="s">
        <v>19945</v>
      </c>
      <c r="BL990" s="17" t="s">
        <v>767</v>
      </c>
      <c r="BM990" s="17" t="s">
        <v>184</v>
      </c>
      <c r="BN990" s="16" t="s">
        <v>794</v>
      </c>
      <c r="BO990" s="17" t="s">
        <v>186</v>
      </c>
      <c r="BP990" s="16" t="s">
        <v>151</v>
      </c>
      <c r="BQ990" s="16" t="s">
        <v>151</v>
      </c>
      <c r="BR990" s="17" t="s">
        <v>19946</v>
      </c>
      <c r="BS990" s="17" t="s">
        <v>187</v>
      </c>
      <c r="BT990" s="17" t="s">
        <v>188</v>
      </c>
      <c r="BU990" s="22">
        <v>42736</v>
      </c>
      <c r="BV990" s="24">
        <v>0.1</v>
      </c>
      <c r="BW990" s="17" t="s">
        <v>192</v>
      </c>
      <c r="BX990" s="24">
        <v>1</v>
      </c>
      <c r="BY990" s="17" t="s">
        <v>192</v>
      </c>
      <c r="BZ990" s="17" t="s">
        <v>189</v>
      </c>
      <c r="CA990" s="17" t="s">
        <v>151</v>
      </c>
      <c r="CB990" s="17" t="s">
        <v>151</v>
      </c>
      <c r="CC990" s="17" t="s">
        <v>190</v>
      </c>
      <c r="CD990" s="17" t="s">
        <v>151</v>
      </c>
      <c r="CE990" s="17" t="s">
        <v>191</v>
      </c>
      <c r="CF990" s="22" t="s">
        <v>151</v>
      </c>
      <c r="CG990" s="24" t="s">
        <v>151</v>
      </c>
      <c r="CH990" s="17" t="s">
        <v>151</v>
      </c>
      <c r="CI990" s="24" t="s">
        <v>151</v>
      </c>
      <c r="CJ990" s="17" t="s">
        <v>151</v>
      </c>
      <c r="CK990" s="16" t="s">
        <v>151</v>
      </c>
      <c r="CL990" s="17" t="s">
        <v>189</v>
      </c>
      <c r="CM990" s="17" t="s">
        <v>151</v>
      </c>
      <c r="CN990" s="17" t="s">
        <v>151</v>
      </c>
      <c r="CO990" s="17" t="s">
        <v>190</v>
      </c>
      <c r="CP990" s="22" t="s">
        <v>151</v>
      </c>
      <c r="CQ990" s="24" t="s">
        <v>151</v>
      </c>
      <c r="CR990" s="17" t="s">
        <v>151</v>
      </c>
      <c r="CS990" s="17" t="s">
        <v>191</v>
      </c>
      <c r="CT990" s="16" t="s">
        <v>151</v>
      </c>
      <c r="CU990" s="17" t="s">
        <v>151</v>
      </c>
      <c r="CV990" s="19" t="s">
        <v>151</v>
      </c>
      <c r="CW990" s="19" t="s">
        <v>151</v>
      </c>
      <c r="CX990" s="17" t="s">
        <v>151</v>
      </c>
      <c r="CY990" s="19" t="s">
        <v>151</v>
      </c>
      <c r="CZ990" s="19" t="s">
        <v>151</v>
      </c>
      <c r="DA990" s="24">
        <v>3.78</v>
      </c>
      <c r="DB990" s="22">
        <v>43955</v>
      </c>
      <c r="DC990" s="17" t="s">
        <v>293</v>
      </c>
      <c r="DD990" s="16" t="s">
        <v>151</v>
      </c>
      <c r="DE990" s="19">
        <v>0</v>
      </c>
      <c r="DF990" s="21">
        <v>11</v>
      </c>
      <c r="DG990" s="19">
        <v>0</v>
      </c>
      <c r="DH990" s="19">
        <v>0</v>
      </c>
      <c r="DI990" s="19">
        <v>0</v>
      </c>
      <c r="DJ990" s="21">
        <v>10</v>
      </c>
      <c r="DK990" s="19">
        <v>0</v>
      </c>
      <c r="DL990" s="21">
        <v>11</v>
      </c>
      <c r="DM990" s="19" t="s">
        <v>151</v>
      </c>
      <c r="DN990" s="21" t="s">
        <v>151</v>
      </c>
      <c r="DO990" s="23">
        <v>0.01</v>
      </c>
      <c r="DP990" s="21">
        <v>1</v>
      </c>
      <c r="DQ990" s="23">
        <v>0</v>
      </c>
      <c r="DR990" s="19">
        <v>0</v>
      </c>
      <c r="DS990" s="23">
        <v>0.01</v>
      </c>
      <c r="DT990" s="21">
        <v>1</v>
      </c>
      <c r="DU990" s="23">
        <v>0.01</v>
      </c>
      <c r="DV990" s="21">
        <v>4</v>
      </c>
      <c r="DW990" s="23" t="s">
        <v>151</v>
      </c>
      <c r="DX990" s="21" t="s">
        <v>151</v>
      </c>
      <c r="DY990" s="18" t="s">
        <v>151</v>
      </c>
      <c r="DZ990" s="22" t="s">
        <v>151</v>
      </c>
      <c r="EA990" s="22" t="s">
        <v>151</v>
      </c>
      <c r="EB990" s="21">
        <v>6</v>
      </c>
      <c r="EC990" s="20">
        <v>-19</v>
      </c>
      <c r="ED990" s="19">
        <v>-76</v>
      </c>
      <c r="EE990" s="21" t="s">
        <v>151</v>
      </c>
      <c r="EF990" s="20" t="s">
        <v>151</v>
      </c>
      <c r="EG990" s="19" t="s">
        <v>151</v>
      </c>
      <c r="EH990" s="16" t="s">
        <v>198</v>
      </c>
      <c r="EI990" s="17" t="s">
        <v>151</v>
      </c>
      <c r="EJ990" s="17" t="s">
        <v>151</v>
      </c>
      <c r="EK990" s="18" t="s">
        <v>151</v>
      </c>
      <c r="EL990" s="18" t="s">
        <v>151</v>
      </c>
      <c r="EM990" s="18" t="s">
        <v>151</v>
      </c>
      <c r="EN990" s="18" t="s">
        <v>151</v>
      </c>
      <c r="EO990" s="18" t="s">
        <v>151</v>
      </c>
      <c r="EP990" s="17" t="s">
        <v>151</v>
      </c>
      <c r="EQ990" s="16" t="s">
        <v>151</v>
      </c>
      <c r="ER990" s="16" t="s">
        <v>151</v>
      </c>
      <c r="ES990" s="3">
        <f>HYPERLINK("https://my.pitchbook.com?c=185520-70","View Company Online")</f>
      </c>
    </row>
    <row r="991">
      <c r="A991" s="30" t="s">
        <v>19947</v>
      </c>
      <c r="B991" s="30" t="s">
        <v>19948</v>
      </c>
      <c r="C991" s="31" t="s">
        <v>151</v>
      </c>
      <c r="D991" s="30" t="s">
        <v>151</v>
      </c>
      <c r="E991" s="30" t="s">
        <v>19949</v>
      </c>
      <c r="F991" s="30" t="s">
        <v>19950</v>
      </c>
      <c r="G991" s="30" t="s">
        <v>151</v>
      </c>
      <c r="H991" s="30" t="s">
        <v>151</v>
      </c>
      <c r="I991" s="30" t="s">
        <v>151</v>
      </c>
      <c r="J991" s="30" t="s">
        <v>19947</v>
      </c>
      <c r="K991" s="30" t="s">
        <v>19951</v>
      </c>
      <c r="L991" s="30" t="s">
        <v>205</v>
      </c>
      <c r="M991" s="30" t="s">
        <v>206</v>
      </c>
      <c r="N991" s="30" t="s">
        <v>269</v>
      </c>
      <c r="O991" s="30" t="s">
        <v>19952</v>
      </c>
      <c r="P991" s="30" t="s">
        <v>919</v>
      </c>
      <c r="Q991" s="30" t="s">
        <v>19953</v>
      </c>
      <c r="R991" s="30" t="s">
        <v>151</v>
      </c>
      <c r="S991" s="30" t="s">
        <v>162</v>
      </c>
      <c r="T991" s="37">
        <v>6.5</v>
      </c>
      <c r="U991" s="30" t="s">
        <v>163</v>
      </c>
      <c r="V991" s="30" t="s">
        <v>164</v>
      </c>
      <c r="W991" s="30" t="s">
        <v>420</v>
      </c>
      <c r="X991" s="28" t="s">
        <v>19954</v>
      </c>
      <c r="Y991" s="28" t="s">
        <v>19955</v>
      </c>
      <c r="Z991" s="40">
        <v>19</v>
      </c>
      <c r="AA991" s="30" t="s">
        <v>19956</v>
      </c>
      <c r="AB991" s="30" t="s">
        <v>151</v>
      </c>
      <c r="AC991" s="30" t="s">
        <v>151</v>
      </c>
      <c r="AD991" s="39">
        <v>2020</v>
      </c>
      <c r="AE991" s="30" t="s">
        <v>151</v>
      </c>
      <c r="AF991" s="35">
        <v>45595</v>
      </c>
      <c r="AG991" s="30" t="s">
        <v>151</v>
      </c>
      <c r="AH991" s="30" t="s">
        <v>151</v>
      </c>
      <c r="AI991" s="38" t="s">
        <v>151</v>
      </c>
      <c r="AJ991" s="32" t="s">
        <v>151</v>
      </c>
      <c r="AK991" s="38" t="s">
        <v>151</v>
      </c>
      <c r="AL991" s="38" t="s">
        <v>151</v>
      </c>
      <c r="AM991" s="38" t="s">
        <v>151</v>
      </c>
      <c r="AN991" s="38" t="s">
        <v>151</v>
      </c>
      <c r="AO991" s="38" t="s">
        <v>151</v>
      </c>
      <c r="AP991" s="38" t="s">
        <v>151</v>
      </c>
      <c r="AQ991" s="38" t="s">
        <v>151</v>
      </c>
      <c r="AR991" s="29" t="s">
        <v>151</v>
      </c>
      <c r="AS991" s="30" t="s">
        <v>19957</v>
      </c>
      <c r="AT991" s="30" t="s">
        <v>19958</v>
      </c>
      <c r="AU991" s="31">
        <v>5</v>
      </c>
      <c r="AV991" s="30" t="s">
        <v>151</v>
      </c>
      <c r="AW991" s="30" t="s">
        <v>151</v>
      </c>
      <c r="AX991" s="30" t="s">
        <v>151</v>
      </c>
      <c r="AY991" s="30" t="s">
        <v>19959</v>
      </c>
      <c r="AZ991" s="30" t="s">
        <v>151</v>
      </c>
      <c r="BA991" s="30" t="s">
        <v>151</v>
      </c>
      <c r="BB991" s="30" t="s">
        <v>151</v>
      </c>
      <c r="BC991" s="30" t="s">
        <v>19960</v>
      </c>
      <c r="BD991" s="30" t="s">
        <v>19961</v>
      </c>
      <c r="BE991" s="30" t="s">
        <v>19962</v>
      </c>
      <c r="BF991" s="30" t="s">
        <v>1280</v>
      </c>
      <c r="BG991" s="30" t="s">
        <v>19963</v>
      </c>
      <c r="BH991" s="30" t="s">
        <v>151</v>
      </c>
      <c r="BI991" s="30" t="s">
        <v>19964</v>
      </c>
      <c r="BJ991" s="30" t="s">
        <v>19965</v>
      </c>
      <c r="BK991" s="30" t="s">
        <v>19966</v>
      </c>
      <c r="BL991" s="30" t="s">
        <v>19967</v>
      </c>
      <c r="BM991" s="30" t="s">
        <v>4672</v>
      </c>
      <c r="BN991" s="29" t="s">
        <v>19968</v>
      </c>
      <c r="BO991" s="30" t="s">
        <v>186</v>
      </c>
      <c r="BP991" s="29" t="s">
        <v>151</v>
      </c>
      <c r="BQ991" s="29" t="s">
        <v>151</v>
      </c>
      <c r="BR991" s="30" t="s">
        <v>19969</v>
      </c>
      <c r="BS991" s="30" t="s">
        <v>187</v>
      </c>
      <c r="BT991" s="30" t="s">
        <v>188</v>
      </c>
      <c r="BU991" s="35">
        <v>43831</v>
      </c>
      <c r="BV991" s="37">
        <v>5.5</v>
      </c>
      <c r="BW991" s="30" t="s">
        <v>192</v>
      </c>
      <c r="BX991" s="37">
        <v>20.5</v>
      </c>
      <c r="BY991" s="30" t="s">
        <v>192</v>
      </c>
      <c r="BZ991" s="30" t="s">
        <v>293</v>
      </c>
      <c r="CA991" s="30" t="s">
        <v>293</v>
      </c>
      <c r="CB991" s="30" t="s">
        <v>151</v>
      </c>
      <c r="CC991" s="30" t="s">
        <v>165</v>
      </c>
      <c r="CD991" s="30" t="s">
        <v>151</v>
      </c>
      <c r="CE991" s="30" t="s">
        <v>191</v>
      </c>
      <c r="CF991" s="35">
        <v>44926</v>
      </c>
      <c r="CG991" s="37">
        <v>0.25</v>
      </c>
      <c r="CH991" s="30" t="s">
        <v>192</v>
      </c>
      <c r="CI991" s="37" t="s">
        <v>151</v>
      </c>
      <c r="CJ991" s="30" t="s">
        <v>151</v>
      </c>
      <c r="CK991" s="29" t="s">
        <v>151</v>
      </c>
      <c r="CL991" s="30" t="s">
        <v>527</v>
      </c>
      <c r="CM991" s="30" t="s">
        <v>151</v>
      </c>
      <c r="CN991" s="30" t="s">
        <v>151</v>
      </c>
      <c r="CO991" s="30" t="s">
        <v>439</v>
      </c>
      <c r="CP991" s="35">
        <v>44926</v>
      </c>
      <c r="CQ991" s="37">
        <v>0.25</v>
      </c>
      <c r="CR991" s="30" t="s">
        <v>19970</v>
      </c>
      <c r="CS991" s="30" t="s">
        <v>191</v>
      </c>
      <c r="CT991" s="29">
        <v>69</v>
      </c>
      <c r="CU991" s="30" t="s">
        <v>196</v>
      </c>
      <c r="CV991" s="32">
        <v>65</v>
      </c>
      <c r="CW991" s="32">
        <v>35</v>
      </c>
      <c r="CX991" s="30" t="s">
        <v>294</v>
      </c>
      <c r="CY991" s="32">
        <v>1</v>
      </c>
      <c r="CZ991" s="32">
        <v>64</v>
      </c>
      <c r="DA991" s="37">
        <v>20.5</v>
      </c>
      <c r="DB991" s="35">
        <v>43831</v>
      </c>
      <c r="DC991" s="30" t="s">
        <v>293</v>
      </c>
      <c r="DD991" s="29" t="s">
        <v>151</v>
      </c>
      <c r="DE991" s="32">
        <v>0</v>
      </c>
      <c r="DF991" s="34">
        <v>11</v>
      </c>
      <c r="DG991" s="32">
        <v>0</v>
      </c>
      <c r="DH991" s="32">
        <v>0</v>
      </c>
      <c r="DI991" s="32" t="s">
        <v>151</v>
      </c>
      <c r="DJ991" s="34" t="s">
        <v>151</v>
      </c>
      <c r="DK991" s="32" t="s">
        <v>151</v>
      </c>
      <c r="DL991" s="34" t="s">
        <v>151</v>
      </c>
      <c r="DM991" s="32" t="s">
        <v>151</v>
      </c>
      <c r="DN991" s="34" t="s">
        <v>151</v>
      </c>
      <c r="DO991" s="36">
        <v>1.46</v>
      </c>
      <c r="DP991" s="34">
        <v>59</v>
      </c>
      <c r="DQ991" s="36">
        <v>0</v>
      </c>
      <c r="DR991" s="32">
        <v>0</v>
      </c>
      <c r="DS991" s="36" t="s">
        <v>151</v>
      </c>
      <c r="DT991" s="34" t="s">
        <v>151</v>
      </c>
      <c r="DU991" s="36" t="s">
        <v>151</v>
      </c>
      <c r="DV991" s="34" t="s">
        <v>151</v>
      </c>
      <c r="DW991" s="36" t="s">
        <v>151</v>
      </c>
      <c r="DX991" s="34" t="s">
        <v>151</v>
      </c>
      <c r="DY991" s="31" t="s">
        <v>151</v>
      </c>
      <c r="DZ991" s="35" t="s">
        <v>151</v>
      </c>
      <c r="EA991" s="35" t="s">
        <v>151</v>
      </c>
      <c r="EB991" s="34">
        <v>321</v>
      </c>
      <c r="EC991" s="33">
        <v>9</v>
      </c>
      <c r="ED991" s="32">
        <v>2.88</v>
      </c>
      <c r="EE991" s="34" t="s">
        <v>151</v>
      </c>
      <c r="EF991" s="33" t="s">
        <v>151</v>
      </c>
      <c r="EG991" s="32" t="s">
        <v>151</v>
      </c>
      <c r="EH991" s="29" t="s">
        <v>198</v>
      </c>
      <c r="EI991" s="30" t="s">
        <v>151</v>
      </c>
      <c r="EJ991" s="30" t="s">
        <v>151</v>
      </c>
      <c r="EK991" s="31" t="s">
        <v>151</v>
      </c>
      <c r="EL991" s="31" t="s">
        <v>151</v>
      </c>
      <c r="EM991" s="31" t="s">
        <v>151</v>
      </c>
      <c r="EN991" s="31" t="s">
        <v>151</v>
      </c>
      <c r="EO991" s="31" t="s">
        <v>151</v>
      </c>
      <c r="EP991" s="30" t="s">
        <v>151</v>
      </c>
      <c r="EQ991" s="29" t="s">
        <v>151</v>
      </c>
      <c r="ER991" s="29" t="s">
        <v>151</v>
      </c>
      <c r="ES991" s="4">
        <f>HYPERLINK("https://my.pitchbook.com?c=482318-20","View Company Online")</f>
      </c>
    </row>
    <row r="992">
      <c r="A992" s="17" t="s">
        <v>19971</v>
      </c>
      <c r="B992" s="17" t="s">
        <v>19972</v>
      </c>
      <c r="C992" s="18" t="s">
        <v>151</v>
      </c>
      <c r="D992" s="17" t="s">
        <v>19973</v>
      </c>
      <c r="E992" s="17" t="s">
        <v>151</v>
      </c>
      <c r="F992" s="17" t="s">
        <v>19974</v>
      </c>
      <c r="G992" s="17" t="s">
        <v>151</v>
      </c>
      <c r="H992" s="17" t="s">
        <v>151</v>
      </c>
      <c r="I992" s="17" t="s">
        <v>151</v>
      </c>
      <c r="J992" s="17" t="s">
        <v>19971</v>
      </c>
      <c r="K992" s="17" t="s">
        <v>19975</v>
      </c>
      <c r="L992" s="17" t="s">
        <v>205</v>
      </c>
      <c r="M992" s="17" t="s">
        <v>206</v>
      </c>
      <c r="N992" s="17" t="s">
        <v>269</v>
      </c>
      <c r="O992" s="17" t="s">
        <v>1651</v>
      </c>
      <c r="P992" s="17" t="s">
        <v>19976</v>
      </c>
      <c r="Q992" s="17" t="s">
        <v>19977</v>
      </c>
      <c r="R992" s="17" t="s">
        <v>151</v>
      </c>
      <c r="S992" s="17" t="s">
        <v>162</v>
      </c>
      <c r="T992" s="24">
        <v>0.8</v>
      </c>
      <c r="U992" s="17" t="s">
        <v>163</v>
      </c>
      <c r="V992" s="17" t="s">
        <v>164</v>
      </c>
      <c r="W992" s="17" t="s">
        <v>165</v>
      </c>
      <c r="X992" s="15" t="s">
        <v>19978</v>
      </c>
      <c r="Y992" s="15" t="s">
        <v>19979</v>
      </c>
      <c r="Z992" s="27">
        <v>15</v>
      </c>
      <c r="AA992" s="17" t="s">
        <v>19980</v>
      </c>
      <c r="AB992" s="17" t="s">
        <v>151</v>
      </c>
      <c r="AC992" s="17" t="s">
        <v>151</v>
      </c>
      <c r="AD992" s="26">
        <v>2020</v>
      </c>
      <c r="AE992" s="17" t="s">
        <v>151</v>
      </c>
      <c r="AF992" s="22">
        <v>45595</v>
      </c>
      <c r="AG992" s="17" t="s">
        <v>151</v>
      </c>
      <c r="AH992" s="17" t="s">
        <v>151</v>
      </c>
      <c r="AI992" s="25" t="s">
        <v>151</v>
      </c>
      <c r="AJ992" s="19" t="s">
        <v>151</v>
      </c>
      <c r="AK992" s="25" t="s">
        <v>151</v>
      </c>
      <c r="AL992" s="25" t="s">
        <v>151</v>
      </c>
      <c r="AM992" s="25" t="s">
        <v>151</v>
      </c>
      <c r="AN992" s="25" t="s">
        <v>151</v>
      </c>
      <c r="AO992" s="25" t="s">
        <v>151</v>
      </c>
      <c r="AP992" s="25" t="s">
        <v>151</v>
      </c>
      <c r="AQ992" s="25" t="s">
        <v>151</v>
      </c>
      <c r="AR992" s="16" t="s">
        <v>151</v>
      </c>
      <c r="AS992" s="17" t="s">
        <v>19981</v>
      </c>
      <c r="AT992" s="17" t="s">
        <v>19982</v>
      </c>
      <c r="AU992" s="18">
        <v>9</v>
      </c>
      <c r="AV992" s="17" t="s">
        <v>151</v>
      </c>
      <c r="AW992" s="17" t="s">
        <v>151</v>
      </c>
      <c r="AX992" s="17" t="s">
        <v>151</v>
      </c>
      <c r="AY992" s="17" t="s">
        <v>19983</v>
      </c>
      <c r="AZ992" s="17" t="s">
        <v>151</v>
      </c>
      <c r="BA992" s="17" t="s">
        <v>151</v>
      </c>
      <c r="BB992" s="17" t="s">
        <v>151</v>
      </c>
      <c r="BC992" s="17" t="s">
        <v>151</v>
      </c>
      <c r="BD992" s="17" t="s">
        <v>19984</v>
      </c>
      <c r="BE992" s="17" t="s">
        <v>19985</v>
      </c>
      <c r="BF992" s="17" t="s">
        <v>221</v>
      </c>
      <c r="BG992" s="17" t="s">
        <v>19986</v>
      </c>
      <c r="BH992" s="17" t="s">
        <v>19987</v>
      </c>
      <c r="BI992" s="17" t="s">
        <v>1572</v>
      </c>
      <c r="BJ992" s="17" t="s">
        <v>19988</v>
      </c>
      <c r="BK992" s="17" t="s">
        <v>19989</v>
      </c>
      <c r="BL992" s="17" t="s">
        <v>1575</v>
      </c>
      <c r="BM992" s="17" t="s">
        <v>1576</v>
      </c>
      <c r="BN992" s="16" t="s">
        <v>19990</v>
      </c>
      <c r="BO992" s="17" t="s">
        <v>186</v>
      </c>
      <c r="BP992" s="16" t="s">
        <v>19987</v>
      </c>
      <c r="BQ992" s="16" t="s">
        <v>151</v>
      </c>
      <c r="BR992" s="17" t="s">
        <v>19991</v>
      </c>
      <c r="BS992" s="17" t="s">
        <v>187</v>
      </c>
      <c r="BT992" s="17" t="s">
        <v>188</v>
      </c>
      <c r="BU992" s="22" t="s">
        <v>151</v>
      </c>
      <c r="BV992" s="24" t="s">
        <v>151</v>
      </c>
      <c r="BW992" s="17" t="s">
        <v>151</v>
      </c>
      <c r="BX992" s="24" t="s">
        <v>151</v>
      </c>
      <c r="BY992" s="17" t="s">
        <v>151</v>
      </c>
      <c r="BZ992" s="17" t="s">
        <v>189</v>
      </c>
      <c r="CA992" s="17" t="s">
        <v>151</v>
      </c>
      <c r="CB992" s="17" t="s">
        <v>151</v>
      </c>
      <c r="CC992" s="17" t="s">
        <v>190</v>
      </c>
      <c r="CD992" s="17" t="s">
        <v>151</v>
      </c>
      <c r="CE992" s="17" t="s">
        <v>191</v>
      </c>
      <c r="CF992" s="22">
        <v>45273</v>
      </c>
      <c r="CG992" s="24" t="s">
        <v>151</v>
      </c>
      <c r="CH992" s="17" t="s">
        <v>151</v>
      </c>
      <c r="CI992" s="24" t="s">
        <v>151</v>
      </c>
      <c r="CJ992" s="17" t="s">
        <v>151</v>
      </c>
      <c r="CK992" s="16" t="s">
        <v>151</v>
      </c>
      <c r="CL992" s="17" t="s">
        <v>231</v>
      </c>
      <c r="CM992" s="17" t="s">
        <v>151</v>
      </c>
      <c r="CN992" s="17" t="s">
        <v>151</v>
      </c>
      <c r="CO992" s="17" t="s">
        <v>165</v>
      </c>
      <c r="CP992" s="22">
        <v>45273</v>
      </c>
      <c r="CQ992" s="24" t="s">
        <v>151</v>
      </c>
      <c r="CR992" s="17" t="s">
        <v>151</v>
      </c>
      <c r="CS992" s="17" t="s">
        <v>191</v>
      </c>
      <c r="CT992" s="16">
        <v>47</v>
      </c>
      <c r="CU992" s="17" t="s">
        <v>263</v>
      </c>
      <c r="CV992" s="19">
        <v>46</v>
      </c>
      <c r="CW992" s="19">
        <v>54</v>
      </c>
      <c r="CX992" s="17" t="s">
        <v>263</v>
      </c>
      <c r="CY992" s="19">
        <v>1</v>
      </c>
      <c r="CZ992" s="19">
        <v>45</v>
      </c>
      <c r="DA992" s="24" t="s">
        <v>151</v>
      </c>
      <c r="DB992" s="22" t="s">
        <v>151</v>
      </c>
      <c r="DC992" s="17" t="s">
        <v>151</v>
      </c>
      <c r="DD992" s="16" t="s">
        <v>151</v>
      </c>
      <c r="DE992" s="19">
        <v>0</v>
      </c>
      <c r="DF992" s="21">
        <v>11</v>
      </c>
      <c r="DG992" s="19">
        <v>0</v>
      </c>
      <c r="DH992" s="19">
        <v>0</v>
      </c>
      <c r="DI992" s="19">
        <v>0</v>
      </c>
      <c r="DJ992" s="21">
        <v>10</v>
      </c>
      <c r="DK992" s="19" t="s">
        <v>151</v>
      </c>
      <c r="DL992" s="21" t="s">
        <v>151</v>
      </c>
      <c r="DM992" s="19">
        <v>0</v>
      </c>
      <c r="DN992" s="21">
        <v>10</v>
      </c>
      <c r="DO992" s="23">
        <v>2.53</v>
      </c>
      <c r="DP992" s="21">
        <v>71</v>
      </c>
      <c r="DQ992" s="23">
        <v>0</v>
      </c>
      <c r="DR992" s="19">
        <v>0</v>
      </c>
      <c r="DS992" s="23">
        <v>2.53</v>
      </c>
      <c r="DT992" s="21">
        <v>71</v>
      </c>
      <c r="DU992" s="23" t="s">
        <v>151</v>
      </c>
      <c r="DV992" s="21" t="s">
        <v>151</v>
      </c>
      <c r="DW992" s="23">
        <v>2.53</v>
      </c>
      <c r="DX992" s="21">
        <v>70</v>
      </c>
      <c r="DY992" s="18" t="s">
        <v>151</v>
      </c>
      <c r="DZ992" s="22" t="s">
        <v>151</v>
      </c>
      <c r="EA992" s="22" t="s">
        <v>151</v>
      </c>
      <c r="EB992" s="21">
        <v>1870</v>
      </c>
      <c r="EC992" s="20">
        <v>221</v>
      </c>
      <c r="ED992" s="19">
        <v>13.4</v>
      </c>
      <c r="EE992" s="21">
        <v>48</v>
      </c>
      <c r="EF992" s="20">
        <v>-2</v>
      </c>
      <c r="EG992" s="19">
        <v>-4</v>
      </c>
      <c r="EH992" s="16" t="s">
        <v>198</v>
      </c>
      <c r="EI992" s="17" t="s">
        <v>151</v>
      </c>
      <c r="EJ992" s="17" t="s">
        <v>151</v>
      </c>
      <c r="EK992" s="18" t="s">
        <v>151</v>
      </c>
      <c r="EL992" s="18" t="s">
        <v>151</v>
      </c>
      <c r="EM992" s="18" t="s">
        <v>151</v>
      </c>
      <c r="EN992" s="18" t="s">
        <v>151</v>
      </c>
      <c r="EO992" s="18" t="s">
        <v>151</v>
      </c>
      <c r="EP992" s="17" t="s">
        <v>151</v>
      </c>
      <c r="EQ992" s="16" t="s">
        <v>151</v>
      </c>
      <c r="ER992" s="16" t="s">
        <v>151</v>
      </c>
      <c r="ES992" s="3">
        <f>HYPERLINK("https://my.pitchbook.com?c=468975-16","View Company Online")</f>
      </c>
    </row>
    <row r="993">
      <c r="A993" s="30" t="s">
        <v>19992</v>
      </c>
      <c r="B993" s="30" t="s">
        <v>19993</v>
      </c>
      <c r="C993" s="31" t="s">
        <v>151</v>
      </c>
      <c r="D993" s="30" t="s">
        <v>151</v>
      </c>
      <c r="E993" s="30" t="s">
        <v>151</v>
      </c>
      <c r="F993" s="30" t="s">
        <v>19994</v>
      </c>
      <c r="G993" s="30" t="s">
        <v>151</v>
      </c>
      <c r="H993" s="30" t="s">
        <v>151</v>
      </c>
      <c r="I993" s="30" t="s">
        <v>151</v>
      </c>
      <c r="J993" s="30" t="s">
        <v>19992</v>
      </c>
      <c r="K993" s="30" t="s">
        <v>19995</v>
      </c>
      <c r="L993" s="30" t="s">
        <v>205</v>
      </c>
      <c r="M993" s="30" t="s">
        <v>206</v>
      </c>
      <c r="N993" s="30" t="s">
        <v>269</v>
      </c>
      <c r="O993" s="30" t="s">
        <v>1819</v>
      </c>
      <c r="P993" s="30" t="s">
        <v>1153</v>
      </c>
      <c r="Q993" s="30" t="s">
        <v>19996</v>
      </c>
      <c r="R993" s="30" t="s">
        <v>151</v>
      </c>
      <c r="S993" s="30" t="s">
        <v>162</v>
      </c>
      <c r="T993" s="37">
        <v>5.6</v>
      </c>
      <c r="U993" s="30" t="s">
        <v>163</v>
      </c>
      <c r="V993" s="30" t="s">
        <v>164</v>
      </c>
      <c r="W993" s="30" t="s">
        <v>165</v>
      </c>
      <c r="X993" s="28" t="s">
        <v>19997</v>
      </c>
      <c r="Y993" s="28" t="s">
        <v>19998</v>
      </c>
      <c r="Z993" s="40">
        <v>15</v>
      </c>
      <c r="AA993" s="30" t="s">
        <v>19999</v>
      </c>
      <c r="AB993" s="30" t="s">
        <v>151</v>
      </c>
      <c r="AC993" s="30" t="s">
        <v>151</v>
      </c>
      <c r="AD993" s="39">
        <v>2022</v>
      </c>
      <c r="AE993" s="30" t="s">
        <v>151</v>
      </c>
      <c r="AF993" s="35">
        <v>45611</v>
      </c>
      <c r="AG993" s="30" t="s">
        <v>151</v>
      </c>
      <c r="AH993" s="30" t="s">
        <v>169</v>
      </c>
      <c r="AI993" s="38" t="s">
        <v>151</v>
      </c>
      <c r="AJ993" s="32" t="s">
        <v>151</v>
      </c>
      <c r="AK993" s="38" t="s">
        <v>151</v>
      </c>
      <c r="AL993" s="38" t="s">
        <v>151</v>
      </c>
      <c r="AM993" s="38" t="s">
        <v>151</v>
      </c>
      <c r="AN993" s="38" t="s">
        <v>151</v>
      </c>
      <c r="AO993" s="38" t="s">
        <v>151</v>
      </c>
      <c r="AP993" s="38" t="s">
        <v>151</v>
      </c>
      <c r="AQ993" s="38" t="s">
        <v>151</v>
      </c>
      <c r="AR993" s="29" t="s">
        <v>151</v>
      </c>
      <c r="AS993" s="30" t="s">
        <v>20000</v>
      </c>
      <c r="AT993" s="30" t="s">
        <v>20001</v>
      </c>
      <c r="AU993" s="31">
        <v>4</v>
      </c>
      <c r="AV993" s="30" t="s">
        <v>151</v>
      </c>
      <c r="AW993" s="30" t="s">
        <v>151</v>
      </c>
      <c r="AX993" s="30" t="s">
        <v>151</v>
      </c>
      <c r="AY993" s="30" t="s">
        <v>20002</v>
      </c>
      <c r="AZ993" s="30" t="s">
        <v>151</v>
      </c>
      <c r="BA993" s="30" t="s">
        <v>151</v>
      </c>
      <c r="BB993" s="30" t="s">
        <v>151</v>
      </c>
      <c r="BC993" s="30" t="s">
        <v>374</v>
      </c>
      <c r="BD993" s="30" t="s">
        <v>20003</v>
      </c>
      <c r="BE993" s="30" t="s">
        <v>20004</v>
      </c>
      <c r="BF993" s="30" t="s">
        <v>493</v>
      </c>
      <c r="BG993" s="30" t="s">
        <v>20005</v>
      </c>
      <c r="BH993" s="30" t="s">
        <v>20006</v>
      </c>
      <c r="BI993" s="30" t="s">
        <v>906</v>
      </c>
      <c r="BJ993" s="30" t="s">
        <v>20007</v>
      </c>
      <c r="BK993" s="30" t="s">
        <v>151</v>
      </c>
      <c r="BL993" s="30" t="s">
        <v>259</v>
      </c>
      <c r="BM993" s="30" t="s">
        <v>259</v>
      </c>
      <c r="BN993" s="29" t="s">
        <v>1643</v>
      </c>
      <c r="BO993" s="30" t="s">
        <v>186</v>
      </c>
      <c r="BP993" s="29" t="s">
        <v>20006</v>
      </c>
      <c r="BQ993" s="29" t="s">
        <v>151</v>
      </c>
      <c r="BR993" s="30" t="s">
        <v>20008</v>
      </c>
      <c r="BS993" s="30" t="s">
        <v>187</v>
      </c>
      <c r="BT993" s="30" t="s">
        <v>188</v>
      </c>
      <c r="BU993" s="35">
        <v>45475</v>
      </c>
      <c r="BV993" s="37">
        <v>2.6</v>
      </c>
      <c r="BW993" s="30" t="s">
        <v>192</v>
      </c>
      <c r="BX993" s="37">
        <v>10</v>
      </c>
      <c r="BY993" s="30" t="s">
        <v>192</v>
      </c>
      <c r="BZ993" s="30" t="s">
        <v>293</v>
      </c>
      <c r="CA993" s="30" t="s">
        <v>293</v>
      </c>
      <c r="CB993" s="30" t="s">
        <v>151</v>
      </c>
      <c r="CC993" s="30" t="s">
        <v>165</v>
      </c>
      <c r="CD993" s="30" t="s">
        <v>151</v>
      </c>
      <c r="CE993" s="30" t="s">
        <v>191</v>
      </c>
      <c r="CF993" s="35">
        <v>45609</v>
      </c>
      <c r="CG993" s="37">
        <v>3</v>
      </c>
      <c r="CH993" s="30" t="s">
        <v>192</v>
      </c>
      <c r="CI993" s="37" t="s">
        <v>151</v>
      </c>
      <c r="CJ993" s="30" t="s">
        <v>151</v>
      </c>
      <c r="CK993" s="29" t="s">
        <v>151</v>
      </c>
      <c r="CL993" s="30" t="s">
        <v>293</v>
      </c>
      <c r="CM993" s="30" t="s">
        <v>293</v>
      </c>
      <c r="CN993" s="30" t="s">
        <v>151</v>
      </c>
      <c r="CO993" s="30" t="s">
        <v>165</v>
      </c>
      <c r="CP993" s="35">
        <v>45609</v>
      </c>
      <c r="CQ993" s="37" t="s">
        <v>151</v>
      </c>
      <c r="CR993" s="30" t="s">
        <v>151</v>
      </c>
      <c r="CS993" s="30" t="s">
        <v>191</v>
      </c>
      <c r="CT993" s="29">
        <v>82</v>
      </c>
      <c r="CU993" s="30" t="s">
        <v>196</v>
      </c>
      <c r="CV993" s="32">
        <v>74</v>
      </c>
      <c r="CW993" s="32">
        <v>26</v>
      </c>
      <c r="CX993" s="30" t="s">
        <v>294</v>
      </c>
      <c r="CY993" s="32">
        <v>2</v>
      </c>
      <c r="CZ993" s="32">
        <v>72</v>
      </c>
      <c r="DA993" s="37">
        <v>10</v>
      </c>
      <c r="DB993" s="35">
        <v>45475</v>
      </c>
      <c r="DC993" s="30" t="s">
        <v>293</v>
      </c>
      <c r="DD993" s="29" t="s">
        <v>151</v>
      </c>
      <c r="DE993" s="32">
        <v>9.13</v>
      </c>
      <c r="DF993" s="34">
        <v>100</v>
      </c>
      <c r="DG993" s="32">
        <v>0</v>
      </c>
      <c r="DH993" s="32">
        <v>0</v>
      </c>
      <c r="DI993" s="32" t="s">
        <v>151</v>
      </c>
      <c r="DJ993" s="34" t="s">
        <v>151</v>
      </c>
      <c r="DK993" s="32" t="s">
        <v>151</v>
      </c>
      <c r="DL993" s="34" t="s">
        <v>151</v>
      </c>
      <c r="DM993" s="32" t="s">
        <v>151</v>
      </c>
      <c r="DN993" s="34" t="s">
        <v>151</v>
      </c>
      <c r="DO993" s="36">
        <v>1.15</v>
      </c>
      <c r="DP993" s="34">
        <v>53</v>
      </c>
      <c r="DQ993" s="36">
        <v>0</v>
      </c>
      <c r="DR993" s="32">
        <v>0</v>
      </c>
      <c r="DS993" s="36" t="s">
        <v>151</v>
      </c>
      <c r="DT993" s="34" t="s">
        <v>151</v>
      </c>
      <c r="DU993" s="36" t="s">
        <v>151</v>
      </c>
      <c r="DV993" s="34" t="s">
        <v>151</v>
      </c>
      <c r="DW993" s="36" t="s">
        <v>151</v>
      </c>
      <c r="DX993" s="34" t="s">
        <v>151</v>
      </c>
      <c r="DY993" s="31" t="s">
        <v>151</v>
      </c>
      <c r="DZ993" s="35" t="s">
        <v>151</v>
      </c>
      <c r="EA993" s="35" t="s">
        <v>151</v>
      </c>
      <c r="EB993" s="34">
        <v>408</v>
      </c>
      <c r="EC993" s="33">
        <v>5</v>
      </c>
      <c r="ED993" s="32">
        <v>1.24</v>
      </c>
      <c r="EE993" s="34" t="s">
        <v>151</v>
      </c>
      <c r="EF993" s="33" t="s">
        <v>151</v>
      </c>
      <c r="EG993" s="32" t="s">
        <v>151</v>
      </c>
      <c r="EH993" s="29" t="s">
        <v>198</v>
      </c>
      <c r="EI993" s="30" t="s">
        <v>151</v>
      </c>
      <c r="EJ993" s="30" t="s">
        <v>151</v>
      </c>
      <c r="EK993" s="31" t="s">
        <v>151</v>
      </c>
      <c r="EL993" s="31" t="s">
        <v>151</v>
      </c>
      <c r="EM993" s="31" t="s">
        <v>151</v>
      </c>
      <c r="EN993" s="31" t="s">
        <v>151</v>
      </c>
      <c r="EO993" s="31" t="s">
        <v>151</v>
      </c>
      <c r="EP993" s="30" t="s">
        <v>151</v>
      </c>
      <c r="EQ993" s="29" t="s">
        <v>151</v>
      </c>
      <c r="ER993" s="29" t="s">
        <v>151</v>
      </c>
      <c r="ES993" s="4">
        <f>HYPERLINK("https://my.pitchbook.com?c=541926-55","View Company Online")</f>
      </c>
    </row>
    <row r="994">
      <c r="A994" s="17" t="s">
        <v>20009</v>
      </c>
      <c r="B994" s="17" t="s">
        <v>14815</v>
      </c>
      <c r="C994" s="18" t="s">
        <v>151</v>
      </c>
      <c r="D994" s="17" t="s">
        <v>151</v>
      </c>
      <c r="E994" s="17" t="s">
        <v>151</v>
      </c>
      <c r="F994" s="17" t="s">
        <v>20010</v>
      </c>
      <c r="G994" s="17" t="s">
        <v>151</v>
      </c>
      <c r="H994" s="17" t="s">
        <v>151</v>
      </c>
      <c r="I994" s="17" t="s">
        <v>20011</v>
      </c>
      <c r="J994" s="17" t="s">
        <v>20009</v>
      </c>
      <c r="K994" s="17" t="s">
        <v>20012</v>
      </c>
      <c r="L994" s="17" t="s">
        <v>205</v>
      </c>
      <c r="M994" s="17" t="s">
        <v>206</v>
      </c>
      <c r="N994" s="17" t="s">
        <v>1268</v>
      </c>
      <c r="O994" s="17" t="s">
        <v>1534</v>
      </c>
      <c r="P994" s="17" t="s">
        <v>1205</v>
      </c>
      <c r="Q994" s="17" t="s">
        <v>20013</v>
      </c>
      <c r="R994" s="17" t="s">
        <v>151</v>
      </c>
      <c r="S994" s="17" t="s">
        <v>162</v>
      </c>
      <c r="T994" s="24">
        <v>12.3</v>
      </c>
      <c r="U994" s="17" t="s">
        <v>163</v>
      </c>
      <c r="V994" s="17" t="s">
        <v>164</v>
      </c>
      <c r="W994" s="17" t="s">
        <v>165</v>
      </c>
      <c r="X994" s="15" t="s">
        <v>20014</v>
      </c>
      <c r="Y994" s="15" t="s">
        <v>20015</v>
      </c>
      <c r="Z994" s="27">
        <v>26</v>
      </c>
      <c r="AA994" s="17" t="s">
        <v>20016</v>
      </c>
      <c r="AB994" s="17" t="s">
        <v>151</v>
      </c>
      <c r="AC994" s="17" t="s">
        <v>151</v>
      </c>
      <c r="AD994" s="26">
        <v>2017</v>
      </c>
      <c r="AE994" s="17" t="s">
        <v>151</v>
      </c>
      <c r="AF994" s="22">
        <v>45587</v>
      </c>
      <c r="AG994" s="17" t="s">
        <v>151</v>
      </c>
      <c r="AH994" s="17" t="s">
        <v>151</v>
      </c>
      <c r="AI994" s="25" t="s">
        <v>151</v>
      </c>
      <c r="AJ994" s="19" t="s">
        <v>151</v>
      </c>
      <c r="AK994" s="25" t="s">
        <v>151</v>
      </c>
      <c r="AL994" s="25" t="s">
        <v>151</v>
      </c>
      <c r="AM994" s="25" t="s">
        <v>151</v>
      </c>
      <c r="AN994" s="25" t="s">
        <v>151</v>
      </c>
      <c r="AO994" s="25" t="s">
        <v>151</v>
      </c>
      <c r="AP994" s="25" t="s">
        <v>151</v>
      </c>
      <c r="AQ994" s="25" t="s">
        <v>151</v>
      </c>
      <c r="AR994" s="16" t="s">
        <v>151</v>
      </c>
      <c r="AS994" s="17" t="s">
        <v>20017</v>
      </c>
      <c r="AT994" s="17" t="s">
        <v>20018</v>
      </c>
      <c r="AU994" s="18">
        <v>18</v>
      </c>
      <c r="AV994" s="17" t="s">
        <v>151</v>
      </c>
      <c r="AW994" s="17" t="s">
        <v>151</v>
      </c>
      <c r="AX994" s="17" t="s">
        <v>151</v>
      </c>
      <c r="AY994" s="17" t="s">
        <v>20019</v>
      </c>
      <c r="AZ994" s="17" t="s">
        <v>151</v>
      </c>
      <c r="BA994" s="17" t="s">
        <v>151</v>
      </c>
      <c r="BB994" s="17" t="s">
        <v>151</v>
      </c>
      <c r="BC994" s="17" t="s">
        <v>20020</v>
      </c>
      <c r="BD994" s="17" t="s">
        <v>20021</v>
      </c>
      <c r="BE994" s="17" t="s">
        <v>20022</v>
      </c>
      <c r="BF994" s="17" t="s">
        <v>221</v>
      </c>
      <c r="BG994" s="17" t="s">
        <v>20023</v>
      </c>
      <c r="BH994" s="17" t="s">
        <v>151</v>
      </c>
      <c r="BI994" s="17" t="s">
        <v>764</v>
      </c>
      <c r="BJ994" s="17" t="s">
        <v>3969</v>
      </c>
      <c r="BK994" s="17" t="s">
        <v>20024</v>
      </c>
      <c r="BL994" s="17" t="s">
        <v>767</v>
      </c>
      <c r="BM994" s="17" t="s">
        <v>184</v>
      </c>
      <c r="BN994" s="16" t="s">
        <v>794</v>
      </c>
      <c r="BO994" s="17" t="s">
        <v>186</v>
      </c>
      <c r="BP994" s="16" t="s">
        <v>151</v>
      </c>
      <c r="BQ994" s="16" t="s">
        <v>151</v>
      </c>
      <c r="BR994" s="17" t="s">
        <v>20025</v>
      </c>
      <c r="BS994" s="17" t="s">
        <v>187</v>
      </c>
      <c r="BT994" s="17" t="s">
        <v>188</v>
      </c>
      <c r="BU994" s="22">
        <v>43355</v>
      </c>
      <c r="BV994" s="24" t="s">
        <v>151</v>
      </c>
      <c r="BW994" s="17" t="s">
        <v>151</v>
      </c>
      <c r="BX994" s="24" t="s">
        <v>151</v>
      </c>
      <c r="BY994" s="17" t="s">
        <v>151</v>
      </c>
      <c r="BZ994" s="17" t="s">
        <v>189</v>
      </c>
      <c r="CA994" s="17" t="s">
        <v>151</v>
      </c>
      <c r="CB994" s="17" t="s">
        <v>151</v>
      </c>
      <c r="CC994" s="17" t="s">
        <v>190</v>
      </c>
      <c r="CD994" s="17" t="s">
        <v>151</v>
      </c>
      <c r="CE994" s="17" t="s">
        <v>191</v>
      </c>
      <c r="CF994" s="22">
        <v>45511</v>
      </c>
      <c r="CG994" s="24">
        <v>7.8</v>
      </c>
      <c r="CH994" s="17" t="s">
        <v>192</v>
      </c>
      <c r="CI994" s="24">
        <v>36</v>
      </c>
      <c r="CJ994" s="17" t="s">
        <v>192</v>
      </c>
      <c r="CK994" s="16">
        <v>1.66</v>
      </c>
      <c r="CL994" s="17" t="s">
        <v>293</v>
      </c>
      <c r="CM994" s="17" t="s">
        <v>293</v>
      </c>
      <c r="CN994" s="17" t="s">
        <v>151</v>
      </c>
      <c r="CO994" s="17" t="s">
        <v>165</v>
      </c>
      <c r="CP994" s="22">
        <v>45511</v>
      </c>
      <c r="CQ994" s="24" t="s">
        <v>151</v>
      </c>
      <c r="CR994" s="17" t="s">
        <v>151</v>
      </c>
      <c r="CS994" s="17" t="s">
        <v>191</v>
      </c>
      <c r="CT994" s="16">
        <v>94</v>
      </c>
      <c r="CU994" s="17" t="s">
        <v>196</v>
      </c>
      <c r="CV994" s="19">
        <v>88</v>
      </c>
      <c r="CW994" s="19">
        <v>12</v>
      </c>
      <c r="CX994" s="17" t="s">
        <v>294</v>
      </c>
      <c r="CY994" s="19">
        <v>1</v>
      </c>
      <c r="CZ994" s="19">
        <v>87</v>
      </c>
      <c r="DA994" s="24">
        <v>36</v>
      </c>
      <c r="DB994" s="22">
        <v>45511</v>
      </c>
      <c r="DC994" s="17" t="s">
        <v>293</v>
      </c>
      <c r="DD994" s="16">
        <v>1.66</v>
      </c>
      <c r="DE994" s="19">
        <v>-0.4</v>
      </c>
      <c r="DF994" s="21">
        <v>8</v>
      </c>
      <c r="DG994" s="19">
        <v>0</v>
      </c>
      <c r="DH994" s="19">
        <v>0</v>
      </c>
      <c r="DI994" s="19">
        <v>-1.29</v>
      </c>
      <c r="DJ994" s="21">
        <v>3</v>
      </c>
      <c r="DK994" s="19" t="s">
        <v>151</v>
      </c>
      <c r="DL994" s="21" t="s">
        <v>151</v>
      </c>
      <c r="DM994" s="19">
        <v>-1.29</v>
      </c>
      <c r="DN994" s="21">
        <v>3</v>
      </c>
      <c r="DO994" s="23">
        <v>16.34</v>
      </c>
      <c r="DP994" s="21">
        <v>94</v>
      </c>
      <c r="DQ994" s="23">
        <v>0</v>
      </c>
      <c r="DR994" s="19">
        <v>0</v>
      </c>
      <c r="DS994" s="23">
        <v>30.68</v>
      </c>
      <c r="DT994" s="21">
        <v>97</v>
      </c>
      <c r="DU994" s="23" t="s">
        <v>151</v>
      </c>
      <c r="DV994" s="21" t="s">
        <v>151</v>
      </c>
      <c r="DW994" s="23">
        <v>30.68</v>
      </c>
      <c r="DX994" s="21">
        <v>97</v>
      </c>
      <c r="DY994" s="18" t="s">
        <v>151</v>
      </c>
      <c r="DZ994" s="22" t="s">
        <v>151</v>
      </c>
      <c r="EA994" s="22" t="s">
        <v>151</v>
      </c>
      <c r="EB994" s="21">
        <v>1674</v>
      </c>
      <c r="EC994" s="20">
        <v>-32</v>
      </c>
      <c r="ED994" s="19">
        <v>-1.88</v>
      </c>
      <c r="EE994" s="21">
        <v>583</v>
      </c>
      <c r="EF994" s="20">
        <v>-7</v>
      </c>
      <c r="EG994" s="19">
        <v>-1.19</v>
      </c>
      <c r="EH994" s="16" t="s">
        <v>198</v>
      </c>
      <c r="EI994" s="17" t="s">
        <v>151</v>
      </c>
      <c r="EJ994" s="17" t="s">
        <v>151</v>
      </c>
      <c r="EK994" s="18" t="s">
        <v>151</v>
      </c>
      <c r="EL994" s="18" t="s">
        <v>151</v>
      </c>
      <c r="EM994" s="18" t="s">
        <v>151</v>
      </c>
      <c r="EN994" s="18" t="s">
        <v>151</v>
      </c>
      <c r="EO994" s="18" t="s">
        <v>151</v>
      </c>
      <c r="EP994" s="17" t="s">
        <v>151</v>
      </c>
      <c r="EQ994" s="16" t="s">
        <v>151</v>
      </c>
      <c r="ER994" s="16" t="s">
        <v>151</v>
      </c>
      <c r="ES994" s="3">
        <f>HYPERLINK("https://my.pitchbook.com?c=232710-40","View Company Online")</f>
      </c>
    </row>
    <row r="995">
      <c r="A995" s="30" t="s">
        <v>20026</v>
      </c>
      <c r="B995" s="30" t="s">
        <v>20027</v>
      </c>
      <c r="C995" s="31" t="s">
        <v>151</v>
      </c>
      <c r="D995" s="30" t="s">
        <v>151</v>
      </c>
      <c r="E995" s="30" t="s">
        <v>151</v>
      </c>
      <c r="F995" s="30" t="s">
        <v>20028</v>
      </c>
      <c r="G995" s="30" t="s">
        <v>151</v>
      </c>
      <c r="H995" s="30" t="s">
        <v>151</v>
      </c>
      <c r="I995" s="30" t="s">
        <v>151</v>
      </c>
      <c r="J995" s="30" t="s">
        <v>20026</v>
      </c>
      <c r="K995" s="30" t="s">
        <v>20029</v>
      </c>
      <c r="L995" s="30" t="s">
        <v>205</v>
      </c>
      <c r="M995" s="30" t="s">
        <v>206</v>
      </c>
      <c r="N995" s="30" t="s">
        <v>3121</v>
      </c>
      <c r="O995" s="30" t="s">
        <v>20030</v>
      </c>
      <c r="P995" s="30" t="s">
        <v>919</v>
      </c>
      <c r="Q995" s="30" t="s">
        <v>20031</v>
      </c>
      <c r="R995" s="30" t="s">
        <v>151</v>
      </c>
      <c r="S995" s="30" t="s">
        <v>162</v>
      </c>
      <c r="T995" s="37">
        <v>2.66</v>
      </c>
      <c r="U995" s="30" t="s">
        <v>4045</v>
      </c>
      <c r="V995" s="30" t="s">
        <v>164</v>
      </c>
      <c r="W995" s="30" t="s">
        <v>165</v>
      </c>
      <c r="X995" s="28" t="s">
        <v>20032</v>
      </c>
      <c r="Y995" s="28" t="s">
        <v>20033</v>
      </c>
      <c r="Z995" s="40">
        <v>10</v>
      </c>
      <c r="AA995" s="30" t="s">
        <v>20034</v>
      </c>
      <c r="AB995" s="30" t="s">
        <v>151</v>
      </c>
      <c r="AC995" s="30" t="s">
        <v>151</v>
      </c>
      <c r="AD995" s="39">
        <v>2020</v>
      </c>
      <c r="AE995" s="30" t="s">
        <v>151</v>
      </c>
      <c r="AF995" s="35">
        <v>45595</v>
      </c>
      <c r="AG995" s="30" t="s">
        <v>151</v>
      </c>
      <c r="AH995" s="30" t="s">
        <v>151</v>
      </c>
      <c r="AI995" s="38" t="s">
        <v>151</v>
      </c>
      <c r="AJ995" s="32" t="s">
        <v>151</v>
      </c>
      <c r="AK995" s="38" t="s">
        <v>151</v>
      </c>
      <c r="AL995" s="38">
        <v>-1060.59</v>
      </c>
      <c r="AM995" s="38" t="s">
        <v>151</v>
      </c>
      <c r="AN995" s="38" t="s">
        <v>151</v>
      </c>
      <c r="AO995" s="38" t="s">
        <v>151</v>
      </c>
      <c r="AP995" s="38" t="s">
        <v>151</v>
      </c>
      <c r="AQ995" s="38" t="s">
        <v>151</v>
      </c>
      <c r="AR995" s="29" t="s">
        <v>170</v>
      </c>
      <c r="AS995" s="30" t="s">
        <v>20035</v>
      </c>
      <c r="AT995" s="30" t="s">
        <v>20036</v>
      </c>
      <c r="AU995" s="31">
        <v>10</v>
      </c>
      <c r="AV995" s="30" t="s">
        <v>151</v>
      </c>
      <c r="AW995" s="30" t="s">
        <v>151</v>
      </c>
      <c r="AX995" s="30" t="s">
        <v>151</v>
      </c>
      <c r="AY995" s="30" t="s">
        <v>20037</v>
      </c>
      <c r="AZ995" s="30" t="s">
        <v>151</v>
      </c>
      <c r="BA995" s="30" t="s">
        <v>151</v>
      </c>
      <c r="BB995" s="30" t="s">
        <v>151</v>
      </c>
      <c r="BC995" s="30" t="s">
        <v>2626</v>
      </c>
      <c r="BD995" s="30" t="s">
        <v>20038</v>
      </c>
      <c r="BE995" s="30" t="s">
        <v>20039</v>
      </c>
      <c r="BF995" s="30" t="s">
        <v>493</v>
      </c>
      <c r="BG995" s="30" t="s">
        <v>151</v>
      </c>
      <c r="BH995" s="30" t="s">
        <v>20040</v>
      </c>
      <c r="BI995" s="30" t="s">
        <v>764</v>
      </c>
      <c r="BJ995" s="30" t="s">
        <v>3969</v>
      </c>
      <c r="BK995" s="30" t="s">
        <v>20041</v>
      </c>
      <c r="BL995" s="30" t="s">
        <v>767</v>
      </c>
      <c r="BM995" s="30" t="s">
        <v>184</v>
      </c>
      <c r="BN995" s="29" t="s">
        <v>794</v>
      </c>
      <c r="BO995" s="30" t="s">
        <v>186</v>
      </c>
      <c r="BP995" s="29" t="s">
        <v>20042</v>
      </c>
      <c r="BQ995" s="29" t="s">
        <v>151</v>
      </c>
      <c r="BR995" s="30" t="s">
        <v>20043</v>
      </c>
      <c r="BS995" s="30" t="s">
        <v>187</v>
      </c>
      <c r="BT995" s="30" t="s">
        <v>188</v>
      </c>
      <c r="BU995" s="35">
        <v>44256</v>
      </c>
      <c r="BV995" s="37">
        <v>1.7</v>
      </c>
      <c r="BW995" s="30" t="s">
        <v>192</v>
      </c>
      <c r="BX995" s="37" t="s">
        <v>151</v>
      </c>
      <c r="BY995" s="30" t="s">
        <v>151</v>
      </c>
      <c r="BZ995" s="30" t="s">
        <v>231</v>
      </c>
      <c r="CA995" s="30" t="s">
        <v>151</v>
      </c>
      <c r="CB995" s="30" t="s">
        <v>151</v>
      </c>
      <c r="CC995" s="30" t="s">
        <v>165</v>
      </c>
      <c r="CD995" s="30" t="s">
        <v>151</v>
      </c>
      <c r="CE995" s="30" t="s">
        <v>191</v>
      </c>
      <c r="CF995" s="35">
        <v>45383</v>
      </c>
      <c r="CG995" s="37">
        <v>0.96</v>
      </c>
      <c r="CH995" s="30" t="s">
        <v>192</v>
      </c>
      <c r="CI995" s="37" t="s">
        <v>151</v>
      </c>
      <c r="CJ995" s="30" t="s">
        <v>151</v>
      </c>
      <c r="CK995" s="29" t="s">
        <v>151</v>
      </c>
      <c r="CL995" s="30" t="s">
        <v>1363</v>
      </c>
      <c r="CM995" s="30" t="s">
        <v>151</v>
      </c>
      <c r="CN995" s="30" t="s">
        <v>151</v>
      </c>
      <c r="CO995" s="30" t="s">
        <v>585</v>
      </c>
      <c r="CP995" s="35">
        <v>45383</v>
      </c>
      <c r="CQ995" s="37" t="s">
        <v>151</v>
      </c>
      <c r="CR995" s="30" t="s">
        <v>151</v>
      </c>
      <c r="CS995" s="30" t="s">
        <v>191</v>
      </c>
      <c r="CT995" s="29" t="s">
        <v>151</v>
      </c>
      <c r="CU995" s="30" t="s">
        <v>151</v>
      </c>
      <c r="CV995" s="32" t="s">
        <v>151</v>
      </c>
      <c r="CW995" s="32" t="s">
        <v>151</v>
      </c>
      <c r="CX995" s="30" t="s">
        <v>151</v>
      </c>
      <c r="CY995" s="32" t="s">
        <v>151</v>
      </c>
      <c r="CZ995" s="32" t="s">
        <v>151</v>
      </c>
      <c r="DA995" s="37" t="s">
        <v>151</v>
      </c>
      <c r="DB995" s="35" t="s">
        <v>151</v>
      </c>
      <c r="DC995" s="30" t="s">
        <v>151</v>
      </c>
      <c r="DD995" s="29" t="s">
        <v>151</v>
      </c>
      <c r="DE995" s="32">
        <v>-0.24</v>
      </c>
      <c r="DF995" s="34">
        <v>9</v>
      </c>
      <c r="DG995" s="32">
        <v>0</v>
      </c>
      <c r="DH995" s="32">
        <v>0</v>
      </c>
      <c r="DI995" s="32">
        <v>-0.24</v>
      </c>
      <c r="DJ995" s="34">
        <v>9</v>
      </c>
      <c r="DK995" s="32">
        <v>-0.48</v>
      </c>
      <c r="DL995" s="34">
        <v>10</v>
      </c>
      <c r="DM995" s="32">
        <v>0</v>
      </c>
      <c r="DN995" s="34">
        <v>10</v>
      </c>
      <c r="DO995" s="36">
        <v>1.28</v>
      </c>
      <c r="DP995" s="34">
        <v>56</v>
      </c>
      <c r="DQ995" s="36">
        <v>0</v>
      </c>
      <c r="DR995" s="32">
        <v>0</v>
      </c>
      <c r="DS995" s="36">
        <v>1.28</v>
      </c>
      <c r="DT995" s="34">
        <v>56</v>
      </c>
      <c r="DU995" s="36">
        <v>1.09</v>
      </c>
      <c r="DV995" s="34">
        <v>56</v>
      </c>
      <c r="DW995" s="36">
        <v>1.47</v>
      </c>
      <c r="DX995" s="34">
        <v>58</v>
      </c>
      <c r="DY995" s="31" t="s">
        <v>151</v>
      </c>
      <c r="DZ995" s="35" t="s">
        <v>151</v>
      </c>
      <c r="EA995" s="35" t="s">
        <v>151</v>
      </c>
      <c r="EB995" s="34">
        <v>233</v>
      </c>
      <c r="EC995" s="33">
        <v>-79</v>
      </c>
      <c r="ED995" s="32">
        <v>-25.32</v>
      </c>
      <c r="EE995" s="34">
        <v>28</v>
      </c>
      <c r="EF995" s="33">
        <v>0</v>
      </c>
      <c r="EG995" s="32">
        <v>0</v>
      </c>
      <c r="EH995" s="29" t="s">
        <v>198</v>
      </c>
      <c r="EI995" s="30" t="s">
        <v>151</v>
      </c>
      <c r="EJ995" s="30" t="s">
        <v>151</v>
      </c>
      <c r="EK995" s="31" t="s">
        <v>151</v>
      </c>
      <c r="EL995" s="31" t="s">
        <v>151</v>
      </c>
      <c r="EM995" s="31" t="s">
        <v>151</v>
      </c>
      <c r="EN995" s="31" t="s">
        <v>151</v>
      </c>
      <c r="EO995" s="31" t="s">
        <v>151</v>
      </c>
      <c r="EP995" s="30" t="s">
        <v>151</v>
      </c>
      <c r="EQ995" s="29" t="s">
        <v>151</v>
      </c>
      <c r="ER995" s="29" t="s">
        <v>151</v>
      </c>
      <c r="ES995" s="4">
        <f>HYPERLINK("https://my.pitchbook.com?c=461810-35","View Company Online")</f>
      </c>
    </row>
    <row r="996">
      <c r="A996" s="17" t="s">
        <v>20044</v>
      </c>
      <c r="B996" s="17" t="s">
        <v>20045</v>
      </c>
      <c r="C996" s="18" t="s">
        <v>151</v>
      </c>
      <c r="D996" s="17" t="s">
        <v>151</v>
      </c>
      <c r="E996" s="17" t="s">
        <v>151</v>
      </c>
      <c r="F996" s="17" t="s">
        <v>20046</v>
      </c>
      <c r="G996" s="17" t="s">
        <v>151</v>
      </c>
      <c r="H996" s="17" t="s">
        <v>151</v>
      </c>
      <c r="I996" s="17" t="s">
        <v>151</v>
      </c>
      <c r="J996" s="17" t="s">
        <v>20044</v>
      </c>
      <c r="K996" s="17" t="s">
        <v>20047</v>
      </c>
      <c r="L996" s="17" t="s">
        <v>205</v>
      </c>
      <c r="M996" s="17" t="s">
        <v>206</v>
      </c>
      <c r="N996" s="17" t="s">
        <v>1082</v>
      </c>
      <c r="O996" s="17" t="s">
        <v>1607</v>
      </c>
      <c r="P996" s="17" t="s">
        <v>1608</v>
      </c>
      <c r="Q996" s="17" t="s">
        <v>20048</v>
      </c>
      <c r="R996" s="17" t="s">
        <v>151</v>
      </c>
      <c r="S996" s="17" t="s">
        <v>162</v>
      </c>
      <c r="T996" s="24">
        <v>0.1</v>
      </c>
      <c r="U996" s="17" t="s">
        <v>163</v>
      </c>
      <c r="V996" s="17" t="s">
        <v>164</v>
      </c>
      <c r="W996" s="17" t="s">
        <v>165</v>
      </c>
      <c r="X996" s="15" t="s">
        <v>20049</v>
      </c>
      <c r="Y996" s="15" t="s">
        <v>20050</v>
      </c>
      <c r="Z996" s="27">
        <v>30</v>
      </c>
      <c r="AA996" s="17" t="s">
        <v>20051</v>
      </c>
      <c r="AB996" s="17" t="s">
        <v>151</v>
      </c>
      <c r="AC996" s="17" t="s">
        <v>151</v>
      </c>
      <c r="AD996" s="26">
        <v>2005</v>
      </c>
      <c r="AE996" s="17" t="s">
        <v>151</v>
      </c>
      <c r="AF996" s="22">
        <v>45510</v>
      </c>
      <c r="AG996" s="17" t="s">
        <v>151</v>
      </c>
      <c r="AH996" s="17" t="s">
        <v>151</v>
      </c>
      <c r="AI996" s="25" t="s">
        <v>151</v>
      </c>
      <c r="AJ996" s="19" t="s">
        <v>151</v>
      </c>
      <c r="AK996" s="25" t="s">
        <v>151</v>
      </c>
      <c r="AL996" s="25" t="s">
        <v>151</v>
      </c>
      <c r="AM996" s="25" t="s">
        <v>151</v>
      </c>
      <c r="AN996" s="25" t="s">
        <v>151</v>
      </c>
      <c r="AO996" s="25" t="s">
        <v>151</v>
      </c>
      <c r="AP996" s="25" t="s">
        <v>151</v>
      </c>
      <c r="AQ996" s="25" t="s">
        <v>151</v>
      </c>
      <c r="AR996" s="16" t="s">
        <v>151</v>
      </c>
      <c r="AS996" s="17" t="s">
        <v>20052</v>
      </c>
      <c r="AT996" s="17" t="s">
        <v>20053</v>
      </c>
      <c r="AU996" s="18">
        <v>1</v>
      </c>
      <c r="AV996" s="17" t="s">
        <v>151</v>
      </c>
      <c r="AW996" s="17" t="s">
        <v>151</v>
      </c>
      <c r="AX996" s="17" t="s">
        <v>151</v>
      </c>
      <c r="AY996" s="17" t="s">
        <v>20054</v>
      </c>
      <c r="AZ996" s="17" t="s">
        <v>151</v>
      </c>
      <c r="BA996" s="17" t="s">
        <v>151</v>
      </c>
      <c r="BB996" s="17" t="s">
        <v>151</v>
      </c>
      <c r="BC996" s="17" t="s">
        <v>151</v>
      </c>
      <c r="BD996" s="17" t="s">
        <v>20055</v>
      </c>
      <c r="BE996" s="17" t="s">
        <v>20056</v>
      </c>
      <c r="BF996" s="17" t="s">
        <v>20057</v>
      </c>
      <c r="BG996" s="17" t="s">
        <v>20058</v>
      </c>
      <c r="BH996" s="17" t="s">
        <v>20059</v>
      </c>
      <c r="BI996" s="17" t="s">
        <v>10313</v>
      </c>
      <c r="BJ996" s="17" t="s">
        <v>20060</v>
      </c>
      <c r="BK996" s="17" t="s">
        <v>10700</v>
      </c>
      <c r="BL996" s="17" t="s">
        <v>10315</v>
      </c>
      <c r="BM996" s="17" t="s">
        <v>525</v>
      </c>
      <c r="BN996" s="16" t="s">
        <v>20061</v>
      </c>
      <c r="BO996" s="17" t="s">
        <v>186</v>
      </c>
      <c r="BP996" s="16" t="s">
        <v>20059</v>
      </c>
      <c r="BQ996" s="16" t="s">
        <v>151</v>
      </c>
      <c r="BR996" s="17" t="s">
        <v>20062</v>
      </c>
      <c r="BS996" s="17" t="s">
        <v>187</v>
      </c>
      <c r="BT996" s="17" t="s">
        <v>188</v>
      </c>
      <c r="BU996" s="22">
        <v>44713</v>
      </c>
      <c r="BV996" s="24">
        <v>0.1</v>
      </c>
      <c r="BW996" s="17" t="s">
        <v>192</v>
      </c>
      <c r="BX996" s="24" t="s">
        <v>151</v>
      </c>
      <c r="BY996" s="17" t="s">
        <v>151</v>
      </c>
      <c r="BZ996" s="17" t="s">
        <v>194</v>
      </c>
      <c r="CA996" s="17" t="s">
        <v>151</v>
      </c>
      <c r="CB996" s="17" t="s">
        <v>151</v>
      </c>
      <c r="CC996" s="17" t="s">
        <v>165</v>
      </c>
      <c r="CD996" s="17" t="s">
        <v>151</v>
      </c>
      <c r="CE996" s="17" t="s">
        <v>191</v>
      </c>
      <c r="CF996" s="22">
        <v>44713</v>
      </c>
      <c r="CG996" s="24">
        <v>0.1</v>
      </c>
      <c r="CH996" s="17" t="s">
        <v>192</v>
      </c>
      <c r="CI996" s="24" t="s">
        <v>151</v>
      </c>
      <c r="CJ996" s="17" t="s">
        <v>151</v>
      </c>
      <c r="CK996" s="16" t="s">
        <v>151</v>
      </c>
      <c r="CL996" s="17" t="s">
        <v>194</v>
      </c>
      <c r="CM996" s="17" t="s">
        <v>151</v>
      </c>
      <c r="CN996" s="17" t="s">
        <v>151</v>
      </c>
      <c r="CO996" s="17" t="s">
        <v>165</v>
      </c>
      <c r="CP996" s="22">
        <v>44713</v>
      </c>
      <c r="CQ996" s="24" t="s">
        <v>151</v>
      </c>
      <c r="CR996" s="17" t="s">
        <v>151</v>
      </c>
      <c r="CS996" s="17" t="s">
        <v>191</v>
      </c>
      <c r="CT996" s="16" t="s">
        <v>151</v>
      </c>
      <c r="CU996" s="17" t="s">
        <v>151</v>
      </c>
      <c r="CV996" s="19" t="s">
        <v>151</v>
      </c>
      <c r="CW996" s="19" t="s">
        <v>151</v>
      </c>
      <c r="CX996" s="17" t="s">
        <v>151</v>
      </c>
      <c r="CY996" s="19" t="s">
        <v>151</v>
      </c>
      <c r="CZ996" s="19" t="s">
        <v>151</v>
      </c>
      <c r="DA996" s="24" t="s">
        <v>151</v>
      </c>
      <c r="DB996" s="22" t="s">
        <v>151</v>
      </c>
      <c r="DC996" s="17" t="s">
        <v>151</v>
      </c>
      <c r="DD996" s="16" t="s">
        <v>151</v>
      </c>
      <c r="DE996" s="19">
        <v>0.22</v>
      </c>
      <c r="DF996" s="21">
        <v>92</v>
      </c>
      <c r="DG996" s="19">
        <v>0</v>
      </c>
      <c r="DH996" s="19">
        <v>0</v>
      </c>
      <c r="DI996" s="19">
        <v>0</v>
      </c>
      <c r="DJ996" s="21">
        <v>10</v>
      </c>
      <c r="DK996" s="19" t="s">
        <v>151</v>
      </c>
      <c r="DL996" s="21" t="s">
        <v>151</v>
      </c>
      <c r="DM996" s="19">
        <v>0</v>
      </c>
      <c r="DN996" s="21">
        <v>10</v>
      </c>
      <c r="DO996" s="23">
        <v>2.07</v>
      </c>
      <c r="DP996" s="21">
        <v>67</v>
      </c>
      <c r="DQ996" s="23">
        <v>0</v>
      </c>
      <c r="DR996" s="19">
        <v>0</v>
      </c>
      <c r="DS996" s="23">
        <v>1.84</v>
      </c>
      <c r="DT996" s="21">
        <v>64</v>
      </c>
      <c r="DU996" s="23" t="s">
        <v>151</v>
      </c>
      <c r="DV996" s="21" t="s">
        <v>151</v>
      </c>
      <c r="DW996" s="23">
        <v>1.84</v>
      </c>
      <c r="DX996" s="21">
        <v>64</v>
      </c>
      <c r="DY996" s="18" t="s">
        <v>151</v>
      </c>
      <c r="DZ996" s="22" t="s">
        <v>151</v>
      </c>
      <c r="EA996" s="22" t="s">
        <v>151</v>
      </c>
      <c r="EB996" s="21" t="s">
        <v>151</v>
      </c>
      <c r="EC996" s="20" t="s">
        <v>151</v>
      </c>
      <c r="ED996" s="19" t="s">
        <v>151</v>
      </c>
      <c r="EE996" s="21">
        <v>35</v>
      </c>
      <c r="EF996" s="20">
        <v>1</v>
      </c>
      <c r="EG996" s="19">
        <v>2.94</v>
      </c>
      <c r="EH996" s="16" t="s">
        <v>198</v>
      </c>
      <c r="EI996" s="17" t="s">
        <v>151</v>
      </c>
      <c r="EJ996" s="17" t="s">
        <v>151</v>
      </c>
      <c r="EK996" s="18" t="s">
        <v>151</v>
      </c>
      <c r="EL996" s="18" t="s">
        <v>151</v>
      </c>
      <c r="EM996" s="18" t="s">
        <v>151</v>
      </c>
      <c r="EN996" s="18" t="s">
        <v>151</v>
      </c>
      <c r="EO996" s="18" t="s">
        <v>151</v>
      </c>
      <c r="EP996" s="17" t="s">
        <v>151</v>
      </c>
      <c r="EQ996" s="16" t="s">
        <v>151</v>
      </c>
      <c r="ER996" s="16" t="s">
        <v>151</v>
      </c>
      <c r="ES996" s="3">
        <f>HYPERLINK("https://my.pitchbook.com?c=253149-76","View Company Online")</f>
      </c>
    </row>
    <row r="997">
      <c r="A997" s="30" t="s">
        <v>20063</v>
      </c>
      <c r="B997" s="30" t="s">
        <v>20064</v>
      </c>
      <c r="C997" s="31" t="s">
        <v>151</v>
      </c>
      <c r="D997" s="30" t="s">
        <v>151</v>
      </c>
      <c r="E997" s="30" t="s">
        <v>151</v>
      </c>
      <c r="F997" s="30" t="s">
        <v>20065</v>
      </c>
      <c r="G997" s="30" t="s">
        <v>151</v>
      </c>
      <c r="H997" s="30" t="s">
        <v>151</v>
      </c>
      <c r="I997" s="30" t="s">
        <v>151</v>
      </c>
      <c r="J997" s="30" t="s">
        <v>20063</v>
      </c>
      <c r="K997" s="30" t="s">
        <v>20066</v>
      </c>
      <c r="L997" s="30" t="s">
        <v>205</v>
      </c>
      <c r="M997" s="30" t="s">
        <v>206</v>
      </c>
      <c r="N997" s="30" t="s">
        <v>1268</v>
      </c>
      <c r="O997" s="30" t="s">
        <v>5451</v>
      </c>
      <c r="P997" s="30" t="s">
        <v>20067</v>
      </c>
      <c r="Q997" s="30" t="s">
        <v>20068</v>
      </c>
      <c r="R997" s="30" t="s">
        <v>151</v>
      </c>
      <c r="S997" s="30" t="s">
        <v>162</v>
      </c>
      <c r="T997" s="37">
        <v>17.5</v>
      </c>
      <c r="U997" s="30" t="s">
        <v>163</v>
      </c>
      <c r="V997" s="30" t="s">
        <v>164</v>
      </c>
      <c r="W997" s="30" t="s">
        <v>165</v>
      </c>
      <c r="X997" s="28" t="s">
        <v>20069</v>
      </c>
      <c r="Y997" s="28" t="s">
        <v>20070</v>
      </c>
      <c r="Z997" s="40">
        <v>11</v>
      </c>
      <c r="AA997" s="30" t="s">
        <v>20071</v>
      </c>
      <c r="AB997" s="30" t="s">
        <v>151</v>
      </c>
      <c r="AC997" s="30" t="s">
        <v>151</v>
      </c>
      <c r="AD997" s="39">
        <v>2019</v>
      </c>
      <c r="AE997" s="30" t="s">
        <v>151</v>
      </c>
      <c r="AF997" s="35">
        <v>45595</v>
      </c>
      <c r="AG997" s="30" t="s">
        <v>151</v>
      </c>
      <c r="AH997" s="30" t="s">
        <v>151</v>
      </c>
      <c r="AI997" s="38" t="s">
        <v>151</v>
      </c>
      <c r="AJ997" s="32" t="s">
        <v>151</v>
      </c>
      <c r="AK997" s="38" t="s">
        <v>151</v>
      </c>
      <c r="AL997" s="38" t="s">
        <v>151</v>
      </c>
      <c r="AM997" s="38" t="s">
        <v>151</v>
      </c>
      <c r="AN997" s="38" t="s">
        <v>151</v>
      </c>
      <c r="AO997" s="38" t="s">
        <v>151</v>
      </c>
      <c r="AP997" s="38" t="s">
        <v>151</v>
      </c>
      <c r="AQ997" s="38" t="s">
        <v>151</v>
      </c>
      <c r="AR997" s="29" t="s">
        <v>151</v>
      </c>
      <c r="AS997" s="30" t="s">
        <v>20072</v>
      </c>
      <c r="AT997" s="30" t="s">
        <v>20073</v>
      </c>
      <c r="AU997" s="31">
        <v>16</v>
      </c>
      <c r="AV997" s="30" t="s">
        <v>151</v>
      </c>
      <c r="AW997" s="30" t="s">
        <v>20074</v>
      </c>
      <c r="AX997" s="30" t="s">
        <v>151</v>
      </c>
      <c r="AY997" s="30" t="s">
        <v>20075</v>
      </c>
      <c r="AZ997" s="30" t="s">
        <v>20076</v>
      </c>
      <c r="BA997" s="30" t="s">
        <v>151</v>
      </c>
      <c r="BB997" s="30" t="s">
        <v>151</v>
      </c>
      <c r="BC997" s="30" t="s">
        <v>151</v>
      </c>
      <c r="BD997" s="30" t="s">
        <v>20077</v>
      </c>
      <c r="BE997" s="30" t="s">
        <v>20078</v>
      </c>
      <c r="BF997" s="30" t="s">
        <v>19788</v>
      </c>
      <c r="BG997" s="30" t="s">
        <v>151</v>
      </c>
      <c r="BH997" s="30" t="s">
        <v>20079</v>
      </c>
      <c r="BI997" s="30" t="s">
        <v>20080</v>
      </c>
      <c r="BJ997" s="30" t="s">
        <v>20081</v>
      </c>
      <c r="BK997" s="30" t="s">
        <v>2073</v>
      </c>
      <c r="BL997" s="30" t="s">
        <v>20082</v>
      </c>
      <c r="BM997" s="30" t="s">
        <v>1576</v>
      </c>
      <c r="BN997" s="29" t="s">
        <v>20083</v>
      </c>
      <c r="BO997" s="30" t="s">
        <v>186</v>
      </c>
      <c r="BP997" s="29" t="s">
        <v>20084</v>
      </c>
      <c r="BQ997" s="29" t="s">
        <v>151</v>
      </c>
      <c r="BR997" s="30" t="s">
        <v>20085</v>
      </c>
      <c r="BS997" s="30" t="s">
        <v>187</v>
      </c>
      <c r="BT997" s="30" t="s">
        <v>188</v>
      </c>
      <c r="BU997" s="35">
        <v>44134</v>
      </c>
      <c r="BV997" s="37">
        <v>5</v>
      </c>
      <c r="BW997" s="30" t="s">
        <v>193</v>
      </c>
      <c r="BX997" s="37">
        <v>15</v>
      </c>
      <c r="BY997" s="30" t="s">
        <v>192</v>
      </c>
      <c r="BZ997" s="30" t="s">
        <v>293</v>
      </c>
      <c r="CA997" s="30" t="s">
        <v>293</v>
      </c>
      <c r="CB997" s="30" t="s">
        <v>151</v>
      </c>
      <c r="CC997" s="30" t="s">
        <v>165</v>
      </c>
      <c r="CD997" s="30" t="s">
        <v>151</v>
      </c>
      <c r="CE997" s="30" t="s">
        <v>191</v>
      </c>
      <c r="CF997" s="35">
        <v>44874</v>
      </c>
      <c r="CG997" s="37">
        <v>8.5</v>
      </c>
      <c r="CH997" s="30" t="s">
        <v>192</v>
      </c>
      <c r="CI997" s="37">
        <v>78.5</v>
      </c>
      <c r="CJ997" s="30" t="s">
        <v>192</v>
      </c>
      <c r="CK997" s="29">
        <v>1.32</v>
      </c>
      <c r="CL997" s="30" t="s">
        <v>231</v>
      </c>
      <c r="CM997" s="30" t="s">
        <v>11790</v>
      </c>
      <c r="CN997" s="30" t="s">
        <v>151</v>
      </c>
      <c r="CO997" s="30" t="s">
        <v>165</v>
      </c>
      <c r="CP997" s="35">
        <v>44874</v>
      </c>
      <c r="CQ997" s="37" t="s">
        <v>151</v>
      </c>
      <c r="CR997" s="30" t="s">
        <v>151</v>
      </c>
      <c r="CS997" s="30" t="s">
        <v>191</v>
      </c>
      <c r="CT997" s="29">
        <v>66</v>
      </c>
      <c r="CU997" s="30" t="s">
        <v>196</v>
      </c>
      <c r="CV997" s="32">
        <v>62</v>
      </c>
      <c r="CW997" s="32">
        <v>38</v>
      </c>
      <c r="CX997" s="30" t="s">
        <v>294</v>
      </c>
      <c r="CY997" s="32">
        <v>1</v>
      </c>
      <c r="CZ997" s="32">
        <v>61</v>
      </c>
      <c r="DA997" s="37">
        <v>78.5</v>
      </c>
      <c r="DB997" s="35">
        <v>44874</v>
      </c>
      <c r="DC997" s="30" t="s">
        <v>231</v>
      </c>
      <c r="DD997" s="29">
        <v>1.32</v>
      </c>
      <c r="DE997" s="32">
        <v>4.44</v>
      </c>
      <c r="DF997" s="34">
        <v>100</v>
      </c>
      <c r="DG997" s="32">
        <v>0</v>
      </c>
      <c r="DH997" s="32">
        <v>0</v>
      </c>
      <c r="DI997" s="32">
        <v>4.44</v>
      </c>
      <c r="DJ997" s="34">
        <v>100</v>
      </c>
      <c r="DK997" s="32">
        <v>0</v>
      </c>
      <c r="DL997" s="34">
        <v>11</v>
      </c>
      <c r="DM997" s="32">
        <v>8.88</v>
      </c>
      <c r="DN997" s="34">
        <v>100</v>
      </c>
      <c r="DO997" s="36">
        <v>5.7</v>
      </c>
      <c r="DP997" s="34">
        <v>84</v>
      </c>
      <c r="DQ997" s="36">
        <v>0</v>
      </c>
      <c r="DR997" s="32">
        <v>0</v>
      </c>
      <c r="DS997" s="36">
        <v>5.7</v>
      </c>
      <c r="DT997" s="34">
        <v>84</v>
      </c>
      <c r="DU997" s="36">
        <v>1.34</v>
      </c>
      <c r="DV997" s="34">
        <v>62</v>
      </c>
      <c r="DW997" s="36">
        <v>10.05</v>
      </c>
      <c r="DX997" s="34">
        <v>90</v>
      </c>
      <c r="DY997" s="31" t="s">
        <v>151</v>
      </c>
      <c r="DZ997" s="35" t="s">
        <v>151</v>
      </c>
      <c r="EA997" s="35" t="s">
        <v>151</v>
      </c>
      <c r="EB997" s="34">
        <v>0</v>
      </c>
      <c r="EC997" s="33">
        <v>0</v>
      </c>
      <c r="ED997" s="32">
        <v>0</v>
      </c>
      <c r="EE997" s="34">
        <v>191</v>
      </c>
      <c r="EF997" s="33">
        <v>18</v>
      </c>
      <c r="EG997" s="32">
        <v>10.4</v>
      </c>
      <c r="EH997" s="29" t="s">
        <v>198</v>
      </c>
      <c r="EI997" s="30" t="s">
        <v>151</v>
      </c>
      <c r="EJ997" s="30" t="s">
        <v>151</v>
      </c>
      <c r="EK997" s="31" t="s">
        <v>151</v>
      </c>
      <c r="EL997" s="31" t="s">
        <v>151</v>
      </c>
      <c r="EM997" s="31" t="s">
        <v>151</v>
      </c>
      <c r="EN997" s="31" t="s">
        <v>151</v>
      </c>
      <c r="EO997" s="31" t="s">
        <v>151</v>
      </c>
      <c r="EP997" s="30" t="s">
        <v>151</v>
      </c>
      <c r="EQ997" s="29" t="s">
        <v>151</v>
      </c>
      <c r="ER997" s="29" t="s">
        <v>151</v>
      </c>
      <c r="ES997" s="4">
        <f>HYPERLINK("https://my.pitchbook.com?c=435360-88","View Company Online")</f>
      </c>
    </row>
    <row r="998">
      <c r="A998" s="17" t="s">
        <v>20086</v>
      </c>
      <c r="B998" s="17" t="s">
        <v>20087</v>
      </c>
      <c r="C998" s="18" t="s">
        <v>151</v>
      </c>
      <c r="D998" s="17" t="s">
        <v>151</v>
      </c>
      <c r="E998" s="17" t="s">
        <v>20088</v>
      </c>
      <c r="F998" s="17" t="s">
        <v>20089</v>
      </c>
      <c r="G998" s="17" t="s">
        <v>151</v>
      </c>
      <c r="H998" s="17" t="s">
        <v>151</v>
      </c>
      <c r="I998" s="17" t="s">
        <v>151</v>
      </c>
      <c r="J998" s="17" t="s">
        <v>20086</v>
      </c>
      <c r="K998" s="17" t="s">
        <v>20090</v>
      </c>
      <c r="L998" s="17" t="s">
        <v>616</v>
      </c>
      <c r="M998" s="17" t="s">
        <v>834</v>
      </c>
      <c r="N998" s="17" t="s">
        <v>835</v>
      </c>
      <c r="O998" s="17" t="s">
        <v>4322</v>
      </c>
      <c r="P998" s="17" t="s">
        <v>304</v>
      </c>
      <c r="Q998" s="17" t="s">
        <v>20091</v>
      </c>
      <c r="R998" s="17" t="s">
        <v>151</v>
      </c>
      <c r="S998" s="17" t="s">
        <v>162</v>
      </c>
      <c r="T998" s="24">
        <v>0.25</v>
      </c>
      <c r="U998" s="17" t="s">
        <v>163</v>
      </c>
      <c r="V998" s="17" t="s">
        <v>164</v>
      </c>
      <c r="W998" s="17" t="s">
        <v>165</v>
      </c>
      <c r="X998" s="15" t="s">
        <v>20092</v>
      </c>
      <c r="Y998" s="15" t="s">
        <v>20093</v>
      </c>
      <c r="Z998" s="27">
        <v>6</v>
      </c>
      <c r="AA998" s="17" t="s">
        <v>20094</v>
      </c>
      <c r="AB998" s="17" t="s">
        <v>151</v>
      </c>
      <c r="AC998" s="17" t="s">
        <v>151</v>
      </c>
      <c r="AD998" s="26">
        <v>2022</v>
      </c>
      <c r="AE998" s="17" t="s">
        <v>151</v>
      </c>
      <c r="AF998" s="22">
        <v>45489</v>
      </c>
      <c r="AG998" s="17" t="s">
        <v>151</v>
      </c>
      <c r="AH998" s="17" t="s">
        <v>151</v>
      </c>
      <c r="AI998" s="25" t="s">
        <v>151</v>
      </c>
      <c r="AJ998" s="19" t="s">
        <v>151</v>
      </c>
      <c r="AK998" s="25" t="s">
        <v>151</v>
      </c>
      <c r="AL998" s="25" t="s">
        <v>151</v>
      </c>
      <c r="AM998" s="25" t="s">
        <v>151</v>
      </c>
      <c r="AN998" s="25" t="s">
        <v>151</v>
      </c>
      <c r="AO998" s="25" t="s">
        <v>151</v>
      </c>
      <c r="AP998" s="25" t="s">
        <v>151</v>
      </c>
      <c r="AQ998" s="25" t="s">
        <v>151</v>
      </c>
      <c r="AR998" s="16" t="s">
        <v>151</v>
      </c>
      <c r="AS998" s="17" t="s">
        <v>20095</v>
      </c>
      <c r="AT998" s="17" t="s">
        <v>20096</v>
      </c>
      <c r="AU998" s="18">
        <v>4</v>
      </c>
      <c r="AV998" s="17" t="s">
        <v>151</v>
      </c>
      <c r="AW998" s="17" t="s">
        <v>151</v>
      </c>
      <c r="AX998" s="17" t="s">
        <v>151</v>
      </c>
      <c r="AY998" s="17" t="s">
        <v>20097</v>
      </c>
      <c r="AZ998" s="17" t="s">
        <v>151</v>
      </c>
      <c r="BA998" s="17" t="s">
        <v>151</v>
      </c>
      <c r="BB998" s="17" t="s">
        <v>151</v>
      </c>
      <c r="BC998" s="17" t="s">
        <v>151</v>
      </c>
      <c r="BD998" s="17" t="s">
        <v>20098</v>
      </c>
      <c r="BE998" s="17" t="s">
        <v>20099</v>
      </c>
      <c r="BF998" s="17" t="s">
        <v>221</v>
      </c>
      <c r="BG998" s="17" t="s">
        <v>20100</v>
      </c>
      <c r="BH998" s="17" t="s">
        <v>20101</v>
      </c>
      <c r="BI998" s="17" t="s">
        <v>1068</v>
      </c>
      <c r="BJ998" s="17" t="s">
        <v>20102</v>
      </c>
      <c r="BK998" s="17" t="s">
        <v>151</v>
      </c>
      <c r="BL998" s="17" t="s">
        <v>1071</v>
      </c>
      <c r="BM998" s="17" t="s">
        <v>1072</v>
      </c>
      <c r="BN998" s="16" t="s">
        <v>10963</v>
      </c>
      <c r="BO998" s="17" t="s">
        <v>186</v>
      </c>
      <c r="BP998" s="16" t="s">
        <v>151</v>
      </c>
      <c r="BQ998" s="16" t="s">
        <v>151</v>
      </c>
      <c r="BR998" s="17" t="s">
        <v>151</v>
      </c>
      <c r="BS998" s="17" t="s">
        <v>187</v>
      </c>
      <c r="BT998" s="17" t="s">
        <v>188</v>
      </c>
      <c r="BU998" s="22">
        <v>45026</v>
      </c>
      <c r="BV998" s="24">
        <v>0.25</v>
      </c>
      <c r="BW998" s="17" t="s">
        <v>192</v>
      </c>
      <c r="BX998" s="24" t="s">
        <v>151</v>
      </c>
      <c r="BY998" s="17" t="s">
        <v>151</v>
      </c>
      <c r="BZ998" s="17" t="s">
        <v>231</v>
      </c>
      <c r="CA998" s="17" t="s">
        <v>151</v>
      </c>
      <c r="CB998" s="17" t="s">
        <v>151</v>
      </c>
      <c r="CC998" s="17" t="s">
        <v>165</v>
      </c>
      <c r="CD998" s="17" t="s">
        <v>151</v>
      </c>
      <c r="CE998" s="17" t="s">
        <v>191</v>
      </c>
      <c r="CF998" s="22">
        <v>45026</v>
      </c>
      <c r="CG998" s="24">
        <v>0.25</v>
      </c>
      <c r="CH998" s="17" t="s">
        <v>192</v>
      </c>
      <c r="CI998" s="24" t="s">
        <v>151</v>
      </c>
      <c r="CJ998" s="17" t="s">
        <v>151</v>
      </c>
      <c r="CK998" s="16" t="s">
        <v>151</v>
      </c>
      <c r="CL998" s="17" t="s">
        <v>231</v>
      </c>
      <c r="CM998" s="17" t="s">
        <v>151</v>
      </c>
      <c r="CN998" s="17" t="s">
        <v>151</v>
      </c>
      <c r="CO998" s="17" t="s">
        <v>165</v>
      </c>
      <c r="CP998" s="22">
        <v>45026</v>
      </c>
      <c r="CQ998" s="24" t="s">
        <v>151</v>
      </c>
      <c r="CR998" s="17" t="s">
        <v>151</v>
      </c>
      <c r="CS998" s="17" t="s">
        <v>191</v>
      </c>
      <c r="CT998" s="16" t="s">
        <v>151</v>
      </c>
      <c r="CU998" s="17" t="s">
        <v>151</v>
      </c>
      <c r="CV998" s="19" t="s">
        <v>151</v>
      </c>
      <c r="CW998" s="19" t="s">
        <v>151</v>
      </c>
      <c r="CX998" s="17" t="s">
        <v>151</v>
      </c>
      <c r="CY998" s="19" t="s">
        <v>151</v>
      </c>
      <c r="CZ998" s="19" t="s">
        <v>151</v>
      </c>
      <c r="DA998" s="24" t="s">
        <v>151</v>
      </c>
      <c r="DB998" s="22" t="s">
        <v>151</v>
      </c>
      <c r="DC998" s="17" t="s">
        <v>151</v>
      </c>
      <c r="DD998" s="16" t="s">
        <v>151</v>
      </c>
      <c r="DE998" s="19">
        <v>0</v>
      </c>
      <c r="DF998" s="21">
        <v>11</v>
      </c>
      <c r="DG998" s="19">
        <v>0</v>
      </c>
      <c r="DH998" s="19">
        <v>0</v>
      </c>
      <c r="DI998" s="19">
        <v>0</v>
      </c>
      <c r="DJ998" s="21">
        <v>10</v>
      </c>
      <c r="DK998" s="19" t="s">
        <v>151</v>
      </c>
      <c r="DL998" s="21" t="s">
        <v>151</v>
      </c>
      <c r="DM998" s="19">
        <v>0</v>
      </c>
      <c r="DN998" s="21">
        <v>10</v>
      </c>
      <c r="DO998" s="23">
        <v>1.21</v>
      </c>
      <c r="DP998" s="21">
        <v>54</v>
      </c>
      <c r="DQ998" s="23">
        <v>0</v>
      </c>
      <c r="DR998" s="19">
        <v>0</v>
      </c>
      <c r="DS998" s="23">
        <v>1.21</v>
      </c>
      <c r="DT998" s="21">
        <v>54</v>
      </c>
      <c r="DU998" s="23" t="s">
        <v>151</v>
      </c>
      <c r="DV998" s="21" t="s">
        <v>151</v>
      </c>
      <c r="DW998" s="23">
        <v>1.21</v>
      </c>
      <c r="DX998" s="21">
        <v>54</v>
      </c>
      <c r="DY998" s="18" t="s">
        <v>151</v>
      </c>
      <c r="DZ998" s="22" t="s">
        <v>151</v>
      </c>
      <c r="EA998" s="22" t="s">
        <v>151</v>
      </c>
      <c r="EB998" s="21">
        <v>991</v>
      </c>
      <c r="EC998" s="20">
        <v>125</v>
      </c>
      <c r="ED998" s="19">
        <v>14.43</v>
      </c>
      <c r="EE998" s="21">
        <v>23</v>
      </c>
      <c r="EF998" s="20">
        <v>1</v>
      </c>
      <c r="EG998" s="19">
        <v>4.55</v>
      </c>
      <c r="EH998" s="16" t="s">
        <v>198</v>
      </c>
      <c r="EI998" s="17" t="s">
        <v>151</v>
      </c>
      <c r="EJ998" s="17" t="s">
        <v>151</v>
      </c>
      <c r="EK998" s="18" t="s">
        <v>151</v>
      </c>
      <c r="EL998" s="18" t="s">
        <v>151</v>
      </c>
      <c r="EM998" s="18" t="s">
        <v>151</v>
      </c>
      <c r="EN998" s="18" t="s">
        <v>151</v>
      </c>
      <c r="EO998" s="18" t="s">
        <v>151</v>
      </c>
      <c r="EP998" s="17" t="s">
        <v>151</v>
      </c>
      <c r="EQ998" s="16" t="s">
        <v>151</v>
      </c>
      <c r="ER998" s="16" t="s">
        <v>151</v>
      </c>
      <c r="ES998" s="3">
        <f>HYPERLINK("https://my.pitchbook.com?c=510356-98","View Company Online")</f>
      </c>
    </row>
    <row r="999">
      <c r="A999" s="30" t="s">
        <v>20103</v>
      </c>
      <c r="B999" s="30" t="s">
        <v>20104</v>
      </c>
      <c r="C999" s="31" t="s">
        <v>151</v>
      </c>
      <c r="D999" s="30" t="s">
        <v>151</v>
      </c>
      <c r="E999" s="30" t="s">
        <v>151</v>
      </c>
      <c r="F999" s="30" t="s">
        <v>20105</v>
      </c>
      <c r="G999" s="30" t="s">
        <v>151</v>
      </c>
      <c r="H999" s="30" t="s">
        <v>151</v>
      </c>
      <c r="I999" s="30" t="s">
        <v>20106</v>
      </c>
      <c r="J999" s="30" t="s">
        <v>20103</v>
      </c>
      <c r="K999" s="30" t="s">
        <v>20107</v>
      </c>
      <c r="L999" s="30" t="s">
        <v>205</v>
      </c>
      <c r="M999" s="30" t="s">
        <v>206</v>
      </c>
      <c r="N999" s="30" t="s">
        <v>269</v>
      </c>
      <c r="O999" s="30" t="s">
        <v>20108</v>
      </c>
      <c r="P999" s="30" t="s">
        <v>1107</v>
      </c>
      <c r="Q999" s="30" t="s">
        <v>20109</v>
      </c>
      <c r="R999" s="30" t="s">
        <v>151</v>
      </c>
      <c r="S999" s="30" t="s">
        <v>162</v>
      </c>
      <c r="T999" s="37">
        <v>2.8</v>
      </c>
      <c r="U999" s="30" t="s">
        <v>1727</v>
      </c>
      <c r="V999" s="30" t="s">
        <v>164</v>
      </c>
      <c r="W999" s="30" t="s">
        <v>165</v>
      </c>
      <c r="X999" s="28" t="s">
        <v>20110</v>
      </c>
      <c r="Y999" s="28" t="s">
        <v>20111</v>
      </c>
      <c r="Z999" s="40">
        <v>13</v>
      </c>
      <c r="AA999" s="30" t="s">
        <v>20112</v>
      </c>
      <c r="AB999" s="30" t="s">
        <v>151</v>
      </c>
      <c r="AC999" s="30" t="s">
        <v>151</v>
      </c>
      <c r="AD999" s="39">
        <v>2021</v>
      </c>
      <c r="AE999" s="30" t="s">
        <v>151</v>
      </c>
      <c r="AF999" s="35">
        <v>45581</v>
      </c>
      <c r="AG999" s="30" t="s">
        <v>151</v>
      </c>
      <c r="AH999" s="30" t="s">
        <v>151</v>
      </c>
      <c r="AI999" s="38" t="s">
        <v>151</v>
      </c>
      <c r="AJ999" s="32" t="s">
        <v>151</v>
      </c>
      <c r="AK999" s="38" t="s">
        <v>151</v>
      </c>
      <c r="AL999" s="38" t="s">
        <v>151</v>
      </c>
      <c r="AM999" s="38" t="s">
        <v>151</v>
      </c>
      <c r="AN999" s="38" t="s">
        <v>151</v>
      </c>
      <c r="AO999" s="38" t="s">
        <v>151</v>
      </c>
      <c r="AP999" s="38" t="s">
        <v>151</v>
      </c>
      <c r="AQ999" s="38" t="s">
        <v>151</v>
      </c>
      <c r="AR999" s="29" t="s">
        <v>151</v>
      </c>
      <c r="AS999" s="30" t="s">
        <v>20113</v>
      </c>
      <c r="AT999" s="30" t="s">
        <v>20114</v>
      </c>
      <c r="AU999" s="31">
        <v>13</v>
      </c>
      <c r="AV999" s="30" t="s">
        <v>151</v>
      </c>
      <c r="AW999" s="30" t="s">
        <v>151</v>
      </c>
      <c r="AX999" s="30" t="s">
        <v>151</v>
      </c>
      <c r="AY999" s="30" t="s">
        <v>20115</v>
      </c>
      <c r="AZ999" s="30" t="s">
        <v>151</v>
      </c>
      <c r="BA999" s="30" t="s">
        <v>151</v>
      </c>
      <c r="BB999" s="30" t="s">
        <v>151</v>
      </c>
      <c r="BC999" s="30" t="s">
        <v>151</v>
      </c>
      <c r="BD999" s="30" t="s">
        <v>20116</v>
      </c>
      <c r="BE999" s="30" t="s">
        <v>20117</v>
      </c>
      <c r="BF999" s="30" t="s">
        <v>221</v>
      </c>
      <c r="BG999" s="30" t="s">
        <v>20118</v>
      </c>
      <c r="BH999" s="30" t="s">
        <v>151</v>
      </c>
      <c r="BI999" s="30" t="s">
        <v>764</v>
      </c>
      <c r="BJ999" s="30" t="s">
        <v>20119</v>
      </c>
      <c r="BK999" s="30" t="s">
        <v>151</v>
      </c>
      <c r="BL999" s="30" t="s">
        <v>767</v>
      </c>
      <c r="BM999" s="30" t="s">
        <v>184</v>
      </c>
      <c r="BN999" s="29" t="s">
        <v>20120</v>
      </c>
      <c r="BO999" s="30" t="s">
        <v>186</v>
      </c>
      <c r="BP999" s="29" t="s">
        <v>151</v>
      </c>
      <c r="BQ999" s="29" t="s">
        <v>151</v>
      </c>
      <c r="BR999" s="30" t="s">
        <v>20121</v>
      </c>
      <c r="BS999" s="30" t="s">
        <v>187</v>
      </c>
      <c r="BT999" s="30" t="s">
        <v>188</v>
      </c>
      <c r="BU999" s="35">
        <v>44664</v>
      </c>
      <c r="BV999" s="37">
        <v>2.8</v>
      </c>
      <c r="BW999" s="30" t="s">
        <v>192</v>
      </c>
      <c r="BX999" s="37" t="s">
        <v>151</v>
      </c>
      <c r="BY999" s="30" t="s">
        <v>151</v>
      </c>
      <c r="BZ999" s="30" t="s">
        <v>293</v>
      </c>
      <c r="CA999" s="30" t="s">
        <v>293</v>
      </c>
      <c r="CB999" s="30" t="s">
        <v>151</v>
      </c>
      <c r="CC999" s="30" t="s">
        <v>165</v>
      </c>
      <c r="CD999" s="30" t="s">
        <v>151</v>
      </c>
      <c r="CE999" s="30" t="s">
        <v>191</v>
      </c>
      <c r="CF999" s="35">
        <v>44664</v>
      </c>
      <c r="CG999" s="37">
        <v>2.8</v>
      </c>
      <c r="CH999" s="30" t="s">
        <v>192</v>
      </c>
      <c r="CI999" s="37" t="s">
        <v>151</v>
      </c>
      <c r="CJ999" s="30" t="s">
        <v>151</v>
      </c>
      <c r="CK999" s="29" t="s">
        <v>151</v>
      </c>
      <c r="CL999" s="30" t="s">
        <v>293</v>
      </c>
      <c r="CM999" s="30" t="s">
        <v>293</v>
      </c>
      <c r="CN999" s="30" t="s">
        <v>151</v>
      </c>
      <c r="CO999" s="30" t="s">
        <v>165</v>
      </c>
      <c r="CP999" s="35">
        <v>44664</v>
      </c>
      <c r="CQ999" s="37" t="s">
        <v>151</v>
      </c>
      <c r="CR999" s="30" t="s">
        <v>151</v>
      </c>
      <c r="CS999" s="30" t="s">
        <v>191</v>
      </c>
      <c r="CT999" s="29" t="s">
        <v>151</v>
      </c>
      <c r="CU999" s="30" t="s">
        <v>151</v>
      </c>
      <c r="CV999" s="32" t="s">
        <v>151</v>
      </c>
      <c r="CW999" s="32" t="s">
        <v>151</v>
      </c>
      <c r="CX999" s="30" t="s">
        <v>151</v>
      </c>
      <c r="CY999" s="32" t="s">
        <v>151</v>
      </c>
      <c r="CZ999" s="32" t="s">
        <v>151</v>
      </c>
      <c r="DA999" s="37" t="s">
        <v>151</v>
      </c>
      <c r="DB999" s="35" t="s">
        <v>151</v>
      </c>
      <c r="DC999" s="30" t="s">
        <v>151</v>
      </c>
      <c r="DD999" s="29" t="s">
        <v>151</v>
      </c>
      <c r="DE999" s="32">
        <v>0.47</v>
      </c>
      <c r="DF999" s="34">
        <v>94</v>
      </c>
      <c r="DG999" s="32">
        <v>0</v>
      </c>
      <c r="DH999" s="32">
        <v>0</v>
      </c>
      <c r="DI999" s="32">
        <v>0.94</v>
      </c>
      <c r="DJ999" s="34">
        <v>96</v>
      </c>
      <c r="DK999" s="32" t="s">
        <v>151</v>
      </c>
      <c r="DL999" s="34" t="s">
        <v>151</v>
      </c>
      <c r="DM999" s="32">
        <v>0.94</v>
      </c>
      <c r="DN999" s="34">
        <v>96</v>
      </c>
      <c r="DO999" s="36">
        <v>7.47</v>
      </c>
      <c r="DP999" s="34">
        <v>87</v>
      </c>
      <c r="DQ999" s="36">
        <v>0</v>
      </c>
      <c r="DR999" s="32">
        <v>0</v>
      </c>
      <c r="DS999" s="36">
        <v>13.95</v>
      </c>
      <c r="DT999" s="34">
        <v>93</v>
      </c>
      <c r="DU999" s="36" t="s">
        <v>151</v>
      </c>
      <c r="DV999" s="34" t="s">
        <v>151</v>
      </c>
      <c r="DW999" s="36">
        <v>13.95</v>
      </c>
      <c r="DX999" s="34">
        <v>93</v>
      </c>
      <c r="DY999" s="31" t="s">
        <v>151</v>
      </c>
      <c r="DZ999" s="35" t="s">
        <v>151</v>
      </c>
      <c r="EA999" s="35" t="s">
        <v>151</v>
      </c>
      <c r="EB999" s="34">
        <v>4113</v>
      </c>
      <c r="EC999" s="33">
        <v>-3</v>
      </c>
      <c r="ED999" s="32">
        <v>-0.07</v>
      </c>
      <c r="EE999" s="34">
        <v>265</v>
      </c>
      <c r="EF999" s="33">
        <v>1</v>
      </c>
      <c r="EG999" s="32">
        <v>0.38</v>
      </c>
      <c r="EH999" s="29" t="s">
        <v>198</v>
      </c>
      <c r="EI999" s="30" t="s">
        <v>151</v>
      </c>
      <c r="EJ999" s="30" t="s">
        <v>151</v>
      </c>
      <c r="EK999" s="31" t="s">
        <v>151</v>
      </c>
      <c r="EL999" s="31" t="s">
        <v>151</v>
      </c>
      <c r="EM999" s="31" t="s">
        <v>151</v>
      </c>
      <c r="EN999" s="31" t="s">
        <v>151</v>
      </c>
      <c r="EO999" s="31" t="s">
        <v>151</v>
      </c>
      <c r="EP999" s="30" t="s">
        <v>151</v>
      </c>
      <c r="EQ999" s="29" t="s">
        <v>151</v>
      </c>
      <c r="ER999" s="29" t="s">
        <v>151</v>
      </c>
      <c r="ES999" s="4">
        <f>HYPERLINK("https://my.pitchbook.com?c=493401-34","View Company Online")</f>
      </c>
    </row>
    <row r="1000">
      <c r="A1000" s="17" t="s">
        <v>20122</v>
      </c>
      <c r="B1000" s="17" t="s">
        <v>20123</v>
      </c>
      <c r="C1000" s="18" t="s">
        <v>151</v>
      </c>
      <c r="D1000" s="17" t="s">
        <v>20124</v>
      </c>
      <c r="E1000" s="17" t="s">
        <v>151</v>
      </c>
      <c r="F1000" s="17" t="s">
        <v>20125</v>
      </c>
      <c r="G1000" s="17" t="s">
        <v>151</v>
      </c>
      <c r="H1000" s="17" t="s">
        <v>151</v>
      </c>
      <c r="I1000" s="17" t="s">
        <v>20126</v>
      </c>
      <c r="J1000" s="17" t="s">
        <v>20122</v>
      </c>
      <c r="K1000" s="17" t="s">
        <v>20127</v>
      </c>
      <c r="L1000" s="17" t="s">
        <v>616</v>
      </c>
      <c r="M1000" s="17" t="s">
        <v>834</v>
      </c>
      <c r="N1000" s="17" t="s">
        <v>2059</v>
      </c>
      <c r="O1000" s="17" t="s">
        <v>20128</v>
      </c>
      <c r="P1000" s="17" t="s">
        <v>6330</v>
      </c>
      <c r="Q1000" s="17" t="s">
        <v>20129</v>
      </c>
      <c r="R1000" s="17" t="s">
        <v>151</v>
      </c>
      <c r="S1000" s="17" t="s">
        <v>162</v>
      </c>
      <c r="T1000" s="24">
        <v>1.98</v>
      </c>
      <c r="U1000" s="17" t="s">
        <v>163</v>
      </c>
      <c r="V1000" s="17" t="s">
        <v>164</v>
      </c>
      <c r="W1000" s="17" t="s">
        <v>165</v>
      </c>
      <c r="X1000" s="15" t="s">
        <v>20130</v>
      </c>
      <c r="Y1000" s="15" t="s">
        <v>20131</v>
      </c>
      <c r="Z1000" s="27">
        <v>18</v>
      </c>
      <c r="AA1000" s="17" t="s">
        <v>20132</v>
      </c>
      <c r="AB1000" s="17" t="s">
        <v>151</v>
      </c>
      <c r="AC1000" s="17" t="s">
        <v>151</v>
      </c>
      <c r="AD1000" s="26">
        <v>2018</v>
      </c>
      <c r="AE1000" s="17" t="s">
        <v>151</v>
      </c>
      <c r="AF1000" s="22">
        <v>45469</v>
      </c>
      <c r="AG1000" s="17" t="s">
        <v>151</v>
      </c>
      <c r="AH1000" s="17" t="s">
        <v>151</v>
      </c>
      <c r="AI1000" s="25" t="s">
        <v>151</v>
      </c>
      <c r="AJ1000" s="19" t="s">
        <v>151</v>
      </c>
      <c r="AK1000" s="25" t="s">
        <v>151</v>
      </c>
      <c r="AL1000" s="25" t="s">
        <v>151</v>
      </c>
      <c r="AM1000" s="25" t="s">
        <v>151</v>
      </c>
      <c r="AN1000" s="25" t="s">
        <v>151</v>
      </c>
      <c r="AO1000" s="25" t="s">
        <v>151</v>
      </c>
      <c r="AP1000" s="25" t="s">
        <v>151</v>
      </c>
      <c r="AQ1000" s="25" t="s">
        <v>151</v>
      </c>
      <c r="AR1000" s="16" t="s">
        <v>151</v>
      </c>
      <c r="AS1000" s="17" t="s">
        <v>20133</v>
      </c>
      <c r="AT1000" s="17" t="s">
        <v>20134</v>
      </c>
      <c r="AU1000" s="18">
        <v>11</v>
      </c>
      <c r="AV1000" s="17" t="s">
        <v>151</v>
      </c>
      <c r="AW1000" s="17" t="s">
        <v>151</v>
      </c>
      <c r="AX1000" s="17" t="s">
        <v>151</v>
      </c>
      <c r="AY1000" s="17" t="s">
        <v>20135</v>
      </c>
      <c r="AZ1000" s="17" t="s">
        <v>151</v>
      </c>
      <c r="BA1000" s="17" t="s">
        <v>151</v>
      </c>
      <c r="BB1000" s="17" t="s">
        <v>1777</v>
      </c>
      <c r="BC1000" s="17" t="s">
        <v>151</v>
      </c>
      <c r="BD1000" s="17" t="s">
        <v>20136</v>
      </c>
      <c r="BE1000" s="17" t="s">
        <v>20137</v>
      </c>
      <c r="BF1000" s="17" t="s">
        <v>493</v>
      </c>
      <c r="BG1000" s="17" t="s">
        <v>20138</v>
      </c>
      <c r="BH1000" s="17" t="s">
        <v>20139</v>
      </c>
      <c r="BI1000" s="17" t="s">
        <v>15881</v>
      </c>
      <c r="BJ1000" s="17" t="s">
        <v>20140</v>
      </c>
      <c r="BK1000" s="17" t="s">
        <v>151</v>
      </c>
      <c r="BL1000" s="17" t="s">
        <v>15883</v>
      </c>
      <c r="BM1000" s="17" t="s">
        <v>2591</v>
      </c>
      <c r="BN1000" s="16" t="s">
        <v>15884</v>
      </c>
      <c r="BO1000" s="17" t="s">
        <v>186</v>
      </c>
      <c r="BP1000" s="16" t="s">
        <v>20139</v>
      </c>
      <c r="BQ1000" s="16" t="s">
        <v>151</v>
      </c>
      <c r="BR1000" s="17" t="s">
        <v>20141</v>
      </c>
      <c r="BS1000" s="17" t="s">
        <v>187</v>
      </c>
      <c r="BT1000" s="17" t="s">
        <v>188</v>
      </c>
      <c r="BU1000" s="22">
        <v>43461</v>
      </c>
      <c r="BV1000" s="24">
        <v>0.1</v>
      </c>
      <c r="BW1000" s="17" t="s">
        <v>192</v>
      </c>
      <c r="BX1000" s="24">
        <v>2.1</v>
      </c>
      <c r="BY1000" s="17" t="s">
        <v>192</v>
      </c>
      <c r="BZ1000" s="17" t="s">
        <v>1075</v>
      </c>
      <c r="CA1000" s="17" t="s">
        <v>1075</v>
      </c>
      <c r="CB1000" s="17" t="s">
        <v>151</v>
      </c>
      <c r="CC1000" s="17" t="s">
        <v>585</v>
      </c>
      <c r="CD1000" s="17" t="s">
        <v>151</v>
      </c>
      <c r="CE1000" s="17" t="s">
        <v>191</v>
      </c>
      <c r="CF1000" s="22">
        <v>44675</v>
      </c>
      <c r="CG1000" s="24">
        <v>1.54</v>
      </c>
      <c r="CH1000" s="17" t="s">
        <v>192</v>
      </c>
      <c r="CI1000" s="24" t="s">
        <v>151</v>
      </c>
      <c r="CJ1000" s="17" t="s">
        <v>151</v>
      </c>
      <c r="CK1000" s="16" t="s">
        <v>151</v>
      </c>
      <c r="CL1000" s="17" t="s">
        <v>293</v>
      </c>
      <c r="CM1000" s="17" t="s">
        <v>472</v>
      </c>
      <c r="CN1000" s="17" t="s">
        <v>151</v>
      </c>
      <c r="CO1000" s="17" t="s">
        <v>165</v>
      </c>
      <c r="CP1000" s="22">
        <v>44675</v>
      </c>
      <c r="CQ1000" s="24">
        <v>1.54</v>
      </c>
      <c r="CR1000" s="17" t="s">
        <v>20142</v>
      </c>
      <c r="CS1000" s="17" t="s">
        <v>191</v>
      </c>
      <c r="CT1000" s="16">
        <v>20</v>
      </c>
      <c r="CU1000" s="17" t="s">
        <v>263</v>
      </c>
      <c r="CV1000" s="19">
        <v>22</v>
      </c>
      <c r="CW1000" s="19">
        <v>78</v>
      </c>
      <c r="CX1000" s="17" t="s">
        <v>263</v>
      </c>
      <c r="CY1000" s="19">
        <v>1</v>
      </c>
      <c r="CZ1000" s="19">
        <v>21</v>
      </c>
      <c r="DA1000" s="24">
        <v>3.1</v>
      </c>
      <c r="DB1000" s="22">
        <v>44085</v>
      </c>
      <c r="DC1000" s="17" t="s">
        <v>189</v>
      </c>
      <c r="DD1000" s="16">
        <v>1</v>
      </c>
      <c r="DE1000" s="19">
        <v>0.74</v>
      </c>
      <c r="DF1000" s="21">
        <v>95</v>
      </c>
      <c r="DG1000" s="19">
        <v>0</v>
      </c>
      <c r="DH1000" s="19">
        <v>0</v>
      </c>
      <c r="DI1000" s="19" t="s">
        <v>151</v>
      </c>
      <c r="DJ1000" s="21" t="s">
        <v>151</v>
      </c>
      <c r="DK1000" s="19" t="s">
        <v>151</v>
      </c>
      <c r="DL1000" s="21" t="s">
        <v>151</v>
      </c>
      <c r="DM1000" s="19" t="s">
        <v>151</v>
      </c>
      <c r="DN1000" s="21" t="s">
        <v>151</v>
      </c>
      <c r="DO1000" s="23">
        <v>1.38</v>
      </c>
      <c r="DP1000" s="21">
        <v>58</v>
      </c>
      <c r="DQ1000" s="23">
        <v>0</v>
      </c>
      <c r="DR1000" s="19">
        <v>0</v>
      </c>
      <c r="DS1000" s="23" t="s">
        <v>151</v>
      </c>
      <c r="DT1000" s="21" t="s">
        <v>151</v>
      </c>
      <c r="DU1000" s="23" t="s">
        <v>151</v>
      </c>
      <c r="DV1000" s="21" t="s">
        <v>151</v>
      </c>
      <c r="DW1000" s="23" t="s">
        <v>151</v>
      </c>
      <c r="DX1000" s="21" t="s">
        <v>151</v>
      </c>
      <c r="DY1000" s="18" t="s">
        <v>151</v>
      </c>
      <c r="DZ1000" s="22" t="s">
        <v>151</v>
      </c>
      <c r="EA1000" s="22" t="s">
        <v>151</v>
      </c>
      <c r="EB1000" s="21">
        <v>115</v>
      </c>
      <c r="EC1000" s="20">
        <v>-97</v>
      </c>
      <c r="ED1000" s="19">
        <v>-45.75</v>
      </c>
      <c r="EE1000" s="21" t="s">
        <v>151</v>
      </c>
      <c r="EF1000" s="20" t="s">
        <v>151</v>
      </c>
      <c r="EG1000" s="19" t="s">
        <v>151</v>
      </c>
      <c r="EH1000" s="16" t="s">
        <v>198</v>
      </c>
      <c r="EI1000" s="17" t="s">
        <v>151</v>
      </c>
      <c r="EJ1000" s="17" t="s">
        <v>151</v>
      </c>
      <c r="EK1000" s="18" t="s">
        <v>151</v>
      </c>
      <c r="EL1000" s="18" t="s">
        <v>151</v>
      </c>
      <c r="EM1000" s="18" t="s">
        <v>151</v>
      </c>
      <c r="EN1000" s="18" t="s">
        <v>151</v>
      </c>
      <c r="EO1000" s="18" t="s">
        <v>151</v>
      </c>
      <c r="EP1000" s="17" t="s">
        <v>151</v>
      </c>
      <c r="EQ1000" s="16" t="s">
        <v>151</v>
      </c>
      <c r="ER1000" s="16" t="s">
        <v>151</v>
      </c>
      <c r="ES1000" s="3">
        <f>HYPERLINK("https://my.pitchbook.com?c=264359-80","View Company Online")</f>
      </c>
    </row>
    <row r="1001">
      <c r="A1001" s="30" t="s">
        <v>20143</v>
      </c>
      <c r="B1001" s="30" t="s">
        <v>20144</v>
      </c>
      <c r="C1001" s="31" t="s">
        <v>151</v>
      </c>
      <c r="D1001" s="30" t="s">
        <v>20145</v>
      </c>
      <c r="E1001" s="30" t="s">
        <v>151</v>
      </c>
      <c r="F1001" s="30" t="s">
        <v>20146</v>
      </c>
      <c r="G1001" s="30" t="s">
        <v>151</v>
      </c>
      <c r="H1001" s="30" t="s">
        <v>151</v>
      </c>
      <c r="I1001" s="30" t="s">
        <v>20147</v>
      </c>
      <c r="J1001" s="30" t="s">
        <v>20143</v>
      </c>
      <c r="K1001" s="30" t="s">
        <v>20148</v>
      </c>
      <c r="L1001" s="30" t="s">
        <v>205</v>
      </c>
      <c r="M1001" s="30" t="s">
        <v>206</v>
      </c>
      <c r="N1001" s="30" t="s">
        <v>269</v>
      </c>
      <c r="O1001" s="30" t="s">
        <v>563</v>
      </c>
      <c r="P1001" s="30" t="s">
        <v>536</v>
      </c>
      <c r="Q1001" s="30" t="s">
        <v>20149</v>
      </c>
      <c r="R1001" s="30" t="s">
        <v>151</v>
      </c>
      <c r="S1001" s="30" t="s">
        <v>162</v>
      </c>
      <c r="T1001" s="37">
        <v>17.1</v>
      </c>
      <c r="U1001" s="30" t="s">
        <v>163</v>
      </c>
      <c r="V1001" s="30" t="s">
        <v>164</v>
      </c>
      <c r="W1001" s="30" t="s">
        <v>165</v>
      </c>
      <c r="X1001" s="28" t="s">
        <v>20150</v>
      </c>
      <c r="Y1001" s="28" t="s">
        <v>20151</v>
      </c>
      <c r="Z1001" s="40">
        <v>110</v>
      </c>
      <c r="AA1001" s="30" t="s">
        <v>20152</v>
      </c>
      <c r="AB1001" s="30" t="s">
        <v>151</v>
      </c>
      <c r="AC1001" s="30" t="s">
        <v>151</v>
      </c>
      <c r="AD1001" s="39">
        <v>2018</v>
      </c>
      <c r="AE1001" s="30" t="s">
        <v>151</v>
      </c>
      <c r="AF1001" s="35">
        <v>45355</v>
      </c>
      <c r="AG1001" s="30" t="s">
        <v>151</v>
      </c>
      <c r="AH1001" s="30" t="s">
        <v>151</v>
      </c>
      <c r="AI1001" s="38">
        <v>800</v>
      </c>
      <c r="AJ1001" s="32">
        <v>60</v>
      </c>
      <c r="AK1001" s="38" t="s">
        <v>151</v>
      </c>
      <c r="AL1001" s="38" t="s">
        <v>151</v>
      </c>
      <c r="AM1001" s="38" t="s">
        <v>151</v>
      </c>
      <c r="AN1001" s="38" t="s">
        <v>151</v>
      </c>
      <c r="AO1001" s="38" t="s">
        <v>151</v>
      </c>
      <c r="AP1001" s="38" t="s">
        <v>151</v>
      </c>
      <c r="AQ1001" s="38" t="s">
        <v>151</v>
      </c>
      <c r="AR1001" s="29" t="s">
        <v>810</v>
      </c>
      <c r="AS1001" s="30" t="s">
        <v>20153</v>
      </c>
      <c r="AT1001" s="30" t="s">
        <v>20154</v>
      </c>
      <c r="AU1001" s="31">
        <v>5</v>
      </c>
      <c r="AV1001" s="30" t="s">
        <v>151</v>
      </c>
      <c r="AW1001" s="30" t="s">
        <v>151</v>
      </c>
      <c r="AX1001" s="30" t="s">
        <v>151</v>
      </c>
      <c r="AY1001" s="30" t="s">
        <v>20155</v>
      </c>
      <c r="AZ1001" s="30" t="s">
        <v>151</v>
      </c>
      <c r="BA1001" s="30" t="s">
        <v>151</v>
      </c>
      <c r="BB1001" s="30" t="s">
        <v>151</v>
      </c>
      <c r="BC1001" s="30" t="s">
        <v>2424</v>
      </c>
      <c r="BD1001" s="30" t="s">
        <v>20156</v>
      </c>
      <c r="BE1001" s="30" t="s">
        <v>20157</v>
      </c>
      <c r="BF1001" s="30" t="s">
        <v>221</v>
      </c>
      <c r="BG1001" s="30" t="s">
        <v>20158</v>
      </c>
      <c r="BH1001" s="30" t="s">
        <v>20159</v>
      </c>
      <c r="BI1001" s="30" t="s">
        <v>764</v>
      </c>
      <c r="BJ1001" s="30" t="s">
        <v>20160</v>
      </c>
      <c r="BK1001" s="30" t="s">
        <v>11989</v>
      </c>
      <c r="BL1001" s="30" t="s">
        <v>767</v>
      </c>
      <c r="BM1001" s="30" t="s">
        <v>184</v>
      </c>
      <c r="BN1001" s="29" t="s">
        <v>4698</v>
      </c>
      <c r="BO1001" s="30" t="s">
        <v>186</v>
      </c>
      <c r="BP1001" s="29" t="s">
        <v>20159</v>
      </c>
      <c r="BQ1001" s="29" t="s">
        <v>151</v>
      </c>
      <c r="BR1001" s="30" t="s">
        <v>151</v>
      </c>
      <c r="BS1001" s="30" t="s">
        <v>187</v>
      </c>
      <c r="BT1001" s="30" t="s">
        <v>188</v>
      </c>
      <c r="BU1001" s="35">
        <v>44021</v>
      </c>
      <c r="BV1001" s="37">
        <v>4.1</v>
      </c>
      <c r="BW1001" s="30" t="s">
        <v>192</v>
      </c>
      <c r="BX1001" s="37">
        <v>14.1</v>
      </c>
      <c r="BY1001" s="30" t="s">
        <v>192</v>
      </c>
      <c r="BZ1001" s="30" t="s">
        <v>293</v>
      </c>
      <c r="CA1001" s="30" t="s">
        <v>293</v>
      </c>
      <c r="CB1001" s="30" t="s">
        <v>151</v>
      </c>
      <c r="CC1001" s="30" t="s">
        <v>165</v>
      </c>
      <c r="CD1001" s="30" t="s">
        <v>151</v>
      </c>
      <c r="CE1001" s="30" t="s">
        <v>191</v>
      </c>
      <c r="CF1001" s="35">
        <v>44243</v>
      </c>
      <c r="CG1001" s="37">
        <v>13</v>
      </c>
      <c r="CH1001" s="30" t="s">
        <v>192</v>
      </c>
      <c r="CI1001" s="37">
        <v>53</v>
      </c>
      <c r="CJ1001" s="30" t="s">
        <v>192</v>
      </c>
      <c r="CK1001" s="29">
        <v>2.84</v>
      </c>
      <c r="CL1001" s="30" t="s">
        <v>231</v>
      </c>
      <c r="CM1001" s="30" t="s">
        <v>232</v>
      </c>
      <c r="CN1001" s="30" t="s">
        <v>151</v>
      </c>
      <c r="CO1001" s="30" t="s">
        <v>165</v>
      </c>
      <c r="CP1001" s="35">
        <v>44243</v>
      </c>
      <c r="CQ1001" s="37" t="s">
        <v>151</v>
      </c>
      <c r="CR1001" s="30" t="s">
        <v>151</v>
      </c>
      <c r="CS1001" s="30" t="s">
        <v>191</v>
      </c>
      <c r="CT1001" s="29">
        <v>87</v>
      </c>
      <c r="CU1001" s="30" t="s">
        <v>196</v>
      </c>
      <c r="CV1001" s="32">
        <v>73</v>
      </c>
      <c r="CW1001" s="32">
        <v>27</v>
      </c>
      <c r="CX1001" s="30" t="s">
        <v>294</v>
      </c>
      <c r="CY1001" s="32">
        <v>12</v>
      </c>
      <c r="CZ1001" s="32">
        <v>61</v>
      </c>
      <c r="DA1001" s="37">
        <v>53</v>
      </c>
      <c r="DB1001" s="35">
        <v>44243</v>
      </c>
      <c r="DC1001" s="30" t="s">
        <v>231</v>
      </c>
      <c r="DD1001" s="29">
        <v>2.84</v>
      </c>
      <c r="DE1001" s="32">
        <v>1.42</v>
      </c>
      <c r="DF1001" s="34">
        <v>97</v>
      </c>
      <c r="DG1001" s="32">
        <v>0</v>
      </c>
      <c r="DH1001" s="32">
        <v>0</v>
      </c>
      <c r="DI1001" s="32">
        <v>1.42</v>
      </c>
      <c r="DJ1001" s="34">
        <v>97</v>
      </c>
      <c r="DK1001" s="32" t="s">
        <v>151</v>
      </c>
      <c r="DL1001" s="34" t="s">
        <v>151</v>
      </c>
      <c r="DM1001" s="32">
        <v>1.42</v>
      </c>
      <c r="DN1001" s="34">
        <v>97</v>
      </c>
      <c r="DO1001" s="36">
        <v>18.32</v>
      </c>
      <c r="DP1001" s="34">
        <v>94</v>
      </c>
      <c r="DQ1001" s="36">
        <v>0</v>
      </c>
      <c r="DR1001" s="32">
        <v>0</v>
      </c>
      <c r="DS1001" s="36">
        <v>18.32</v>
      </c>
      <c r="DT1001" s="34">
        <v>94</v>
      </c>
      <c r="DU1001" s="36" t="s">
        <v>151</v>
      </c>
      <c r="DV1001" s="34" t="s">
        <v>151</v>
      </c>
      <c r="DW1001" s="36">
        <v>18.32</v>
      </c>
      <c r="DX1001" s="34">
        <v>94</v>
      </c>
      <c r="DY1001" s="31" t="s">
        <v>151</v>
      </c>
      <c r="DZ1001" s="35" t="s">
        <v>151</v>
      </c>
      <c r="EA1001" s="35" t="s">
        <v>151</v>
      </c>
      <c r="EB1001" s="34">
        <v>4539</v>
      </c>
      <c r="EC1001" s="33">
        <v>-100</v>
      </c>
      <c r="ED1001" s="32">
        <v>-2.16</v>
      </c>
      <c r="EE1001" s="34">
        <v>348</v>
      </c>
      <c r="EF1001" s="33">
        <v>3</v>
      </c>
      <c r="EG1001" s="32">
        <v>0.87</v>
      </c>
      <c r="EH1001" s="29" t="s">
        <v>198</v>
      </c>
      <c r="EI1001" s="30" t="s">
        <v>151</v>
      </c>
      <c r="EJ1001" s="30" t="s">
        <v>151</v>
      </c>
      <c r="EK1001" s="31" t="s">
        <v>151</v>
      </c>
      <c r="EL1001" s="31" t="s">
        <v>151</v>
      </c>
      <c r="EM1001" s="31" t="s">
        <v>151</v>
      </c>
      <c r="EN1001" s="31" t="s">
        <v>151</v>
      </c>
      <c r="EO1001" s="31" t="s">
        <v>151</v>
      </c>
      <c r="EP1001" s="30" t="s">
        <v>151</v>
      </c>
      <c r="EQ1001" s="29" t="s">
        <v>151</v>
      </c>
      <c r="ER1001" s="29" t="s">
        <v>151</v>
      </c>
      <c r="ES1001" s="4">
        <f>HYPERLINK("https://my.pitchbook.com?c=277678-36","View Company Online")</f>
      </c>
    </row>
    <row r="1002">
      <c r="A1002" s="17" t="s">
        <v>20161</v>
      </c>
      <c r="B1002" s="17" t="s">
        <v>20162</v>
      </c>
      <c r="C1002" s="18" t="s">
        <v>151</v>
      </c>
      <c r="D1002" s="17" t="s">
        <v>151</v>
      </c>
      <c r="E1002" s="17" t="s">
        <v>151</v>
      </c>
      <c r="F1002" s="17" t="s">
        <v>20163</v>
      </c>
      <c r="G1002" s="17" t="s">
        <v>151</v>
      </c>
      <c r="H1002" s="17" t="s">
        <v>151</v>
      </c>
      <c r="I1002" s="17" t="s">
        <v>20164</v>
      </c>
      <c r="J1002" s="17" t="s">
        <v>20161</v>
      </c>
      <c r="K1002" s="17" t="s">
        <v>20165</v>
      </c>
      <c r="L1002" s="17" t="s">
        <v>1178</v>
      </c>
      <c r="M1002" s="17" t="s">
        <v>1179</v>
      </c>
      <c r="N1002" s="17" t="s">
        <v>1179</v>
      </c>
      <c r="O1002" s="17" t="s">
        <v>20166</v>
      </c>
      <c r="P1002" s="17" t="s">
        <v>7075</v>
      </c>
      <c r="Q1002" s="17" t="s">
        <v>20167</v>
      </c>
      <c r="R1002" s="17" t="s">
        <v>211</v>
      </c>
      <c r="S1002" s="17" t="s">
        <v>162</v>
      </c>
      <c r="T1002" s="24">
        <v>0.63</v>
      </c>
      <c r="U1002" s="17" t="s">
        <v>163</v>
      </c>
      <c r="V1002" s="17" t="s">
        <v>164</v>
      </c>
      <c r="W1002" s="17" t="s">
        <v>165</v>
      </c>
      <c r="X1002" s="15" t="s">
        <v>20168</v>
      </c>
      <c r="Y1002" s="15" t="s">
        <v>20169</v>
      </c>
      <c r="Z1002" s="27">
        <v>17</v>
      </c>
      <c r="AA1002" s="17" t="s">
        <v>20170</v>
      </c>
      <c r="AB1002" s="17" t="s">
        <v>151</v>
      </c>
      <c r="AC1002" s="17" t="s">
        <v>151</v>
      </c>
      <c r="AD1002" s="26">
        <v>2019</v>
      </c>
      <c r="AE1002" s="17" t="s">
        <v>151</v>
      </c>
      <c r="AF1002" s="22">
        <v>45609</v>
      </c>
      <c r="AG1002" s="17" t="s">
        <v>151</v>
      </c>
      <c r="AH1002" s="17" t="s">
        <v>151</v>
      </c>
      <c r="AI1002" s="25" t="s">
        <v>151</v>
      </c>
      <c r="AJ1002" s="19" t="s">
        <v>151</v>
      </c>
      <c r="AK1002" s="25" t="s">
        <v>151</v>
      </c>
      <c r="AL1002" s="25" t="s">
        <v>151</v>
      </c>
      <c r="AM1002" s="25" t="s">
        <v>151</v>
      </c>
      <c r="AN1002" s="25" t="s">
        <v>151</v>
      </c>
      <c r="AO1002" s="25" t="s">
        <v>151</v>
      </c>
      <c r="AP1002" s="25" t="s">
        <v>151</v>
      </c>
      <c r="AQ1002" s="25" t="s">
        <v>151</v>
      </c>
      <c r="AR1002" s="16" t="s">
        <v>151</v>
      </c>
      <c r="AS1002" s="17" t="s">
        <v>20171</v>
      </c>
      <c r="AT1002" s="17" t="s">
        <v>20172</v>
      </c>
      <c r="AU1002" s="18">
        <v>4</v>
      </c>
      <c r="AV1002" s="17" t="s">
        <v>151</v>
      </c>
      <c r="AW1002" s="17" t="s">
        <v>151</v>
      </c>
      <c r="AX1002" s="17" t="s">
        <v>151</v>
      </c>
      <c r="AY1002" s="17" t="s">
        <v>20173</v>
      </c>
      <c r="AZ1002" s="17" t="s">
        <v>151</v>
      </c>
      <c r="BA1002" s="17" t="s">
        <v>151</v>
      </c>
      <c r="BB1002" s="17" t="s">
        <v>151</v>
      </c>
      <c r="BC1002" s="17" t="s">
        <v>151</v>
      </c>
      <c r="BD1002" s="17" t="s">
        <v>20174</v>
      </c>
      <c r="BE1002" s="17" t="s">
        <v>20175</v>
      </c>
      <c r="BF1002" s="17" t="s">
        <v>13306</v>
      </c>
      <c r="BG1002" s="17" t="s">
        <v>20176</v>
      </c>
      <c r="BH1002" s="17" t="s">
        <v>20177</v>
      </c>
      <c r="BI1002" s="17" t="s">
        <v>11783</v>
      </c>
      <c r="BJ1002" s="17" t="s">
        <v>20178</v>
      </c>
      <c r="BK1002" s="17" t="s">
        <v>20179</v>
      </c>
      <c r="BL1002" s="17" t="s">
        <v>11786</v>
      </c>
      <c r="BM1002" s="17" t="s">
        <v>11787</v>
      </c>
      <c r="BN1002" s="16" t="s">
        <v>20180</v>
      </c>
      <c r="BO1002" s="17" t="s">
        <v>186</v>
      </c>
      <c r="BP1002" s="16" t="s">
        <v>20181</v>
      </c>
      <c r="BQ1002" s="16" t="s">
        <v>151</v>
      </c>
      <c r="BR1002" s="17" t="s">
        <v>151</v>
      </c>
      <c r="BS1002" s="17" t="s">
        <v>187</v>
      </c>
      <c r="BT1002" s="17" t="s">
        <v>188</v>
      </c>
      <c r="BU1002" s="22">
        <v>44441</v>
      </c>
      <c r="BV1002" s="24">
        <v>0.63</v>
      </c>
      <c r="BW1002" s="17" t="s">
        <v>192</v>
      </c>
      <c r="BX1002" s="24" t="s">
        <v>151</v>
      </c>
      <c r="BY1002" s="17" t="s">
        <v>151</v>
      </c>
      <c r="BZ1002" s="17" t="s">
        <v>231</v>
      </c>
      <c r="CA1002" s="17" t="s">
        <v>151</v>
      </c>
      <c r="CB1002" s="17" t="s">
        <v>151</v>
      </c>
      <c r="CC1002" s="17" t="s">
        <v>165</v>
      </c>
      <c r="CD1002" s="17" t="s">
        <v>151</v>
      </c>
      <c r="CE1002" s="17" t="s">
        <v>191</v>
      </c>
      <c r="CF1002" s="22">
        <v>44644</v>
      </c>
      <c r="CG1002" s="24" t="s">
        <v>151</v>
      </c>
      <c r="CH1002" s="17" t="s">
        <v>151</v>
      </c>
      <c r="CI1002" s="24" t="s">
        <v>151</v>
      </c>
      <c r="CJ1002" s="17" t="s">
        <v>151</v>
      </c>
      <c r="CK1002" s="16" t="s">
        <v>151</v>
      </c>
      <c r="CL1002" s="17" t="s">
        <v>1075</v>
      </c>
      <c r="CM1002" s="17" t="s">
        <v>1075</v>
      </c>
      <c r="CN1002" s="17" t="s">
        <v>151</v>
      </c>
      <c r="CO1002" s="17" t="s">
        <v>585</v>
      </c>
      <c r="CP1002" s="22">
        <v>44644</v>
      </c>
      <c r="CQ1002" s="24" t="s">
        <v>151</v>
      </c>
      <c r="CR1002" s="17" t="s">
        <v>151</v>
      </c>
      <c r="CS1002" s="17" t="s">
        <v>191</v>
      </c>
      <c r="CT1002" s="16">
        <v>19</v>
      </c>
      <c r="CU1002" s="17" t="s">
        <v>263</v>
      </c>
      <c r="CV1002" s="19">
        <v>21</v>
      </c>
      <c r="CW1002" s="19">
        <v>79</v>
      </c>
      <c r="CX1002" s="17" t="s">
        <v>263</v>
      </c>
      <c r="CY1002" s="19">
        <v>1</v>
      </c>
      <c r="CZ1002" s="19">
        <v>20</v>
      </c>
      <c r="DA1002" s="24" t="s">
        <v>151</v>
      </c>
      <c r="DB1002" s="22" t="s">
        <v>151</v>
      </c>
      <c r="DC1002" s="17" t="s">
        <v>151</v>
      </c>
      <c r="DD1002" s="16" t="s">
        <v>151</v>
      </c>
      <c r="DE1002" s="19">
        <v>-0.26</v>
      </c>
      <c r="DF1002" s="21">
        <v>9</v>
      </c>
      <c r="DG1002" s="19">
        <v>0.27</v>
      </c>
      <c r="DH1002" s="19">
        <v>50.46</v>
      </c>
      <c r="DI1002" s="19">
        <v>-0.26</v>
      </c>
      <c r="DJ1002" s="21">
        <v>8</v>
      </c>
      <c r="DK1002" s="19" t="s">
        <v>151</v>
      </c>
      <c r="DL1002" s="21" t="s">
        <v>151</v>
      </c>
      <c r="DM1002" s="19">
        <v>-0.26</v>
      </c>
      <c r="DN1002" s="21">
        <v>8</v>
      </c>
      <c r="DO1002" s="23">
        <v>7.26</v>
      </c>
      <c r="DP1002" s="21">
        <v>87</v>
      </c>
      <c r="DQ1002" s="23">
        <v>0</v>
      </c>
      <c r="DR1002" s="19">
        <v>0</v>
      </c>
      <c r="DS1002" s="23">
        <v>7.26</v>
      </c>
      <c r="DT1002" s="21">
        <v>87</v>
      </c>
      <c r="DU1002" s="23" t="s">
        <v>151</v>
      </c>
      <c r="DV1002" s="21" t="s">
        <v>151</v>
      </c>
      <c r="DW1002" s="23">
        <v>7.26</v>
      </c>
      <c r="DX1002" s="21">
        <v>86</v>
      </c>
      <c r="DY1002" s="18">
        <v>2</v>
      </c>
      <c r="DZ1002" s="22">
        <v>44238</v>
      </c>
      <c r="EA1002" s="22" t="s">
        <v>151</v>
      </c>
      <c r="EB1002" s="21">
        <v>191</v>
      </c>
      <c r="EC1002" s="20">
        <v>36</v>
      </c>
      <c r="ED1002" s="19">
        <v>23.23</v>
      </c>
      <c r="EE1002" s="21">
        <v>138</v>
      </c>
      <c r="EF1002" s="20">
        <v>1</v>
      </c>
      <c r="EG1002" s="19">
        <v>0.73</v>
      </c>
      <c r="EH1002" s="16" t="s">
        <v>198</v>
      </c>
      <c r="EI1002" s="17" t="s">
        <v>151</v>
      </c>
      <c r="EJ1002" s="17" t="s">
        <v>151</v>
      </c>
      <c r="EK1002" s="18" t="s">
        <v>151</v>
      </c>
      <c r="EL1002" s="18" t="s">
        <v>151</v>
      </c>
      <c r="EM1002" s="18" t="s">
        <v>151</v>
      </c>
      <c r="EN1002" s="18" t="s">
        <v>151</v>
      </c>
      <c r="EO1002" s="18" t="s">
        <v>151</v>
      </c>
      <c r="EP1002" s="17" t="s">
        <v>151</v>
      </c>
      <c r="EQ1002" s="16" t="s">
        <v>151</v>
      </c>
      <c r="ER1002" s="16" t="s">
        <v>151</v>
      </c>
      <c r="ES1002" s="3">
        <f>HYPERLINK("https://my.pitchbook.com?c=459827-56","View Company Online")</f>
      </c>
    </row>
    <row r="1004">
      <c r="A1004" s="41" t="s">
        <v>20182</v>
      </c>
    </row>
  </sheetData>
  <mergeCells count="1">
    <mergeCell ref="B4:D5"/>
  </mergeCells>
  <hyperlinks>
    <hyperlink ref="B3" r:id="rId1" display="https://my.pitchbook.com/?pcc=1084036-0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15"/>
  <sheetViews>
    <sheetView showGridLines="0" workbookViewId="0">
      <selection sqref="A1"/>
    </sheetView>
  </sheetViews>
  <sheetFormatPr defaultRowHeight="15"/>
  <cols>
    <col min="1" max="1" width="10.5703125" customWidth="1"/>
    <col min="2" max="2" width="49.140625" customWidth="1"/>
    <col min="3" max="3" width="27.7109375" customWidth="1"/>
    <col min="4" max="4" width="4.5703125" customWidth="1"/>
    <col min="5" max="5" width="22.140625" customWidth="1"/>
  </cols>
  <sheetData>
    <row r="1">
      <c r="A1" s="50" t="s">
        <v>20191</v>
      </c>
    </row>
    <row r="3">
      <c r="A3" s="51" t="s">
        <v>20192</v>
      </c>
    </row>
    <row r="4">
      <c r="A4" s="53" t="s">
        <v>20193</v>
      </c>
    </row>
    <row r="6">
      <c r="A6" s="51" t="s">
        <v>20194</v>
      </c>
      <c r="C6" s="53" t="s">
        <v>20195</v>
      </c>
      <c r="E6" s="51" t="s">
        <v>20196</v>
      </c>
    </row>
    <row r="8">
      <c r="A8" s="51" t="s">
        <v>20197</v>
      </c>
    </row>
    <row r="9">
      <c r="A9" s="54" t="s">
        <v>20198</v>
      </c>
      <c r="B9" s="51" t="s">
        <v>20199</v>
      </c>
    </row>
    <row r="10">
      <c r="A10" s="54" t="s">
        <v>20200</v>
      </c>
      <c r="B10" s="51" t="s">
        <v>20201</v>
      </c>
    </row>
    <row r="11">
      <c r="A11" s="54" t="s">
        <v>20202</v>
      </c>
      <c r="B11" s="51" t="s">
        <v>20203</v>
      </c>
    </row>
    <row r="13">
      <c r="A13" s="51" t="s">
        <v>20204</v>
      </c>
      <c r="B13" s="53" t="s">
        <v>20193</v>
      </c>
    </row>
    <row r="15">
      <c r="A15" s="41" t="s">
        <v>20182</v>
      </c>
    </row>
  </sheetData>
  <sheetProtection algorithmName="SHA-512" hashValue="WNSCuxWQVh4OH4smKII5JEUI2qohi//JjUjKqNM3l87lo6HL36O0vOVcshw4z2oV1Fh4NVYblfdJoCd4OCKqqA==" saltValue="kFw0arKY8eLfA0ygdcrzpQ==" spinCount="100000" sheet="1" objects="1" scenarios="1"/>
  <hyperlinks>
    <hyperlink ref="A4" r:id="rId1" display="support@pitchbook.com"/>
    <hyperlink ref="C6" r:id="rId2" display="the PitchBook subscription agreement."/>
    <hyperlink ref="B13" r:id="rId3" display="support@pitchbook.com"/>
  </hyperlinks>
  <pageMargins left="0.7" right="0.7" top="0.75" bottom="0.75" header="0.3" footer="0.3"/>
</worksheet>
</file>